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drawings/drawing4.xml" ContentType="application/vnd.openxmlformats-officedocument.drawing+xml"/>
  <Override PartName="/xl/ctrlProps/ctrlProp6.xml" ContentType="application/vnd.ms-excel.controlproperties+xml"/>
  <Override PartName="/xl/drawings/drawing5.xml" ContentType="application/vnd.openxmlformats-officedocument.drawing+xml"/>
  <Override PartName="/xl/ctrlProps/ctrlProp7.xml" ContentType="application/vnd.ms-excel.controlproperties+xml"/>
  <Override PartName="/xl/drawings/drawing6.xml" ContentType="application/vnd.openxmlformats-officedocument.drawing+xml"/>
  <Override PartName="/xl/ctrlProps/ctrlProp8.xml" ContentType="application/vnd.ms-excel.controlproperties+xml"/>
  <Override PartName="/xl/drawings/drawing7.xml" ContentType="application/vnd.openxmlformats-officedocument.drawing+xml"/>
  <Override PartName="/xl/ctrlProps/ctrlProp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codeName="{60716B99-48EF-4627-542C-1B4CF24DBC83}"/>
  <workbookPr codeName="EsteLibro"/>
  <mc:AlternateContent xmlns:mc="http://schemas.openxmlformats.org/markup-compatibility/2006">
    <mc:Choice Requires="x15">
      <x15ac:absPath xmlns:x15ac="http://schemas.microsoft.com/office/spreadsheetml/2010/11/ac" url="https://invias-my.sharepoint.com/personal/ytellez_invias_gov_co/Documents/2024/CONTRATACION/PROCESOS/IP-DT-CUN-012-2024 Interv Carboneras - Salsipuedes/Evaluacion No. 3/"/>
    </mc:Choice>
  </mc:AlternateContent>
  <xr:revisionPtr revIDLastSave="16" documentId="13_ncr:1_{35A10B8C-61ED-4575-8396-F3AF91C465DD}" xr6:coauthVersionLast="47" xr6:coauthVersionMax="47" xr10:uidLastSave="{659D716C-45F2-4413-9983-2B29915A96D6}"/>
  <bookViews>
    <workbookView xWindow="-120" yWindow="-120" windowWidth="29040" windowHeight="15720" tabRatio="856" firstSheet="1" activeTab="9" xr2:uid="{00000000-000D-0000-FFFF-FFFF00000000}"/>
  </bookViews>
  <sheets>
    <sheet name="Verificaciones" sheetId="1" state="hidden" r:id="rId1"/>
    <sheet name="POA" sheetId="6" r:id="rId2"/>
    <sheet name="Puntajes" sheetId="14" state="hidden" r:id="rId3"/>
    <sheet name="Capacidad Financiera" sheetId="4" r:id="rId4"/>
    <sheet name="Puntaje Exp" sheetId="17" r:id="rId5"/>
    <sheet name="Puntaje CF" sheetId="18" r:id="rId6"/>
    <sheet name="Saldo CtosEjecución" sheetId="19" r:id="rId7"/>
    <sheet name="Cap Organización" sheetId="20" r:id="rId8"/>
    <sheet name="Puntaje CT" sheetId="16" r:id="rId9"/>
    <sheet name="Capacidad Residual" sheetId="5" r:id="rId10"/>
    <sheet name="Contratos Ejecutados" sheetId="21" state="hidden" r:id="rId11"/>
    <sheet name="Contratos en Ejecucion" sheetId="22" state="hidden" r:id="rId12"/>
    <sheet name="PO" sheetId="7" state="hidden" r:id="rId13"/>
  </sheets>
  <definedNames>
    <definedName name="AnticipoM1">POA!$D$8</definedName>
    <definedName name="AnticipoM2">POA!$D$9</definedName>
    <definedName name="AnticipoM3">POA!$D$10</definedName>
    <definedName name="AnticipoM4">POA!$D$11</definedName>
    <definedName name="_xlnm.Print_Area" localSheetId="7">'Cap Organización'!$A$1:$F$49</definedName>
    <definedName name="_xlnm.Print_Area" localSheetId="3">'Capacidad Financiera'!$A$1:$AH$23</definedName>
    <definedName name="_xlnm.Print_Area" localSheetId="9">'Capacidad Residual'!$A$1:$V$59</definedName>
    <definedName name="_xlnm.Print_Area" localSheetId="10">'Contratos Ejecutados'!$A$1:$F$31</definedName>
    <definedName name="_xlnm.Print_Area" localSheetId="1">POA!$A$1:$J$13</definedName>
    <definedName name="_xlnm.Print_Area" localSheetId="5">'Puntaje CF'!$A$1:$I$58</definedName>
    <definedName name="_xlnm.Print_Area" localSheetId="8">'Puntaje CT'!$A$1:$H$46</definedName>
    <definedName name="_xlnm.Print_Area" localSheetId="4">'Puntaje Exp'!$A$1:$L$45</definedName>
    <definedName name="_xlnm.Print_Area" localSheetId="2">Puntajes!$A$1:$I$22</definedName>
    <definedName name="_xlnm.Print_Area" localSheetId="6">'Saldo CtosEjecución'!$A$1:$G$63</definedName>
    <definedName name="CapFinanciera1">Puntajes!$C$17</definedName>
    <definedName name="CapFinanciera2">Puntajes!$C$18</definedName>
    <definedName name="CapFinanciera3">Puntajes!$C$19</definedName>
    <definedName name="CapFinanciera4">Puntajes!$C$20</definedName>
    <definedName name="CapTecnica1">Puntajes!$G$9</definedName>
    <definedName name="CapTecnica2">Puntajes!$G$10</definedName>
    <definedName name="Experiencia1">Puntajes!$C$9</definedName>
    <definedName name="Experiencia2">Puntajes!$C$10</definedName>
    <definedName name="Experiencia3">Puntajes!$C$11</definedName>
    <definedName name="PlazoM1">POA!$C$8</definedName>
    <definedName name="PlazoM2">POA!$C$9</definedName>
    <definedName name="PlazoM3">POA!$C$10</definedName>
    <definedName name="PlazoM4">POA!$C$11</definedName>
    <definedName name="prueba">#REF!</definedName>
    <definedName name="SALACTUAL">POA!$F$8</definedName>
    <definedName name="Z_7043DB3C_32B3_43B5_9ACE_4B1C78863594_.wvu.PrintArea" localSheetId="3" hidden="1">'Capacidad Financiera'!$B$1:$AA$11</definedName>
  </definedNames>
  <calcPr calcId="181029"/>
  <customWorkbookViews>
    <customWorkbookView name="Diana Carolina Bernal Bustos - Vista personalizada" guid="{7043DB3C-32B3-43B5-9ACE-4B1C78863594}" mergeInterval="0" personalView="1" maximized="1" windowWidth="1276" windowHeight="799" activeSheetId="4"/>
  </customWorkbookViews>
</workbook>
</file>

<file path=xl/calcChain.xml><?xml version="1.0" encoding="utf-8"?>
<calcChain xmlns="http://schemas.openxmlformats.org/spreadsheetml/2006/main">
  <c r="R13" i="5" l="1"/>
  <c r="C17" i="5"/>
  <c r="F13" i="5"/>
  <c r="G13" i="5"/>
  <c r="C13" i="5"/>
  <c r="C11" i="16"/>
  <c r="C12" i="20"/>
  <c r="C12" i="19"/>
  <c r="C12" i="18"/>
  <c r="C11" i="17"/>
  <c r="S25" i="5"/>
  <c r="S49" i="5"/>
  <c r="D16" i="18"/>
  <c r="D14" i="17"/>
  <c r="N12" i="4"/>
  <c r="J12" i="4"/>
  <c r="I12" i="4"/>
  <c r="H8" i="6" l="1"/>
  <c r="V13" i="4" l="1"/>
  <c r="V14" i="4"/>
  <c r="V15" i="4"/>
  <c r="V16" i="4"/>
  <c r="V17" i="4"/>
  <c r="T16" i="4"/>
  <c r="T17" i="4"/>
  <c r="Y16" i="4" l="1"/>
  <c r="Y17" i="4"/>
  <c r="AF16" i="4" l="1"/>
  <c r="R12" i="4"/>
  <c r="AF17" i="4" l="1"/>
  <c r="X17" i="4"/>
  <c r="Q17" i="4"/>
  <c r="AD17" i="4"/>
  <c r="R17" i="4"/>
  <c r="W17" i="4" l="1"/>
  <c r="AE17" i="4"/>
  <c r="S17" i="4"/>
  <c r="U17" i="4"/>
  <c r="Z17" i="4"/>
  <c r="AG17" i="4"/>
  <c r="E29" i="17"/>
  <c r="D32" i="16"/>
  <c r="D29" i="16"/>
  <c r="D36" i="19"/>
  <c r="D56" i="19"/>
  <c r="D52" i="19"/>
  <c r="D36" i="18"/>
  <c r="D56" i="18"/>
  <c r="D32" i="20"/>
  <c r="D40" i="20"/>
  <c r="D36" i="20"/>
  <c r="AH17" i="4" l="1"/>
  <c r="AA17" i="4"/>
  <c r="H29" i="17"/>
  <c r="G29" i="17"/>
  <c r="E36" i="18"/>
  <c r="F36" i="18"/>
  <c r="E56" i="18"/>
  <c r="F56" i="18"/>
  <c r="D45" i="5"/>
  <c r="E45" i="5"/>
  <c r="D49" i="5"/>
  <c r="D53" i="5"/>
  <c r="E53" i="5"/>
  <c r="G53" i="5"/>
  <c r="H53" i="5"/>
  <c r="I53" i="5"/>
  <c r="D57" i="5"/>
  <c r="E57" i="5"/>
  <c r="G57" i="5"/>
  <c r="H57" i="5"/>
  <c r="I57" i="5"/>
  <c r="D56" i="20"/>
  <c r="D52" i="20"/>
  <c r="E44" i="17"/>
  <c r="D44" i="17"/>
  <c r="E41" i="17"/>
  <c r="D41" i="17"/>
  <c r="D44" i="16"/>
  <c r="D41" i="16"/>
  <c r="E49" i="5"/>
  <c r="P18" i="4"/>
  <c r="I29" i="17" l="1"/>
  <c r="I32" i="17"/>
  <c r="J53" i="5"/>
  <c r="J57" i="5"/>
  <c r="G44" i="17"/>
  <c r="G36" i="18"/>
  <c r="G56" i="18"/>
  <c r="G41" i="17"/>
  <c r="H44" i="17"/>
  <c r="H41" i="17"/>
  <c r="E41" i="5"/>
  <c r="D41" i="5"/>
  <c r="I37" i="5"/>
  <c r="H37" i="5"/>
  <c r="E37" i="5"/>
  <c r="D37" i="5"/>
  <c r="I33" i="5"/>
  <c r="E33" i="5"/>
  <c r="D33" i="5"/>
  <c r="I29" i="5"/>
  <c r="D48" i="20"/>
  <c r="D44" i="20"/>
  <c r="D28" i="20"/>
  <c r="D32" i="19"/>
  <c r="D28" i="19"/>
  <c r="D32" i="18"/>
  <c r="F32" i="18" s="1"/>
  <c r="D28" i="18"/>
  <c r="F28" i="18" s="1"/>
  <c r="D38" i="16"/>
  <c r="D35" i="16"/>
  <c r="D26" i="16"/>
  <c r="D23" i="16"/>
  <c r="E26" i="17"/>
  <c r="E23" i="17"/>
  <c r="I44" i="17" l="1"/>
  <c r="J37" i="5"/>
  <c r="I41" i="17"/>
  <c r="D29" i="5"/>
  <c r="H29" i="5"/>
  <c r="H33" i="5"/>
  <c r="E29" i="5"/>
  <c r="E28" i="18"/>
  <c r="G28" i="18" s="1"/>
  <c r="E32" i="18"/>
  <c r="G32" i="18" s="1"/>
  <c r="H23" i="17"/>
  <c r="G38" i="17"/>
  <c r="H26" i="17"/>
  <c r="H38" i="17"/>
  <c r="G26" i="17"/>
  <c r="G23" i="17"/>
  <c r="P20" i="4"/>
  <c r="P17" i="4" s="1"/>
  <c r="P19" i="4"/>
  <c r="P16" i="4" s="1"/>
  <c r="X16" i="4"/>
  <c r="Q16" i="4"/>
  <c r="Z16" i="4" s="1"/>
  <c r="AD16" i="4"/>
  <c r="R16" i="4"/>
  <c r="AF15" i="4"/>
  <c r="Y15" i="4"/>
  <c r="X15" i="4"/>
  <c r="T15" i="4"/>
  <c r="Q15" i="4"/>
  <c r="P15" i="4"/>
  <c r="AD15" i="4"/>
  <c r="R15" i="4"/>
  <c r="J29" i="5" l="1"/>
  <c r="AE16" i="4"/>
  <c r="U16" i="4"/>
  <c r="J33" i="5"/>
  <c r="I23" i="17"/>
  <c r="I38" i="17"/>
  <c r="I26" i="17"/>
  <c r="U15" i="4"/>
  <c r="AG15" i="4"/>
  <c r="W15" i="4"/>
  <c r="AG16" i="4"/>
  <c r="Z15" i="4"/>
  <c r="AE15" i="4"/>
  <c r="AH15" i="4" s="1"/>
  <c r="S15" i="4"/>
  <c r="W16" i="4"/>
  <c r="S16" i="4"/>
  <c r="Y12" i="4"/>
  <c r="AH16" i="4" l="1"/>
  <c r="AA15" i="4"/>
  <c r="AA16" i="4"/>
  <c r="I25" i="5"/>
  <c r="E25" i="5"/>
  <c r="D25" i="5"/>
  <c r="I21" i="5"/>
  <c r="D24" i="20"/>
  <c r="D20" i="20"/>
  <c r="D16" i="19"/>
  <c r="D24" i="19"/>
  <c r="D20" i="19"/>
  <c r="D24" i="18"/>
  <c r="D20" i="16"/>
  <c r="D17" i="16"/>
  <c r="E20" i="17"/>
  <c r="E17" i="17"/>
  <c r="AD14" i="4"/>
  <c r="AF13" i="4"/>
  <c r="AF14" i="4"/>
  <c r="Y13" i="4"/>
  <c r="Y14" i="4"/>
  <c r="T13" i="4"/>
  <c r="T14" i="4"/>
  <c r="Q12" i="4"/>
  <c r="Z12" i="4" s="1"/>
  <c r="R13" i="4"/>
  <c r="AB14" i="4"/>
  <c r="AC14" i="4" s="1"/>
  <c r="Q14" i="4"/>
  <c r="P14" i="4"/>
  <c r="R14" i="4"/>
  <c r="U14" i="4" l="1"/>
  <c r="Z14" i="4"/>
  <c r="W14" i="4"/>
  <c r="AG14" i="4"/>
  <c r="S14" i="4"/>
  <c r="AE14" i="4"/>
  <c r="G20" i="17"/>
  <c r="D21" i="5"/>
  <c r="E21" i="5"/>
  <c r="H21" i="5"/>
  <c r="H25" i="5"/>
  <c r="E24" i="18"/>
  <c r="F24" i="18"/>
  <c r="H20" i="17"/>
  <c r="A8" i="21"/>
  <c r="F17" i="5"/>
  <c r="I17" i="5" l="1"/>
  <c r="H17" i="5"/>
  <c r="G17" i="5"/>
  <c r="J25" i="5"/>
  <c r="AH14" i="4"/>
  <c r="I20" i="17"/>
  <c r="J21" i="5"/>
  <c r="G24" i="18"/>
  <c r="E20" i="18"/>
  <c r="F20" i="18"/>
  <c r="H17" i="17"/>
  <c r="G17" i="17"/>
  <c r="E17" i="5"/>
  <c r="D17" i="5"/>
  <c r="D16" i="20"/>
  <c r="E16" i="18"/>
  <c r="D14" i="16"/>
  <c r="AB13" i="4"/>
  <c r="AC13" i="4" s="1"/>
  <c r="Q13" i="4"/>
  <c r="P13" i="4"/>
  <c r="AD13" i="4"/>
  <c r="X12" i="4"/>
  <c r="V12" i="4"/>
  <c r="T12" i="4"/>
  <c r="U12" i="4" s="1"/>
  <c r="S13" i="4" l="1"/>
  <c r="U13" i="4"/>
  <c r="Z13" i="4"/>
  <c r="W13" i="4"/>
  <c r="AE13" i="4"/>
  <c r="AG13" i="4"/>
  <c r="AA14" i="4"/>
  <c r="G20" i="18"/>
  <c r="I17" i="17"/>
  <c r="F16" i="18"/>
  <c r="J17" i="5"/>
  <c r="E14" i="17"/>
  <c r="G14" i="17" s="1"/>
  <c r="W12" i="4"/>
  <c r="P12" i="4"/>
  <c r="AH13" i="4" l="1"/>
  <c r="G16" i="18"/>
  <c r="H14" i="17"/>
  <c r="I14" i="17" s="1"/>
  <c r="AF12" i="4"/>
  <c r="AG12" i="4" s="1"/>
  <c r="AD12" i="4"/>
  <c r="AE12" i="4" l="1"/>
  <c r="S12" i="4"/>
  <c r="AA12" i="4" s="1"/>
  <c r="AA13" i="4"/>
  <c r="AH12" i="4" l="1"/>
  <c r="K43" i="22" l="1"/>
  <c r="I43" i="22"/>
  <c r="J43" i="22" s="1"/>
  <c r="K42" i="22"/>
  <c r="I42" i="22"/>
  <c r="J42" i="22" s="1"/>
  <c r="K41" i="22"/>
  <c r="I41" i="22"/>
  <c r="J41" i="22" s="1"/>
  <c r="K40" i="22"/>
  <c r="I40" i="22"/>
  <c r="J40" i="22" s="1"/>
  <c r="K39" i="22"/>
  <c r="I39" i="22"/>
  <c r="J39" i="22" s="1"/>
  <c r="K23" i="22"/>
  <c r="I23" i="22"/>
  <c r="J23" i="22" s="1"/>
  <c r="K22" i="22"/>
  <c r="I22" i="22"/>
  <c r="J22" i="22" s="1"/>
  <c r="K21" i="22"/>
  <c r="I21" i="22"/>
  <c r="J21" i="22" s="1"/>
  <c r="K20" i="22"/>
  <c r="I20" i="22"/>
  <c r="J20" i="22" s="1"/>
  <c r="K19" i="22"/>
  <c r="I19" i="22"/>
  <c r="J19" i="22" s="1"/>
  <c r="L19" i="22" l="1"/>
  <c r="L21" i="22"/>
  <c r="L23" i="22"/>
  <c r="L42" i="22"/>
  <c r="L41" i="22"/>
  <c r="L40" i="22"/>
  <c r="L39" i="22"/>
  <c r="L43" i="22"/>
  <c r="L20" i="22"/>
  <c r="L22" i="22"/>
  <c r="L44" i="22" l="1"/>
  <c r="L24" i="22"/>
  <c r="F28" i="21" l="1"/>
  <c r="F27" i="21"/>
  <c r="F26" i="21"/>
  <c r="F25" i="21"/>
  <c r="F24" i="21"/>
  <c r="F23" i="21"/>
  <c r="F22" i="21"/>
  <c r="F21" i="21"/>
  <c r="F20" i="21"/>
  <c r="F19" i="21"/>
  <c r="F18" i="21"/>
  <c r="F17" i="21"/>
  <c r="F16" i="21"/>
  <c r="F15" i="21"/>
  <c r="F14" i="21"/>
  <c r="F13" i="21"/>
  <c r="F12" i="21"/>
  <c r="F11" i="21"/>
  <c r="D11" i="21"/>
  <c r="D12" i="21" s="1"/>
  <c r="F10" i="21"/>
  <c r="E10" i="21"/>
  <c r="F30" i="21" l="1"/>
  <c r="D13" i="21"/>
  <c r="E12" i="21"/>
  <c r="E11" i="21"/>
  <c r="H11" i="6"/>
  <c r="H10" i="6"/>
  <c r="H9" i="6"/>
  <c r="E13" i="21" l="1"/>
  <c r="D14" i="21"/>
  <c r="E14" i="21" l="1"/>
  <c r="D15" i="21"/>
  <c r="D16" i="21" l="1"/>
  <c r="E15" i="21"/>
  <c r="D17" i="21" l="1"/>
  <c r="E16" i="21"/>
  <c r="E17" i="21" l="1"/>
  <c r="D18" i="21"/>
  <c r="E18" i="21" l="1"/>
  <c r="D19" i="21"/>
  <c r="D20" i="21" l="1"/>
  <c r="E19" i="21"/>
  <c r="D21" i="21" l="1"/>
  <c r="E20" i="21"/>
  <c r="E21" i="21" l="1"/>
  <c r="D22" i="21"/>
  <c r="E22" i="21" l="1"/>
  <c r="D23" i="21"/>
  <c r="D24" i="21" l="1"/>
  <c r="E23" i="21"/>
  <c r="K21" i="5"/>
  <c r="C4" i="20"/>
  <c r="K53" i="5" l="1"/>
  <c r="K45" i="5"/>
  <c r="K57" i="5"/>
  <c r="K41" i="5"/>
  <c r="K33" i="5"/>
  <c r="K37" i="5"/>
  <c r="K29" i="5"/>
  <c r="K25" i="5"/>
  <c r="D12" i="20"/>
  <c r="K17" i="5"/>
  <c r="D25" i="21"/>
  <c r="E24" i="21"/>
  <c r="C4" i="19"/>
  <c r="Q45" i="5" l="1"/>
  <c r="Q53" i="5"/>
  <c r="Q57" i="5"/>
  <c r="Q29" i="5"/>
  <c r="Q37" i="5"/>
  <c r="Q41" i="5"/>
  <c r="Q33" i="5"/>
  <c r="Q21" i="5"/>
  <c r="D12" i="19"/>
  <c r="Q17" i="5"/>
  <c r="E25" i="21"/>
  <c r="D26" i="21"/>
  <c r="C4" i="18"/>
  <c r="P45" i="5" l="1"/>
  <c r="P53" i="5"/>
  <c r="P57" i="5"/>
  <c r="P41" i="5"/>
  <c r="P37" i="5"/>
  <c r="P33" i="5"/>
  <c r="P29" i="5"/>
  <c r="P25" i="5"/>
  <c r="P21" i="5"/>
  <c r="D12" i="18"/>
  <c r="E12" i="18" s="1"/>
  <c r="P17" i="5"/>
  <c r="E26" i="21"/>
  <c r="D27" i="21"/>
  <c r="C4" i="17"/>
  <c r="D11" i="17" l="1"/>
  <c r="E11" i="17"/>
  <c r="L53" i="5"/>
  <c r="L57" i="5"/>
  <c r="L45" i="5"/>
  <c r="L37" i="5"/>
  <c r="L29" i="5"/>
  <c r="L41" i="5"/>
  <c r="L33" i="5"/>
  <c r="L25" i="5"/>
  <c r="L21" i="5"/>
  <c r="L17" i="5"/>
  <c r="F12" i="18"/>
  <c r="G12" i="18" s="1"/>
  <c r="D28" i="21"/>
  <c r="E28" i="21" s="1"/>
  <c r="E27" i="21"/>
  <c r="C4" i="16"/>
  <c r="C4" i="5"/>
  <c r="G11" i="17" l="1"/>
  <c r="H11" i="17"/>
  <c r="E30" i="21"/>
  <c r="O53" i="5" l="1"/>
  <c r="R53" i="5" s="1"/>
  <c r="S53" i="5" s="1"/>
  <c r="O57" i="5"/>
  <c r="O45" i="5"/>
  <c r="R45" i="5" s="1"/>
  <c r="S45" i="5" s="1"/>
  <c r="O41" i="5"/>
  <c r="R41" i="5" s="1"/>
  <c r="S41" i="5" s="1"/>
  <c r="O33" i="5"/>
  <c r="O37" i="5"/>
  <c r="R37" i="5" s="1"/>
  <c r="O29" i="5"/>
  <c r="R29" i="5" s="1"/>
  <c r="O25" i="5"/>
  <c r="O21" i="5"/>
  <c r="R21" i="5" s="1"/>
  <c r="S21" i="5" s="1"/>
  <c r="D11" i="16"/>
  <c r="O17" i="5"/>
  <c r="I11" i="17"/>
  <c r="R17" i="5" l="1"/>
  <c r="R57" i="5"/>
  <c r="S57" i="5" s="1"/>
  <c r="I13" i="5"/>
  <c r="R33" i="5"/>
  <c r="H13" i="5"/>
  <c r="J13" i="5" l="1"/>
  <c r="B101" i="7" l="1"/>
  <c r="H8" i="1"/>
  <c r="K8" i="1"/>
  <c r="U8" i="1" s="1"/>
  <c r="W8" i="1"/>
  <c r="H9" i="1"/>
  <c r="T9" i="1" s="1"/>
  <c r="K9" i="1"/>
  <c r="M9" i="1" s="1"/>
  <c r="V9" i="1"/>
  <c r="W9" i="1"/>
  <c r="H10" i="1"/>
  <c r="T10" i="1" s="1"/>
  <c r="K10" i="1"/>
  <c r="M10" i="1" s="1"/>
  <c r="V10" i="1"/>
  <c r="W10" i="1"/>
  <c r="H11" i="1"/>
  <c r="T11" i="1" s="1"/>
  <c r="K11" i="1"/>
  <c r="M11" i="1" s="1"/>
  <c r="V11" i="1"/>
  <c r="W11" i="1"/>
  <c r="H12" i="1"/>
  <c r="T12" i="1" s="1"/>
  <c r="K12" i="1"/>
  <c r="M12" i="1" s="1"/>
  <c r="V12" i="1"/>
  <c r="W12" i="1"/>
  <c r="H13" i="1"/>
  <c r="T13" i="1" s="1"/>
  <c r="K13" i="1"/>
  <c r="M13" i="1" s="1"/>
  <c r="V13" i="1"/>
  <c r="W13" i="1"/>
  <c r="H14" i="1"/>
  <c r="T14" i="1" s="1"/>
  <c r="K14" i="1"/>
  <c r="U14" i="1" s="1"/>
  <c r="V14" i="1"/>
  <c r="W14" i="1"/>
  <c r="H16" i="1"/>
  <c r="T16" i="1" s="1"/>
  <c r="K16" i="1"/>
  <c r="M16" i="1" s="1"/>
  <c r="V16" i="1"/>
  <c r="W16" i="1"/>
  <c r="H17" i="1"/>
  <c r="T17" i="1" s="1"/>
  <c r="K17" i="1"/>
  <c r="U17" i="1" s="1"/>
  <c r="V17" i="1"/>
  <c r="W17" i="1"/>
  <c r="H18" i="1"/>
  <c r="T18" i="1" s="1"/>
  <c r="K18" i="1"/>
  <c r="M18" i="1" s="1"/>
  <c r="V18" i="1"/>
  <c r="W18" i="1"/>
  <c r="H19" i="1"/>
  <c r="T19" i="1" s="1"/>
  <c r="K19" i="1"/>
  <c r="M19" i="1" s="1"/>
  <c r="U19" i="1"/>
  <c r="V19" i="1"/>
  <c r="W19" i="1"/>
  <c r="H20" i="1"/>
  <c r="T20" i="1" s="1"/>
  <c r="K20" i="1"/>
  <c r="M20" i="1" s="1"/>
  <c r="R20" i="1"/>
  <c r="V20" i="1" s="1"/>
  <c r="W20" i="1"/>
  <c r="H21" i="1"/>
  <c r="T21" i="1" s="1"/>
  <c r="K21" i="1"/>
  <c r="M21" i="1" s="1"/>
  <c r="V21" i="1"/>
  <c r="W21" i="1"/>
  <c r="H23" i="1"/>
  <c r="T23" i="1" s="1"/>
  <c r="K23" i="1"/>
  <c r="M23" i="1" s="1"/>
  <c r="V23" i="1"/>
  <c r="W23" i="1"/>
  <c r="H24" i="1"/>
  <c r="T24" i="1" s="1"/>
  <c r="K24" i="1"/>
  <c r="M24" i="1" s="1"/>
  <c r="V24" i="1"/>
  <c r="W24" i="1"/>
  <c r="H25" i="1"/>
  <c r="T25" i="1" s="1"/>
  <c r="K25" i="1"/>
  <c r="M25" i="1" s="1"/>
  <c r="V25" i="1"/>
  <c r="W25" i="1"/>
  <c r="H26" i="1"/>
  <c r="T26" i="1" s="1"/>
  <c r="K26" i="1"/>
  <c r="M26" i="1" s="1"/>
  <c r="R26" i="1"/>
  <c r="V26" i="1" s="1"/>
  <c r="W26" i="1"/>
  <c r="H28" i="1"/>
  <c r="T28" i="1" s="1"/>
  <c r="K28" i="1"/>
  <c r="U28" i="1" s="1"/>
  <c r="V28" i="1"/>
  <c r="W28" i="1"/>
  <c r="H29" i="1"/>
  <c r="T29" i="1" s="1"/>
  <c r="K29" i="1"/>
  <c r="M29" i="1" s="1"/>
  <c r="V29" i="1"/>
  <c r="W29" i="1"/>
  <c r="H30" i="1"/>
  <c r="T30" i="1" s="1"/>
  <c r="K30" i="1"/>
  <c r="U30" i="1" s="1"/>
  <c r="V30" i="1"/>
  <c r="W30" i="1"/>
  <c r="G31" i="1"/>
  <c r="H31" i="1" s="1"/>
  <c r="T31" i="1" s="1"/>
  <c r="K31" i="1"/>
  <c r="M31" i="1" s="1"/>
  <c r="V31" i="1"/>
  <c r="W31" i="1"/>
  <c r="U21" i="1" l="1"/>
  <c r="U20" i="1"/>
  <c r="U9" i="1"/>
  <c r="D13" i="5"/>
  <c r="Q13" i="5"/>
  <c r="K13" i="5"/>
  <c r="P13" i="5"/>
  <c r="L13" i="5"/>
  <c r="O13" i="5"/>
  <c r="U12" i="1"/>
  <c r="U16" i="1"/>
  <c r="U11" i="1"/>
  <c r="U25" i="1"/>
  <c r="U31" i="1"/>
  <c r="U18" i="1"/>
  <c r="U10" i="1"/>
  <c r="L8" i="1"/>
  <c r="V8" i="1" s="1"/>
  <c r="U24" i="1"/>
  <c r="M17" i="1"/>
  <c r="M14" i="1"/>
  <c r="U23" i="1"/>
  <c r="M30" i="1"/>
  <c r="E13" i="5"/>
  <c r="T8" i="1"/>
  <c r="U29" i="1"/>
  <c r="M28" i="1"/>
  <c r="U13" i="1"/>
  <c r="U26" i="1"/>
  <c r="M8" i="1" l="1"/>
</calcChain>
</file>

<file path=xl/sharedStrings.xml><?xml version="1.0" encoding="utf-8"?>
<sst xmlns="http://schemas.openxmlformats.org/spreadsheetml/2006/main" count="1060" uniqueCount="302">
  <si>
    <t>N</t>
  </si>
  <si>
    <t>PLAZO</t>
  </si>
  <si>
    <t>(%)</t>
  </si>
  <si>
    <t>En Pesos Colombianos</t>
  </si>
  <si>
    <t>OBSERVACIONES:</t>
  </si>
  <si>
    <t>No. Oferta</t>
  </si>
  <si>
    <t>OFERENTE</t>
  </si>
  <si>
    <t>ANEXO 1 - ADENDO 4 - DG-164-2004</t>
  </si>
  <si>
    <t>NUMERO DE GRUPO</t>
  </si>
  <si>
    <t>TOTAL GRUPO DE TRAMOS</t>
  </si>
  <si>
    <t>Tramo 10</t>
  </si>
  <si>
    <t>Tramo 11</t>
  </si>
  <si>
    <t>Tramo 12</t>
  </si>
  <si>
    <t>Tramo 13</t>
  </si>
  <si>
    <t>Tramo 14</t>
  </si>
  <si>
    <t>Tramo 15</t>
  </si>
  <si>
    <t>Tramo 16</t>
  </si>
  <si>
    <t>Tramo 17</t>
  </si>
  <si>
    <t>Tramo 18</t>
  </si>
  <si>
    <t>Tramo 19</t>
  </si>
  <si>
    <t>Tramo 20</t>
  </si>
  <si>
    <t>Tramo 21</t>
  </si>
  <si>
    <t>Tramo 22</t>
  </si>
  <si>
    <t>Tramo 23</t>
  </si>
  <si>
    <t>Tramo 24</t>
  </si>
  <si>
    <t>Tramo 25</t>
  </si>
  <si>
    <t>Tramo 26</t>
  </si>
  <si>
    <t>Tramo 27</t>
  </si>
  <si>
    <t>Tramo 29</t>
  </si>
  <si>
    <t>Tramo 30</t>
  </si>
  <si>
    <t>Tramo 31</t>
  </si>
  <si>
    <t>Tramo 32</t>
  </si>
  <si>
    <t>Tramo 33</t>
  </si>
  <si>
    <t>Tramo 35</t>
  </si>
  <si>
    <t>Tramo 36</t>
  </si>
  <si>
    <t>Tramo 37</t>
  </si>
  <si>
    <t>Tramo 38</t>
  </si>
  <si>
    <t>Tramo 39</t>
  </si>
  <si>
    <t>Tramo 40</t>
  </si>
  <si>
    <t>Tramo 41</t>
  </si>
  <si>
    <t>Tramo 42</t>
  </si>
  <si>
    <t>Tramo 43</t>
  </si>
  <si>
    <t>Tramo 44</t>
  </si>
  <si>
    <t>Tramo 45</t>
  </si>
  <si>
    <t>Tramo 46</t>
  </si>
  <si>
    <t>Tramo 47</t>
  </si>
  <si>
    <t>Tramo 48</t>
  </si>
  <si>
    <t>Tramo 49</t>
  </si>
  <si>
    <t>Tramo 50</t>
  </si>
  <si>
    <t>Tramo 51</t>
  </si>
  <si>
    <t>Tramo 52</t>
  </si>
  <si>
    <t>Tramo 53</t>
  </si>
  <si>
    <t>Tramo 54</t>
  </si>
  <si>
    <t>Tramo 55</t>
  </si>
  <si>
    <t>Tramo 56</t>
  </si>
  <si>
    <t>Tramo 57</t>
  </si>
  <si>
    <t>Tramo 59</t>
  </si>
  <si>
    <t>Tramo 60</t>
  </si>
  <si>
    <t>Tramo 61</t>
  </si>
  <si>
    <t>Tramo 62</t>
  </si>
  <si>
    <t>Tramo 63</t>
  </si>
  <si>
    <t>Tramo 64</t>
  </si>
  <si>
    <t>Tramo 65</t>
  </si>
  <si>
    <t>Tramo 66</t>
  </si>
  <si>
    <t>Tramo 67</t>
  </si>
  <si>
    <t>Tramo 68</t>
  </si>
  <si>
    <t>Tramo 69</t>
  </si>
  <si>
    <t>Tramo 70</t>
  </si>
  <si>
    <t>Tramo 71</t>
  </si>
  <si>
    <t>Tramo 72</t>
  </si>
  <si>
    <t>Tramo 73</t>
  </si>
  <si>
    <t>Tramo 74</t>
  </si>
  <si>
    <t>Tramo 75</t>
  </si>
  <si>
    <t>Tramo 76</t>
  </si>
  <si>
    <t>Tramo 77</t>
  </si>
  <si>
    <t>Tramo 78</t>
  </si>
  <si>
    <t>Tramo 79</t>
  </si>
  <si>
    <t>Tramo 81</t>
  </si>
  <si>
    <t>Tramo 82</t>
  </si>
  <si>
    <t>Tramo 83</t>
  </si>
  <si>
    <t>Tramo 84</t>
  </si>
  <si>
    <t>Tramo 85</t>
  </si>
  <si>
    <t>Tramo 86</t>
  </si>
  <si>
    <t>Tramo 87</t>
  </si>
  <si>
    <t>Tramo 88</t>
  </si>
  <si>
    <t>Tramo 89</t>
  </si>
  <si>
    <t>Tramo 90</t>
  </si>
  <si>
    <t>Tramo 91</t>
  </si>
  <si>
    <t>Tramo 92</t>
  </si>
  <si>
    <t>Tramo 93</t>
  </si>
  <si>
    <t>Tramo 94</t>
  </si>
  <si>
    <t>Tramo 95</t>
  </si>
  <si>
    <t>Tramo 96</t>
  </si>
  <si>
    <t>Tramo 97</t>
  </si>
  <si>
    <t>Tramo 98</t>
  </si>
  <si>
    <t>Tramo 99</t>
  </si>
  <si>
    <t>Tramo 100</t>
  </si>
  <si>
    <t>Activo Corriente</t>
  </si>
  <si>
    <t>Activo Fijo</t>
  </si>
  <si>
    <t>Otros Activos</t>
  </si>
  <si>
    <t>Total Activo</t>
  </si>
  <si>
    <t>Pasivo Corriente</t>
  </si>
  <si>
    <t>Pasivo Mediano y Largo Plazo</t>
  </si>
  <si>
    <t>Total Pasivo</t>
  </si>
  <si>
    <t>Patrimonio</t>
  </si>
  <si>
    <t>Total Pasivo + Patrimonio</t>
  </si>
  <si>
    <t>Utilidad Antes de Impuesto</t>
  </si>
  <si>
    <t>Utilidad Neta</t>
  </si>
  <si>
    <t>Verificación Formulario No. 03</t>
  </si>
  <si>
    <t>Patrimonio Bruto</t>
  </si>
  <si>
    <t>Patrimonio Liquido</t>
  </si>
  <si>
    <t>Renta Liquida</t>
  </si>
  <si>
    <t>Datos Declaración Renta 2003</t>
  </si>
  <si>
    <t>Variación</t>
  </si>
  <si>
    <t>Tramo 01</t>
  </si>
  <si>
    <t>Tramo 02</t>
  </si>
  <si>
    <t>Tramo 03</t>
  </si>
  <si>
    <t>Tramo 04</t>
  </si>
  <si>
    <t>Tramo 05</t>
  </si>
  <si>
    <t>Tramo 06</t>
  </si>
  <si>
    <t>Tramo 07</t>
  </si>
  <si>
    <t>Tramo 08</t>
  </si>
  <si>
    <t>Tramo 09</t>
  </si>
  <si>
    <t>CONSORCIO LAS ANIMAS #1</t>
  </si>
  <si>
    <t>GERMA TORRES SALGADO</t>
  </si>
  <si>
    <t>MARIO GIRALDO ENCISO</t>
  </si>
  <si>
    <t>MANUEL MOSQUERA</t>
  </si>
  <si>
    <t>JORGE DE JESUS E.</t>
  </si>
  <si>
    <t>REPRESENTA Y CONS PAI LTDA</t>
  </si>
  <si>
    <t>ASFALTOS DE OCCID S.A.</t>
  </si>
  <si>
    <t>CONCAY S.A.</t>
  </si>
  <si>
    <t>UNION TEMPORAL PAVIMENTACION DEL CHOCO</t>
  </si>
  <si>
    <t>AULI FERNANDO VELANDIA M</t>
  </si>
  <si>
    <t>HIFO S.A.</t>
  </si>
  <si>
    <t>INFICAS S.A.</t>
  </si>
  <si>
    <t>CATOBRAS LTDA</t>
  </si>
  <si>
    <t>CARLOS MARIO PALACIO CH</t>
  </si>
  <si>
    <t>LUIS CORANDO VELAZQUEZ</t>
  </si>
  <si>
    <t>CONSORCIO GOMGO 35</t>
  </si>
  <si>
    <t>MIGUEL EDGAR ALFONSO</t>
  </si>
  <si>
    <t>ABEL FRANCISCO VALBUENA</t>
  </si>
  <si>
    <t>CESAR GOMEZ</t>
  </si>
  <si>
    <t>LUIS MAYORGA AGUIRRE</t>
  </si>
  <si>
    <t>CONSORCIO PLAN VIAL CHOCO 2005</t>
  </si>
  <si>
    <t>VARGAS VELANDIA LTDA</t>
  </si>
  <si>
    <t>NACIONAL DE PAVIMENTOS LTDA</t>
  </si>
  <si>
    <t>JAIME VARGAS GALINDO</t>
  </si>
  <si>
    <t>VINDICO S.A.</t>
  </si>
  <si>
    <t xml:space="preserve">CONSORCIO LAS ANIMAS #1,,se subsana integrante 1,2porque no conciliacines  </t>
  </si>
  <si>
    <t>EVALUACIÓN FINANCIERA</t>
  </si>
  <si>
    <t xml:space="preserve">INSTITUTO NACIONAL DE VIAS </t>
  </si>
  <si>
    <t>INDICE-ENDEUDAMIENTO</t>
  </si>
  <si>
    <t>DATOS DEL INTERESADO</t>
  </si>
  <si>
    <t>RESULTADO</t>
  </si>
  <si>
    <t>INDICADOR</t>
  </si>
  <si>
    <t>ACTIVO TOTAL</t>
  </si>
  <si>
    <t>PASIVO TOTAL</t>
  </si>
  <si>
    <t>PROPONENTE</t>
  </si>
  <si>
    <t>OFERTA</t>
  </si>
  <si>
    <t>PASIVO CORRIENTE</t>
  </si>
  <si>
    <t>ACTIVO CORRIENTE</t>
  </si>
  <si>
    <t>Req. Min. Solvencia: &gt; =</t>
  </si>
  <si>
    <t>INFORMACIÓN  FINANCIERA - RUP</t>
  </si>
  <si>
    <t>MÓDULO</t>
  </si>
  <si>
    <t>INDICE-LIQUIDEZ</t>
  </si>
  <si>
    <t>Modulo</t>
  </si>
  <si>
    <t>PO</t>
  </si>
  <si>
    <t>VALOR PRESUPUESTO OFICIAL ANUAL(PO)</t>
  </si>
  <si>
    <t>PORCENTAJE DE PARTICIPACION</t>
  </si>
  <si>
    <t>MODULOS ADJUDICADOS</t>
  </si>
  <si>
    <t>VALOR CAPITAL DE TRABAJO DEMANDADO MODULOS ADJUDICADOS</t>
  </si>
  <si>
    <t>VALOR PATRIMONIO REQUERIDO MODULOS ADJUDICADOS</t>
  </si>
  <si>
    <t>CALIDAD DE MIPYME</t>
  </si>
  <si>
    <t>SMMLV 2011</t>
  </si>
  <si>
    <t>SMMLV 2012</t>
  </si>
  <si>
    <t>CALIDAD DE MIPYME EN SMMLV</t>
  </si>
  <si>
    <t>HABIL/NO HABIL</t>
  </si>
  <si>
    <t>HABIL  / NO HABIL</t>
  </si>
  <si>
    <t>UTILIDAD OPERACIONAL</t>
  </si>
  <si>
    <t>GASTOS DE INTERESES</t>
  </si>
  <si>
    <t>RAZON DE COBERTURA DE INTERESES</t>
  </si>
  <si>
    <t>Req. Min. Cobertura Intereses: &gt; =</t>
  </si>
  <si>
    <t>EVALUACIÓN CAPACIDAD FINANCIERA</t>
  </si>
  <si>
    <t>EVALUACIÓN CAPACIDAD ORGANIZACIÓN</t>
  </si>
  <si>
    <t>RENTABILIDAD DEL PATRIMONIO (ROE)</t>
  </si>
  <si>
    <t>Req. Min. ROE: &gt; =</t>
  </si>
  <si>
    <t>RENTABILIDAD DEL ACTIVO (ROA)</t>
  </si>
  <si>
    <t>Req. Min. ROA: &gt; =</t>
  </si>
  <si>
    <t>Req. Min. Endeudamiento: &lt; =</t>
  </si>
  <si>
    <t>PRESUPUESTO OFICIAL ESTIMADO (POE)</t>
  </si>
  <si>
    <t>Anticipo</t>
  </si>
  <si>
    <t>CAPACIDAD RESIDUAL DEL PROCESO DE CONTRATACION</t>
  </si>
  <si>
    <t xml:space="preserve">CAPACIDAD DE ORGANIZACIÓN </t>
  </si>
  <si>
    <t xml:space="preserve">EXPERIENCIA         </t>
  </si>
  <si>
    <t>CAPACIDAD FINANCIERA</t>
  </si>
  <si>
    <t>CAPACIDAD RESIDUAL DEL PROPONENTE</t>
  </si>
  <si>
    <t>Formula: Si el plazo es menor a 12 meses (POE - Anticipo), si el plazo es mayor a 12 meses [(POE- Anticipo)/Plazo]x12</t>
  </si>
  <si>
    <t>INSTITUTO NACIONAL DE VIAS</t>
  </si>
  <si>
    <t>CAPACIDAD RESIDUAL</t>
  </si>
  <si>
    <t>EXPERIENCIA</t>
  </si>
  <si>
    <t>PROFESIONALES VINCULADOS</t>
  </si>
  <si>
    <t>Numeros de Socios y Profesionales de la Arquitectura , Ingenierìa y Geologìa vinculados mediante relaciòn laboral o contractual en actividades relacionadas directamente a la construcciòn</t>
  </si>
  <si>
    <t>Porcentaje de Participación para este Proceso</t>
  </si>
  <si>
    <t>Mayor a</t>
  </si>
  <si>
    <t>Puntaje</t>
  </si>
  <si>
    <t>Menor o Igual a</t>
  </si>
  <si>
    <t>Mayores</t>
  </si>
  <si>
    <t>CAPACIDAD TÉCNICA</t>
  </si>
  <si>
    <t>Desde</t>
  </si>
  <si>
    <t>Hasta</t>
  </si>
  <si>
    <t>PUNTAJE POR CAPACIDAD TÉCNICA</t>
  </si>
  <si>
    <t>DIRECCIÓN DE CONTRATACIÓN</t>
  </si>
  <si>
    <t>Rangos: 
Desde 1 hasta 5 = 20 Puntos
Desde 6 hasta 10 = 30 Puntos
Desde 11 hasta mayores = 40 Puntos</t>
  </si>
  <si>
    <t>PUNTAJE POR EXPERIENCIA</t>
  </si>
  <si>
    <t>Porcentaje de Participación para este Proceso
(A)</t>
  </si>
  <si>
    <t>RESULTADO   
B / (C * A)</t>
  </si>
  <si>
    <t>Rangos:
Mayor a 0 y Menor o Igual a 3 = 60 Puntos 
Mayor a 3 y Menor o Igual a 6 = 80 Puntos
Mayor a 6 y Menor o Igual a 10 = 100 Puntos
Mayor a 10 y Mayores = 120 Puntos</t>
  </si>
  <si>
    <t>Módulo</t>
  </si>
  <si>
    <t>PUNTAJE POR CAPACIDAD FINANCIERA</t>
  </si>
  <si>
    <t>ACTIVOS CORRIENTES
(A)</t>
  </si>
  <si>
    <t>PASIVOS CORRIENTES
(B)</t>
  </si>
  <si>
    <t xml:space="preserve">ÍNDICE DE LIQUIDEZ
(A) / (B) = (C) </t>
  </si>
  <si>
    <t>Rangos:
Mayor a 0 y Menor o Igual a 0,5 = 20 Puntos
Mayor a 0,5 y Menor o Igual a 0,75 = 25 Puntos
Mayor a 0,75 y Menor o Igual a 1,00 = 30 Puntos
Mayor a 1,00 y Menor o Igual a 1,5 = 35 Puntos
Mayor a 1,5 y Mayores =  40 Puntos</t>
  </si>
  <si>
    <t>SALDO CONTRATOS EN EJECUCIÓN</t>
  </si>
  <si>
    <t>TOTAL SALDOS CONTRATOS EN EJECUCION</t>
  </si>
  <si>
    <t>CAPACIDAD DE ORGANIZACIÓN</t>
  </si>
  <si>
    <t>CAPACIDAD DE ORGANIZACIÓN (En Pesos)</t>
  </si>
  <si>
    <t>En Pesos</t>
  </si>
  <si>
    <t>SALDOS CONTRATOS EN EJECUCIÓN</t>
  </si>
  <si>
    <t xml:space="preserve">CAPACIDAD RESIDUAL DE CONTRATACIÓN </t>
  </si>
  <si>
    <t xml:space="preserve">Fórmula: 
Cinco (5) años o más: Mayor Ingreso Operacional de los ultimos 5 años 
Entre uno (1) y cinco (5) años: Mayor Ingreso Operacional de los años de vida del Oferente
Menos de un (1) año: USD $ 125.000 </t>
  </si>
  <si>
    <t xml:space="preserve">VALOR TOTAL DE LOS CONTRATOS EJECUTADOS
</t>
  </si>
  <si>
    <t>VALOR TOTAL DE LOS CONTRATOS EJECUTADOS EN SMMLV
(B)</t>
  </si>
  <si>
    <t>PRESUPUESTO OFICIAL ESTIMADO (POE) EN SMMLV
(C)</t>
  </si>
  <si>
    <t>CAPITAL DE TRABAJO
(Activo Corriente - Pasivo Corriente)</t>
  </si>
  <si>
    <t>PATRIMONIO
(Activo Total - Pasivo Total)</t>
  </si>
  <si>
    <t>INDICE-CAPITAL DE TRABAJO DEMANDADO</t>
  </si>
  <si>
    <t>Req. Min. CTd: &gt; =</t>
  </si>
  <si>
    <t>PLAZO (P)</t>
  </si>
  <si>
    <t>Capital de Trabajo Demandado</t>
  </si>
  <si>
    <t>CONTRATOS EN EJECUCION</t>
  </si>
  <si>
    <t>(Pesos $)</t>
  </si>
  <si>
    <t>SUMATORIA COLUMNA (F)</t>
  </si>
  <si>
    <t>CONTRATOS EJECUTADOS</t>
  </si>
  <si>
    <t>CONTRATO No.</t>
  </si>
  <si>
    <t>TOTAL SSMLV</t>
  </si>
  <si>
    <t>% PARTICIP.</t>
  </si>
  <si>
    <t>TOTAL PESOS COL.</t>
  </si>
  <si>
    <t>POR SSMLV</t>
  </si>
  <si>
    <t>TOTAL</t>
  </si>
  <si>
    <t>Fórmula: Razón Cobertura Intereses = UO/GI &gt;= 1,0</t>
  </si>
  <si>
    <t xml:space="preserve">PROPONENTE 1  :  </t>
  </si>
  <si>
    <t>Señores:</t>
  </si>
  <si>
    <t>ANEXO 3</t>
  </si>
  <si>
    <t>INSTITUTO NACIONAL DE VÍAS - INVIAS</t>
  </si>
  <si>
    <t>SALDO CONTRATOS EN EJECUCION (SCE)</t>
  </si>
  <si>
    <t>Ciudad:</t>
  </si>
  <si>
    <t>Proc. De Selecciòn No.:</t>
  </si>
  <si>
    <t>Proponente o Integrante:</t>
  </si>
  <si>
    <r>
      <t xml:space="preserve">Fecha </t>
    </r>
    <r>
      <rPr>
        <sz val="10"/>
        <rFont val="Arial Narrow"/>
        <family val="2"/>
      </rPr>
      <t>(DD/MM/AAAA)</t>
    </r>
    <r>
      <rPr>
        <b/>
        <sz val="10"/>
        <rFont val="Arial Narrow"/>
        <family val="2"/>
      </rPr>
      <t>:</t>
    </r>
  </si>
  <si>
    <t>xx/xx/2018</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</si>
  <si>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</si>
  <si>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</si>
  <si>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</si>
  <si>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</si>
  <si>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</si>
  <si>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</si>
  <si>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</si>
  <si>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</si>
  <si>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</si>
  <si>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</si>
  <si>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</si>
  <si>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</si>
  <si>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</si>
  <si>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</si>
  <si>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</si>
  <si>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</si>
  <si>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</si>
  <si>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</si>
  <si>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Anexo 3 con el valor total del contrato, diligenciando de igual manera las columnas de la 1 a la 6, tener presente que para estos casos en la columna 4 se debe registrar la misma fecha de cierre del proceso. </t>
  </si>
  <si>
    <t>Fórmula:                        ROE=UO/Pat.ROE&gt;=0%</t>
  </si>
  <si>
    <t>Fórmula:                        ROE=UO/Act.Tot.&gt;=0%</t>
  </si>
  <si>
    <t>Fórmula: Liquidez=AC/PC&gt;=1,0</t>
  </si>
  <si>
    <t>Fórmula: Endeudamiento = Pas.T/Act.Tot. &lt;= 70%</t>
  </si>
  <si>
    <t>% Requerido capital de trabajo</t>
  </si>
  <si>
    <t>Fórmula: CT=AC-PC&gt;=(10%*PO)</t>
  </si>
  <si>
    <t>10%*PO</t>
  </si>
  <si>
    <t>TERRITORIAL RISARALDA</t>
  </si>
  <si>
    <t>PROCESO SA-MC-DT-RIS-002-2020</t>
  </si>
  <si>
    <t>NOTA: PARA LOS PROPONENTES CUYO SALDO EN EJECUCION ES CERO ($0,00) SE LE COLOCA EL VALOR DE $1,00 PARA EVITAR ERROR EN LA MATRIZ</t>
  </si>
  <si>
    <t>COSTO BASICO</t>
  </si>
  <si>
    <t>SSLMV 2020</t>
  </si>
  <si>
    <t>TERRITORIAL CUNDINAMARCA</t>
  </si>
  <si>
    <t xml:space="preserve">TERRITORIAL CUNDINAMARCA </t>
  </si>
  <si>
    <r>
      <t xml:space="preserve">Formula: CO * </t>
    </r>
    <r>
      <rPr>
        <b/>
        <sz val="8"/>
        <rFont val="Calibri"/>
        <family val="2"/>
      </rPr>
      <t>[(E+CT+CF)/100] - SCE</t>
    </r>
  </si>
  <si>
    <t>PROCESO IP-DT-CUN-010-2023</t>
  </si>
  <si>
    <t>NO HABIL</t>
  </si>
  <si>
    <t/>
  </si>
  <si>
    <t>PROCESO IP-DT-CUN-012-2024</t>
  </si>
  <si>
    <t>SMMLV 2024</t>
  </si>
  <si>
    <t>ESTUDIO, DISEÑO Y CONSTRUCCION EN INGENIERIA S.A.S</t>
  </si>
  <si>
    <t>El proponente no allega el Formato 5 - Capacidad Residual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</si>
</sst>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8" formatCode="&quot;$&quot;\ #,##0.00;[Red]\-&quot;$&quot;\ #,##0.00"/>
    <numFmt numFmtId="42" formatCode="_-&quot;$&quot;\ * #,##0_-;\-&quot;$&quot;\ * #,##0_-;_-&quot;$&quot;\ * &quot;-&quot;_-;_-@_-"/>
    <numFmt numFmtId="41" formatCode="_-* #,##0_-;\-* #,##0_-;_-* &quot;-&quot;_-;_-@_-"/>
    <numFmt numFmtId="164" formatCode="_(* #,##0.00_);_(* \(#,##0.00\);_(* &quot;-&quot;??_);_(@_)"/>
    <numFmt numFmtId="165" formatCode="_(&quot;$&quot;\ * #,##0.00_);_(&quot;$&quot;\ * \(#,##0.00\);_(&quot;$&quot;\ * &quot;-&quot;??_);_(@_)"/>
    <numFmt numFmtId="166" formatCode="_-* #,##0.00\ _€_-;\-* #,##0.00\ _€_-;_-* &quot;-&quot;??\ _€_-;_-@_-"/>
    <numFmt numFmtId="167" formatCode="_ * #,##0_ ;_ * \-#,##0_ ;_ * &quot;-&quot;_ ;_ @_ "/>
    <numFmt numFmtId="168" formatCode="_ &quot;$&quot;\ * #,##0.00_ ;_ &quot;$&quot;\ * \-#,##0.00_ ;_ &quot;$&quot;\ * &quot;-&quot;??_ ;_ @_ "/>
    <numFmt numFmtId="169" formatCode="_ * #,##0.00_ ;_ * \-#,##0.00_ ;_ * &quot;-&quot;??_ ;_ @_ "/>
    <numFmt numFmtId="170" formatCode="0.0"/>
    <numFmt numFmtId="171" formatCode="_ * #,##0_ ;_ * \-#,##0_ ;_ * &quot;-&quot;??_ ;_ @_ "/>
    <numFmt numFmtId="172" formatCode="0.0%"/>
    <numFmt numFmtId="173" formatCode="#,##0.0"/>
    <numFmt numFmtId="174" formatCode="_-* #,##0.00_-;\-* #,##0.00_-;_-* &quot;-&quot;_-;_-@_-"/>
    <numFmt numFmtId="175" formatCode="_ * #,##0.0_ ;_ * \-#,##0.0_ ;_ * &quot;-&quot;??_ ;_ @_ "/>
    <numFmt numFmtId="176" formatCode="_-&quot;$&quot;\ * #,##0.0_-;\-&quot;$&quot;\ * #,##0.0_-;_-&quot;$&quot;\ * &quot;-&quot;_-;_-@_-"/>
  </numFmts>
  <fonts count="53">
    <font>
      <sz val="10"/>
      <name val="Arial"/>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b/>
      <sz val="12"/>
      <name val="Arial"/>
      <family val="2"/>
    </font>
    <font>
      <b/>
      <sz val="8"/>
      <color indexed="9"/>
      <name val="Book Antiqua"/>
      <family val="1"/>
    </font>
    <font>
      <sz val="8"/>
      <name val="Book Antiqua"/>
      <family val="1"/>
    </font>
    <font>
      <b/>
      <sz val="8"/>
      <name val="Book Antiqua"/>
      <family val="1"/>
    </font>
    <font>
      <b/>
      <sz val="10"/>
      <name val="Arial"/>
      <family val="2"/>
    </font>
    <font>
      <b/>
      <sz val="10"/>
      <color indexed="10"/>
      <name val="Arial"/>
      <family val="2"/>
    </font>
    <font>
      <sz val="11"/>
      <name val="Arial"/>
      <family val="2"/>
    </font>
    <font>
      <sz val="9"/>
      <name val="Arial"/>
      <family val="2"/>
    </font>
    <font>
      <sz val="10"/>
      <color indexed="8"/>
      <name val="Arial"/>
      <family val="2"/>
    </font>
    <font>
      <b/>
      <sz val="10"/>
      <color indexed="8"/>
      <name val="Arial"/>
      <family val="2"/>
    </font>
    <font>
      <b/>
      <sz val="9"/>
      <name val="Arial"/>
      <family val="2"/>
    </font>
    <font>
      <b/>
      <sz val="9"/>
      <color indexed="63"/>
      <name val="Arial"/>
      <family val="2"/>
    </font>
    <font>
      <b/>
      <sz val="8"/>
      <name val="Arial"/>
      <family val="2"/>
    </font>
    <font>
      <sz val="11"/>
      <name val="Arial Narrow"/>
      <family val="2"/>
    </font>
    <font>
      <b/>
      <sz val="9"/>
      <name val="Arial Narrow"/>
      <family val="2"/>
    </font>
    <font>
      <b/>
      <sz val="9"/>
      <color indexed="12"/>
      <name val="Arial"/>
      <family val="2"/>
    </font>
    <font>
      <sz val="8"/>
      <name val="Arial"/>
      <family val="2"/>
    </font>
    <font>
      <b/>
      <sz val="10"/>
      <name val="Arial Narrow"/>
      <family val="2"/>
    </font>
    <font>
      <sz val="10"/>
      <name val="Arial Narrow"/>
      <family val="2"/>
    </font>
    <font>
      <sz val="10"/>
      <name val="Arial"/>
      <family val="2"/>
    </font>
    <font>
      <sz val="12"/>
      <color theme="1"/>
      <name val="Calibri"/>
      <family val="2"/>
    </font>
    <font>
      <b/>
      <sz val="8"/>
      <name val="Calibri"/>
      <family val="2"/>
    </font>
    <font>
      <b/>
      <sz val="16"/>
      <name val="Arial"/>
      <family val="2"/>
    </font>
    <font>
      <b/>
      <sz val="14"/>
      <name val="Arial"/>
      <family val="2"/>
    </font>
    <font>
      <b/>
      <sz val="18"/>
      <name val="Arial"/>
      <family val="2"/>
    </font>
    <font>
      <sz val="14"/>
      <name val="Arial"/>
      <family val="2"/>
    </font>
    <font>
      <sz val="10"/>
      <color rgb="FF000000"/>
      <name val="Arial"/>
      <family val="2"/>
    </font>
    <font>
      <sz val="8"/>
      <color rgb="FF000000"/>
      <name val="Arial"/>
      <family val="2"/>
    </font>
    <font>
      <sz val="8"/>
      <name val="Tahoma"/>
      <family val="2"/>
    </font>
    <font>
      <sz val="10"/>
      <name val="Arial"/>
      <family val="2"/>
    </font>
    <font>
      <b/>
      <sz val="20"/>
      <name val="Arial Narrow"/>
      <family val="2"/>
    </font>
    <font>
      <b/>
      <sz val="10"/>
      <name val="Calibri"/>
      <family val="2"/>
      <scheme val="minor"/>
    </font>
    <font>
      <b/>
      <sz val="14"/>
      <name val="Arial Narrow"/>
      <family val="2"/>
    </font>
    <font>
      <sz val="14"/>
      <name val="Arial Narrow"/>
      <family val="2"/>
    </font>
    <font>
      <b/>
      <i/>
      <sz val="10"/>
      <name val="Arial Narrow"/>
      <family val="2"/>
    </font>
    <font>
      <b/>
      <sz val="10"/>
      <color theme="1"/>
      <name val="Arial Narrow"/>
      <family val="2"/>
    </font>
    <font>
      <sz val="9"/>
      <name val="Arial Narrow"/>
      <family val="2"/>
    </font>
    <font>
      <sz val="9"/>
      <color indexed="12"/>
      <name val="Arial"/>
      <family val="2"/>
    </font>
    <font>
      <sz val="9"/>
      <color indexed="8"/>
      <name val="Arial"/>
      <family val="2"/>
    </font>
    <font>
      <sz val="12"/>
      <name val="Arial"/>
      <family val="2"/>
    </font>
    <font>
      <b/>
      <sz val="10"/>
      <color rgb="FFFF0000"/>
      <name val="Arial"/>
      <family val="2"/>
    </font>
    <font>
      <b/>
      <sz val="11"/>
      <color rgb="FFFF0000"/>
      <name val="Arial"/>
      <family val="2"/>
    </font>
    <font>
      <sz val="10"/>
      <name val="Arial"/>
      <family val="2"/>
    </font>
    <font>
      <sz val="10"/>
      <color rgb="FFFF0000"/>
      <name val="Arial Narrow"/>
      <family val="2"/>
    </font>
    <font>
      <sz val="10"/>
      <color rgb="FFFF0000"/>
      <name val="Arial"/>
      <family val="2"/>
    </font>
    <font>
      <sz val="8"/>
      <color rgb="FFFF0000"/>
      <name val="ArialNarrow,Bold"/>
    </font>
  </fonts>
  <fills count="22">
    <fill>
      <patternFill patternType="none"/>
    </fill>
    <fill>
      <patternFill patternType="gray125"/>
    </fill>
    <fill>
      <patternFill patternType="solid">
        <fgColor indexed="23"/>
        <bgColor indexed="64"/>
      </patternFill>
    </fill>
    <fill>
      <patternFill patternType="solid">
        <fgColor indexed="42"/>
        <bgColor indexed="64"/>
      </patternFill>
    </fill>
    <fill>
      <patternFill patternType="solid">
        <fgColor indexed="13"/>
        <bgColor indexed="64"/>
      </patternFill>
    </fill>
    <fill>
      <patternFill patternType="solid">
        <fgColor indexed="40"/>
        <bgColor indexed="64"/>
      </patternFill>
    </fill>
    <fill>
      <patternFill patternType="solid">
        <fgColor indexed="9"/>
        <bgColor indexed="64"/>
      </patternFill>
    </fill>
    <fill>
      <patternFill patternType="solid">
        <fgColor indexed="22"/>
        <bgColor indexed="64"/>
      </patternFill>
    </fill>
    <fill>
      <patternFill patternType="solid">
        <fgColor indexed="51"/>
        <bgColor indexed="64"/>
      </patternFill>
    </fill>
    <fill>
      <patternFill patternType="solid">
        <fgColor theme="0" tint="-0.249977111117893"/>
        <bgColor indexed="64"/>
      </patternFill>
    </fill>
    <fill>
      <patternFill patternType="solid">
        <fgColor theme="0"/>
        <bgColor indexed="64"/>
      </patternFill>
    </fill>
    <fill>
      <patternFill patternType="solid">
        <fgColor rgb="FF92D05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rgb="FFFFFF00"/>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2F2F2"/>
        <bgColor rgb="FF000000"/>
      </patternFill>
    </fill>
    <fill>
      <patternFill patternType="solid">
        <fgColor rgb="FFFFFFFF"/>
        <bgColor rgb="FF000000"/>
      </patternFill>
    </fill>
  </fills>
  <borders count="57">
    <border>
      <left/>
      <right/>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35">
    <xf numFmtId="0" fontId="0" fillId="0" borderId="0"/>
    <xf numFmtId="169" fontId="3" fillId="0" borderId="0" applyFont="0" applyFill="0" applyBorder="0" applyAlignment="0" applyProtection="0"/>
    <xf numFmtId="168" fontId="3" fillId="0" borderId="0" applyFont="0" applyFill="0" applyBorder="0" applyAlignment="0" applyProtection="0"/>
    <xf numFmtId="0" fontId="5" fillId="0" borderId="0"/>
    <xf numFmtId="0" fontId="5" fillId="0" borderId="0"/>
    <xf numFmtId="0" fontId="3" fillId="0" borderId="0"/>
    <xf numFmtId="9" fontId="3" fillId="0" borderId="0" applyFont="0" applyFill="0" applyBorder="0" applyAlignment="0" applyProtection="0"/>
    <xf numFmtId="0" fontId="3" fillId="0" borderId="0"/>
    <xf numFmtId="0" fontId="27" fillId="0" borderId="0"/>
    <xf numFmtId="165"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35" fillId="0" borderId="0" applyFont="0" applyFill="0" applyBorder="0" applyAlignment="0" applyProtection="0"/>
    <xf numFmtId="0" fontId="3" fillId="0" borderId="0"/>
    <xf numFmtId="166" fontId="2" fillId="0" borderId="0" applyFont="0" applyFill="0" applyBorder="0" applyAlignment="0" applyProtection="0"/>
    <xf numFmtId="166" fontId="2" fillId="0" borderId="0" applyFont="0" applyFill="0" applyBorder="0" applyAlignment="0" applyProtection="0"/>
    <xf numFmtId="169" fontId="3"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0" fontId="3" fillId="0" borderId="0"/>
    <xf numFmtId="0" fontId="1" fillId="0" borderId="0"/>
    <xf numFmtId="166"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1" fillId="0" borderId="0"/>
    <xf numFmtId="9" fontId="3" fillId="0" borderId="0" applyFont="0" applyFill="0" applyBorder="0" applyAlignment="0" applyProtection="0"/>
    <xf numFmtId="41" fontId="36" fillId="0" borderId="0" applyFont="0" applyFill="0" applyBorder="0" applyAlignment="0" applyProtection="0"/>
    <xf numFmtId="42" fontId="49" fillId="0" borderId="0" applyFont="0" applyFill="0" applyBorder="0" applyAlignment="0" applyProtection="0"/>
  </cellStyleXfs>
  <cellXfs count="531">
    <xf numFmtId="0" fontId="0" fillId="0" borderId="0" xfId="0"/>
    <xf numFmtId="0" fontId="5" fillId="0" borderId="1" xfId="0" applyFont="1" applyBorder="1"/>
    <xf numFmtId="0" fontId="5" fillId="0" borderId="2" xfId="0" applyFont="1" applyBorder="1" applyAlignment="1">
      <alignment horizontal="left" vertical="center"/>
    </xf>
    <xf numFmtId="0" fontId="5" fillId="0" borderId="3" xfId="0" applyFont="1" applyBorder="1"/>
    <xf numFmtId="0" fontId="5" fillId="0" borderId="4" xfId="0" applyFont="1" applyBorder="1"/>
    <xf numFmtId="9" fontId="5" fillId="0" borderId="4" xfId="6" applyFont="1" applyFill="1" applyBorder="1"/>
    <xf numFmtId="0" fontId="5" fillId="0" borderId="4" xfId="0" applyFont="1" applyBorder="1" applyAlignment="1">
      <alignment horizontal="center"/>
    </xf>
    <xf numFmtId="0" fontId="5" fillId="0" borderId="4" xfId="0" applyFont="1" applyBorder="1" applyAlignment="1">
      <alignment horizontal="right"/>
    </xf>
    <xf numFmtId="0" fontId="4" fillId="0" borderId="1" xfId="0" applyFont="1" applyBorder="1"/>
    <xf numFmtId="0" fontId="4" fillId="0" borderId="5" xfId="0" quotePrefix="1" applyFont="1" applyBorder="1" applyAlignment="1">
      <alignment horizontal="left"/>
    </xf>
    <xf numFmtId="0" fontId="4" fillId="0" borderId="1" xfId="0" applyFont="1" applyBorder="1" applyAlignment="1">
      <alignment horizontal="centerContinuous"/>
    </xf>
    <xf numFmtId="0" fontId="4" fillId="0" borderId="1" xfId="0" applyFont="1" applyBorder="1" applyAlignment="1">
      <alignment horizontal="center" vertical="center"/>
    </xf>
    <xf numFmtId="0" fontId="7" fillId="0" borderId="0" xfId="0" applyFont="1"/>
    <xf numFmtId="0" fontId="8" fillId="2" borderId="6" xfId="0" applyFont="1" applyFill="1" applyBorder="1" applyAlignment="1">
      <alignment horizontal="center" vertical="center" textRotation="90" wrapText="1"/>
    </xf>
    <xf numFmtId="3" fontId="8" fillId="2" borderId="6" xfId="0" applyNumberFormat="1" applyFont="1" applyFill="1" applyBorder="1" applyAlignment="1">
      <alignment horizontal="center" vertical="center" textRotation="90" wrapText="1"/>
    </xf>
    <xf numFmtId="0" fontId="9" fillId="0" borderId="6" xfId="0" applyFont="1" applyBorder="1" applyAlignment="1">
      <alignment horizontal="center" vertical="center" wrapText="1"/>
    </xf>
    <xf numFmtId="0" fontId="3" fillId="0" borderId="0" xfId="0" applyFont="1" applyAlignment="1">
      <alignment vertical="center" wrapText="1"/>
    </xf>
    <xf numFmtId="0" fontId="10" fillId="0" borderId="6" xfId="0" applyFont="1" applyBorder="1" applyAlignment="1">
      <alignment horizontal="center" vertical="center" wrapText="1"/>
    </xf>
    <xf numFmtId="3" fontId="11" fillId="0" borderId="0" xfId="0" applyNumberFormat="1" applyFont="1" applyAlignment="1">
      <alignment vertical="center" wrapText="1"/>
    </xf>
    <xf numFmtId="0" fontId="11" fillId="0" borderId="0" xfId="0" applyFont="1" applyAlignment="1">
      <alignment vertical="center" wrapText="1"/>
    </xf>
    <xf numFmtId="3" fontId="12" fillId="0" borderId="7" xfId="0" applyNumberFormat="1" applyFont="1" applyBorder="1" applyAlignment="1">
      <alignment vertical="center" wrapText="1"/>
    </xf>
    <xf numFmtId="0" fontId="0" fillId="0" borderId="0" xfId="0" applyAlignment="1">
      <alignment wrapText="1"/>
    </xf>
    <xf numFmtId="172" fontId="0" fillId="0" borderId="0" xfId="6" applyNumberFormat="1" applyFont="1"/>
    <xf numFmtId="172" fontId="0" fillId="0" borderId="6" xfId="6" applyNumberFormat="1" applyFont="1" applyBorder="1"/>
    <xf numFmtId="3" fontId="0" fillId="0" borderId="0" xfId="0" applyNumberFormat="1"/>
    <xf numFmtId="0" fontId="0" fillId="0" borderId="1" xfId="0" applyBorder="1"/>
    <xf numFmtId="0" fontId="0" fillId="0" borderId="8" xfId="0" applyBorder="1"/>
    <xf numFmtId="0" fontId="0" fillId="0" borderId="4" xfId="0" applyBorder="1"/>
    <xf numFmtId="0" fontId="0" fillId="0" borderId="9" xfId="0" applyBorder="1"/>
    <xf numFmtId="0" fontId="0" fillId="0" borderId="10" xfId="0" applyBorder="1" applyProtection="1">
      <protection locked="0"/>
    </xf>
    <xf numFmtId="0" fontId="4" fillId="3" borderId="11" xfId="0" applyFont="1" applyFill="1" applyBorder="1" applyAlignment="1">
      <alignment horizontal="center" wrapText="1"/>
    </xf>
    <xf numFmtId="0" fontId="4" fillId="3" borderId="12" xfId="0" applyFont="1" applyFill="1" applyBorder="1" applyAlignment="1">
      <alignment horizontal="center" wrapText="1"/>
    </xf>
    <xf numFmtId="0" fontId="4" fillId="3" borderId="13" xfId="0" applyFont="1" applyFill="1" applyBorder="1" applyAlignment="1">
      <alignment horizontal="center" wrapText="1"/>
    </xf>
    <xf numFmtId="0" fontId="4" fillId="3" borderId="3" xfId="0" applyFont="1" applyFill="1" applyBorder="1" applyAlignment="1">
      <alignment horizontal="center" wrapText="1"/>
    </xf>
    <xf numFmtId="0" fontId="4" fillId="3" borderId="4" xfId="0" applyFont="1" applyFill="1" applyBorder="1" applyAlignment="1">
      <alignment horizontal="center" wrapText="1"/>
    </xf>
    <xf numFmtId="0" fontId="4" fillId="3" borderId="9" xfId="0" applyFont="1" applyFill="1" applyBorder="1" applyAlignment="1">
      <alignment horizontal="center" wrapText="1"/>
    </xf>
    <xf numFmtId="171" fontId="11" fillId="0" borderId="0" xfId="1" applyNumberFormat="1" applyFont="1" applyFill="1" applyAlignment="1">
      <alignment vertical="center" wrapText="1"/>
    </xf>
    <xf numFmtId="171" fontId="14" fillId="0" borderId="6" xfId="1" applyNumberFormat="1" applyFont="1" applyBorder="1"/>
    <xf numFmtId="0" fontId="14" fillId="0" borderId="0" xfId="0" applyFont="1"/>
    <xf numFmtId="9" fontId="14" fillId="0" borderId="1" xfId="6" applyFont="1" applyFill="1" applyBorder="1"/>
    <xf numFmtId="0" fontId="14" fillId="0" borderId="1" xfId="0" applyFont="1" applyBorder="1" applyAlignment="1">
      <alignment horizontal="center"/>
    </xf>
    <xf numFmtId="3" fontId="14" fillId="0" borderId="1" xfId="0" applyNumberFormat="1" applyFont="1" applyBorder="1" applyAlignment="1">
      <alignment horizontal="center"/>
    </xf>
    <xf numFmtId="9" fontId="14" fillId="0" borderId="1" xfId="6" applyFont="1" applyFill="1" applyBorder="1" applyAlignment="1">
      <alignment horizontal="center"/>
    </xf>
    <xf numFmtId="0" fontId="14" fillId="0" borderId="1" xfId="0" applyFont="1" applyBorder="1" applyAlignment="1">
      <alignment horizontal="right"/>
    </xf>
    <xf numFmtId="0" fontId="14" fillId="0" borderId="1" xfId="0" applyFont="1" applyBorder="1"/>
    <xf numFmtId="1" fontId="6" fillId="0" borderId="14" xfId="0" applyNumberFormat="1" applyFont="1" applyBorder="1" applyAlignment="1">
      <alignment horizontal="center" vertical="center"/>
    </xf>
    <xf numFmtId="1" fontId="6" fillId="0" borderId="15" xfId="0" applyNumberFormat="1" applyFont="1" applyBorder="1" applyAlignment="1">
      <alignment horizontal="center" vertical="center"/>
    </xf>
    <xf numFmtId="171" fontId="14" fillId="0" borderId="6" xfId="1" applyNumberFormat="1" applyFont="1" applyBorder="1" applyProtection="1">
      <protection locked="0"/>
    </xf>
    <xf numFmtId="0" fontId="0" fillId="0" borderId="15" xfId="0" applyBorder="1" applyProtection="1">
      <protection locked="0"/>
    </xf>
    <xf numFmtId="0" fontId="0" fillId="0" borderId="15" xfId="0" applyBorder="1"/>
    <xf numFmtId="172" fontId="0" fillId="0" borderId="15" xfId="6" applyNumberFormat="1" applyFont="1" applyBorder="1"/>
    <xf numFmtId="172" fontId="0" fillId="0" borderId="16" xfId="6" applyNumberFormat="1" applyFont="1" applyBorder="1"/>
    <xf numFmtId="172" fontId="0" fillId="0" borderId="17" xfId="6" applyNumberFormat="1" applyFont="1" applyBorder="1"/>
    <xf numFmtId="171" fontId="14" fillId="0" borderId="12" xfId="1" applyNumberFormat="1" applyFont="1" applyBorder="1" applyProtection="1">
      <protection locked="0"/>
    </xf>
    <xf numFmtId="171" fontId="14" fillId="0" borderId="12" xfId="1" applyNumberFormat="1" applyFont="1" applyBorder="1"/>
    <xf numFmtId="172" fontId="0" fillId="0" borderId="12" xfId="6" applyNumberFormat="1" applyFont="1" applyBorder="1"/>
    <xf numFmtId="172" fontId="0" fillId="0" borderId="13" xfId="6" applyNumberFormat="1" applyFont="1" applyBorder="1"/>
    <xf numFmtId="0" fontId="15" fillId="0" borderId="6" xfId="5" applyFont="1" applyBorder="1" applyAlignment="1">
      <alignment horizontal="left" indent="1"/>
    </xf>
    <xf numFmtId="0" fontId="0" fillId="0" borderId="0" xfId="0" applyProtection="1">
      <protection locked="0"/>
    </xf>
    <xf numFmtId="0" fontId="16" fillId="0" borderId="6" xfId="5" applyFont="1" applyBorder="1" applyAlignment="1">
      <alignment horizontal="left"/>
    </xf>
    <xf numFmtId="0" fontId="15" fillId="0" borderId="12" xfId="5" applyFont="1" applyBorder="1" applyAlignment="1">
      <alignment horizontal="left" indent="1"/>
    </xf>
    <xf numFmtId="1" fontId="6" fillId="0" borderId="11" xfId="0" applyNumberFormat="1" applyFont="1" applyBorder="1" applyAlignment="1">
      <alignment horizontal="center" vertical="center"/>
    </xf>
    <xf numFmtId="171" fontId="0" fillId="0" borderId="15" xfId="1" applyNumberFormat="1" applyFont="1" applyBorder="1" applyProtection="1">
      <protection locked="0"/>
    </xf>
    <xf numFmtId="170" fontId="13" fillId="0" borderId="6" xfId="0" applyNumberFormat="1" applyFont="1" applyBorder="1" applyAlignment="1">
      <alignment horizontal="center" vertical="center"/>
    </xf>
    <xf numFmtId="170" fontId="13" fillId="0" borderId="12" xfId="0" applyNumberFormat="1" applyFont="1" applyBorder="1" applyAlignment="1">
      <alignment horizontal="center" vertical="center"/>
    </xf>
    <xf numFmtId="0" fontId="16" fillId="0" borderId="15" xfId="5" applyFont="1" applyBorder="1" applyAlignment="1">
      <alignment horizontal="left"/>
    </xf>
    <xf numFmtId="0" fontId="17" fillId="3" borderId="3" xfId="0" quotePrefix="1" applyFont="1" applyFill="1" applyBorder="1" applyAlignment="1">
      <alignment horizontal="left" vertical="center" wrapText="1"/>
    </xf>
    <xf numFmtId="0" fontId="17" fillId="3" borderId="19" xfId="0" applyFont="1" applyFill="1" applyBorder="1" applyAlignment="1">
      <alignment horizontal="center" vertical="center"/>
    </xf>
    <xf numFmtId="0" fontId="17" fillId="3" borderId="8" xfId="0" applyFont="1" applyFill="1" applyBorder="1" applyAlignment="1">
      <alignment horizontal="center" vertical="center"/>
    </xf>
    <xf numFmtId="4" fontId="19" fillId="3" borderId="15" xfId="3" applyNumberFormat="1" applyFont="1" applyFill="1" applyBorder="1" applyAlignment="1">
      <alignment horizontal="center" vertical="center" wrapText="1"/>
    </xf>
    <xf numFmtId="0" fontId="19" fillId="3" borderId="15" xfId="3" applyFont="1" applyFill="1" applyBorder="1" applyAlignment="1">
      <alignment horizontal="center" vertical="center" wrapText="1"/>
    </xf>
    <xf numFmtId="0" fontId="17" fillId="3" borderId="14" xfId="0" applyFont="1" applyFill="1" applyBorder="1" applyAlignment="1">
      <alignment vertical="center" wrapText="1"/>
    </xf>
    <xf numFmtId="168" fontId="17" fillId="3" borderId="17" xfId="2" applyFont="1" applyFill="1" applyBorder="1" applyAlignment="1">
      <alignment vertical="center" wrapText="1"/>
    </xf>
    <xf numFmtId="0" fontId="17" fillId="3" borderId="11" xfId="0" applyFont="1" applyFill="1" applyBorder="1" applyAlignment="1">
      <alignment vertical="center" wrapText="1"/>
    </xf>
    <xf numFmtId="168" fontId="17" fillId="3" borderId="13" xfId="2" applyFont="1" applyFill="1" applyBorder="1" applyAlignment="1">
      <alignment vertical="center" wrapText="1"/>
    </xf>
    <xf numFmtId="0" fontId="17" fillId="3" borderId="26" xfId="0" applyFont="1" applyFill="1" applyBorder="1" applyAlignment="1">
      <alignment vertical="center" wrapText="1"/>
    </xf>
    <xf numFmtId="168" fontId="17" fillId="3" borderId="27" xfId="2" applyFont="1" applyFill="1" applyBorder="1" applyAlignment="1">
      <alignment vertical="center" wrapText="1"/>
    </xf>
    <xf numFmtId="0" fontId="17" fillId="4" borderId="20" xfId="0" applyFont="1" applyFill="1" applyBorder="1" applyAlignment="1">
      <alignment horizontal="center" vertical="center"/>
    </xf>
    <xf numFmtId="0" fontId="17" fillId="4" borderId="20" xfId="0" quotePrefix="1" applyFont="1" applyFill="1" applyBorder="1" applyAlignment="1">
      <alignment horizontal="center" vertical="center"/>
    </xf>
    <xf numFmtId="167" fontId="17" fillId="4" borderId="20" xfId="0" applyNumberFormat="1" applyFont="1" applyFill="1" applyBorder="1" applyAlignment="1">
      <alignment horizontal="center" vertical="center" wrapText="1"/>
    </xf>
    <xf numFmtId="0" fontId="17" fillId="13" borderId="18" xfId="0" applyFont="1" applyFill="1" applyBorder="1" applyAlignment="1">
      <alignment horizontal="center" vertical="center" wrapText="1"/>
    </xf>
    <xf numFmtId="169" fontId="17" fillId="3" borderId="10" xfId="1" applyFont="1" applyFill="1" applyBorder="1" applyAlignment="1">
      <alignment horizontal="center" vertical="center" wrapText="1"/>
    </xf>
    <xf numFmtId="0" fontId="17" fillId="3" borderId="34" xfId="0" applyFont="1" applyFill="1" applyBorder="1" applyAlignment="1">
      <alignment horizontal="center" vertical="center"/>
    </xf>
    <xf numFmtId="172" fontId="17" fillId="3" borderId="3" xfId="6" quotePrefix="1" applyNumberFormat="1" applyFont="1" applyFill="1" applyBorder="1" applyAlignment="1">
      <alignment horizontal="left" vertical="center" wrapText="1"/>
    </xf>
    <xf numFmtId="172" fontId="17" fillId="3" borderId="18" xfId="6" applyNumberFormat="1" applyFont="1" applyFill="1" applyBorder="1" applyAlignment="1">
      <alignment horizontal="center" vertical="center"/>
    </xf>
    <xf numFmtId="0" fontId="19" fillId="11" borderId="15" xfId="3" applyFont="1" applyFill="1" applyBorder="1" applyAlignment="1">
      <alignment horizontal="center" vertical="center" wrapText="1"/>
    </xf>
    <xf numFmtId="0" fontId="19" fillId="3" borderId="39" xfId="3" applyFont="1" applyFill="1" applyBorder="1" applyAlignment="1">
      <alignment horizontal="center" vertical="center" wrapText="1"/>
    </xf>
    <xf numFmtId="169" fontId="24" fillId="6" borderId="7" xfId="1" applyFont="1" applyFill="1" applyBorder="1" applyAlignment="1">
      <alignment horizontal="center" vertical="center" wrapText="1"/>
    </xf>
    <xf numFmtId="0" fontId="19" fillId="11" borderId="39" xfId="3" applyFont="1" applyFill="1" applyBorder="1" applyAlignment="1">
      <alignment horizontal="center" vertical="center" wrapText="1"/>
    </xf>
    <xf numFmtId="0" fontId="5" fillId="10" borderId="0" xfId="0" applyFont="1" applyFill="1"/>
    <xf numFmtId="0" fontId="4" fillId="10" borderId="0" xfId="0" applyFont="1" applyFill="1"/>
    <xf numFmtId="0" fontId="5" fillId="10" borderId="0" xfId="0" applyFont="1" applyFill="1" applyAlignment="1">
      <alignment horizontal="center"/>
    </xf>
    <xf numFmtId="169" fontId="5" fillId="10" borderId="0" xfId="1" applyFont="1" applyFill="1" applyAlignment="1">
      <alignment horizontal="center"/>
    </xf>
    <xf numFmtId="167" fontId="5" fillId="10" borderId="0" xfId="0" applyNumberFormat="1" applyFont="1" applyFill="1" applyAlignment="1">
      <alignment horizontal="center"/>
    </xf>
    <xf numFmtId="172" fontId="5" fillId="10" borderId="0" xfId="6" applyNumberFormat="1" applyFont="1" applyFill="1"/>
    <xf numFmtId="9" fontId="17" fillId="10" borderId="5" xfId="0" applyNumberFormat="1" applyFont="1" applyFill="1" applyBorder="1" applyAlignment="1">
      <alignment vertical="center"/>
    </xf>
    <xf numFmtId="9" fontId="17" fillId="10" borderId="1" xfId="0" applyNumberFormat="1" applyFont="1" applyFill="1" applyBorder="1" applyAlignment="1">
      <alignment vertical="center"/>
    </xf>
    <xf numFmtId="0" fontId="5" fillId="10" borderId="1" xfId="0" applyFont="1" applyFill="1" applyBorder="1"/>
    <xf numFmtId="0" fontId="5" fillId="10" borderId="8" xfId="0" applyFont="1" applyFill="1" applyBorder="1"/>
    <xf numFmtId="0" fontId="7" fillId="6" borderId="4" xfId="0" applyFont="1" applyFill="1" applyBorder="1" applyAlignment="1">
      <alignment horizontal="center" vertical="center"/>
    </xf>
    <xf numFmtId="0" fontId="0" fillId="10" borderId="0" xfId="0" applyFill="1" applyAlignment="1">
      <alignment horizontal="center" vertical="center"/>
    </xf>
    <xf numFmtId="0" fontId="0" fillId="10" borderId="0" xfId="0" applyFill="1"/>
    <xf numFmtId="0" fontId="4" fillId="10" borderId="0" xfId="0" applyFont="1" applyFill="1" applyAlignment="1">
      <alignment horizontal="center" vertical="center"/>
    </xf>
    <xf numFmtId="0" fontId="25" fillId="10" borderId="0" xfId="0" applyFont="1" applyFill="1"/>
    <xf numFmtId="169" fontId="25" fillId="10" borderId="0" xfId="1" applyFont="1" applyFill="1" applyBorder="1"/>
    <xf numFmtId="9" fontId="25" fillId="10" borderId="0" xfId="6" applyFont="1" applyFill="1" applyBorder="1"/>
    <xf numFmtId="0" fontId="25" fillId="10" borderId="0" xfId="0" applyFont="1" applyFill="1" applyAlignment="1">
      <alignment horizontal="center" vertical="center" wrapText="1"/>
    </xf>
    <xf numFmtId="10" fontId="24" fillId="10" borderId="0" xfId="3" applyNumberFormat="1" applyFont="1" applyFill="1" applyAlignment="1">
      <alignment horizontal="center" vertical="center" wrapText="1"/>
    </xf>
    <xf numFmtId="169" fontId="24" fillId="10" borderId="0" xfId="3" applyNumberFormat="1" applyFont="1" applyFill="1" applyAlignment="1">
      <alignment horizontal="center" vertical="center" wrapText="1"/>
    </xf>
    <xf numFmtId="4" fontId="24" fillId="10" borderId="0" xfId="3" applyNumberFormat="1" applyFont="1" applyFill="1" applyAlignment="1">
      <alignment horizontal="center" vertical="center" wrapText="1"/>
    </xf>
    <xf numFmtId="171" fontId="21" fillId="10" borderId="0" xfId="1" applyNumberFormat="1" applyFont="1" applyFill="1" applyBorder="1" applyAlignment="1">
      <alignment horizontal="center" vertical="center"/>
    </xf>
    <xf numFmtId="173" fontId="24" fillId="10" borderId="0" xfId="3" applyNumberFormat="1" applyFont="1" applyFill="1" applyAlignment="1">
      <alignment horizontal="center" vertical="center" wrapText="1"/>
    </xf>
    <xf numFmtId="169" fontId="0" fillId="10" borderId="0" xfId="1" applyFont="1" applyFill="1"/>
    <xf numFmtId="9" fontId="0" fillId="10" borderId="0" xfId="6" applyFont="1" applyFill="1"/>
    <xf numFmtId="169" fontId="4" fillId="10" borderId="0" xfId="1" applyFont="1" applyFill="1" applyAlignment="1">
      <alignment horizontal="center" vertical="center"/>
    </xf>
    <xf numFmtId="9" fontId="4" fillId="10" borderId="0" xfId="6" applyFont="1" applyFill="1" applyAlignment="1">
      <alignment horizontal="center" vertical="center"/>
    </xf>
    <xf numFmtId="9" fontId="17" fillId="10" borderId="1" xfId="0" applyNumberFormat="1" applyFont="1" applyFill="1" applyBorder="1" applyAlignment="1">
      <alignment horizontal="center" vertical="center"/>
    </xf>
    <xf numFmtId="169" fontId="24" fillId="7" borderId="42" xfId="3" applyNumberFormat="1" applyFont="1" applyFill="1" applyBorder="1" applyAlignment="1">
      <alignment horizontal="center" vertical="center" wrapText="1"/>
    </xf>
    <xf numFmtId="0" fontId="0" fillId="10" borderId="43" xfId="0" applyFill="1" applyBorder="1" applyAlignment="1">
      <alignment horizontal="center" vertical="center"/>
    </xf>
    <xf numFmtId="0" fontId="0" fillId="10" borderId="44" xfId="0" applyFill="1" applyBorder="1" applyAlignment="1">
      <alignment horizontal="center" vertical="center"/>
    </xf>
    <xf numFmtId="0" fontId="0" fillId="10" borderId="45" xfId="0" applyFill="1" applyBorder="1" applyAlignment="1">
      <alignment horizontal="center" vertical="center"/>
    </xf>
    <xf numFmtId="0" fontId="3" fillId="10" borderId="45" xfId="0" applyFont="1" applyFill="1" applyBorder="1" applyAlignment="1">
      <alignment horizontal="center" vertical="center"/>
    </xf>
    <xf numFmtId="0" fontId="0" fillId="10" borderId="46" xfId="0" applyFill="1" applyBorder="1" applyAlignment="1">
      <alignment horizontal="center" vertical="center"/>
    </xf>
    <xf numFmtId="0" fontId="3" fillId="10" borderId="46" xfId="0" applyFont="1" applyFill="1" applyBorder="1" applyAlignment="1">
      <alignment horizontal="center" vertical="center"/>
    </xf>
    <xf numFmtId="2" fontId="0" fillId="10" borderId="46" xfId="0" applyNumberFormat="1" applyFill="1" applyBorder="1" applyAlignment="1">
      <alignment horizontal="center" vertical="center"/>
    </xf>
    <xf numFmtId="2" fontId="0" fillId="10" borderId="44" xfId="0" applyNumberFormat="1" applyFill="1" applyBorder="1" applyAlignment="1">
      <alignment horizontal="center" vertical="center"/>
    </xf>
    <xf numFmtId="0" fontId="4" fillId="9" borderId="33" xfId="0" applyFont="1" applyFill="1" applyBorder="1" applyAlignment="1">
      <alignment horizontal="center" vertical="center"/>
    </xf>
    <xf numFmtId="0" fontId="4" fillId="9" borderId="34" xfId="0" applyFont="1" applyFill="1" applyBorder="1" applyAlignment="1">
      <alignment horizontal="center" vertical="center"/>
    </xf>
    <xf numFmtId="0" fontId="4" fillId="9" borderId="18" xfId="0" applyFont="1" applyFill="1" applyBorder="1" applyAlignment="1">
      <alignment horizontal="center" vertical="center"/>
    </xf>
    <xf numFmtId="0" fontId="0" fillId="10" borderId="1" xfId="0" applyFill="1" applyBorder="1" applyAlignment="1">
      <alignment horizontal="center" vertical="center"/>
    </xf>
    <xf numFmtId="0" fontId="3" fillId="10" borderId="1" xfId="0" applyFont="1" applyFill="1" applyBorder="1" applyAlignment="1">
      <alignment horizontal="center" vertical="center"/>
    </xf>
    <xf numFmtId="167" fontId="5" fillId="10" borderId="0" xfId="0" applyNumberFormat="1" applyFont="1" applyFill="1" applyAlignment="1">
      <alignment horizontal="center" vertical="center"/>
    </xf>
    <xf numFmtId="0" fontId="19" fillId="14" borderId="15" xfId="3" applyFont="1" applyFill="1" applyBorder="1" applyAlignment="1">
      <alignment horizontal="center" vertical="center" wrapText="1"/>
    </xf>
    <xf numFmtId="0" fontId="19" fillId="14" borderId="16" xfId="3" applyFont="1" applyFill="1" applyBorder="1" applyAlignment="1">
      <alignment horizontal="center" vertical="center" wrapText="1"/>
    </xf>
    <xf numFmtId="4" fontId="24" fillId="6" borderId="42" xfId="1" applyNumberFormat="1" applyFont="1" applyFill="1" applyBorder="1" applyAlignment="1">
      <alignment horizontal="center" vertical="center" wrapText="1"/>
    </xf>
    <xf numFmtId="4" fontId="24" fillId="6" borderId="7" xfId="1" applyNumberFormat="1" applyFont="1" applyFill="1" applyBorder="1" applyAlignment="1">
      <alignment horizontal="center" vertical="center" wrapText="1"/>
    </xf>
    <xf numFmtId="4" fontId="24" fillId="6" borderId="17" xfId="1" applyNumberFormat="1" applyFont="1" applyFill="1" applyBorder="1" applyAlignment="1">
      <alignment horizontal="center" vertical="center" wrapText="1"/>
    </xf>
    <xf numFmtId="168" fontId="24" fillId="6" borderId="42" xfId="2" applyFont="1" applyFill="1" applyBorder="1" applyAlignment="1">
      <alignment horizontal="center" vertical="center" wrapText="1"/>
    </xf>
    <xf numFmtId="0" fontId="19" fillId="14" borderId="38" xfId="3" applyFont="1" applyFill="1" applyBorder="1" applyAlignment="1">
      <alignment horizontal="center" vertical="center" wrapText="1"/>
    </xf>
    <xf numFmtId="0" fontId="4" fillId="15" borderId="16" xfId="3" applyFont="1" applyFill="1" applyBorder="1" applyAlignment="1">
      <alignment horizontal="center" vertical="center" wrapText="1"/>
    </xf>
    <xf numFmtId="169" fontId="19" fillId="5" borderId="9" xfId="1" applyFont="1" applyFill="1" applyBorder="1" applyAlignment="1">
      <alignment horizontal="center" vertical="center" wrapText="1"/>
    </xf>
    <xf numFmtId="0" fontId="22" fillId="9" borderId="37" xfId="0" applyFont="1" applyFill="1" applyBorder="1" applyAlignment="1">
      <alignment horizontal="center" vertical="center" wrapText="1"/>
    </xf>
    <xf numFmtId="0" fontId="3" fillId="0" borderId="0" xfId="0" applyFont="1"/>
    <xf numFmtId="0" fontId="4" fillId="9" borderId="6" xfId="0" applyFont="1" applyFill="1" applyBorder="1" applyAlignment="1">
      <alignment horizontal="center" vertical="center" wrapText="1"/>
    </xf>
    <xf numFmtId="0" fontId="4" fillId="10" borderId="0" xfId="0" applyFont="1" applyFill="1" applyAlignment="1">
      <alignment horizontal="center" vertical="center" wrapText="1"/>
    </xf>
    <xf numFmtId="0" fontId="4" fillId="9" borderId="42" xfId="0" applyFont="1" applyFill="1" applyBorder="1" applyAlignment="1">
      <alignment horizontal="center" vertical="center" wrapText="1"/>
    </xf>
    <xf numFmtId="0" fontId="0" fillId="10" borderId="0" xfId="0" applyFill="1" applyAlignment="1">
      <alignment wrapText="1"/>
    </xf>
    <xf numFmtId="0" fontId="0" fillId="0" borderId="6" xfId="0" applyBorder="1" applyAlignment="1">
      <alignment horizontal="center" vertical="center" wrapText="1"/>
    </xf>
    <xf numFmtId="169" fontId="26" fillId="10" borderId="6" xfId="1" applyFont="1" applyFill="1" applyBorder="1" applyAlignment="1">
      <alignment horizontal="center" vertical="center" wrapText="1"/>
    </xf>
    <xf numFmtId="0" fontId="0" fillId="10" borderId="6" xfId="0" applyFill="1" applyBorder="1" applyAlignment="1">
      <alignment horizontal="center" vertical="center" wrapText="1"/>
    </xf>
    <xf numFmtId="168" fontId="0" fillId="10" borderId="0" xfId="2" applyFont="1" applyFill="1" applyAlignment="1">
      <alignment horizontal="center" vertical="center" wrapText="1"/>
    </xf>
    <xf numFmtId="168" fontId="0" fillId="10" borderId="42" xfId="2" applyFont="1" applyFill="1" applyBorder="1" applyAlignment="1">
      <alignment horizontal="center" vertical="center" wrapText="1"/>
    </xf>
    <xf numFmtId="0" fontId="0" fillId="10" borderId="0" xfId="0" applyFill="1" applyAlignment="1">
      <alignment horizontal="center" vertical="center" wrapText="1"/>
    </xf>
    <xf numFmtId="9" fontId="0" fillId="10" borderId="0" xfId="6" applyFont="1" applyFill="1" applyAlignment="1">
      <alignment horizontal="center" vertical="center" wrapText="1"/>
    </xf>
    <xf numFmtId="169" fontId="0" fillId="10" borderId="0" xfId="1" applyFont="1" applyFill="1" applyAlignment="1">
      <alignment horizontal="center" vertical="center" wrapText="1"/>
    </xf>
    <xf numFmtId="169" fontId="0" fillId="10" borderId="42" xfId="1" applyFont="1" applyFill="1" applyBorder="1" applyAlignment="1">
      <alignment horizontal="center" vertical="center" wrapText="1"/>
    </xf>
    <xf numFmtId="169" fontId="0" fillId="10" borderId="0" xfId="1" applyFont="1" applyFill="1" applyAlignment="1">
      <alignment wrapText="1"/>
    </xf>
    <xf numFmtId="0" fontId="37" fillId="0" borderId="0" xfId="0" applyFont="1"/>
    <xf numFmtId="0" fontId="25" fillId="0" borderId="0" xfId="0" applyFont="1"/>
    <xf numFmtId="0" fontId="38" fillId="0" borderId="0" xfId="7" applyFont="1" applyAlignment="1">
      <alignment horizontal="right" vertical="center"/>
    </xf>
    <xf numFmtId="169" fontId="38" fillId="0" borderId="0" xfId="1" applyFont="1" applyBorder="1"/>
    <xf numFmtId="0" fontId="24" fillId="17" borderId="0" xfId="10" applyFont="1" applyFill="1" applyAlignment="1">
      <alignment horizontal="left"/>
    </xf>
    <xf numFmtId="0" fontId="3" fillId="17" borderId="0" xfId="0" applyFont="1" applyFill="1"/>
    <xf numFmtId="10" fontId="25" fillId="17" borderId="0" xfId="10" applyNumberFormat="1" applyFont="1" applyFill="1" applyAlignment="1">
      <alignment horizontal="center"/>
    </xf>
    <xf numFmtId="0" fontId="25" fillId="17" borderId="0" xfId="10" applyFont="1" applyFill="1"/>
    <xf numFmtId="0" fontId="0" fillId="0" borderId="0" xfId="0" applyAlignment="1">
      <alignment horizontal="center"/>
    </xf>
    <xf numFmtId="0" fontId="24" fillId="0" borderId="0" xfId="0" applyFont="1"/>
    <xf numFmtId="0" fontId="24" fillId="18" borderId="42" xfId="10" applyFont="1" applyFill="1" applyBorder="1" applyAlignment="1">
      <alignment horizontal="center"/>
    </xf>
    <xf numFmtId="10" fontId="24" fillId="18" borderId="42" xfId="10" applyNumberFormat="1" applyFont="1" applyFill="1" applyBorder="1" applyAlignment="1">
      <alignment horizontal="center"/>
    </xf>
    <xf numFmtId="0" fontId="24" fillId="18" borderId="42" xfId="10" applyFont="1" applyFill="1" applyBorder="1" applyAlignment="1">
      <alignment horizontal="center" wrapText="1"/>
    </xf>
    <xf numFmtId="169" fontId="24" fillId="0" borderId="0" xfId="11" applyFont="1" applyAlignment="1">
      <alignment horizontal="center"/>
    </xf>
    <xf numFmtId="0" fontId="25" fillId="10" borderId="42" xfId="10" applyFont="1" applyFill="1" applyBorder="1" applyAlignment="1">
      <alignment horizontal="center"/>
    </xf>
    <xf numFmtId="169" fontId="25" fillId="10" borderId="42" xfId="1" applyFont="1" applyFill="1" applyBorder="1" applyAlignment="1">
      <alignment horizontal="center"/>
    </xf>
    <xf numFmtId="10" fontId="25" fillId="10" borderId="42" xfId="10" applyNumberFormat="1" applyFont="1" applyFill="1" applyBorder="1" applyAlignment="1">
      <alignment horizontal="center"/>
    </xf>
    <xf numFmtId="169" fontId="25" fillId="0" borderId="42" xfId="11" applyFont="1" applyBorder="1"/>
    <xf numFmtId="169" fontId="25" fillId="10" borderId="42" xfId="11" applyFont="1" applyFill="1" applyBorder="1"/>
    <xf numFmtId="169" fontId="25" fillId="0" borderId="0" xfId="11" applyFont="1"/>
    <xf numFmtId="10" fontId="25" fillId="10" borderId="42" xfId="12" applyNumberFormat="1" applyFont="1" applyFill="1" applyBorder="1" applyAlignment="1">
      <alignment horizontal="center"/>
    </xf>
    <xf numFmtId="0" fontId="25" fillId="0" borderId="42" xfId="10" applyFont="1" applyBorder="1" applyAlignment="1">
      <alignment horizontal="center"/>
    </xf>
    <xf numFmtId="10" fontId="25" fillId="0" borderId="42" xfId="12" applyNumberFormat="1" applyFont="1" applyBorder="1" applyAlignment="1">
      <alignment horizontal="center"/>
    </xf>
    <xf numFmtId="169" fontId="24" fillId="0" borderId="42" xfId="11" applyFont="1" applyBorder="1"/>
    <xf numFmtId="169" fontId="24" fillId="0" borderId="0" xfId="11" applyFont="1"/>
    <xf numFmtId="174" fontId="23" fillId="0" borderId="0" xfId="33" applyNumberFormat="1" applyFont="1"/>
    <xf numFmtId="175" fontId="19" fillId="5" borderId="9" xfId="1" applyNumberFormat="1" applyFont="1" applyFill="1" applyBorder="1" applyAlignment="1">
      <alignment horizontal="center" vertical="center"/>
    </xf>
    <xf numFmtId="9" fontId="19" fillId="5" borderId="9" xfId="6" applyFont="1" applyFill="1" applyBorder="1" applyAlignment="1">
      <alignment horizontal="center" vertical="center"/>
    </xf>
    <xf numFmtId="169" fontId="0" fillId="0" borderId="0" xfId="1" applyFont="1"/>
    <xf numFmtId="0" fontId="25" fillId="0" borderId="0" xfId="7" applyFont="1"/>
    <xf numFmtId="0" fontId="39" fillId="0" borderId="0" xfId="7" applyFont="1" applyAlignment="1">
      <alignment horizontal="center"/>
    </xf>
    <xf numFmtId="169" fontId="25" fillId="0" borderId="0" xfId="1" applyFont="1"/>
    <xf numFmtId="0" fontId="24" fillId="0" borderId="0" xfId="7" applyFont="1"/>
    <xf numFmtId="0" fontId="40" fillId="0" borderId="0" xfId="7" applyFont="1"/>
    <xf numFmtId="0" fontId="24" fillId="0" borderId="0" xfId="7" applyFont="1" applyAlignment="1">
      <alignment horizontal="left"/>
    </xf>
    <xf numFmtId="14" fontId="25" fillId="0" borderId="0" xfId="7" applyNumberFormat="1" applyFont="1" applyAlignment="1">
      <alignment horizontal="left"/>
    </xf>
    <xf numFmtId="0" fontId="25" fillId="0" borderId="47" xfId="7" applyFont="1" applyBorder="1" applyAlignment="1">
      <alignment horizontal="center" vertical="center"/>
    </xf>
    <xf numFmtId="170" fontId="25" fillId="10" borderId="23" xfId="7" applyNumberFormat="1" applyFont="1" applyFill="1" applyBorder="1" applyAlignment="1">
      <alignment horizontal="center"/>
    </xf>
    <xf numFmtId="169" fontId="25" fillId="10" borderId="42" xfId="11" applyFont="1" applyFill="1" applyBorder="1" applyAlignment="1">
      <alignment horizontal="center"/>
    </xf>
    <xf numFmtId="169" fontId="25" fillId="10" borderId="17" xfId="11" applyFont="1" applyFill="1" applyBorder="1" applyAlignment="1">
      <alignment horizontal="center"/>
    </xf>
    <xf numFmtId="0" fontId="25" fillId="0" borderId="14" xfId="7" applyFont="1" applyBorder="1" applyAlignment="1">
      <alignment horizontal="center" vertical="center"/>
    </xf>
    <xf numFmtId="0" fontId="25" fillId="0" borderId="26" xfId="7" applyFont="1" applyBorder="1" applyAlignment="1">
      <alignment horizontal="center" vertical="center"/>
    </xf>
    <xf numFmtId="170" fontId="25" fillId="10" borderId="25" xfId="7" applyNumberFormat="1" applyFont="1" applyFill="1" applyBorder="1" applyAlignment="1">
      <alignment horizontal="center"/>
    </xf>
    <xf numFmtId="169" fontId="25" fillId="10" borderId="24" xfId="11" applyFont="1" applyFill="1" applyBorder="1" applyAlignment="1">
      <alignment horizontal="center"/>
    </xf>
    <xf numFmtId="169" fontId="25" fillId="10" borderId="27" xfId="11" applyFont="1" applyFill="1" applyBorder="1" applyAlignment="1">
      <alignment horizontal="center"/>
    </xf>
    <xf numFmtId="0" fontId="24" fillId="0" borderId="50" xfId="1" applyNumberFormat="1" applyFont="1" applyBorder="1"/>
    <xf numFmtId="0" fontId="24" fillId="0" borderId="0" xfId="7" applyFont="1" applyAlignment="1">
      <alignment horizontal="right" vertical="center"/>
    </xf>
    <xf numFmtId="169" fontId="24" fillId="0" borderId="0" xfId="1" applyFont="1" applyBorder="1"/>
    <xf numFmtId="0" fontId="0" fillId="10" borderId="0" xfId="0" applyFill="1" applyAlignment="1">
      <alignment horizontal="center"/>
    </xf>
    <xf numFmtId="0" fontId="7" fillId="6" borderId="0" xfId="0" applyFont="1" applyFill="1"/>
    <xf numFmtId="0" fontId="29" fillId="0" borderId="0" xfId="0" applyFont="1"/>
    <xf numFmtId="0" fontId="31" fillId="6" borderId="0" xfId="0" applyFont="1" applyFill="1"/>
    <xf numFmtId="0" fontId="30" fillId="6" borderId="0" xfId="0" applyFont="1" applyFill="1"/>
    <xf numFmtId="0" fontId="7" fillId="6" borderId="0" xfId="0" applyFont="1" applyFill="1" applyAlignment="1">
      <alignment vertical="center"/>
    </xf>
    <xf numFmtId="0" fontId="30" fillId="0" borderId="0" xfId="0" applyFont="1"/>
    <xf numFmtId="0" fontId="17" fillId="0" borderId="0" xfId="0" applyFont="1"/>
    <xf numFmtId="0" fontId="25" fillId="19" borderId="23" xfId="7" applyFont="1" applyFill="1" applyBorder="1" applyAlignment="1">
      <alignment horizontal="center"/>
    </xf>
    <xf numFmtId="166" fontId="25" fillId="19" borderId="23" xfId="1" applyNumberFormat="1" applyFont="1" applyFill="1" applyBorder="1" applyAlignment="1">
      <alignment horizontal="center"/>
    </xf>
    <xf numFmtId="14" fontId="25" fillId="19" borderId="23" xfId="7" applyNumberFormat="1" applyFont="1" applyFill="1" applyBorder="1" applyAlignment="1">
      <alignment horizontal="center"/>
    </xf>
    <xf numFmtId="9" fontId="25" fillId="19" borderId="23" xfId="6" applyFont="1" applyFill="1" applyBorder="1" applyAlignment="1">
      <alignment horizontal="center"/>
    </xf>
    <xf numFmtId="0" fontId="25" fillId="19" borderId="42" xfId="7" applyFont="1" applyFill="1" applyBorder="1" applyAlignment="1">
      <alignment horizontal="center"/>
    </xf>
    <xf numFmtId="166" fontId="25" fillId="19" borderId="42" xfId="1" applyNumberFormat="1" applyFont="1" applyFill="1" applyBorder="1" applyAlignment="1">
      <alignment horizontal="center"/>
    </xf>
    <xf numFmtId="14" fontId="25" fillId="19" borderId="42" xfId="7" applyNumberFormat="1" applyFont="1" applyFill="1" applyBorder="1" applyAlignment="1">
      <alignment horizontal="center"/>
    </xf>
    <xf numFmtId="9" fontId="25" fillId="19" borderId="42" xfId="6" applyFont="1" applyFill="1" applyBorder="1" applyAlignment="1">
      <alignment horizontal="center"/>
    </xf>
    <xf numFmtId="0" fontId="25" fillId="19" borderId="24" xfId="7" applyFont="1" applyFill="1" applyBorder="1" applyAlignment="1">
      <alignment horizontal="center"/>
    </xf>
    <xf numFmtId="166" fontId="25" fillId="19" borderId="24" xfId="1" applyNumberFormat="1" applyFont="1" applyFill="1" applyBorder="1" applyAlignment="1">
      <alignment horizontal="center"/>
    </xf>
    <xf numFmtId="14" fontId="25" fillId="19" borderId="24" xfId="7" applyNumberFormat="1" applyFont="1" applyFill="1" applyBorder="1" applyAlignment="1">
      <alignment horizontal="center"/>
    </xf>
    <xf numFmtId="9" fontId="25" fillId="19" borderId="24" xfId="6" applyFont="1" applyFill="1" applyBorder="1" applyAlignment="1">
      <alignment horizontal="center"/>
    </xf>
    <xf numFmtId="14" fontId="25" fillId="19" borderId="25" xfId="7" applyNumberFormat="1" applyFont="1" applyFill="1" applyBorder="1" applyAlignment="1">
      <alignment horizontal="center"/>
    </xf>
    <xf numFmtId="9" fontId="0" fillId="10" borderId="42" xfId="6" applyFont="1" applyFill="1" applyBorder="1" applyAlignment="1">
      <alignment horizontal="center" vertical="center" wrapText="1"/>
    </xf>
    <xf numFmtId="0" fontId="20" fillId="7" borderId="42" xfId="0" applyFont="1" applyFill="1" applyBorder="1" applyAlignment="1">
      <alignment horizontal="left" vertical="center" wrapText="1"/>
    </xf>
    <xf numFmtId="9" fontId="20" fillId="7" borderId="42" xfId="6" applyFont="1" applyFill="1" applyBorder="1" applyAlignment="1">
      <alignment horizontal="center" vertical="center" wrapText="1"/>
    </xf>
    <xf numFmtId="169" fontId="14" fillId="7" borderId="42" xfId="1" applyFont="1" applyFill="1" applyBorder="1" applyAlignment="1">
      <alignment horizontal="center" vertical="center" wrapText="1"/>
    </xf>
    <xf numFmtId="171" fontId="43" fillId="7" borderId="42" xfId="1" applyNumberFormat="1" applyFont="1" applyFill="1" applyBorder="1" applyAlignment="1">
      <alignment horizontal="center" vertical="center"/>
    </xf>
    <xf numFmtId="169" fontId="43" fillId="7" borderId="42" xfId="1" applyFont="1" applyFill="1" applyBorder="1" applyAlignment="1">
      <alignment horizontal="center" vertical="center"/>
    </xf>
    <xf numFmtId="171" fontId="43" fillId="11" borderId="42" xfId="1" applyNumberFormat="1" applyFont="1" applyFill="1" applyBorder="1" applyAlignment="1">
      <alignment horizontal="center" vertical="center"/>
    </xf>
    <xf numFmtId="169" fontId="3" fillId="7" borderId="42" xfId="1" applyFont="1" applyFill="1" applyBorder="1" applyAlignment="1">
      <alignment horizontal="center" vertical="center"/>
    </xf>
    <xf numFmtId="0" fontId="44" fillId="5" borderId="42" xfId="0" applyFont="1" applyFill="1" applyBorder="1" applyAlignment="1">
      <alignment horizontal="center" vertical="center" wrapText="1"/>
    </xf>
    <xf numFmtId="169" fontId="45" fillId="7" borderId="42" xfId="1" applyFont="1" applyFill="1" applyBorder="1" applyAlignment="1">
      <alignment horizontal="center" vertical="center" wrapText="1"/>
    </xf>
    <xf numFmtId="0" fontId="44" fillId="16" borderId="42" xfId="0" applyFont="1" applyFill="1" applyBorder="1" applyAlignment="1">
      <alignment horizontal="center" vertical="center" wrapText="1"/>
    </xf>
    <xf numFmtId="0" fontId="44" fillId="16" borderId="17" xfId="0" applyFont="1" applyFill="1" applyBorder="1" applyAlignment="1">
      <alignment horizontal="center" vertical="center" wrapText="1"/>
    </xf>
    <xf numFmtId="0" fontId="24" fillId="19" borderId="21" xfId="4" applyFont="1" applyFill="1" applyBorder="1" applyAlignment="1">
      <alignment horizontal="center" vertical="center" wrapText="1"/>
    </xf>
    <xf numFmtId="169" fontId="24" fillId="19" borderId="15" xfId="1" applyFont="1" applyFill="1" applyBorder="1" applyAlignment="1">
      <alignment horizontal="left" vertical="center" wrapText="1"/>
    </xf>
    <xf numFmtId="10" fontId="24" fillId="19" borderId="15" xfId="3" applyNumberFormat="1" applyFont="1" applyFill="1" applyBorder="1" applyAlignment="1">
      <alignment horizontal="center" vertical="center" wrapText="1"/>
    </xf>
    <xf numFmtId="169" fontId="24" fillId="19" borderId="15" xfId="3" applyNumberFormat="1" applyFont="1" applyFill="1" applyBorder="1" applyAlignment="1">
      <alignment horizontal="center" vertical="center" wrapText="1"/>
    </xf>
    <xf numFmtId="169" fontId="24" fillId="19" borderId="16" xfId="1" applyFont="1" applyFill="1" applyBorder="1" applyAlignment="1">
      <alignment horizontal="center" vertical="center" wrapText="1"/>
    </xf>
    <xf numFmtId="169" fontId="24" fillId="19" borderId="15" xfId="1" applyFont="1" applyFill="1" applyBorder="1" applyAlignment="1">
      <alignment horizontal="center" vertical="center" wrapText="1"/>
    </xf>
    <xf numFmtId="3" fontId="24" fillId="19" borderId="15" xfId="1" applyNumberFormat="1" applyFont="1" applyFill="1" applyBorder="1" applyAlignment="1">
      <alignment horizontal="center" vertical="center" wrapText="1"/>
    </xf>
    <xf numFmtId="171" fontId="24" fillId="19" borderId="15" xfId="1" applyNumberFormat="1" applyFont="1" applyFill="1" applyBorder="1" applyAlignment="1">
      <alignment horizontal="center" vertical="center" wrapText="1"/>
    </xf>
    <xf numFmtId="0" fontId="17" fillId="7" borderId="14" xfId="0" applyFont="1" applyFill="1" applyBorder="1" applyAlignment="1">
      <alignment horizontal="center" vertical="center" wrapText="1"/>
    </xf>
    <xf numFmtId="0" fontId="46" fillId="6" borderId="0" xfId="0" applyFont="1" applyFill="1" applyAlignment="1">
      <alignment vertical="center"/>
    </xf>
    <xf numFmtId="9" fontId="4" fillId="10" borderId="0" xfId="6" applyFont="1" applyFill="1" applyAlignment="1">
      <alignment horizontal="left" vertical="center"/>
    </xf>
    <xf numFmtId="0" fontId="3" fillId="10" borderId="42" xfId="0" applyFont="1" applyFill="1" applyBorder="1" applyAlignment="1">
      <alignment horizontal="left" vertical="center"/>
    </xf>
    <xf numFmtId="8" fontId="0" fillId="10" borderId="42" xfId="0" applyNumberFormat="1" applyFill="1" applyBorder="1" applyAlignment="1">
      <alignment wrapText="1"/>
    </xf>
    <xf numFmtId="172" fontId="5" fillId="10" borderId="1" xfId="6" applyNumberFormat="1" applyFont="1" applyFill="1" applyBorder="1"/>
    <xf numFmtId="167" fontId="21" fillId="6" borderId="12" xfId="1" applyNumberFormat="1" applyFont="1" applyFill="1" applyBorder="1" applyAlignment="1">
      <alignment horizontal="center" vertical="center" wrapText="1"/>
    </xf>
    <xf numFmtId="0" fontId="22" fillId="5" borderId="12" xfId="0" applyFont="1" applyFill="1" applyBorder="1" applyAlignment="1">
      <alignment horizontal="center" vertical="center" wrapText="1"/>
    </xf>
    <xf numFmtId="169" fontId="4" fillId="12" borderId="12" xfId="1" applyFont="1" applyFill="1" applyBorder="1"/>
    <xf numFmtId="0" fontId="6" fillId="12" borderId="12" xfId="0" applyFont="1" applyFill="1" applyBorder="1"/>
    <xf numFmtId="167" fontId="43" fillId="6" borderId="12" xfId="1" applyNumberFormat="1" applyFont="1" applyFill="1" applyBorder="1" applyAlignment="1">
      <alignment horizontal="center" vertical="center" wrapText="1"/>
    </xf>
    <xf numFmtId="169" fontId="3" fillId="7" borderId="12" xfId="1" applyFont="1" applyFill="1" applyBorder="1" applyAlignment="1">
      <alignment horizontal="center" vertical="center"/>
    </xf>
    <xf numFmtId="0" fontId="44" fillId="5" borderId="12" xfId="0" applyFont="1" applyFill="1" applyBorder="1" applyAlignment="1">
      <alignment horizontal="center" vertical="center" wrapText="1"/>
    </xf>
    <xf numFmtId="0" fontId="44" fillId="16" borderId="13" xfId="0" applyFont="1" applyFill="1" applyBorder="1" applyAlignment="1">
      <alignment horizontal="center" vertical="center" wrapText="1"/>
    </xf>
    <xf numFmtId="171" fontId="43" fillId="7" borderId="12" xfId="1" applyNumberFormat="1" applyFont="1" applyFill="1" applyBorder="1" applyAlignment="1">
      <alignment horizontal="center" vertical="center"/>
    </xf>
    <xf numFmtId="167" fontId="17" fillId="13" borderId="19" xfId="0" applyNumberFormat="1" applyFont="1" applyFill="1" applyBorder="1" applyAlignment="1">
      <alignment horizontal="center" vertical="center" wrapText="1"/>
    </xf>
    <xf numFmtId="167" fontId="17" fillId="13" borderId="32" xfId="0" applyNumberFormat="1" applyFont="1" applyFill="1" applyBorder="1" applyAlignment="1">
      <alignment horizontal="center" vertical="center" wrapText="1"/>
    </xf>
    <xf numFmtId="167" fontId="17" fillId="13" borderId="31" xfId="0" applyNumberFormat="1" applyFont="1" applyFill="1" applyBorder="1" applyAlignment="1">
      <alignment horizontal="center" vertical="center" wrapText="1"/>
    </xf>
    <xf numFmtId="0" fontId="17" fillId="13" borderId="19" xfId="0" applyFont="1" applyFill="1" applyBorder="1" applyAlignment="1">
      <alignment horizontal="center" vertical="center" textRotation="90"/>
    </xf>
    <xf numFmtId="0" fontId="17" fillId="13" borderId="32" xfId="0" applyFont="1" applyFill="1" applyBorder="1" applyAlignment="1">
      <alignment horizontal="center" vertical="center" textRotation="90"/>
    </xf>
    <xf numFmtId="0" fontId="17" fillId="13" borderId="31" xfId="0" applyFont="1" applyFill="1" applyBorder="1" applyAlignment="1">
      <alignment horizontal="center" vertical="center" textRotation="90"/>
    </xf>
    <xf numFmtId="0" fontId="19" fillId="14" borderId="41" xfId="3" applyFont="1" applyFill="1" applyBorder="1" applyAlignment="1">
      <alignment horizontal="center" vertical="center" wrapText="1"/>
    </xf>
    <xf numFmtId="0" fontId="19" fillId="3" borderId="24" xfId="3" applyFont="1" applyFill="1" applyBorder="1" applyAlignment="1">
      <alignment horizontal="center" vertical="center" wrapText="1"/>
    </xf>
    <xf numFmtId="0" fontId="19" fillId="3" borderId="41" xfId="3" applyFont="1" applyFill="1" applyBorder="1" applyAlignment="1">
      <alignment horizontal="center" vertical="center" wrapText="1"/>
    </xf>
    <xf numFmtId="0" fontId="19" fillId="11" borderId="24" xfId="3" applyFont="1" applyFill="1" applyBorder="1" applyAlignment="1">
      <alignment horizontal="center" vertical="center" wrapText="1"/>
    </xf>
    <xf numFmtId="0" fontId="19" fillId="11" borderId="41" xfId="3" applyFont="1" applyFill="1" applyBorder="1" applyAlignment="1">
      <alignment horizontal="center" vertical="center" wrapText="1"/>
    </xf>
    <xf numFmtId="0" fontId="4" fillId="15" borderId="27" xfId="3" applyFont="1" applyFill="1" applyBorder="1" applyAlignment="1">
      <alignment horizontal="center" vertical="center" wrapText="1"/>
    </xf>
    <xf numFmtId="0" fontId="4" fillId="15" borderId="38" xfId="3" applyFont="1" applyFill="1" applyBorder="1" applyAlignment="1">
      <alignment horizontal="center" vertical="center" wrapText="1"/>
    </xf>
    <xf numFmtId="4" fontId="19" fillId="3" borderId="24" xfId="3" applyNumberFormat="1" applyFont="1" applyFill="1" applyBorder="1" applyAlignment="1">
      <alignment horizontal="center" vertical="center" wrapText="1"/>
    </xf>
    <xf numFmtId="4" fontId="19" fillId="3" borderId="41" xfId="3" applyNumberFormat="1" applyFont="1" applyFill="1" applyBorder="1" applyAlignment="1">
      <alignment horizontal="center" vertical="center" wrapText="1"/>
    </xf>
    <xf numFmtId="0" fontId="19" fillId="3" borderId="35" xfId="4" applyFont="1" applyFill="1" applyBorder="1" applyAlignment="1">
      <alignment horizontal="center" vertical="center" textRotation="90" wrapText="1"/>
    </xf>
    <xf numFmtId="0" fontId="19" fillId="3" borderId="36" xfId="4" applyFont="1" applyFill="1" applyBorder="1" applyAlignment="1">
      <alignment horizontal="center" vertical="center" textRotation="90" wrapText="1"/>
    </xf>
    <xf numFmtId="0" fontId="19" fillId="3" borderId="40" xfId="4" applyFont="1" applyFill="1" applyBorder="1" applyAlignment="1">
      <alignment horizontal="center" vertical="center" textRotation="90" wrapText="1"/>
    </xf>
    <xf numFmtId="9" fontId="17" fillId="3" borderId="22" xfId="6" applyFont="1" applyFill="1" applyBorder="1" applyAlignment="1">
      <alignment horizontal="center" vertical="center" wrapText="1"/>
    </xf>
    <xf numFmtId="9" fontId="17" fillId="3" borderId="25" xfId="6" applyFont="1" applyFill="1" applyBorder="1" applyAlignment="1">
      <alignment horizontal="center" vertical="center" wrapText="1"/>
    </xf>
    <xf numFmtId="9" fontId="17" fillId="3" borderId="41" xfId="6" applyFont="1" applyFill="1" applyBorder="1" applyAlignment="1">
      <alignment horizontal="center" vertical="center" wrapText="1"/>
    </xf>
    <xf numFmtId="171" fontId="17" fillId="3" borderId="22" xfId="1" applyNumberFormat="1" applyFont="1" applyFill="1" applyBorder="1" applyAlignment="1">
      <alignment horizontal="center" vertical="center" textRotation="90"/>
    </xf>
    <xf numFmtId="171" fontId="17" fillId="3" borderId="25" xfId="1" applyNumberFormat="1" applyFont="1" applyFill="1" applyBorder="1" applyAlignment="1">
      <alignment horizontal="center" vertical="center" textRotation="90"/>
    </xf>
    <xf numFmtId="171" fontId="17" fillId="3" borderId="41" xfId="1" applyNumberFormat="1" applyFont="1" applyFill="1" applyBorder="1" applyAlignment="1">
      <alignment horizontal="center" vertical="center" textRotation="90"/>
    </xf>
    <xf numFmtId="0" fontId="17" fillId="3" borderId="22" xfId="0" applyFont="1" applyFill="1" applyBorder="1" applyAlignment="1">
      <alignment horizontal="center" vertical="center" textRotation="90" wrapText="1"/>
    </xf>
    <xf numFmtId="0" fontId="17" fillId="3" borderId="25" xfId="0" applyFont="1" applyFill="1" applyBorder="1" applyAlignment="1">
      <alignment horizontal="center" vertical="center" textRotation="90" wrapText="1"/>
    </xf>
    <xf numFmtId="0" fontId="17" fillId="3" borderId="41" xfId="0" applyFont="1" applyFill="1" applyBorder="1" applyAlignment="1">
      <alignment horizontal="center" vertical="center" textRotation="90" wrapText="1"/>
    </xf>
    <xf numFmtId="0" fontId="22" fillId="5" borderId="42" xfId="0" applyFont="1" applyFill="1" applyBorder="1" applyAlignment="1">
      <alignment horizontal="center" vertical="center" wrapText="1"/>
    </xf>
    <xf numFmtId="169" fontId="24" fillId="19" borderId="0" xfId="3" applyNumberFormat="1" applyFont="1" applyFill="1" applyAlignment="1">
      <alignment horizontal="center" vertical="center" wrapText="1"/>
    </xf>
    <xf numFmtId="0" fontId="19" fillId="14" borderId="51" xfId="3" applyFont="1" applyFill="1" applyBorder="1" applyAlignment="1">
      <alignment horizontal="center" vertical="center" wrapText="1"/>
    </xf>
    <xf numFmtId="4" fontId="19" fillId="3" borderId="22" xfId="3" applyNumberFormat="1" applyFont="1" applyFill="1" applyBorder="1" applyAlignment="1">
      <alignment horizontal="center" vertical="center" wrapText="1"/>
    </xf>
    <xf numFmtId="0" fontId="19" fillId="11" borderId="22" xfId="3" applyFont="1" applyFill="1" applyBorder="1" applyAlignment="1">
      <alignment horizontal="center" vertical="center" wrapText="1"/>
    </xf>
    <xf numFmtId="0" fontId="19" fillId="3" borderId="22" xfId="3" applyFont="1" applyFill="1" applyBorder="1" applyAlignment="1">
      <alignment horizontal="center" vertical="center" wrapText="1"/>
    </xf>
    <xf numFmtId="0" fontId="19" fillId="3" borderId="52" xfId="3" applyFont="1" applyFill="1" applyBorder="1" applyAlignment="1">
      <alignment horizontal="center" vertical="center" wrapText="1"/>
    </xf>
    <xf numFmtId="0" fontId="19" fillId="11" borderId="52" xfId="3" applyFont="1" applyFill="1" applyBorder="1" applyAlignment="1">
      <alignment horizontal="center" vertical="center" wrapText="1"/>
    </xf>
    <xf numFmtId="0" fontId="4" fillId="15" borderId="37" xfId="3" applyFont="1" applyFill="1" applyBorder="1" applyAlignment="1">
      <alignment horizontal="center" vertical="center" wrapText="1"/>
    </xf>
    <xf numFmtId="0" fontId="19" fillId="0" borderId="0" xfId="4" applyFont="1" applyAlignment="1">
      <alignment horizontal="center" vertical="center" textRotation="90" wrapText="1"/>
    </xf>
    <xf numFmtId="9" fontId="17" fillId="0" borderId="0" xfId="6" applyFont="1" applyFill="1" applyBorder="1" applyAlignment="1">
      <alignment horizontal="center" vertical="center" wrapText="1"/>
    </xf>
    <xf numFmtId="4" fontId="19" fillId="0" borderId="0" xfId="3" applyNumberFormat="1" applyFont="1" applyAlignment="1">
      <alignment horizontal="center" vertical="center" wrapText="1"/>
    </xf>
    <xf numFmtId="171" fontId="17" fillId="0" borderId="0" xfId="1" applyNumberFormat="1" applyFont="1" applyFill="1" applyBorder="1" applyAlignment="1">
      <alignment horizontal="center" vertical="center" textRotation="90"/>
    </xf>
    <xf numFmtId="0" fontId="17" fillId="0" borderId="0" xfId="0" applyFont="1" applyAlignment="1">
      <alignment horizontal="center" vertical="center" textRotation="90" wrapText="1"/>
    </xf>
    <xf numFmtId="0" fontId="19" fillId="0" borderId="0" xfId="3" applyFont="1" applyAlignment="1">
      <alignment horizontal="center" vertical="center" wrapText="1"/>
    </xf>
    <xf numFmtId="0" fontId="17" fillId="0" borderId="0" xfId="0" applyFont="1" applyAlignment="1">
      <alignment horizontal="center" vertical="center" textRotation="90"/>
    </xf>
    <xf numFmtId="167" fontId="17" fillId="0" borderId="0" xfId="0" applyNumberFormat="1" applyFont="1" applyAlignment="1">
      <alignment horizontal="center" vertical="center" wrapText="1"/>
    </xf>
    <xf numFmtId="0" fontId="4" fillId="0" borderId="0" xfId="3" applyFont="1" applyAlignment="1">
      <alignment horizontal="center" vertical="center" wrapText="1"/>
    </xf>
    <xf numFmtId="0" fontId="24" fillId="0" borderId="0" xfId="4" applyFont="1" applyAlignment="1">
      <alignment horizontal="center" vertical="center" wrapText="1"/>
    </xf>
    <xf numFmtId="169" fontId="24" fillId="0" borderId="0" xfId="1" applyFont="1" applyFill="1" applyBorder="1" applyAlignment="1">
      <alignment horizontal="left" vertical="center" wrapText="1"/>
    </xf>
    <xf numFmtId="10" fontId="24" fillId="0" borderId="0" xfId="3" applyNumberFormat="1" applyFont="1" applyAlignment="1">
      <alignment horizontal="center" vertical="center" wrapText="1"/>
    </xf>
    <xf numFmtId="171" fontId="24" fillId="0" borderId="0" xfId="1" applyNumberFormat="1" applyFont="1" applyFill="1" applyBorder="1" applyAlignment="1">
      <alignment horizontal="center" vertical="center" wrapText="1"/>
    </xf>
    <xf numFmtId="169" fontId="24" fillId="0" borderId="0" xfId="3" applyNumberFormat="1" applyFont="1" applyAlignment="1">
      <alignment horizontal="center" vertical="center" wrapText="1"/>
    </xf>
    <xf numFmtId="169" fontId="24" fillId="0" borderId="0" xfId="1" applyFont="1" applyFill="1" applyBorder="1" applyAlignment="1">
      <alignment horizontal="center" vertical="center" wrapText="1"/>
    </xf>
    <xf numFmtId="168" fontId="24" fillId="0" borderId="0" xfId="2" applyFont="1" applyFill="1" applyBorder="1" applyAlignment="1">
      <alignment horizontal="center" vertical="center" wrapText="1"/>
    </xf>
    <xf numFmtId="4" fontId="24" fillId="0" borderId="0" xfId="1" applyNumberFormat="1" applyFont="1" applyFill="1" applyBorder="1" applyAlignment="1">
      <alignment horizontal="center" vertical="center" wrapText="1"/>
    </xf>
    <xf numFmtId="0" fontId="22" fillId="0" borderId="0" xfId="0" applyFont="1" applyAlignment="1">
      <alignment horizontal="center" vertical="center" wrapText="1"/>
    </xf>
    <xf numFmtId="0" fontId="24" fillId="19" borderId="0" xfId="4" applyFont="1" applyFill="1" applyAlignment="1">
      <alignment horizontal="center" vertical="center" wrapText="1"/>
    </xf>
    <xf numFmtId="169" fontId="24" fillId="19" borderId="0" xfId="1" applyFont="1" applyFill="1" applyBorder="1" applyAlignment="1">
      <alignment horizontal="center" vertical="center" wrapText="1"/>
    </xf>
    <xf numFmtId="0" fontId="24" fillId="19" borderId="48" xfId="4" applyFont="1" applyFill="1" applyBorder="1" applyAlignment="1">
      <alignment horizontal="center" vertical="center" wrapText="1"/>
    </xf>
    <xf numFmtId="169" fontId="24" fillId="19" borderId="49" xfId="1" applyFont="1" applyFill="1" applyBorder="1" applyAlignment="1">
      <alignment horizontal="center" vertical="center" wrapText="1"/>
    </xf>
    <xf numFmtId="169" fontId="24" fillId="19" borderId="50" xfId="1" applyFont="1" applyFill="1" applyBorder="1" applyAlignment="1">
      <alignment horizontal="center" vertical="center" wrapText="1"/>
    </xf>
    <xf numFmtId="0" fontId="3" fillId="0" borderId="42" xfId="0" applyFont="1" applyBorder="1"/>
    <xf numFmtId="0" fontId="13" fillId="0" borderId="42" xfId="0" applyFont="1" applyBorder="1"/>
    <xf numFmtId="167" fontId="43" fillId="6" borderId="42" xfId="1" applyNumberFormat="1" applyFont="1" applyFill="1" applyBorder="1" applyAlignment="1">
      <alignment horizontal="center" vertical="center" wrapText="1"/>
    </xf>
    <xf numFmtId="167" fontId="21" fillId="6" borderId="42" xfId="1" applyNumberFormat="1" applyFont="1" applyFill="1" applyBorder="1" applyAlignment="1">
      <alignment horizontal="center" vertical="center" wrapText="1"/>
    </xf>
    <xf numFmtId="169" fontId="4" fillId="12" borderId="42" xfId="1" applyFont="1" applyFill="1" applyBorder="1"/>
    <xf numFmtId="0" fontId="6" fillId="12" borderId="42" xfId="0" applyFont="1" applyFill="1" applyBorder="1"/>
    <xf numFmtId="169" fontId="43" fillId="7" borderId="15" xfId="1" applyFont="1" applyFill="1" applyBorder="1" applyAlignment="1">
      <alignment horizontal="center" vertical="center"/>
    </xf>
    <xf numFmtId="0" fontId="17" fillId="7" borderId="11" xfId="0" applyFont="1" applyFill="1" applyBorder="1" applyAlignment="1">
      <alignment horizontal="center" vertical="center" wrapText="1"/>
    </xf>
    <xf numFmtId="0" fontId="20" fillId="7" borderId="12" xfId="0" applyFont="1" applyFill="1" applyBorder="1" applyAlignment="1">
      <alignment horizontal="left" vertical="center" wrapText="1"/>
    </xf>
    <xf numFmtId="9" fontId="20" fillId="7" borderId="12" xfId="6" applyFont="1" applyFill="1" applyBorder="1" applyAlignment="1">
      <alignment horizontal="center" vertical="center" wrapText="1"/>
    </xf>
    <xf numFmtId="169" fontId="14" fillId="7" borderId="12" xfId="1" applyFont="1" applyFill="1" applyBorder="1" applyAlignment="1">
      <alignment horizontal="center" vertical="center" wrapText="1"/>
    </xf>
    <xf numFmtId="169" fontId="43" fillId="7" borderId="12" xfId="1" applyFont="1" applyFill="1" applyBorder="1" applyAlignment="1">
      <alignment horizontal="center" vertical="center"/>
    </xf>
    <xf numFmtId="169" fontId="45" fillId="7" borderId="12" xfId="1" applyFont="1" applyFill="1" applyBorder="1" applyAlignment="1">
      <alignment horizontal="center" vertical="center" wrapText="1"/>
    </xf>
    <xf numFmtId="0" fontId="44" fillId="16" borderId="12" xfId="0" applyFont="1" applyFill="1" applyBorder="1" applyAlignment="1">
      <alignment horizontal="center" vertical="center" wrapText="1"/>
    </xf>
    <xf numFmtId="169" fontId="3" fillId="10" borderId="0" xfId="1" applyFont="1" applyFill="1"/>
    <xf numFmtId="0" fontId="3" fillId="10" borderId="0" xfId="0" applyFont="1" applyFill="1"/>
    <xf numFmtId="0" fontId="3" fillId="13" borderId="0" xfId="0" applyFont="1" applyFill="1"/>
    <xf numFmtId="169" fontId="47" fillId="10" borderId="0" xfId="1" applyFont="1" applyFill="1"/>
    <xf numFmtId="0" fontId="48" fillId="10" borderId="0" xfId="0" applyFont="1" applyFill="1" applyAlignment="1">
      <alignment horizontal="center" vertical="center"/>
    </xf>
    <xf numFmtId="9" fontId="47" fillId="10" borderId="0" xfId="6" applyFont="1" applyFill="1"/>
    <xf numFmtId="0" fontId="47" fillId="10" borderId="0" xfId="0" applyFont="1" applyFill="1"/>
    <xf numFmtId="169" fontId="4" fillId="10" borderId="0" xfId="1" applyFont="1" applyFill="1"/>
    <xf numFmtId="9" fontId="4" fillId="10" borderId="0" xfId="6" applyFont="1" applyFill="1"/>
    <xf numFmtId="169" fontId="48" fillId="10" borderId="0" xfId="1" applyFont="1" applyFill="1"/>
    <xf numFmtId="169" fontId="24" fillId="19" borderId="49" xfId="1" applyFont="1" applyFill="1" applyBorder="1" applyAlignment="1">
      <alignment horizontal="left" vertical="center" wrapText="1"/>
    </xf>
    <xf numFmtId="10" fontId="24" fillId="19" borderId="49" xfId="3" applyNumberFormat="1" applyFont="1" applyFill="1" applyBorder="1" applyAlignment="1">
      <alignment horizontal="center" vertical="center" wrapText="1"/>
    </xf>
    <xf numFmtId="169" fontId="24" fillId="19" borderId="49" xfId="3" applyNumberFormat="1" applyFont="1" applyFill="1" applyBorder="1" applyAlignment="1">
      <alignment horizontal="center" vertical="center" wrapText="1"/>
    </xf>
    <xf numFmtId="169" fontId="24" fillId="7" borderId="49" xfId="3" applyNumberFormat="1" applyFont="1" applyFill="1" applyBorder="1" applyAlignment="1">
      <alignment horizontal="center" vertical="center" wrapText="1"/>
    </xf>
    <xf numFmtId="4" fontId="24" fillId="6" borderId="53" xfId="1" applyNumberFormat="1" applyFont="1" applyFill="1" applyBorder="1" applyAlignment="1">
      <alignment horizontal="center" vertical="center" wrapText="1"/>
    </xf>
    <xf numFmtId="4" fontId="24" fillId="6" borderId="50" xfId="1" applyNumberFormat="1" applyFont="1" applyFill="1" applyBorder="1" applyAlignment="1">
      <alignment horizontal="center" vertical="center" wrapText="1"/>
    </xf>
    <xf numFmtId="171" fontId="24" fillId="19" borderId="49" xfId="1" applyNumberFormat="1" applyFont="1" applyFill="1" applyBorder="1" applyAlignment="1">
      <alignment horizontal="center" vertical="center" wrapText="1"/>
    </xf>
    <xf numFmtId="168" fontId="24" fillId="6" borderId="49" xfId="2" applyFont="1" applyFill="1" applyBorder="1" applyAlignment="1">
      <alignment horizontal="center" vertical="center" wrapText="1"/>
    </xf>
    <xf numFmtId="4" fontId="24" fillId="6" borderId="49" xfId="1" applyNumberFormat="1" applyFont="1" applyFill="1" applyBorder="1" applyAlignment="1">
      <alignment horizontal="center" vertical="center" wrapText="1"/>
    </xf>
    <xf numFmtId="169" fontId="24" fillId="6" borderId="53" xfId="1" applyFont="1" applyFill="1" applyBorder="1" applyAlignment="1">
      <alignment horizontal="center" vertical="center" wrapText="1"/>
    </xf>
    <xf numFmtId="0" fontId="22" fillId="9" borderId="50" xfId="0" applyFont="1" applyFill="1" applyBorder="1" applyAlignment="1">
      <alignment horizontal="center" vertical="center" wrapText="1"/>
    </xf>
    <xf numFmtId="169" fontId="47" fillId="10" borderId="0" xfId="1" applyFont="1" applyFill="1" applyAlignment="1">
      <alignment wrapText="1"/>
    </xf>
    <xf numFmtId="0" fontId="19" fillId="0" borderId="54" xfId="7" applyFont="1" applyBorder="1" applyAlignment="1">
      <alignment horizontal="left" vertical="center" wrapText="1"/>
    </xf>
    <xf numFmtId="9" fontId="19" fillId="0" borderId="55" xfId="6" applyFont="1" applyFill="1" applyBorder="1" applyAlignment="1">
      <alignment horizontal="center" vertical="center" wrapText="1"/>
    </xf>
    <xf numFmtId="176" fontId="14" fillId="7" borderId="42" xfId="34" applyNumberFormat="1" applyFont="1" applyFill="1" applyBorder="1" applyAlignment="1">
      <alignment horizontal="center" vertical="center" wrapText="1"/>
    </xf>
    <xf numFmtId="169" fontId="0" fillId="16" borderId="0" xfId="1" applyFont="1" applyFill="1"/>
    <xf numFmtId="9" fontId="0" fillId="16" borderId="0" xfId="6" applyFont="1" applyFill="1"/>
    <xf numFmtId="0" fontId="0" fillId="16" borderId="0" xfId="0" applyFill="1"/>
    <xf numFmtId="42" fontId="24" fillId="19" borderId="16" xfId="34" applyFont="1" applyFill="1" applyBorder="1" applyAlignment="1">
      <alignment horizontal="center" vertical="center" wrapText="1"/>
    </xf>
    <xf numFmtId="0" fontId="24" fillId="0" borderId="21" xfId="4" applyFont="1" applyBorder="1" applyAlignment="1">
      <alignment horizontal="center" vertical="center" wrapText="1"/>
    </xf>
    <xf numFmtId="169" fontId="24" fillId="0" borderId="15" xfId="1" applyFont="1" applyFill="1" applyBorder="1" applyAlignment="1">
      <alignment horizontal="left" vertical="center" wrapText="1"/>
    </xf>
    <xf numFmtId="169" fontId="24" fillId="0" borderId="16" xfId="1" applyFont="1" applyFill="1" applyBorder="1" applyAlignment="1">
      <alignment horizontal="center" vertical="center" wrapText="1"/>
    </xf>
    <xf numFmtId="169" fontId="24" fillId="0" borderId="15" xfId="1" applyFont="1" applyFill="1" applyBorder="1" applyAlignment="1">
      <alignment horizontal="center" vertical="center" wrapText="1"/>
    </xf>
    <xf numFmtId="3" fontId="24" fillId="0" borderId="15" xfId="1" applyNumberFormat="1" applyFont="1" applyFill="1" applyBorder="1" applyAlignment="1">
      <alignment horizontal="center" vertical="center" wrapText="1"/>
    </xf>
    <xf numFmtId="4" fontId="24" fillId="0" borderId="17" xfId="1" applyNumberFormat="1" applyFont="1" applyFill="1" applyBorder="1" applyAlignment="1">
      <alignment horizontal="center" vertical="center" wrapText="1"/>
    </xf>
    <xf numFmtId="169" fontId="0" fillId="0" borderId="0" xfId="1" applyFont="1" applyFill="1"/>
    <xf numFmtId="9" fontId="0" fillId="0" borderId="0" xfId="6" applyFont="1" applyFill="1"/>
    <xf numFmtId="0" fontId="48" fillId="0" borderId="0" xfId="0" applyFont="1" applyAlignment="1">
      <alignment horizontal="center" vertical="center"/>
    </xf>
    <xf numFmtId="169" fontId="24" fillId="20" borderId="16" xfId="0" applyNumberFormat="1" applyFont="1" applyFill="1" applyBorder="1" applyAlignment="1">
      <alignment horizontal="center" vertical="center" wrapText="1"/>
    </xf>
    <xf numFmtId="0" fontId="24" fillId="0" borderId="48" xfId="4" applyFont="1" applyBorder="1" applyAlignment="1">
      <alignment horizontal="center" vertical="center" wrapText="1"/>
    </xf>
    <xf numFmtId="169" fontId="24" fillId="0" borderId="49" xfId="1" applyFont="1" applyFill="1" applyBorder="1" applyAlignment="1">
      <alignment horizontal="left" vertical="center" wrapText="1"/>
    </xf>
    <xf numFmtId="10" fontId="24" fillId="0" borderId="49" xfId="3" applyNumberFormat="1" applyFont="1" applyBorder="1" applyAlignment="1">
      <alignment horizontal="center" vertical="center" wrapText="1"/>
    </xf>
    <xf numFmtId="169" fontId="24" fillId="0" borderId="49" xfId="3" applyNumberFormat="1" applyFont="1" applyBorder="1" applyAlignment="1">
      <alignment horizontal="center" vertical="center" wrapText="1"/>
    </xf>
    <xf numFmtId="169" fontId="24" fillId="0" borderId="12" xfId="3" applyNumberFormat="1" applyFont="1" applyBorder="1" applyAlignment="1">
      <alignment horizontal="center" vertical="center" wrapText="1"/>
    </xf>
    <xf numFmtId="4" fontId="24" fillId="0" borderId="56" xfId="1" applyNumberFormat="1" applyFont="1" applyFill="1" applyBorder="1" applyAlignment="1">
      <alignment horizontal="center" vertical="center" wrapText="1"/>
    </xf>
    <xf numFmtId="4" fontId="24" fillId="0" borderId="13" xfId="1" applyNumberFormat="1" applyFont="1" applyFill="1" applyBorder="1" applyAlignment="1">
      <alignment horizontal="center" vertical="center" wrapText="1"/>
    </xf>
    <xf numFmtId="0" fontId="50" fillId="10" borderId="0" xfId="0" applyFont="1" applyFill="1"/>
    <xf numFmtId="0" fontId="51" fillId="10" borderId="0" xfId="0" applyFont="1" applyFill="1"/>
    <xf numFmtId="4" fontId="52" fillId="0" borderId="0" xfId="0" applyNumberFormat="1" applyFont="1"/>
    <xf numFmtId="0" fontId="47" fillId="10" borderId="0" xfId="0" applyFont="1" applyFill="1" applyAlignment="1">
      <alignment horizontal="center" vertical="center"/>
    </xf>
    <xf numFmtId="0" fontId="25" fillId="10" borderId="2" xfId="0" applyFont="1" applyFill="1" applyBorder="1" applyAlignment="1">
      <alignment horizontal="center" vertical="center" wrapText="1"/>
    </xf>
    <xf numFmtId="171" fontId="21" fillId="10" borderId="10" xfId="1" applyNumberFormat="1" applyFont="1" applyFill="1" applyBorder="1" applyAlignment="1">
      <alignment horizontal="center" vertical="center"/>
    </xf>
    <xf numFmtId="0" fontId="0" fillId="10" borderId="2" xfId="0" applyFill="1" applyBorder="1"/>
    <xf numFmtId="167" fontId="5" fillId="10" borderId="10" xfId="0" applyNumberFormat="1" applyFont="1" applyFill="1" applyBorder="1" applyAlignment="1">
      <alignment horizontal="center"/>
    </xf>
    <xf numFmtId="4" fontId="24" fillId="6" borderId="12" xfId="1" applyNumberFormat="1" applyFont="1" applyFill="1" applyBorder="1" applyAlignment="1">
      <alignment horizontal="center" vertical="center" wrapText="1"/>
    </xf>
    <xf numFmtId="4" fontId="24" fillId="6" borderId="56" xfId="1" applyNumberFormat="1" applyFont="1" applyFill="1" applyBorder="1" applyAlignment="1">
      <alignment horizontal="center" vertical="center" wrapText="1"/>
    </xf>
    <xf numFmtId="4" fontId="24" fillId="6" borderId="13" xfId="1" applyNumberFormat="1" applyFont="1" applyFill="1" applyBorder="1" applyAlignment="1">
      <alignment horizontal="center" vertical="center" wrapText="1"/>
    </xf>
    <xf numFmtId="169" fontId="50" fillId="10" borderId="0" xfId="1" applyFont="1" applyFill="1" applyBorder="1"/>
    <xf numFmtId="9" fontId="50" fillId="10" borderId="0" xfId="6" applyFont="1" applyFill="1" applyBorder="1"/>
    <xf numFmtId="169" fontId="51" fillId="10" borderId="0" xfId="1" applyFont="1" applyFill="1"/>
    <xf numFmtId="9" fontId="51" fillId="10" borderId="0" xfId="6" applyFont="1" applyFill="1"/>
    <xf numFmtId="169" fontId="47" fillId="10" borderId="0" xfId="1" applyFont="1" applyFill="1" applyAlignment="1">
      <alignment horizontal="center" vertical="center"/>
    </xf>
    <xf numFmtId="9" fontId="47" fillId="10" borderId="0" xfId="6" applyFont="1" applyFill="1" applyAlignment="1">
      <alignment horizontal="center" vertical="center"/>
    </xf>
    <xf numFmtId="0" fontId="51" fillId="21" borderId="0" xfId="0" applyFont="1" applyFill="1"/>
    <xf numFmtId="0" fontId="51" fillId="0" borderId="0" xfId="0" applyFont="1"/>
    <xf numFmtId="169" fontId="0" fillId="0" borderId="0" xfId="1" applyFont="1" applyFill="1" applyBorder="1"/>
    <xf numFmtId="9" fontId="0" fillId="0" borderId="0" xfId="6" applyFont="1" applyFill="1" applyBorder="1"/>
    <xf numFmtId="3" fontId="24" fillId="19" borderId="49" xfId="1" applyNumberFormat="1" applyFont="1" applyFill="1" applyBorder="1" applyAlignment="1">
      <alignment horizontal="center" vertical="center" wrapText="1"/>
    </xf>
    <xf numFmtId="168" fontId="24" fillId="6" borderId="12" xfId="2" applyFont="1" applyFill="1" applyBorder="1" applyAlignment="1">
      <alignment horizontal="center" vertical="center" wrapText="1"/>
    </xf>
    <xf numFmtId="169" fontId="24" fillId="6" borderId="56" xfId="1" applyFont="1" applyFill="1" applyBorder="1" applyAlignment="1">
      <alignment horizontal="center" vertical="center" wrapText="1"/>
    </xf>
    <xf numFmtId="169" fontId="24" fillId="20" borderId="16" xfId="0" applyNumberFormat="1" applyFont="1" applyFill="1" applyBorder="1" applyAlignment="1">
      <alignment horizontal="center" wrapText="1"/>
    </xf>
    <xf numFmtId="0" fontId="51" fillId="10" borderId="0" xfId="0" applyFont="1" applyFill="1" applyAlignment="1">
      <alignment horizontal="center" vertical="center" wrapText="1"/>
    </xf>
    <xf numFmtId="0" fontId="51" fillId="10" borderId="0" xfId="0" applyFont="1" applyFill="1" applyAlignment="1">
      <alignment vertical="center" wrapText="1"/>
    </xf>
    <xf numFmtId="0" fontId="51" fillId="10" borderId="0" xfId="0" applyFont="1" applyFill="1" applyAlignment="1">
      <alignment wrapText="1"/>
    </xf>
    <xf numFmtId="0" fontId="5" fillId="0" borderId="0" xfId="0" applyFont="1" applyAlignment="1" applyProtection="1">
      <alignment horizontal="left" vertical="top" wrapText="1"/>
      <protection locked="0"/>
    </xf>
    <xf numFmtId="0" fontId="0" fillId="0" borderId="0" xfId="0" applyAlignment="1">
      <alignment horizontal="left" vertical="top" wrapText="1"/>
    </xf>
    <xf numFmtId="0" fontId="4" fillId="3" borderId="28" xfId="0" applyFont="1" applyFill="1" applyBorder="1" applyAlignment="1">
      <alignment horizontal="center"/>
    </xf>
    <xf numFmtId="0" fontId="4" fillId="3" borderId="29" xfId="0" applyFont="1" applyFill="1" applyBorder="1" applyAlignment="1">
      <alignment horizontal="center"/>
    </xf>
    <xf numFmtId="0" fontId="4" fillId="3" borderId="30" xfId="0" applyFont="1" applyFill="1" applyBorder="1" applyAlignment="1">
      <alignment horizontal="center"/>
    </xf>
    <xf numFmtId="9" fontId="4" fillId="3" borderId="5" xfId="6" applyFont="1" applyFill="1" applyBorder="1" applyAlignment="1">
      <alignment horizontal="center" vertical="center" wrapText="1"/>
    </xf>
    <xf numFmtId="9" fontId="4" fillId="3" borderId="8" xfId="6" applyFont="1" applyFill="1" applyBorder="1" applyAlignment="1">
      <alignment horizontal="center" vertical="center" wrapText="1"/>
    </xf>
    <xf numFmtId="9" fontId="4" fillId="3" borderId="3" xfId="6" applyFont="1" applyFill="1" applyBorder="1" applyAlignment="1">
      <alignment horizontal="center" vertical="center" wrapText="1"/>
    </xf>
    <xf numFmtId="9" fontId="4" fillId="3" borderId="9" xfId="6" applyFont="1" applyFill="1" applyBorder="1" applyAlignment="1">
      <alignment horizontal="center" vertical="center" wrapText="1"/>
    </xf>
    <xf numFmtId="9" fontId="4" fillId="3" borderId="19" xfId="6" quotePrefix="1" applyFont="1" applyFill="1" applyBorder="1" applyAlignment="1">
      <alignment horizontal="center" vertical="center"/>
    </xf>
    <xf numFmtId="9" fontId="4" fillId="3" borderId="31" xfId="6" quotePrefix="1" applyFont="1" applyFill="1" applyBorder="1" applyAlignment="1">
      <alignment horizontal="center" vertical="center"/>
    </xf>
    <xf numFmtId="0" fontId="4" fillId="3" borderId="21" xfId="0" quotePrefix="1" applyFont="1" applyFill="1" applyBorder="1" applyAlignment="1">
      <alignment horizontal="center"/>
    </xf>
    <xf numFmtId="0" fontId="4" fillId="3" borderId="15" xfId="0" applyFont="1" applyFill="1" applyBorder="1" applyAlignment="1">
      <alignment horizontal="center"/>
    </xf>
    <xf numFmtId="0" fontId="4" fillId="3" borderId="16" xfId="0" applyFont="1" applyFill="1" applyBorder="1" applyAlignment="1">
      <alignment horizontal="center"/>
    </xf>
    <xf numFmtId="1" fontId="6" fillId="0" borderId="21" xfId="0" applyNumberFormat="1" applyFont="1" applyBorder="1" applyAlignment="1">
      <alignment horizontal="center" vertical="center"/>
    </xf>
    <xf numFmtId="1" fontId="6" fillId="0" borderId="14" xfId="0" applyNumberFormat="1" applyFont="1" applyBorder="1" applyAlignment="1">
      <alignment horizontal="center" vertical="center"/>
    </xf>
    <xf numFmtId="0" fontId="4" fillId="10" borderId="33" xfId="0" applyFont="1" applyFill="1" applyBorder="1" applyAlignment="1">
      <alignment horizontal="center" vertical="center"/>
    </xf>
    <xf numFmtId="0" fontId="4" fillId="10" borderId="20" xfId="0" applyFont="1" applyFill="1" applyBorder="1" applyAlignment="1">
      <alignment horizontal="center" vertical="center"/>
    </xf>
    <xf numFmtId="0" fontId="4" fillId="10" borderId="34" xfId="0" applyFont="1" applyFill="1" applyBorder="1" applyAlignment="1">
      <alignment horizontal="center" vertical="center"/>
    </xf>
    <xf numFmtId="167" fontId="17" fillId="4" borderId="33" xfId="0" applyNumberFormat="1" applyFont="1" applyFill="1" applyBorder="1" applyAlignment="1">
      <alignment horizontal="center" vertical="center" wrapText="1"/>
    </xf>
    <xf numFmtId="167" fontId="17" fillId="4" borderId="34" xfId="0" applyNumberFormat="1" applyFont="1" applyFill="1" applyBorder="1" applyAlignment="1">
      <alignment horizontal="center" vertical="center" wrapText="1"/>
    </xf>
    <xf numFmtId="0" fontId="19" fillId="3" borderId="5" xfId="0" quotePrefix="1" applyFont="1" applyFill="1" applyBorder="1" applyAlignment="1">
      <alignment horizontal="center" vertical="center" wrapText="1"/>
    </xf>
    <xf numFmtId="0" fontId="19" fillId="3" borderId="8" xfId="0" quotePrefix="1" applyFont="1" applyFill="1" applyBorder="1" applyAlignment="1">
      <alignment horizontal="center" vertical="center" wrapText="1"/>
    </xf>
    <xf numFmtId="0" fontId="17" fillId="3" borderId="32" xfId="0" applyFont="1" applyFill="1" applyBorder="1" applyAlignment="1">
      <alignment horizontal="center" vertical="center" wrapText="1"/>
    </xf>
    <xf numFmtId="0" fontId="17" fillId="3" borderId="31" xfId="0" applyFont="1" applyFill="1" applyBorder="1" applyAlignment="1">
      <alignment horizontal="center" vertical="center" wrapText="1"/>
    </xf>
    <xf numFmtId="0" fontId="17" fillId="3" borderId="28" xfId="0" applyFont="1" applyFill="1" applyBorder="1" applyAlignment="1">
      <alignment horizontal="center" vertical="center" wrapText="1"/>
    </xf>
    <xf numFmtId="0" fontId="17" fillId="3" borderId="30" xfId="0" applyFont="1" applyFill="1" applyBorder="1" applyAlignment="1">
      <alignment horizontal="center" vertical="center" wrapText="1"/>
    </xf>
    <xf numFmtId="167" fontId="17" fillId="13" borderId="19" xfId="0" applyNumberFormat="1" applyFont="1" applyFill="1" applyBorder="1" applyAlignment="1">
      <alignment horizontal="center" vertical="center" wrapText="1"/>
    </xf>
    <xf numFmtId="167" fontId="17" fillId="13" borderId="32" xfId="0" applyNumberFormat="1" applyFont="1" applyFill="1" applyBorder="1" applyAlignment="1">
      <alignment horizontal="center" vertical="center" wrapText="1"/>
    </xf>
    <xf numFmtId="167" fontId="17" fillId="13" borderId="31" xfId="0" applyNumberFormat="1" applyFont="1" applyFill="1" applyBorder="1" applyAlignment="1">
      <alignment horizontal="center" vertical="center" wrapText="1"/>
    </xf>
    <xf numFmtId="0" fontId="17" fillId="3" borderId="32" xfId="0" quotePrefix="1" applyFont="1" applyFill="1" applyBorder="1" applyAlignment="1">
      <alignment horizontal="center" vertical="center" wrapText="1"/>
    </xf>
    <xf numFmtId="169" fontId="17" fillId="3" borderId="32" xfId="1" applyFont="1" applyFill="1" applyBorder="1" applyAlignment="1">
      <alignment horizontal="center" vertical="center" wrapText="1"/>
    </xf>
    <xf numFmtId="167" fontId="17" fillId="3" borderId="32" xfId="0" applyNumberFormat="1" applyFont="1" applyFill="1" applyBorder="1" applyAlignment="1">
      <alignment horizontal="center" vertical="center" wrapText="1"/>
    </xf>
    <xf numFmtId="0" fontId="17" fillId="3" borderId="19" xfId="0" applyFont="1" applyFill="1" applyBorder="1" applyAlignment="1">
      <alignment horizontal="center" vertical="center" textRotation="90"/>
    </xf>
    <xf numFmtId="0" fontId="17" fillId="3" borderId="32" xfId="0" applyFont="1" applyFill="1" applyBorder="1" applyAlignment="1">
      <alignment horizontal="center" vertical="center" textRotation="90"/>
    </xf>
    <xf numFmtId="0" fontId="17" fillId="3" borderId="31" xfId="0" applyFont="1" applyFill="1" applyBorder="1" applyAlignment="1">
      <alignment horizontal="center" vertical="center" textRotation="90"/>
    </xf>
    <xf numFmtId="0" fontId="17" fillId="3" borderId="8" xfId="0" applyFont="1" applyFill="1" applyBorder="1" applyAlignment="1">
      <alignment horizontal="center" vertical="center" textRotation="90"/>
    </xf>
    <xf numFmtId="0" fontId="17" fillId="3" borderId="10" xfId="0" applyFont="1" applyFill="1" applyBorder="1" applyAlignment="1">
      <alignment horizontal="center" vertical="center" textRotation="90"/>
    </xf>
    <xf numFmtId="0" fontId="17" fillId="3" borderId="9" xfId="0" applyFont="1" applyFill="1" applyBorder="1" applyAlignment="1">
      <alignment horizontal="center" vertical="center" textRotation="90"/>
    </xf>
    <xf numFmtId="9" fontId="17" fillId="3" borderId="19" xfId="6" applyFont="1" applyFill="1" applyBorder="1" applyAlignment="1">
      <alignment horizontal="center" vertical="center" wrapText="1"/>
    </xf>
    <xf numFmtId="9" fontId="17" fillId="3" borderId="32" xfId="6" applyFont="1" applyFill="1" applyBorder="1" applyAlignment="1">
      <alignment horizontal="center" vertical="center" wrapText="1"/>
    </xf>
    <xf numFmtId="0" fontId="18" fillId="4" borderId="33" xfId="0" applyFont="1" applyFill="1" applyBorder="1" applyAlignment="1">
      <alignment horizontal="center" vertical="center" wrapText="1"/>
    </xf>
    <xf numFmtId="0" fontId="18" fillId="4" borderId="20" xfId="0" applyFont="1" applyFill="1" applyBorder="1" applyAlignment="1">
      <alignment horizontal="center" vertical="center" wrapText="1"/>
    </xf>
    <xf numFmtId="0" fontId="18" fillId="4" borderId="34" xfId="0" applyFont="1" applyFill="1" applyBorder="1" applyAlignment="1">
      <alignment horizontal="center" vertical="center" wrapText="1"/>
    </xf>
    <xf numFmtId="0" fontId="17" fillId="4" borderId="33" xfId="0" applyFont="1" applyFill="1" applyBorder="1" applyAlignment="1">
      <alignment horizontal="center" vertical="center"/>
    </xf>
    <xf numFmtId="0" fontId="17" fillId="4" borderId="20" xfId="0" applyFont="1" applyFill="1" applyBorder="1" applyAlignment="1">
      <alignment horizontal="center" vertical="center"/>
    </xf>
    <xf numFmtId="0" fontId="19" fillId="3" borderId="19" xfId="0" applyFont="1" applyFill="1" applyBorder="1" applyAlignment="1">
      <alignment horizontal="center" vertical="center" textRotation="90" wrapText="1"/>
    </xf>
    <xf numFmtId="0" fontId="0" fillId="0" borderId="32" xfId="0" applyBorder="1" applyAlignment="1">
      <alignment textRotation="90"/>
    </xf>
    <xf numFmtId="0" fontId="17" fillId="13" borderId="19" xfId="0" applyFont="1" applyFill="1" applyBorder="1" applyAlignment="1">
      <alignment horizontal="center" vertical="center" textRotation="90"/>
    </xf>
    <xf numFmtId="0" fontId="17" fillId="13" borderId="32" xfId="0" applyFont="1" applyFill="1" applyBorder="1" applyAlignment="1">
      <alignment horizontal="center" vertical="center" textRotation="90"/>
    </xf>
    <xf numFmtId="0" fontId="17" fillId="13" borderId="31" xfId="0" applyFont="1" applyFill="1" applyBorder="1" applyAlignment="1">
      <alignment horizontal="center" vertical="center" textRotation="90"/>
    </xf>
    <xf numFmtId="9" fontId="17" fillId="8" borderId="19" xfId="6" applyFont="1" applyFill="1" applyBorder="1" applyAlignment="1">
      <alignment horizontal="center" vertical="center" wrapText="1"/>
    </xf>
    <xf numFmtId="9" fontId="17" fillId="8" borderId="32" xfId="6" applyFont="1" applyFill="1" applyBorder="1" applyAlignment="1">
      <alignment horizontal="center" vertical="center" wrapText="1"/>
    </xf>
    <xf numFmtId="0" fontId="17" fillId="3" borderId="19" xfId="0" applyFont="1" applyFill="1" applyBorder="1" applyAlignment="1">
      <alignment horizontal="center" vertical="center" wrapText="1"/>
    </xf>
    <xf numFmtId="9" fontId="17" fillId="3" borderId="10" xfId="6" applyFont="1" applyFill="1" applyBorder="1" applyAlignment="1">
      <alignment horizontal="center" vertical="center" wrapText="1"/>
    </xf>
    <xf numFmtId="4" fontId="19" fillId="14" borderId="22" xfId="3" applyNumberFormat="1" applyFont="1" applyFill="1" applyBorder="1" applyAlignment="1">
      <alignment horizontal="center" vertical="center" wrapText="1"/>
    </xf>
    <xf numFmtId="4" fontId="19" fillId="14" borderId="41" xfId="3" applyNumberFormat="1" applyFont="1" applyFill="1" applyBorder="1" applyAlignment="1">
      <alignment horizontal="center" vertical="center" wrapText="1"/>
    </xf>
    <xf numFmtId="0" fontId="19" fillId="14" borderId="39" xfId="3" applyFont="1" applyFill="1" applyBorder="1" applyAlignment="1">
      <alignment horizontal="center" vertical="center" wrapText="1"/>
    </xf>
    <xf numFmtId="0" fontId="19" fillId="14" borderId="30" xfId="3" applyFont="1" applyFill="1" applyBorder="1" applyAlignment="1">
      <alignment horizontal="center" vertical="center" wrapText="1"/>
    </xf>
    <xf numFmtId="0" fontId="19" fillId="14" borderId="35" xfId="4" applyFont="1" applyFill="1" applyBorder="1" applyAlignment="1">
      <alignment horizontal="center" vertical="center" textRotation="90" wrapText="1"/>
    </xf>
    <xf numFmtId="0" fontId="19" fillId="14" borderId="40" xfId="4" applyFont="1" applyFill="1" applyBorder="1" applyAlignment="1">
      <alignment horizontal="center" vertical="center" textRotation="90" wrapText="1"/>
    </xf>
    <xf numFmtId="9" fontId="17" fillId="14" borderId="22" xfId="6" applyFont="1" applyFill="1" applyBorder="1" applyAlignment="1">
      <alignment horizontal="center" vertical="center" wrapText="1"/>
    </xf>
    <xf numFmtId="9" fontId="17" fillId="14" borderId="41" xfId="6" applyFont="1" applyFill="1" applyBorder="1" applyAlignment="1">
      <alignment horizontal="center" vertical="center" wrapText="1"/>
    </xf>
    <xf numFmtId="0" fontId="29" fillId="10" borderId="0" xfId="0" applyFont="1" applyFill="1" applyAlignment="1">
      <alignment horizontal="center" vertical="center" wrapText="1"/>
    </xf>
    <xf numFmtId="0" fontId="32" fillId="10" borderId="0" xfId="0" applyFont="1" applyFill="1" applyAlignment="1">
      <alignment horizontal="center" vertical="center" wrapText="1"/>
    </xf>
    <xf numFmtId="0" fontId="4" fillId="10" borderId="0" xfId="0" applyFont="1" applyFill="1" applyAlignment="1">
      <alignment horizontal="center" vertical="center" wrapText="1"/>
    </xf>
    <xf numFmtId="0" fontId="19" fillId="14" borderId="22" xfId="3" applyFont="1" applyFill="1" applyBorder="1" applyAlignment="1">
      <alignment horizontal="center" vertical="center" wrapText="1"/>
    </xf>
    <xf numFmtId="0" fontId="19" fillId="14" borderId="41" xfId="3" applyFont="1" applyFill="1" applyBorder="1" applyAlignment="1">
      <alignment horizontal="center" vertical="center" wrapText="1"/>
    </xf>
    <xf numFmtId="0" fontId="48" fillId="10" borderId="2" xfId="0" applyFont="1" applyFill="1" applyBorder="1" applyAlignment="1">
      <alignment horizontal="center"/>
    </xf>
    <xf numFmtId="0" fontId="48" fillId="10" borderId="0" xfId="0" applyFont="1" applyFill="1" applyAlignment="1">
      <alignment horizontal="center"/>
    </xf>
    <xf numFmtId="0" fontId="51" fillId="10" borderId="2" xfId="0" applyFont="1" applyFill="1" applyBorder="1" applyAlignment="1">
      <alignment horizontal="center"/>
    </xf>
    <xf numFmtId="0" fontId="51" fillId="10" borderId="0" xfId="0" applyFont="1" applyFill="1" applyAlignment="1">
      <alignment horizontal="center"/>
    </xf>
    <xf numFmtId="0" fontId="23" fillId="10" borderId="0" xfId="0" applyFont="1" applyFill="1" applyAlignment="1">
      <alignment horizontal="center" wrapText="1"/>
    </xf>
    <xf numFmtId="0" fontId="19" fillId="14" borderId="37" xfId="3" applyFont="1" applyFill="1" applyBorder="1" applyAlignment="1">
      <alignment horizontal="center" vertical="center" wrapText="1"/>
    </xf>
    <xf numFmtId="0" fontId="19" fillId="14" borderId="38" xfId="3" applyFont="1" applyFill="1" applyBorder="1" applyAlignment="1">
      <alignment horizontal="center" vertical="center" wrapText="1"/>
    </xf>
    <xf numFmtId="169" fontId="48" fillId="10" borderId="0" xfId="1" applyFont="1" applyFill="1" applyAlignment="1">
      <alignment horizontal="center"/>
    </xf>
    <xf numFmtId="169" fontId="47" fillId="10" borderId="0" xfId="1" applyFont="1" applyFill="1" applyAlignment="1">
      <alignment horizontal="center"/>
    </xf>
    <xf numFmtId="169" fontId="3" fillId="10" borderId="0" xfId="1" applyFont="1" applyFill="1" applyAlignment="1">
      <alignment horizontal="center"/>
    </xf>
    <xf numFmtId="169" fontId="0" fillId="10" borderId="0" xfId="1" applyFont="1" applyFill="1" applyAlignment="1">
      <alignment horizontal="center"/>
    </xf>
    <xf numFmtId="0" fontId="19" fillId="3" borderId="35" xfId="4" applyFont="1" applyFill="1" applyBorder="1" applyAlignment="1">
      <alignment horizontal="center" vertical="center" textRotation="90" wrapText="1"/>
    </xf>
    <xf numFmtId="0" fontId="19" fillId="3" borderId="36" xfId="4" applyFont="1" applyFill="1" applyBorder="1" applyAlignment="1">
      <alignment horizontal="center" vertical="center" textRotation="90" wrapText="1"/>
    </xf>
    <xf numFmtId="0" fontId="19" fillId="3" borderId="40" xfId="4" applyFont="1" applyFill="1" applyBorder="1" applyAlignment="1">
      <alignment horizontal="center" vertical="center" textRotation="90" wrapText="1"/>
    </xf>
    <xf numFmtId="9" fontId="17" fillId="3" borderId="22" xfId="6" applyFont="1" applyFill="1" applyBorder="1" applyAlignment="1">
      <alignment horizontal="center" vertical="center" wrapText="1"/>
    </xf>
    <xf numFmtId="9" fontId="17" fillId="3" borderId="25" xfId="6" applyFont="1" applyFill="1" applyBorder="1" applyAlignment="1">
      <alignment horizontal="center" vertical="center" wrapText="1"/>
    </xf>
    <xf numFmtId="9" fontId="17" fillId="3" borderId="41" xfId="6" applyFont="1" applyFill="1" applyBorder="1" applyAlignment="1">
      <alignment horizontal="center" vertical="center" wrapText="1"/>
    </xf>
    <xf numFmtId="171" fontId="17" fillId="3" borderId="22" xfId="1" applyNumberFormat="1" applyFont="1" applyFill="1" applyBorder="1" applyAlignment="1">
      <alignment horizontal="center" vertical="center" textRotation="90"/>
    </xf>
    <xf numFmtId="171" fontId="17" fillId="3" borderId="25" xfId="1" applyNumberFormat="1" applyFont="1" applyFill="1" applyBorder="1" applyAlignment="1">
      <alignment horizontal="center" vertical="center" textRotation="90"/>
    </xf>
    <xf numFmtId="171" fontId="17" fillId="3" borderId="41" xfId="1" applyNumberFormat="1" applyFont="1" applyFill="1" applyBorder="1" applyAlignment="1">
      <alignment horizontal="center" vertical="center" textRotation="90"/>
    </xf>
    <xf numFmtId="0" fontId="17" fillId="3" borderId="22" xfId="0" applyFont="1" applyFill="1" applyBorder="1" applyAlignment="1">
      <alignment horizontal="center" vertical="center" textRotation="90" wrapText="1"/>
    </xf>
    <xf numFmtId="0" fontId="17" fillId="3" borderId="25" xfId="0" applyFont="1" applyFill="1" applyBorder="1" applyAlignment="1">
      <alignment horizontal="center" vertical="center" textRotation="90" wrapText="1"/>
    </xf>
    <xf numFmtId="0" fontId="17" fillId="3" borderId="41" xfId="0" applyFont="1" applyFill="1" applyBorder="1" applyAlignment="1">
      <alignment horizontal="center" vertical="center" textRotation="90" wrapText="1"/>
    </xf>
    <xf numFmtId="4" fontId="19" fillId="3" borderId="24" xfId="3" applyNumberFormat="1" applyFont="1" applyFill="1" applyBorder="1" applyAlignment="1">
      <alignment horizontal="center" vertical="center" wrapText="1"/>
    </xf>
    <xf numFmtId="4" fontId="19" fillId="3" borderId="41" xfId="3" applyNumberFormat="1" applyFont="1" applyFill="1" applyBorder="1" applyAlignment="1">
      <alignment horizontal="center" vertical="center" wrapText="1"/>
    </xf>
    <xf numFmtId="0" fontId="19" fillId="11" borderId="24" xfId="3" applyFont="1" applyFill="1" applyBorder="1" applyAlignment="1">
      <alignment horizontal="center" vertical="center" wrapText="1"/>
    </xf>
    <xf numFmtId="0" fontId="19" fillId="11" borderId="41" xfId="3" applyFont="1" applyFill="1" applyBorder="1" applyAlignment="1">
      <alignment horizontal="center" vertical="center" wrapText="1"/>
    </xf>
    <xf numFmtId="0" fontId="19" fillId="3" borderId="24" xfId="3" applyFont="1" applyFill="1" applyBorder="1" applyAlignment="1">
      <alignment horizontal="center" vertical="center" wrapText="1"/>
    </xf>
    <xf numFmtId="0" fontId="19" fillId="3" borderId="41" xfId="3" applyFont="1" applyFill="1" applyBorder="1" applyAlignment="1">
      <alignment horizontal="center" vertical="center" wrapText="1"/>
    </xf>
    <xf numFmtId="0" fontId="4" fillId="15" borderId="27" xfId="3" applyFont="1" applyFill="1" applyBorder="1" applyAlignment="1">
      <alignment horizontal="center" vertical="center" wrapText="1"/>
    </xf>
    <xf numFmtId="0" fontId="4" fillId="15" borderId="38" xfId="3" applyFont="1" applyFill="1" applyBorder="1" applyAlignment="1">
      <alignment horizontal="center" vertical="center" wrapText="1"/>
    </xf>
    <xf numFmtId="0" fontId="24" fillId="0" borderId="0" xfId="7" applyFont="1" applyAlignment="1">
      <alignment horizontal="left"/>
    </xf>
    <xf numFmtId="0" fontId="25" fillId="0" borderId="0" xfId="7" applyFont="1" applyAlignment="1">
      <alignment horizontal="left" vertical="center" wrapText="1"/>
    </xf>
    <xf numFmtId="0" fontId="41" fillId="19" borderId="35" xfId="7" applyFont="1" applyFill="1" applyBorder="1" applyAlignment="1">
      <alignment horizontal="center" vertical="center" wrapText="1"/>
    </xf>
    <xf numFmtId="0" fontId="41" fillId="19" borderId="40" xfId="7" applyFont="1" applyFill="1" applyBorder="1" applyAlignment="1">
      <alignment horizontal="center" vertical="center" wrapText="1"/>
    </xf>
    <xf numFmtId="0" fontId="41" fillId="19" borderId="22" xfId="7" applyFont="1" applyFill="1" applyBorder="1" applyAlignment="1">
      <alignment horizontal="center" vertical="center" wrapText="1"/>
    </xf>
    <xf numFmtId="0" fontId="41" fillId="19" borderId="41" xfId="7" applyFont="1" applyFill="1" applyBorder="1" applyAlignment="1">
      <alignment horizontal="center" vertical="center" wrapText="1"/>
    </xf>
    <xf numFmtId="169" fontId="41" fillId="19" borderId="22" xfId="1" applyFont="1" applyFill="1" applyBorder="1" applyAlignment="1">
      <alignment horizontal="center" vertical="center" wrapText="1"/>
    </xf>
    <xf numFmtId="169" fontId="41" fillId="19" borderId="41" xfId="1" applyFont="1" applyFill="1" applyBorder="1" applyAlignment="1">
      <alignment horizontal="center" vertical="center" wrapText="1"/>
    </xf>
    <xf numFmtId="169" fontId="41" fillId="19" borderId="37" xfId="1" applyFont="1" applyFill="1" applyBorder="1" applyAlignment="1">
      <alignment horizontal="center" vertical="center" wrapText="1"/>
    </xf>
    <xf numFmtId="169" fontId="41" fillId="19" borderId="38" xfId="1" applyFont="1" applyFill="1" applyBorder="1" applyAlignment="1">
      <alignment horizontal="center" vertical="center" wrapText="1"/>
    </xf>
    <xf numFmtId="0" fontId="24" fillId="0" borderId="48" xfId="7" applyFont="1" applyBorder="1" applyAlignment="1">
      <alignment horizontal="right" vertical="center"/>
    </xf>
    <xf numFmtId="0" fontId="24" fillId="0" borderId="49" xfId="7" applyFont="1" applyBorder="1" applyAlignment="1">
      <alignment horizontal="right" vertical="center"/>
    </xf>
    <xf numFmtId="0" fontId="24" fillId="0" borderId="33" xfId="7" applyFont="1" applyBorder="1" applyAlignment="1">
      <alignment horizontal="left" wrapText="1"/>
    </xf>
    <xf numFmtId="0" fontId="24" fillId="0" borderId="20" xfId="7" applyFont="1" applyBorder="1" applyAlignment="1">
      <alignment horizontal="left" wrapText="1"/>
    </xf>
    <xf numFmtId="0" fontId="24" fillId="0" borderId="34" xfId="7" applyFont="1" applyBorder="1" applyAlignment="1">
      <alignment horizontal="left" wrapText="1"/>
    </xf>
    <xf numFmtId="0" fontId="24" fillId="0" borderId="48" xfId="7" applyFont="1" applyBorder="1" applyAlignment="1">
      <alignment horizontal="left" vertical="top" wrapText="1"/>
    </xf>
    <xf numFmtId="0" fontId="24" fillId="0" borderId="49" xfId="7" applyFont="1" applyBorder="1" applyAlignment="1">
      <alignment horizontal="left" vertical="top" wrapText="1"/>
    </xf>
    <xf numFmtId="0" fontId="24" fillId="0" borderId="50" xfId="7" applyFont="1" applyBorder="1" applyAlignment="1">
      <alignment horizontal="left" vertical="top" wrapText="1"/>
    </xf>
    <xf numFmtId="0" fontId="24" fillId="0" borderId="48" xfId="7" applyFont="1" applyBorder="1" applyAlignment="1">
      <alignment horizontal="left" vertical="center" wrapText="1"/>
    </xf>
    <xf numFmtId="0" fontId="24" fillId="0" borderId="49" xfId="7" applyFont="1" applyBorder="1" applyAlignment="1">
      <alignment horizontal="left" vertical="center" wrapText="1"/>
    </xf>
    <xf numFmtId="0" fontId="24" fillId="0" borderId="50" xfId="7" applyFont="1" applyBorder="1" applyAlignment="1">
      <alignment horizontal="left" vertical="center" wrapText="1"/>
    </xf>
    <xf numFmtId="0" fontId="24" fillId="0" borderId="48" xfId="7" applyFont="1" applyBorder="1" applyAlignment="1">
      <alignment vertical="center" wrapText="1"/>
    </xf>
    <xf numFmtId="0" fontId="24" fillId="0" borderId="49" xfId="7" applyFont="1" applyBorder="1" applyAlignment="1">
      <alignment vertical="center" wrapText="1"/>
    </xf>
    <xf numFmtId="0" fontId="24" fillId="0" borderId="50" xfId="7" applyFont="1" applyBorder="1" applyAlignment="1">
      <alignment vertical="center" wrapText="1"/>
    </xf>
  </cellXfs>
  <cellStyles count="35">
    <cellStyle name="Millares" xfId="1" builtinId="3"/>
    <cellStyle name="Millares [0]" xfId="33" builtinId="6"/>
    <cellStyle name="Millares 12" xfId="30" xr:uid="{00000000-0005-0000-0000-000002000000}"/>
    <cellStyle name="Millares 16 8" xfId="21" xr:uid="{00000000-0005-0000-0000-000003000000}"/>
    <cellStyle name="Millares 2" xfId="11" xr:uid="{00000000-0005-0000-0000-000004000000}"/>
    <cellStyle name="Millares 2 2" xfId="14" xr:uid="{00000000-0005-0000-0000-000005000000}"/>
    <cellStyle name="Millares 3" xfId="13" xr:uid="{00000000-0005-0000-0000-000006000000}"/>
    <cellStyle name="Millares 4" xfId="28" xr:uid="{00000000-0005-0000-0000-000007000000}"/>
    <cellStyle name="Millares 43" xfId="24" xr:uid="{00000000-0005-0000-0000-000008000000}"/>
    <cellStyle name="Millares 5" xfId="22" xr:uid="{00000000-0005-0000-0000-000009000000}"/>
    <cellStyle name="Millares 66" xfId="23" xr:uid="{00000000-0005-0000-0000-00000A000000}"/>
    <cellStyle name="Moneda" xfId="2" builtinId="4"/>
    <cellStyle name="Moneda [0]" xfId="34" builtinId="7"/>
    <cellStyle name="Moneda 2" xfId="9" xr:uid="{00000000-0005-0000-0000-00000C000000}"/>
    <cellStyle name="Normal" xfId="0" builtinId="0"/>
    <cellStyle name="Normal 10" xfId="20" xr:uid="{00000000-0005-0000-0000-00000E000000}"/>
    <cellStyle name="Normal 11 45 9" xfId="27" xr:uid="{00000000-0005-0000-0000-00000F000000}"/>
    <cellStyle name="Normal 12 2" xfId="26" xr:uid="{00000000-0005-0000-0000-000010000000}"/>
    <cellStyle name="Normal 2" xfId="7" xr:uid="{00000000-0005-0000-0000-000011000000}"/>
    <cellStyle name="Normal 2 2" xfId="3" xr:uid="{00000000-0005-0000-0000-000012000000}"/>
    <cellStyle name="Normal 3" xfId="4" xr:uid="{00000000-0005-0000-0000-000013000000}"/>
    <cellStyle name="Normal 4" xfId="8" xr:uid="{00000000-0005-0000-0000-000014000000}"/>
    <cellStyle name="Normal 4 3 2" xfId="16" xr:uid="{00000000-0005-0000-0000-000015000000}"/>
    <cellStyle name="Normal 5" xfId="10" xr:uid="{00000000-0005-0000-0000-000016000000}"/>
    <cellStyle name="Normal 68 2 2" xfId="31" xr:uid="{00000000-0005-0000-0000-000017000000}"/>
    <cellStyle name="Normal 73" xfId="18" xr:uid="{00000000-0005-0000-0000-000018000000}"/>
    <cellStyle name="Normal_Los 100 Grupos Tramos - 4 ABR 2005" xfId="5" xr:uid="{00000000-0005-0000-0000-000019000000}"/>
    <cellStyle name="Porcentaje" xfId="6" builtinId="5"/>
    <cellStyle name="Porcentaje 2" xfId="19" xr:uid="{00000000-0005-0000-0000-00001B000000}"/>
    <cellStyle name="Porcentaje 3" xfId="15" xr:uid="{00000000-0005-0000-0000-00001C000000}"/>
    <cellStyle name="Porcentaje 3 2 2" xfId="17" xr:uid="{00000000-0005-0000-0000-00001D000000}"/>
    <cellStyle name="Porcentaje 8" xfId="25" xr:uid="{00000000-0005-0000-0000-00001E000000}"/>
    <cellStyle name="Porcentaje 8 2" xfId="29" xr:uid="{00000000-0005-0000-0000-00001F000000}"/>
    <cellStyle name="Porcentual 2" xfId="12" xr:uid="{00000000-0005-0000-0000-000020000000}"/>
    <cellStyle name="Porcentual 2 2" xfId="32" xr:uid="{00000000-0005-0000-0000-000021000000}"/>
  </cellStyles>
  <dxfs count="613">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xdr:row>
          <xdr:rowOff>0</xdr:rowOff>
        </xdr:from>
        <xdr:to>
          <xdr:col>1</xdr:col>
          <xdr:colOff>0</xdr:colOff>
          <xdr:row>2</xdr:row>
          <xdr:rowOff>0</xdr:rowOff>
        </xdr:to>
        <xdr:sp macro="" textlink="">
          <xdr:nvSpPr>
            <xdr:cNvPr id="1058" name="Button 34" descr="No. Propuestas" hidden="1">
              <a:extLst>
                <a:ext uri="{63B3BB69-23CF-44E3-9099-C40C66FF867C}">
                  <a14:compatExt spid="_x0000_s1058"/>
                </a:ext>
                <a:ext uri="{FF2B5EF4-FFF2-40B4-BE49-F238E27FC236}">
                  <a16:creationId xmlns:a16="http://schemas.microsoft.com/office/drawing/2014/main" id="{00000000-0008-0000-0300-00002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1000" b="0" i="0" u="none" strike="noStrike" baseline="0">
                  <a:solidFill>
                    <a:srgbClr val="000000"/>
                  </a:solidFill>
                  <a:latin typeface="Arial"/>
                  <a:cs typeface="Arial"/>
                </a:rPr>
                <a:t>No. Propuestas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35</xdr:col>
          <xdr:colOff>28575</xdr:colOff>
          <xdr:row>10</xdr:row>
          <xdr:rowOff>85725</xdr:rowOff>
        </xdr:from>
        <xdr:to>
          <xdr:col>35</xdr:col>
          <xdr:colOff>333375</xdr:colOff>
          <xdr:row>11</xdr:row>
          <xdr:rowOff>200025</xdr:rowOff>
        </xdr:to>
        <xdr:sp macro="" textlink="">
          <xdr:nvSpPr>
            <xdr:cNvPr id="1062" name="Check Box 1" hidden="1">
              <a:extLst>
                <a:ext uri="{63B3BB69-23CF-44E3-9099-C40C66FF867C}">
                  <a14:compatExt spid="_x0000_s1062"/>
                </a:ext>
                <a:ext uri="{FF2B5EF4-FFF2-40B4-BE49-F238E27FC236}">
                  <a16:creationId xmlns:a16="http://schemas.microsoft.com/office/drawing/2014/main" id="{00000000-0008-0000-03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219075</xdr:colOff>
          <xdr:row>11</xdr:row>
          <xdr:rowOff>0</xdr:rowOff>
        </xdr:from>
        <xdr:to>
          <xdr:col>35</xdr:col>
          <xdr:colOff>523875</xdr:colOff>
          <xdr:row>11</xdr:row>
          <xdr:rowOff>223242</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3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638175</xdr:colOff>
          <xdr:row>4</xdr:row>
          <xdr:rowOff>28575</xdr:rowOff>
        </xdr:to>
        <xdr:sp macro="" textlink="">
          <xdr:nvSpPr>
            <xdr:cNvPr id="21505" name="Button 1" hidden="1">
              <a:extLst>
                <a:ext uri="{63B3BB69-23CF-44E3-9099-C40C66FF867C}">
                  <a14:compatExt spid="_x0000_s21505"/>
                </a:ext>
                <a:ext uri="{FF2B5EF4-FFF2-40B4-BE49-F238E27FC236}">
                  <a16:creationId xmlns:a16="http://schemas.microsoft.com/office/drawing/2014/main" id="{00000000-0008-0000-0400-000001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638175</xdr:colOff>
          <xdr:row>4</xdr:row>
          <xdr:rowOff>28575</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0500-0000017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638175</xdr:colOff>
          <xdr:row>4</xdr:row>
          <xdr:rowOff>28575</xdr:rowOff>
        </xdr:to>
        <xdr:sp macro="" textlink="">
          <xdr:nvSpPr>
            <xdr:cNvPr id="32769" name="Button 1" hidden="1">
              <a:extLst>
                <a:ext uri="{63B3BB69-23CF-44E3-9099-C40C66FF867C}">
                  <a14:compatExt spid="_x0000_s32769"/>
                </a:ext>
                <a:ext uri="{FF2B5EF4-FFF2-40B4-BE49-F238E27FC236}">
                  <a16:creationId xmlns:a16="http://schemas.microsoft.com/office/drawing/2014/main" id="{00000000-0008-0000-0600-000001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638175</xdr:colOff>
          <xdr:row>4</xdr:row>
          <xdr:rowOff>28575</xdr:rowOff>
        </xdr:to>
        <xdr:sp macro="" textlink="">
          <xdr:nvSpPr>
            <xdr:cNvPr id="34817" name="Button 1" hidden="1">
              <a:extLst>
                <a:ext uri="{63B3BB69-23CF-44E3-9099-C40C66FF867C}">
                  <a14:compatExt spid="_x0000_s34817"/>
                </a:ext>
                <a:ext uri="{FF2B5EF4-FFF2-40B4-BE49-F238E27FC236}">
                  <a16:creationId xmlns:a16="http://schemas.microsoft.com/office/drawing/2014/main" id="{00000000-0008-0000-0700-0000018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638175</xdr:colOff>
          <xdr:row>4</xdr:row>
          <xdr:rowOff>28575</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800-000001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638175</xdr:colOff>
          <xdr:row>4</xdr:row>
          <xdr:rowOff>28575</xdr:rowOff>
        </xdr:to>
        <xdr:sp macro="" textlink="">
          <xdr:nvSpPr>
            <xdr:cNvPr id="8202" name="Button 10" hidden="1">
              <a:extLst>
                <a:ext uri="{63B3BB69-23CF-44E3-9099-C40C66FF867C}">
                  <a14:compatExt spid="_x0000_s8202"/>
                </a:ext>
                <a:ext uri="{FF2B5EF4-FFF2-40B4-BE49-F238E27FC236}">
                  <a16:creationId xmlns:a16="http://schemas.microsoft.com/office/drawing/2014/main" id="{00000000-0008-0000-0900-00000A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7.bin"/><Relationship Id="rId4" Type="http://schemas.openxmlformats.org/officeDocument/2006/relationships/ctrlProp" Target="../ctrlProps/ctrlProp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8.bin"/><Relationship Id="rId4" Type="http://schemas.openxmlformats.org/officeDocument/2006/relationships/ctrlProp" Target="../ctrlProps/ctrlProp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9.bin"/><Relationship Id="rId4" Type="http://schemas.openxmlformats.org/officeDocument/2006/relationships/ctrlProp" Target="../ctrlProps/ctrlProp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trlProp" Target="../ctrlProps/ctrlProp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11.bin"/><Relationship Id="rId4" Type="http://schemas.openxmlformats.org/officeDocument/2006/relationships/ctrlProp" Target="../ctrlProps/ctrlProp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12.bin"/><Relationship Id="rId4" Type="http://schemas.openxmlformats.org/officeDocument/2006/relationships/ctrlProp" Target="../ctrlProps/ctrlProp9.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B3:AF39"/>
  <sheetViews>
    <sheetView topLeftCell="B2" zoomScale="75" workbookViewId="0">
      <pane xSplit="3" ySplit="5" topLeftCell="M7" activePane="bottomRight" state="frozen"/>
      <selection activeCell="E34" sqref="E34"/>
      <selection pane="topRight" activeCell="E34" sqref="E34"/>
      <selection pane="bottomLeft" activeCell="E34" sqref="E34"/>
      <selection pane="bottomRight" activeCell="C35" sqref="C35:V38"/>
    </sheetView>
  </sheetViews>
  <sheetFormatPr baseColWidth="10" defaultRowHeight="12.75"/>
  <cols>
    <col min="2" max="2" width="3.7109375" customWidth="1"/>
    <col min="3" max="3" width="6.85546875" customWidth="1"/>
    <col min="4" max="4" width="43" bestFit="1" customWidth="1"/>
    <col min="5" max="5" width="14.140625" bestFit="1" customWidth="1"/>
    <col min="6" max="6" width="13.85546875" bestFit="1" customWidth="1"/>
    <col min="7" max="7" width="14.140625" bestFit="1" customWidth="1"/>
    <col min="8" max="8" width="14" bestFit="1" customWidth="1"/>
    <col min="9" max="9" width="14.140625" bestFit="1" customWidth="1"/>
    <col min="10" max="11" width="13.85546875" bestFit="1" customWidth="1"/>
    <col min="12" max="12" width="14.140625" bestFit="1" customWidth="1"/>
    <col min="13" max="13" width="13.85546875" bestFit="1" customWidth="1"/>
    <col min="14" max="15" width="13.140625" bestFit="1" customWidth="1"/>
    <col min="16" max="18" width="14.140625" bestFit="1" customWidth="1"/>
    <col min="19" max="19" width="13.140625" bestFit="1" customWidth="1"/>
  </cols>
  <sheetData>
    <row r="3" spans="2:32" ht="13.5" thickBot="1"/>
    <row r="4" spans="2:32">
      <c r="B4" s="413" t="s">
        <v>5</v>
      </c>
      <c r="C4" s="414"/>
      <c r="D4" s="417" t="s">
        <v>6</v>
      </c>
      <c r="E4" s="419" t="s">
        <v>108</v>
      </c>
      <c r="F4" s="420"/>
      <c r="G4" s="420"/>
      <c r="H4" s="420"/>
      <c r="I4" s="420"/>
      <c r="J4" s="420"/>
      <c r="K4" s="420"/>
      <c r="L4" s="420"/>
      <c r="M4" s="420"/>
      <c r="N4" s="420"/>
      <c r="O4" s="421"/>
      <c r="P4" s="410" t="s">
        <v>112</v>
      </c>
      <c r="Q4" s="411"/>
      <c r="R4" s="411"/>
      <c r="S4" s="412"/>
      <c r="T4" s="410" t="s">
        <v>113</v>
      </c>
      <c r="U4" s="411"/>
      <c r="V4" s="411"/>
      <c r="W4" s="412"/>
    </row>
    <row r="5" spans="2:32" ht="39" thickBot="1">
      <c r="B5" s="415"/>
      <c r="C5" s="416"/>
      <c r="D5" s="418"/>
      <c r="E5" s="30" t="s">
        <v>97</v>
      </c>
      <c r="F5" s="31" t="s">
        <v>98</v>
      </c>
      <c r="G5" s="31" t="s">
        <v>99</v>
      </c>
      <c r="H5" s="31" t="s">
        <v>100</v>
      </c>
      <c r="I5" s="31" t="s">
        <v>101</v>
      </c>
      <c r="J5" s="31" t="s">
        <v>102</v>
      </c>
      <c r="K5" s="31" t="s">
        <v>103</v>
      </c>
      <c r="L5" s="31" t="s">
        <v>104</v>
      </c>
      <c r="M5" s="31" t="s">
        <v>105</v>
      </c>
      <c r="N5" s="31" t="s">
        <v>106</v>
      </c>
      <c r="O5" s="32" t="s">
        <v>107</v>
      </c>
      <c r="P5" s="33" t="s">
        <v>109</v>
      </c>
      <c r="Q5" s="34" t="s">
        <v>103</v>
      </c>
      <c r="R5" s="34" t="s">
        <v>110</v>
      </c>
      <c r="S5" s="35" t="s">
        <v>111</v>
      </c>
      <c r="T5" s="33" t="s">
        <v>109</v>
      </c>
      <c r="U5" s="34" t="s">
        <v>103</v>
      </c>
      <c r="V5" s="34" t="s">
        <v>110</v>
      </c>
      <c r="W5" s="35" t="s">
        <v>111</v>
      </c>
      <c r="X5" s="21"/>
      <c r="Y5" s="21"/>
      <c r="Z5" s="21"/>
      <c r="AA5" s="21"/>
      <c r="AB5" s="21"/>
      <c r="AC5" s="21"/>
      <c r="AD5" s="21"/>
      <c r="AE5" s="21"/>
      <c r="AF5" s="21"/>
    </row>
    <row r="6" spans="2:32" ht="13.5" thickBot="1">
      <c r="B6" s="10"/>
      <c r="C6" s="10"/>
      <c r="D6" s="11"/>
      <c r="L6" s="58"/>
      <c r="T6" s="22"/>
      <c r="U6" s="22"/>
      <c r="V6" s="22"/>
      <c r="W6" s="22"/>
    </row>
    <row r="7" spans="2:32" ht="15">
      <c r="B7" s="422">
        <v>1</v>
      </c>
      <c r="C7" s="46"/>
      <c r="D7" s="65" t="s">
        <v>123</v>
      </c>
      <c r="E7" s="48"/>
      <c r="F7" s="48"/>
      <c r="G7" s="48"/>
      <c r="H7" s="49"/>
      <c r="I7" s="48"/>
      <c r="J7" s="48"/>
      <c r="K7" s="49"/>
      <c r="L7" s="48"/>
      <c r="M7" s="49"/>
      <c r="N7" s="62"/>
      <c r="O7" s="62"/>
      <c r="P7" s="62"/>
      <c r="Q7" s="62"/>
      <c r="R7" s="62"/>
      <c r="S7" s="62"/>
      <c r="T7" s="50"/>
      <c r="U7" s="50"/>
      <c r="V7" s="50"/>
      <c r="W7" s="51"/>
    </row>
    <row r="8" spans="2:32" ht="14.25">
      <c r="B8" s="423"/>
      <c r="C8" s="63">
        <v>1.1000000000000001</v>
      </c>
      <c r="D8" s="57" t="s">
        <v>124</v>
      </c>
      <c r="E8" s="47">
        <v>661279000</v>
      </c>
      <c r="F8" s="47">
        <v>586850000</v>
      </c>
      <c r="G8" s="47"/>
      <c r="H8" s="37">
        <f>SUM(E8:G8)</f>
        <v>1248129000</v>
      </c>
      <c r="I8" s="47">
        <v>133995725</v>
      </c>
      <c r="J8" s="47">
        <v>243009275</v>
      </c>
      <c r="K8" s="37">
        <f>SUM(I8:J8)</f>
        <v>377005000</v>
      </c>
      <c r="L8" s="47">
        <f>+H8-K8</f>
        <v>871124000</v>
      </c>
      <c r="M8" s="37">
        <f>+K8+L8</f>
        <v>1248129000</v>
      </c>
      <c r="N8" s="47">
        <v>89170000</v>
      </c>
      <c r="O8" s="47">
        <v>65583000</v>
      </c>
      <c r="P8" s="47">
        <v>1248129000</v>
      </c>
      <c r="Q8" s="47">
        <v>353418000</v>
      </c>
      <c r="R8" s="47">
        <v>894711000</v>
      </c>
      <c r="S8" s="47">
        <v>93656000</v>
      </c>
      <c r="T8" s="23">
        <f>(H8-P8)/P8</f>
        <v>0</v>
      </c>
      <c r="U8" s="23">
        <f>+(K8-Q8)/Q8</f>
        <v>6.673966804180885E-2</v>
      </c>
      <c r="V8" s="23">
        <f>(L8-R8)/R8</f>
        <v>-2.6362702593351373E-2</v>
      </c>
      <c r="W8" s="52">
        <f>(O8-S8)/S8</f>
        <v>-0.29974587853421031</v>
      </c>
    </row>
    <row r="9" spans="2:32" ht="14.25">
      <c r="B9" s="423"/>
      <c r="C9" s="63">
        <v>1.2</v>
      </c>
      <c r="D9" s="57" t="s">
        <v>125</v>
      </c>
      <c r="E9" s="47">
        <v>902790808</v>
      </c>
      <c r="F9" s="47">
        <v>22582416</v>
      </c>
      <c r="G9" s="47">
        <v>15532940</v>
      </c>
      <c r="H9" s="37">
        <f t="shared" ref="H9:H31" si="0">SUM(E9:G9)</f>
        <v>940906164</v>
      </c>
      <c r="I9" s="47">
        <v>69497421</v>
      </c>
      <c r="J9" s="47">
        <v>467428657</v>
      </c>
      <c r="K9" s="37">
        <f t="shared" ref="K9:K31" si="1">SUM(I9:J9)</f>
        <v>536926078</v>
      </c>
      <c r="L9" s="47">
        <v>403980086</v>
      </c>
      <c r="M9" s="37">
        <f t="shared" ref="M9:M31" si="2">+K9+L9</f>
        <v>940906164</v>
      </c>
      <c r="N9" s="47">
        <v>18766695</v>
      </c>
      <c r="O9" s="47">
        <v>20396695</v>
      </c>
      <c r="P9" s="47"/>
      <c r="Q9" s="47"/>
      <c r="R9" s="47"/>
      <c r="S9" s="47"/>
      <c r="T9" s="23" t="e">
        <f t="shared" ref="T9:T31" si="3">(H9-P9)/P9</f>
        <v>#DIV/0!</v>
      </c>
      <c r="U9" s="23" t="e">
        <f t="shared" ref="U9:U31" si="4">+(K9-Q9)/Q9</f>
        <v>#DIV/0!</v>
      </c>
      <c r="V9" s="23" t="e">
        <f t="shared" ref="V9:V31" si="5">(L9-R9)/R9</f>
        <v>#DIV/0!</v>
      </c>
      <c r="W9" s="52" t="e">
        <f t="shared" ref="W9:W31" si="6">(O9-S9)/S9</f>
        <v>#DIV/0!</v>
      </c>
    </row>
    <row r="10" spans="2:32" ht="14.25">
      <c r="B10" s="423"/>
      <c r="C10" s="63">
        <v>1.3</v>
      </c>
      <c r="D10" s="57" t="s">
        <v>126</v>
      </c>
      <c r="E10" s="47">
        <v>300353422</v>
      </c>
      <c r="F10" s="47">
        <v>251940082</v>
      </c>
      <c r="G10" s="47">
        <v>69532472</v>
      </c>
      <c r="H10" s="37">
        <f t="shared" si="0"/>
        <v>621825976</v>
      </c>
      <c r="I10" s="47">
        <v>153716887</v>
      </c>
      <c r="J10" s="47">
        <v>54587444</v>
      </c>
      <c r="K10" s="37">
        <f t="shared" si="1"/>
        <v>208304331</v>
      </c>
      <c r="L10" s="47">
        <v>413521645</v>
      </c>
      <c r="M10" s="37">
        <f t="shared" si="2"/>
        <v>621825976</v>
      </c>
      <c r="N10" s="47">
        <v>16241438</v>
      </c>
      <c r="O10" s="47">
        <v>16221673</v>
      </c>
      <c r="P10" s="47">
        <v>611957000</v>
      </c>
      <c r="Q10" s="47">
        <v>208285000</v>
      </c>
      <c r="R10" s="47">
        <v>403672000</v>
      </c>
      <c r="S10" s="47">
        <v>17042000</v>
      </c>
      <c r="T10" s="23">
        <f t="shared" si="3"/>
        <v>1.6126910877725067E-2</v>
      </c>
      <c r="U10" s="23">
        <f t="shared" si="4"/>
        <v>9.2810331997023312E-5</v>
      </c>
      <c r="V10" s="23">
        <f t="shared" si="5"/>
        <v>2.4400119403872451E-2</v>
      </c>
      <c r="W10" s="52">
        <f t="shared" si="6"/>
        <v>-4.8135606149512969E-2</v>
      </c>
    </row>
    <row r="11" spans="2:32" ht="14.25">
      <c r="B11" s="423"/>
      <c r="C11" s="63">
        <v>1.4</v>
      </c>
      <c r="D11" s="57" t="s">
        <v>127</v>
      </c>
      <c r="E11" s="47">
        <v>506655816</v>
      </c>
      <c r="F11" s="47">
        <v>152054516</v>
      </c>
      <c r="G11" s="47">
        <v>245059330</v>
      </c>
      <c r="H11" s="37">
        <f t="shared" si="0"/>
        <v>903769662</v>
      </c>
      <c r="I11" s="47">
        <v>137779007</v>
      </c>
      <c r="J11" s="47">
        <v>42562365</v>
      </c>
      <c r="K11" s="37">
        <f t="shared" si="1"/>
        <v>180341372</v>
      </c>
      <c r="L11" s="47">
        <v>723428291</v>
      </c>
      <c r="M11" s="37">
        <f t="shared" si="2"/>
        <v>903769663</v>
      </c>
      <c r="N11" s="47">
        <v>50395207</v>
      </c>
      <c r="O11" s="47">
        <v>42647207</v>
      </c>
      <c r="P11" s="47">
        <v>903769000</v>
      </c>
      <c r="Q11" s="47">
        <v>180341000</v>
      </c>
      <c r="R11" s="47">
        <v>723428000</v>
      </c>
      <c r="S11" s="47">
        <v>46988000</v>
      </c>
      <c r="T11" s="23">
        <f t="shared" si="3"/>
        <v>7.3248805834234188E-7</v>
      </c>
      <c r="U11" s="23">
        <f t="shared" si="4"/>
        <v>2.0627588845575881E-6</v>
      </c>
      <c r="V11" s="23">
        <f t="shared" si="5"/>
        <v>4.0225150256832744E-7</v>
      </c>
      <c r="W11" s="52">
        <f t="shared" si="6"/>
        <v>-9.2380884481144121E-2</v>
      </c>
    </row>
    <row r="12" spans="2:32" ht="14.25">
      <c r="B12" s="423"/>
      <c r="C12" s="63">
        <v>1.5</v>
      </c>
      <c r="D12" s="57" t="s">
        <v>128</v>
      </c>
      <c r="E12" s="47">
        <v>378072865</v>
      </c>
      <c r="F12" s="47">
        <v>103601233</v>
      </c>
      <c r="G12" s="47">
        <v>955950</v>
      </c>
      <c r="H12" s="37">
        <f t="shared" si="0"/>
        <v>482630048</v>
      </c>
      <c r="I12" s="47">
        <v>36771662</v>
      </c>
      <c r="J12" s="47">
        <v>134085789</v>
      </c>
      <c r="K12" s="37">
        <f t="shared" si="1"/>
        <v>170857451</v>
      </c>
      <c r="L12" s="47">
        <v>311772597</v>
      </c>
      <c r="M12" s="37">
        <f t="shared" si="2"/>
        <v>482630048</v>
      </c>
      <c r="N12" s="47">
        <v>15703386</v>
      </c>
      <c r="O12" s="47">
        <v>7048986</v>
      </c>
      <c r="P12" s="47">
        <v>482631000</v>
      </c>
      <c r="Q12" s="47">
        <v>170858000</v>
      </c>
      <c r="R12" s="47">
        <v>311773000</v>
      </c>
      <c r="S12" s="47">
        <v>22479000</v>
      </c>
      <c r="T12" s="23">
        <f t="shared" si="3"/>
        <v>-1.9725214501347823E-6</v>
      </c>
      <c r="U12" s="23">
        <f t="shared" si="4"/>
        <v>-3.2131945826358732E-6</v>
      </c>
      <c r="V12" s="23">
        <f t="shared" si="5"/>
        <v>-1.2926071212067754E-6</v>
      </c>
      <c r="W12" s="52">
        <f t="shared" si="6"/>
        <v>-0.68641905778726808</v>
      </c>
    </row>
    <row r="13" spans="2:32" ht="14.25">
      <c r="B13" s="423"/>
      <c r="C13" s="63">
        <v>1.6</v>
      </c>
      <c r="D13" s="57" t="s">
        <v>129</v>
      </c>
      <c r="E13" s="47">
        <v>69932426</v>
      </c>
      <c r="F13" s="47">
        <v>460250218</v>
      </c>
      <c r="G13" s="47">
        <v>107112095</v>
      </c>
      <c r="H13" s="37">
        <f t="shared" si="0"/>
        <v>637294739</v>
      </c>
      <c r="I13" s="47">
        <v>29489669</v>
      </c>
      <c r="J13" s="47">
        <v>80572256</v>
      </c>
      <c r="K13" s="37">
        <f t="shared" si="1"/>
        <v>110061925</v>
      </c>
      <c r="L13" s="47">
        <v>527232814</v>
      </c>
      <c r="M13" s="37">
        <f t="shared" si="2"/>
        <v>637294739</v>
      </c>
      <c r="N13" s="47">
        <v>8363847</v>
      </c>
      <c r="O13" s="47">
        <v>3783847</v>
      </c>
      <c r="P13" s="47">
        <v>637294000</v>
      </c>
      <c r="Q13" s="47">
        <v>110061000</v>
      </c>
      <c r="R13" s="47">
        <v>527233000</v>
      </c>
      <c r="S13" s="47">
        <v>11897000</v>
      </c>
      <c r="T13" s="23">
        <f t="shared" si="3"/>
        <v>1.1595903931309569E-6</v>
      </c>
      <c r="U13" s="23">
        <f t="shared" si="4"/>
        <v>8.4044302704863674E-6</v>
      </c>
      <c r="V13" s="23">
        <f t="shared" si="5"/>
        <v>-3.527852012298168E-7</v>
      </c>
      <c r="W13" s="52">
        <f t="shared" si="6"/>
        <v>-0.681949483062957</v>
      </c>
    </row>
    <row r="14" spans="2:32" ht="15">
      <c r="B14" s="45">
        <v>2</v>
      </c>
      <c r="C14" s="63"/>
      <c r="D14" s="59" t="s">
        <v>130</v>
      </c>
      <c r="E14" s="47">
        <v>40069494079</v>
      </c>
      <c r="F14" s="47">
        <v>5482697057</v>
      </c>
      <c r="G14" s="47">
        <v>13667555753</v>
      </c>
      <c r="H14" s="37">
        <f t="shared" si="0"/>
        <v>59219746889</v>
      </c>
      <c r="I14" s="47">
        <v>21914617588</v>
      </c>
      <c r="J14" s="47">
        <v>7301680273</v>
      </c>
      <c r="K14" s="37">
        <f t="shared" si="1"/>
        <v>29216297861</v>
      </c>
      <c r="L14" s="47">
        <v>30003449028</v>
      </c>
      <c r="M14" s="37">
        <f t="shared" si="2"/>
        <v>59219746889</v>
      </c>
      <c r="N14" s="47">
        <v>6682012591</v>
      </c>
      <c r="O14" s="47">
        <v>6273203591</v>
      </c>
      <c r="P14" s="47">
        <v>42778874000</v>
      </c>
      <c r="Q14" s="47">
        <v>22139102000</v>
      </c>
      <c r="R14" s="47">
        <v>20639772000</v>
      </c>
      <c r="S14" s="47">
        <v>1168027000</v>
      </c>
      <c r="T14" s="23">
        <f t="shared" si="3"/>
        <v>0.3843222448772261</v>
      </c>
      <c r="U14" s="23">
        <f t="shared" si="4"/>
        <v>0.31966950877230704</v>
      </c>
      <c r="V14" s="23">
        <f t="shared" si="5"/>
        <v>0.453671534162296</v>
      </c>
      <c r="W14" s="52">
        <f t="shared" si="6"/>
        <v>4.3707693323870078</v>
      </c>
    </row>
    <row r="15" spans="2:32" ht="14.25">
      <c r="B15" s="423">
        <v>3</v>
      </c>
      <c r="C15" s="63"/>
      <c r="D15" s="59" t="s">
        <v>131</v>
      </c>
      <c r="E15" s="47"/>
      <c r="F15" s="47"/>
      <c r="G15" s="47"/>
      <c r="H15" s="37"/>
      <c r="I15" s="47"/>
      <c r="J15" s="47"/>
      <c r="K15" s="37"/>
      <c r="L15" s="47"/>
      <c r="M15" s="37"/>
      <c r="N15" s="47"/>
      <c r="O15" s="47"/>
      <c r="P15" s="47"/>
      <c r="Q15" s="47"/>
      <c r="R15" s="47"/>
      <c r="S15" s="47"/>
      <c r="T15" s="23"/>
      <c r="U15" s="23"/>
      <c r="V15" s="23"/>
      <c r="W15" s="52"/>
    </row>
    <row r="16" spans="2:32" ht="14.25">
      <c r="B16" s="423"/>
      <c r="C16" s="63">
        <v>3.1</v>
      </c>
      <c r="D16" s="57" t="s">
        <v>132</v>
      </c>
      <c r="E16" s="47">
        <v>1044688000</v>
      </c>
      <c r="F16" s="47">
        <v>114208000</v>
      </c>
      <c r="G16" s="47">
        <v>507125000</v>
      </c>
      <c r="H16" s="37">
        <f t="shared" si="0"/>
        <v>1666021000</v>
      </c>
      <c r="I16" s="47">
        <v>89341000</v>
      </c>
      <c r="J16" s="47">
        <v>920563000</v>
      </c>
      <c r="K16" s="37">
        <f t="shared" si="1"/>
        <v>1009904000</v>
      </c>
      <c r="L16" s="47">
        <v>656117000</v>
      </c>
      <c r="M16" s="37">
        <f t="shared" si="2"/>
        <v>1666021000</v>
      </c>
      <c r="N16" s="47">
        <v>82940000</v>
      </c>
      <c r="O16" s="47">
        <v>65192000</v>
      </c>
      <c r="P16" s="47">
        <v>1666021000</v>
      </c>
      <c r="Q16" s="47">
        <v>1009904000</v>
      </c>
      <c r="R16" s="47">
        <v>656117000</v>
      </c>
      <c r="S16" s="47">
        <v>82940000</v>
      </c>
      <c r="T16" s="23">
        <f t="shared" si="3"/>
        <v>0</v>
      </c>
      <c r="U16" s="23">
        <f t="shared" si="4"/>
        <v>0</v>
      </c>
      <c r="V16" s="23">
        <f t="shared" si="5"/>
        <v>0</v>
      </c>
      <c r="W16" s="52">
        <f t="shared" si="6"/>
        <v>-0.213986013986014</v>
      </c>
    </row>
    <row r="17" spans="2:23" ht="14.25">
      <c r="B17" s="423"/>
      <c r="C17" s="63">
        <v>3.2</v>
      </c>
      <c r="D17" s="57" t="s">
        <v>133</v>
      </c>
      <c r="E17" s="47">
        <v>2210583412</v>
      </c>
      <c r="F17" s="47">
        <v>1796245413</v>
      </c>
      <c r="G17" s="47">
        <v>950172658</v>
      </c>
      <c r="H17" s="37">
        <f t="shared" si="0"/>
        <v>4957001483</v>
      </c>
      <c r="I17" s="47">
        <v>578205453</v>
      </c>
      <c r="J17" s="47">
        <v>2306752990</v>
      </c>
      <c r="K17" s="37">
        <f t="shared" si="1"/>
        <v>2884958443</v>
      </c>
      <c r="L17" s="47">
        <v>2072043050</v>
      </c>
      <c r="M17" s="37">
        <f t="shared" si="2"/>
        <v>4957001493</v>
      </c>
      <c r="N17" s="47">
        <v>126050800</v>
      </c>
      <c r="O17" s="47">
        <v>81933020</v>
      </c>
      <c r="P17" s="47">
        <v>4957002000</v>
      </c>
      <c r="Q17" s="47">
        <v>2884958000</v>
      </c>
      <c r="R17" s="47">
        <v>2072044000</v>
      </c>
      <c r="S17" s="47">
        <v>126051000</v>
      </c>
      <c r="T17" s="23">
        <f t="shared" si="3"/>
        <v>-1.042969117220449E-7</v>
      </c>
      <c r="U17" s="23">
        <f t="shared" si="4"/>
        <v>1.5355509508284004E-7</v>
      </c>
      <c r="V17" s="23">
        <f t="shared" si="5"/>
        <v>-4.5848447233746003E-7</v>
      </c>
      <c r="W17" s="52">
        <f t="shared" si="6"/>
        <v>-0.35000103132858923</v>
      </c>
    </row>
    <row r="18" spans="2:23" ht="14.25">
      <c r="B18" s="423"/>
      <c r="C18" s="63">
        <v>3.3</v>
      </c>
      <c r="D18" s="57" t="s">
        <v>134</v>
      </c>
      <c r="E18" s="47">
        <v>1128389590</v>
      </c>
      <c r="F18" s="47">
        <v>497010730</v>
      </c>
      <c r="G18" s="47">
        <v>450516529</v>
      </c>
      <c r="H18" s="37">
        <f t="shared" si="0"/>
        <v>2075916849</v>
      </c>
      <c r="I18" s="47">
        <v>843827380</v>
      </c>
      <c r="J18" s="47">
        <v>171544974</v>
      </c>
      <c r="K18" s="37">
        <f t="shared" si="1"/>
        <v>1015372354</v>
      </c>
      <c r="L18" s="47">
        <v>1060544495</v>
      </c>
      <c r="M18" s="37">
        <f t="shared" si="2"/>
        <v>2075916849</v>
      </c>
      <c r="N18" s="47">
        <v>150152888</v>
      </c>
      <c r="O18" s="47">
        <v>84818888</v>
      </c>
      <c r="P18" s="47">
        <v>2075917000</v>
      </c>
      <c r="Q18" s="47">
        <v>1014364000</v>
      </c>
      <c r="R18" s="47">
        <v>1061553000</v>
      </c>
      <c r="S18" s="47">
        <v>186669000</v>
      </c>
      <c r="T18" s="23">
        <f t="shared" si="3"/>
        <v>-7.2738938984554782E-8</v>
      </c>
      <c r="U18" s="23">
        <f t="shared" si="4"/>
        <v>9.9407510518906435E-4</v>
      </c>
      <c r="V18" s="23">
        <f t="shared" si="5"/>
        <v>-9.5002793077689012E-4</v>
      </c>
      <c r="W18" s="52">
        <f t="shared" si="6"/>
        <v>-0.54561877976525297</v>
      </c>
    </row>
    <row r="19" spans="2:23" ht="14.25">
      <c r="B19" s="423"/>
      <c r="C19" s="63">
        <v>3.4</v>
      </c>
      <c r="D19" s="57" t="s">
        <v>135</v>
      </c>
      <c r="E19" s="47"/>
      <c r="F19" s="47"/>
      <c r="G19" s="47"/>
      <c r="H19" s="37">
        <f t="shared" si="0"/>
        <v>0</v>
      </c>
      <c r="I19" s="47"/>
      <c r="J19" s="47"/>
      <c r="K19" s="37">
        <f t="shared" si="1"/>
        <v>0</v>
      </c>
      <c r="L19" s="47"/>
      <c r="M19" s="37">
        <f t="shared" si="2"/>
        <v>0</v>
      </c>
      <c r="N19" s="47"/>
      <c r="O19" s="47"/>
      <c r="P19" s="47"/>
      <c r="Q19" s="47"/>
      <c r="R19" s="47"/>
      <c r="S19" s="47"/>
      <c r="T19" s="23" t="e">
        <f t="shared" si="3"/>
        <v>#DIV/0!</v>
      </c>
      <c r="U19" s="23" t="e">
        <f t="shared" si="4"/>
        <v>#DIV/0!</v>
      </c>
      <c r="V19" s="23" t="e">
        <f t="shared" si="5"/>
        <v>#DIV/0!</v>
      </c>
      <c r="W19" s="52" t="e">
        <f t="shared" si="6"/>
        <v>#DIV/0!</v>
      </c>
    </row>
    <row r="20" spans="2:23" ht="14.25">
      <c r="B20" s="423"/>
      <c r="C20" s="63">
        <v>3.5</v>
      </c>
      <c r="D20" s="57" t="s">
        <v>136</v>
      </c>
      <c r="E20" s="47">
        <v>397516649</v>
      </c>
      <c r="F20" s="47">
        <v>44535519</v>
      </c>
      <c r="G20" s="47"/>
      <c r="H20" s="37">
        <f t="shared" si="0"/>
        <v>442052168</v>
      </c>
      <c r="I20" s="47">
        <v>205584360</v>
      </c>
      <c r="J20" s="47"/>
      <c r="K20" s="37">
        <f t="shared" si="1"/>
        <v>205584360</v>
      </c>
      <c r="L20" s="47">
        <v>236467808</v>
      </c>
      <c r="M20" s="37">
        <f t="shared" si="2"/>
        <v>442052168</v>
      </c>
      <c r="N20" s="47">
        <v>52120000</v>
      </c>
      <c r="O20" s="47">
        <v>52120000</v>
      </c>
      <c r="P20" s="47">
        <v>442053000</v>
      </c>
      <c r="Q20" s="47">
        <v>205584000</v>
      </c>
      <c r="R20" s="47">
        <f>P20-Q20</f>
        <v>236469000</v>
      </c>
      <c r="S20" s="47">
        <v>52120000</v>
      </c>
      <c r="T20" s="23">
        <f t="shared" si="3"/>
        <v>-1.8821272562339809E-6</v>
      </c>
      <c r="U20" s="23">
        <f t="shared" si="4"/>
        <v>1.7511090357226243E-6</v>
      </c>
      <c r="V20" s="23">
        <f t="shared" si="5"/>
        <v>-5.0408298762205619E-6</v>
      </c>
      <c r="W20" s="52">
        <f t="shared" si="6"/>
        <v>0</v>
      </c>
    </row>
    <row r="21" spans="2:23" ht="14.25">
      <c r="B21" s="423"/>
      <c r="C21" s="63">
        <v>3.6</v>
      </c>
      <c r="D21" s="57" t="s">
        <v>137</v>
      </c>
      <c r="E21" s="47">
        <v>230187357</v>
      </c>
      <c r="F21" s="47">
        <v>487735892</v>
      </c>
      <c r="G21" s="47">
        <v>9625046</v>
      </c>
      <c r="H21" s="37">
        <f t="shared" si="0"/>
        <v>727548295</v>
      </c>
      <c r="I21" s="47">
        <v>117145481</v>
      </c>
      <c r="J21" s="47">
        <v>76862715</v>
      </c>
      <c r="K21" s="37">
        <f t="shared" si="1"/>
        <v>194008196</v>
      </c>
      <c r="L21" s="47">
        <v>533540099</v>
      </c>
      <c r="M21" s="37">
        <f t="shared" si="2"/>
        <v>727548295</v>
      </c>
      <c r="N21" s="47"/>
      <c r="O21" s="47"/>
      <c r="P21" s="47">
        <v>727548000</v>
      </c>
      <c r="Q21" s="47">
        <v>194008000</v>
      </c>
      <c r="R21" s="47">
        <v>533540000</v>
      </c>
      <c r="S21" s="47"/>
      <c r="T21" s="23">
        <f t="shared" si="3"/>
        <v>4.0547152902626356E-7</v>
      </c>
      <c r="U21" s="23">
        <f t="shared" si="4"/>
        <v>1.0102676178301925E-6</v>
      </c>
      <c r="V21" s="23">
        <f t="shared" si="5"/>
        <v>1.855530981744574E-7</v>
      </c>
      <c r="W21" s="52" t="e">
        <f t="shared" si="6"/>
        <v>#DIV/0!</v>
      </c>
    </row>
    <row r="22" spans="2:23" ht="14.25">
      <c r="B22" s="423">
        <v>4</v>
      </c>
      <c r="C22" s="63"/>
      <c r="D22" s="59" t="s">
        <v>138</v>
      </c>
      <c r="E22" s="47"/>
      <c r="F22" s="47"/>
      <c r="G22" s="47"/>
      <c r="H22" s="37"/>
      <c r="I22" s="47"/>
      <c r="J22" s="47"/>
      <c r="K22" s="37"/>
      <c r="L22" s="47"/>
      <c r="M22" s="37"/>
      <c r="N22" s="47"/>
      <c r="O22" s="47"/>
      <c r="P22" s="47"/>
      <c r="Q22" s="47"/>
      <c r="R22" s="47"/>
      <c r="S22" s="47"/>
      <c r="T22" s="23"/>
      <c r="U22" s="23"/>
      <c r="V22" s="23"/>
      <c r="W22" s="52"/>
    </row>
    <row r="23" spans="2:23" ht="14.25">
      <c r="B23" s="423"/>
      <c r="C23" s="63">
        <v>4.0999999999999996</v>
      </c>
      <c r="D23" s="57" t="s">
        <v>139</v>
      </c>
      <c r="E23" s="47">
        <v>940500000</v>
      </c>
      <c r="F23" s="47">
        <v>220000000</v>
      </c>
      <c r="G23" s="47">
        <v>19500000</v>
      </c>
      <c r="H23" s="37">
        <f t="shared" si="0"/>
        <v>1180000000</v>
      </c>
      <c r="I23" s="47">
        <v>50000000</v>
      </c>
      <c r="J23" s="47">
        <v>50000000</v>
      </c>
      <c r="K23" s="37">
        <f t="shared" si="1"/>
        <v>100000000</v>
      </c>
      <c r="L23" s="47">
        <v>1080000000</v>
      </c>
      <c r="M23" s="37">
        <f t="shared" si="2"/>
        <v>1180000000</v>
      </c>
      <c r="N23" s="47">
        <v>38000000</v>
      </c>
      <c r="O23" s="47">
        <v>38000000</v>
      </c>
      <c r="P23" s="47">
        <v>1180000000</v>
      </c>
      <c r="Q23" s="47">
        <v>100000000</v>
      </c>
      <c r="R23" s="47">
        <v>1080000000</v>
      </c>
      <c r="S23" s="47">
        <v>35000000</v>
      </c>
      <c r="T23" s="23">
        <f t="shared" si="3"/>
        <v>0</v>
      </c>
      <c r="U23" s="23">
        <f t="shared" si="4"/>
        <v>0</v>
      </c>
      <c r="V23" s="23">
        <f t="shared" si="5"/>
        <v>0</v>
      </c>
      <c r="W23" s="52">
        <f t="shared" si="6"/>
        <v>8.5714285714285715E-2</v>
      </c>
    </row>
    <row r="24" spans="2:23" ht="14.25">
      <c r="B24" s="423"/>
      <c r="C24" s="63">
        <v>4.2</v>
      </c>
      <c r="D24" s="57" t="s">
        <v>140</v>
      </c>
      <c r="E24" s="47">
        <v>1215892000</v>
      </c>
      <c r="F24" s="47">
        <v>443008000</v>
      </c>
      <c r="G24" s="47">
        <v>283790000</v>
      </c>
      <c r="H24" s="37">
        <f t="shared" si="0"/>
        <v>1942690000</v>
      </c>
      <c r="I24" s="47">
        <v>374625000</v>
      </c>
      <c r="J24" s="47">
        <v>55000000</v>
      </c>
      <c r="K24" s="37">
        <f t="shared" si="1"/>
        <v>429625000</v>
      </c>
      <c r="L24" s="47">
        <v>1513065000</v>
      </c>
      <c r="M24" s="37">
        <f t="shared" si="2"/>
        <v>1942690000</v>
      </c>
      <c r="N24" s="47">
        <v>47375000</v>
      </c>
      <c r="O24" s="47">
        <v>47375000</v>
      </c>
      <c r="P24" s="47">
        <v>1942690000</v>
      </c>
      <c r="Q24" s="47">
        <v>429625000</v>
      </c>
      <c r="R24" s="47">
        <v>1513065000</v>
      </c>
      <c r="S24" s="47">
        <v>47375000</v>
      </c>
      <c r="T24" s="23">
        <f t="shared" si="3"/>
        <v>0</v>
      </c>
      <c r="U24" s="23">
        <f t="shared" si="4"/>
        <v>0</v>
      </c>
      <c r="V24" s="23">
        <f t="shared" si="5"/>
        <v>0</v>
      </c>
      <c r="W24" s="52">
        <f t="shared" si="6"/>
        <v>0</v>
      </c>
    </row>
    <row r="25" spans="2:23" ht="14.25">
      <c r="B25" s="423"/>
      <c r="C25" s="63">
        <v>4.3</v>
      </c>
      <c r="D25" s="57" t="s">
        <v>141</v>
      </c>
      <c r="E25" s="47">
        <v>2149248232</v>
      </c>
      <c r="F25" s="47">
        <v>390736722</v>
      </c>
      <c r="G25" s="47"/>
      <c r="H25" s="37">
        <f t="shared" si="0"/>
        <v>2539984954</v>
      </c>
      <c r="I25" s="47">
        <v>1922763807</v>
      </c>
      <c r="J25" s="47">
        <v>93405043</v>
      </c>
      <c r="K25" s="37">
        <f t="shared" si="1"/>
        <v>2016168850</v>
      </c>
      <c r="L25" s="47">
        <v>523816104</v>
      </c>
      <c r="M25" s="37">
        <f t="shared" si="2"/>
        <v>2539984954</v>
      </c>
      <c r="N25" s="47">
        <v>41060626</v>
      </c>
      <c r="O25" s="47">
        <v>54549620</v>
      </c>
      <c r="P25" s="47">
        <v>2539984000</v>
      </c>
      <c r="Q25" s="47">
        <v>2016168000</v>
      </c>
      <c r="R25" s="47">
        <v>523816000</v>
      </c>
      <c r="S25" s="47">
        <v>71993000</v>
      </c>
      <c r="T25" s="23">
        <f t="shared" si="3"/>
        <v>3.7559291712073775E-7</v>
      </c>
      <c r="U25" s="23">
        <f t="shared" si="4"/>
        <v>4.2159185147269473E-7</v>
      </c>
      <c r="V25" s="23">
        <f t="shared" si="5"/>
        <v>1.9854299983200209E-7</v>
      </c>
      <c r="W25" s="52">
        <f t="shared" si="6"/>
        <v>-0.24229272290361564</v>
      </c>
    </row>
    <row r="26" spans="2:23" ht="14.25">
      <c r="B26" s="423"/>
      <c r="C26" s="63">
        <v>4.4000000000000004</v>
      </c>
      <c r="D26" s="57" t="s">
        <v>142</v>
      </c>
      <c r="E26" s="47">
        <v>1286602000</v>
      </c>
      <c r="F26" s="47">
        <v>529776000</v>
      </c>
      <c r="G26" s="47">
        <v>367025000</v>
      </c>
      <c r="H26" s="37">
        <f t="shared" si="0"/>
        <v>2183403000</v>
      </c>
      <c r="I26" s="47">
        <v>631956000</v>
      </c>
      <c r="J26" s="47">
        <v>6584000</v>
      </c>
      <c r="K26" s="37">
        <f t="shared" si="1"/>
        <v>638540000</v>
      </c>
      <c r="L26" s="47">
        <v>1544863000</v>
      </c>
      <c r="M26" s="37">
        <f t="shared" si="2"/>
        <v>2183403000</v>
      </c>
      <c r="N26" s="47"/>
      <c r="O26" s="47"/>
      <c r="P26" s="47">
        <v>2183403000</v>
      </c>
      <c r="Q26" s="47">
        <v>638540000</v>
      </c>
      <c r="R26" s="47">
        <f>P26-Q26</f>
        <v>1544863000</v>
      </c>
      <c r="S26" s="47"/>
      <c r="T26" s="23">
        <f t="shared" si="3"/>
        <v>0</v>
      </c>
      <c r="U26" s="23">
        <f t="shared" si="4"/>
        <v>0</v>
      </c>
      <c r="V26" s="23">
        <f t="shared" si="5"/>
        <v>0</v>
      </c>
      <c r="W26" s="52" t="e">
        <f t="shared" si="6"/>
        <v>#DIV/0!</v>
      </c>
    </row>
    <row r="27" spans="2:23" ht="14.25">
      <c r="B27" s="423">
        <v>5</v>
      </c>
      <c r="C27" s="63"/>
      <c r="D27" s="59" t="s">
        <v>143</v>
      </c>
      <c r="E27" s="47"/>
      <c r="F27" s="47"/>
      <c r="G27" s="47"/>
      <c r="H27" s="37"/>
      <c r="I27" s="47"/>
      <c r="J27" s="47"/>
      <c r="K27" s="37"/>
      <c r="L27" s="47"/>
      <c r="M27" s="37"/>
      <c r="N27" s="47"/>
      <c r="O27" s="47"/>
      <c r="P27" s="47"/>
      <c r="Q27" s="47"/>
      <c r="R27" s="47"/>
      <c r="S27" s="47"/>
      <c r="T27" s="23"/>
      <c r="U27" s="23"/>
      <c r="V27" s="23"/>
      <c r="W27" s="52"/>
    </row>
    <row r="28" spans="2:23" ht="14.25">
      <c r="B28" s="423"/>
      <c r="C28" s="63">
        <v>5.0999999999999996</v>
      </c>
      <c r="D28" s="57" t="s">
        <v>144</v>
      </c>
      <c r="E28" s="47">
        <v>3662005000</v>
      </c>
      <c r="F28" s="47">
        <v>457085000</v>
      </c>
      <c r="G28" s="47">
        <v>114779000</v>
      </c>
      <c r="H28" s="37">
        <f t="shared" si="0"/>
        <v>4233869000</v>
      </c>
      <c r="I28" s="47">
        <v>530721000</v>
      </c>
      <c r="J28" s="47">
        <v>160038000</v>
      </c>
      <c r="K28" s="37">
        <f t="shared" si="1"/>
        <v>690759000</v>
      </c>
      <c r="L28" s="47">
        <v>3543110000</v>
      </c>
      <c r="M28" s="37">
        <f t="shared" si="2"/>
        <v>4233869000</v>
      </c>
      <c r="N28" s="47">
        <v>457250000</v>
      </c>
      <c r="O28" s="47">
        <v>297212000</v>
      </c>
      <c r="P28" s="47">
        <v>4229443000</v>
      </c>
      <c r="Q28" s="47">
        <v>686333000</v>
      </c>
      <c r="R28" s="47">
        <v>3543110000</v>
      </c>
      <c r="S28" s="47">
        <v>457250000</v>
      </c>
      <c r="T28" s="23">
        <f t="shared" si="3"/>
        <v>1.0464734954460906E-3</v>
      </c>
      <c r="U28" s="23">
        <f t="shared" si="4"/>
        <v>6.4487646667142628E-3</v>
      </c>
      <c r="V28" s="23">
        <f t="shared" si="5"/>
        <v>0</v>
      </c>
      <c r="W28" s="52">
        <f t="shared" si="6"/>
        <v>-0.35000109349371239</v>
      </c>
    </row>
    <row r="29" spans="2:23" ht="14.25">
      <c r="B29" s="423"/>
      <c r="C29" s="63">
        <v>5.2</v>
      </c>
      <c r="D29" s="57" t="s">
        <v>145</v>
      </c>
      <c r="E29" s="47">
        <v>1345051857</v>
      </c>
      <c r="F29" s="47">
        <v>622683311</v>
      </c>
      <c r="G29" s="47">
        <v>1888148909</v>
      </c>
      <c r="H29" s="37">
        <f t="shared" si="0"/>
        <v>3855884077</v>
      </c>
      <c r="I29" s="47">
        <v>235974264</v>
      </c>
      <c r="J29" s="47">
        <v>1059293810</v>
      </c>
      <c r="K29" s="37">
        <f t="shared" si="1"/>
        <v>1295268074</v>
      </c>
      <c r="L29" s="47">
        <v>2560616003</v>
      </c>
      <c r="M29" s="37">
        <f t="shared" si="2"/>
        <v>3855884077</v>
      </c>
      <c r="N29" s="47">
        <v>211804765</v>
      </c>
      <c r="O29" s="47">
        <v>128144765</v>
      </c>
      <c r="P29" s="47">
        <v>1968115000</v>
      </c>
      <c r="Q29" s="47">
        <v>1295268000</v>
      </c>
      <c r="R29" s="47">
        <v>672847000</v>
      </c>
      <c r="S29" s="47">
        <v>239030000</v>
      </c>
      <c r="T29" s="23">
        <f t="shared" si="3"/>
        <v>0.95917620515061364</v>
      </c>
      <c r="U29" s="23">
        <f t="shared" si="4"/>
        <v>5.7131033886423504E-8</v>
      </c>
      <c r="V29" s="23">
        <f t="shared" si="5"/>
        <v>2.8056437838022612</v>
      </c>
      <c r="W29" s="52">
        <f t="shared" si="6"/>
        <v>-0.46389672844412833</v>
      </c>
    </row>
    <row r="30" spans="2:23" ht="14.25">
      <c r="B30" s="423"/>
      <c r="C30" s="63">
        <v>5.3</v>
      </c>
      <c r="D30" s="57" t="s">
        <v>146</v>
      </c>
      <c r="E30" s="47">
        <v>68481000</v>
      </c>
      <c r="F30" s="47">
        <v>248149000</v>
      </c>
      <c r="G30" s="47">
        <v>1829723000</v>
      </c>
      <c r="H30" s="37">
        <f t="shared" si="0"/>
        <v>2146353000</v>
      </c>
      <c r="I30" s="47">
        <v>20336000</v>
      </c>
      <c r="J30" s="47">
        <v>1030069000</v>
      </c>
      <c r="K30" s="37">
        <f t="shared" si="1"/>
        <v>1050405000</v>
      </c>
      <c r="L30" s="47">
        <v>1095948000</v>
      </c>
      <c r="M30" s="37">
        <f t="shared" si="2"/>
        <v>2146353000</v>
      </c>
      <c r="N30" s="47">
        <v>63435000</v>
      </c>
      <c r="O30" s="47">
        <v>51635000</v>
      </c>
      <c r="P30" s="47">
        <v>2146353000</v>
      </c>
      <c r="Q30" s="47">
        <v>1050405000</v>
      </c>
      <c r="R30" s="47">
        <v>1095948000</v>
      </c>
      <c r="S30" s="47">
        <v>63435000</v>
      </c>
      <c r="T30" s="23">
        <f t="shared" si="3"/>
        <v>0</v>
      </c>
      <c r="U30" s="23">
        <f t="shared" si="4"/>
        <v>0</v>
      </c>
      <c r="V30" s="23">
        <f t="shared" si="5"/>
        <v>0</v>
      </c>
      <c r="W30" s="52">
        <f t="shared" si="6"/>
        <v>-0.18601718294317018</v>
      </c>
    </row>
    <row r="31" spans="2:23" ht="14.25">
      <c r="B31" s="423"/>
      <c r="C31" s="63">
        <v>5.4</v>
      </c>
      <c r="D31" s="57" t="s">
        <v>147</v>
      </c>
      <c r="E31" s="47">
        <v>9098479232</v>
      </c>
      <c r="F31" s="47">
        <v>531593591</v>
      </c>
      <c r="G31" s="47">
        <f>1377315265+27043045</f>
        <v>1404358310</v>
      </c>
      <c r="H31" s="37">
        <f t="shared" si="0"/>
        <v>11034431133</v>
      </c>
      <c r="I31" s="47">
        <v>1681476244</v>
      </c>
      <c r="J31" s="47">
        <v>4212950518</v>
      </c>
      <c r="K31" s="37">
        <f t="shared" si="1"/>
        <v>5894426762</v>
      </c>
      <c r="L31" s="47">
        <v>5140004372</v>
      </c>
      <c r="M31" s="37">
        <f t="shared" si="2"/>
        <v>11034431134</v>
      </c>
      <c r="N31" s="47">
        <v>101528025</v>
      </c>
      <c r="O31" s="47">
        <v>54379630</v>
      </c>
      <c r="P31" s="47">
        <v>11007389000</v>
      </c>
      <c r="Q31" s="47">
        <v>5894427000</v>
      </c>
      <c r="R31" s="47">
        <v>5112962000</v>
      </c>
      <c r="S31" s="47">
        <v>122857000</v>
      </c>
      <c r="T31" s="23">
        <f t="shared" si="3"/>
        <v>2.4567254777677068E-3</v>
      </c>
      <c r="U31" s="23">
        <f t="shared" si="4"/>
        <v>-4.0377122322492076E-8</v>
      </c>
      <c r="V31" s="23">
        <f t="shared" si="5"/>
        <v>5.2889835676463073E-3</v>
      </c>
      <c r="W31" s="52">
        <f t="shared" si="6"/>
        <v>-0.55737458997045342</v>
      </c>
    </row>
    <row r="32" spans="2:23" ht="15.75" thickBot="1">
      <c r="B32" s="61"/>
      <c r="C32" s="64"/>
      <c r="D32" s="60"/>
      <c r="E32" s="53"/>
      <c r="F32" s="53"/>
      <c r="G32" s="53"/>
      <c r="H32" s="54"/>
      <c r="I32" s="53"/>
      <c r="J32" s="53"/>
      <c r="K32" s="54"/>
      <c r="L32" s="53"/>
      <c r="M32" s="54"/>
      <c r="N32" s="53"/>
      <c r="O32" s="53"/>
      <c r="P32" s="53"/>
      <c r="Q32" s="53"/>
      <c r="R32" s="53"/>
      <c r="S32" s="53"/>
      <c r="T32" s="55"/>
      <c r="U32" s="55"/>
      <c r="V32" s="55"/>
      <c r="W32" s="56"/>
    </row>
    <row r="33" spans="2:23" ht="13.5" thickBot="1">
      <c r="E33" s="38"/>
      <c r="F33" s="38"/>
      <c r="G33" s="38"/>
      <c r="H33" s="38"/>
      <c r="I33" s="38"/>
      <c r="J33" s="38"/>
      <c r="K33" s="38"/>
      <c r="L33" s="38"/>
      <c r="M33" s="38"/>
      <c r="N33" s="38"/>
      <c r="O33" s="38"/>
      <c r="P33" s="38"/>
      <c r="Q33" s="38"/>
      <c r="R33" s="38"/>
      <c r="S33" s="38"/>
    </row>
    <row r="34" spans="2:23">
      <c r="B34" s="9" t="s">
        <v>4</v>
      </c>
      <c r="C34" s="8"/>
      <c r="D34" s="1"/>
      <c r="E34" s="39"/>
      <c r="F34" s="40"/>
      <c r="G34" s="41"/>
      <c r="H34" s="40"/>
      <c r="I34" s="42"/>
      <c r="J34" s="42"/>
      <c r="K34" s="43"/>
      <c r="L34" s="40"/>
      <c r="M34" s="44"/>
      <c r="N34" s="40"/>
      <c r="O34" s="44"/>
      <c r="P34" s="40"/>
      <c r="Q34" s="44"/>
      <c r="R34" s="44"/>
      <c r="S34" s="44"/>
      <c r="T34" s="25"/>
      <c r="U34" s="25"/>
      <c r="V34" s="25"/>
      <c r="W34" s="26"/>
    </row>
    <row r="35" spans="2:23">
      <c r="B35" s="2"/>
      <c r="C35" s="408" t="s">
        <v>148</v>
      </c>
      <c r="D35" s="409"/>
      <c r="E35" s="409"/>
      <c r="F35" s="409"/>
      <c r="G35" s="409"/>
      <c r="H35" s="409"/>
      <c r="I35" s="409"/>
      <c r="J35" s="409"/>
      <c r="K35" s="409"/>
      <c r="L35" s="409"/>
      <c r="M35" s="409"/>
      <c r="N35" s="409"/>
      <c r="O35" s="409"/>
      <c r="P35" s="409"/>
      <c r="Q35" s="409"/>
      <c r="R35" s="409"/>
      <c r="S35" s="409"/>
      <c r="T35" s="409"/>
      <c r="U35" s="409"/>
      <c r="V35" s="409"/>
      <c r="W35" s="29"/>
    </row>
    <row r="36" spans="2:23">
      <c r="B36" s="2"/>
      <c r="C36" s="409"/>
      <c r="D36" s="409"/>
      <c r="E36" s="409"/>
      <c r="F36" s="409"/>
      <c r="G36" s="409"/>
      <c r="H36" s="409"/>
      <c r="I36" s="409"/>
      <c r="J36" s="409"/>
      <c r="K36" s="409"/>
      <c r="L36" s="409"/>
      <c r="M36" s="409"/>
      <c r="N36" s="409"/>
      <c r="O36" s="409"/>
      <c r="P36" s="409"/>
      <c r="Q36" s="409"/>
      <c r="R36" s="409"/>
      <c r="S36" s="409"/>
      <c r="T36" s="409"/>
      <c r="U36" s="409"/>
      <c r="V36" s="409"/>
      <c r="W36" s="29"/>
    </row>
    <row r="37" spans="2:23">
      <c r="B37" s="2"/>
      <c r="C37" s="409"/>
      <c r="D37" s="409"/>
      <c r="E37" s="409"/>
      <c r="F37" s="409"/>
      <c r="G37" s="409"/>
      <c r="H37" s="409"/>
      <c r="I37" s="409"/>
      <c r="J37" s="409"/>
      <c r="K37" s="409"/>
      <c r="L37" s="409"/>
      <c r="M37" s="409"/>
      <c r="N37" s="409"/>
      <c r="O37" s="409"/>
      <c r="P37" s="409"/>
      <c r="Q37" s="409"/>
      <c r="R37" s="409"/>
      <c r="S37" s="409"/>
      <c r="T37" s="409"/>
      <c r="U37" s="409"/>
      <c r="V37" s="409"/>
      <c r="W37" s="29"/>
    </row>
    <row r="38" spans="2:23">
      <c r="B38" s="2"/>
      <c r="C38" s="409"/>
      <c r="D38" s="409"/>
      <c r="E38" s="409"/>
      <c r="F38" s="409"/>
      <c r="G38" s="409"/>
      <c r="H38" s="409"/>
      <c r="I38" s="409"/>
      <c r="J38" s="409"/>
      <c r="K38" s="409"/>
      <c r="L38" s="409"/>
      <c r="M38" s="409"/>
      <c r="N38" s="409"/>
      <c r="O38" s="409"/>
      <c r="P38" s="409"/>
      <c r="Q38" s="409"/>
      <c r="R38" s="409"/>
      <c r="S38" s="409"/>
      <c r="T38" s="409"/>
      <c r="U38" s="409"/>
      <c r="V38" s="409"/>
      <c r="W38" s="29"/>
    </row>
    <row r="39" spans="2:23" ht="13.5" thickBot="1">
      <c r="B39" s="3"/>
      <c r="C39" s="4"/>
      <c r="D39" s="4"/>
      <c r="E39" s="5"/>
      <c r="F39" s="6"/>
      <c r="G39" s="6"/>
      <c r="H39" s="6"/>
      <c r="I39" s="6"/>
      <c r="J39" s="6"/>
      <c r="K39" s="7"/>
      <c r="L39" s="6"/>
      <c r="M39" s="4"/>
      <c r="N39" s="6"/>
      <c r="O39" s="4"/>
      <c r="P39" s="6"/>
      <c r="Q39" s="27"/>
      <c r="R39" s="27"/>
      <c r="S39" s="27"/>
      <c r="T39" s="27"/>
      <c r="U39" s="27"/>
      <c r="V39" s="27"/>
      <c r="W39" s="28"/>
    </row>
  </sheetData>
  <customSheetViews>
    <customSheetView guid="{7043DB3C-32B3-43B5-9ACE-4B1C78863594}" scale="75" state="hidden" topLeftCell="B2">
      <pane xSplit="3" ySplit="5" topLeftCell="M7" activePane="bottomRight" state="frozen"/>
      <selection pane="bottomRight" activeCell="C35" sqref="C35:V38"/>
      <pageMargins left="0.75" right="0.75" top="1" bottom="1" header="0" footer="0"/>
      <pageSetup paperSize="9" orientation="landscape" r:id="rId1"/>
      <headerFooter alignWithMargins="0"/>
    </customSheetView>
  </customSheetViews>
  <mergeCells count="10">
    <mergeCell ref="C35:V38"/>
    <mergeCell ref="T4:W4"/>
    <mergeCell ref="B4:C5"/>
    <mergeCell ref="D4:D5"/>
    <mergeCell ref="P4:S4"/>
    <mergeCell ref="E4:O4"/>
    <mergeCell ref="B7:B13"/>
    <mergeCell ref="B15:B21"/>
    <mergeCell ref="B22:B26"/>
    <mergeCell ref="B27:B31"/>
  </mergeCells>
  <phoneticPr fontId="0" type="noConversion"/>
  <conditionalFormatting sqref="D4 B6:D6 B4 D34:P34 B34:B39 C34:C35 C39:P39 B7 B14 C7:D32">
    <cfRule type="cellIs" dxfId="612" priority="1" stopIfTrue="1" operator="equal">
      <formula>"NO ADMISIBLE"</formula>
    </cfRule>
  </conditionalFormatting>
  <pageMargins left="0.75" right="0.75" top="1" bottom="1" header="0" footer="0"/>
  <pageSetup paperSize="9"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L13"/>
  <sheetViews>
    <sheetView view="pageBreakPreview" zoomScale="82" zoomScaleNormal="100" zoomScaleSheetLayoutView="70" workbookViewId="0">
      <selection activeCell="D9" sqref="D9"/>
    </sheetView>
  </sheetViews>
  <sheetFormatPr baseColWidth="10" defaultColWidth="11.42578125" defaultRowHeight="12.75"/>
  <cols>
    <col min="1" max="1" width="11.42578125" style="152"/>
    <col min="2" max="2" width="18.42578125" style="152" bestFit="1" customWidth="1"/>
    <col min="3" max="3" width="11.42578125" style="152"/>
    <col min="4" max="4" width="18.140625" style="152" customWidth="1"/>
    <col min="5" max="5" width="4.7109375" style="152" customWidth="1"/>
    <col min="6" max="6" width="15.7109375" style="152" customWidth="1"/>
    <col min="7" max="7" width="4.7109375" style="146" customWidth="1"/>
    <col min="8" max="8" width="17.42578125" style="146" customWidth="1"/>
    <col min="9" max="9" width="4.7109375" style="146" customWidth="1"/>
    <col min="10" max="10" width="17.42578125" style="146" customWidth="1"/>
    <col min="11" max="11" width="12.85546875" style="156" bestFit="1" customWidth="1"/>
    <col min="12" max="12" width="13.85546875" style="156" bestFit="1" customWidth="1"/>
    <col min="13" max="16384" width="11.42578125" style="146"/>
  </cols>
  <sheetData>
    <row r="1" spans="1:10" ht="20.25">
      <c r="A1" s="207" t="s">
        <v>150</v>
      </c>
    </row>
    <row r="2" spans="1:10" ht="20.25">
      <c r="A2" s="207" t="s">
        <v>211</v>
      </c>
    </row>
    <row r="3" spans="1:10" ht="20.25">
      <c r="A3" s="207" t="s">
        <v>292</v>
      </c>
    </row>
    <row r="4" spans="1:10" ht="20.25">
      <c r="A4" s="207" t="s">
        <v>149</v>
      </c>
    </row>
    <row r="5" spans="1:10" ht="20.25">
      <c r="A5" s="207" t="s">
        <v>298</v>
      </c>
    </row>
    <row r="7" spans="1:10" ht="40.5" customHeight="1">
      <c r="A7" s="143" t="s">
        <v>165</v>
      </c>
      <c r="B7" s="143" t="s">
        <v>166</v>
      </c>
      <c r="C7" s="143" t="s">
        <v>0</v>
      </c>
      <c r="D7" s="143" t="s">
        <v>190</v>
      </c>
      <c r="E7" s="144"/>
      <c r="F7" s="145" t="s">
        <v>299</v>
      </c>
      <c r="H7" s="145" t="s">
        <v>239</v>
      </c>
      <c r="J7" s="145" t="s">
        <v>284</v>
      </c>
    </row>
    <row r="8" spans="1:10" ht="17.25" customHeight="1">
      <c r="A8" s="147">
        <v>1</v>
      </c>
      <c r="B8" s="148">
        <v>120000000</v>
      </c>
      <c r="C8" s="149">
        <v>1</v>
      </c>
      <c r="D8" s="148">
        <v>1E-10</v>
      </c>
      <c r="E8" s="150"/>
      <c r="F8" s="151">
        <v>1300000</v>
      </c>
      <c r="H8" s="155">
        <f>+B8*J8</f>
        <v>12000000</v>
      </c>
      <c r="J8" s="226">
        <v>0.1</v>
      </c>
    </row>
    <row r="9" spans="1:10">
      <c r="A9" s="147"/>
      <c r="B9" s="148"/>
      <c r="C9" s="149"/>
      <c r="D9" s="148"/>
      <c r="H9" s="155" t="str">
        <f>+IF(OR(B9="",PlazoM2=""),"",B9/PlazoM2)</f>
        <v/>
      </c>
    </row>
    <row r="10" spans="1:10">
      <c r="A10" s="147"/>
      <c r="B10" s="148"/>
      <c r="C10" s="149"/>
      <c r="D10" s="148"/>
      <c r="H10" s="155" t="str">
        <f>+IF(OR(B10="",PlazoM3=""),"",B10/PlazoM3)</f>
        <v/>
      </c>
    </row>
    <row r="11" spans="1:10">
      <c r="A11" s="147"/>
      <c r="B11" s="148"/>
      <c r="C11" s="149"/>
      <c r="D11" s="148"/>
      <c r="H11" s="155" t="str">
        <f>+IF(OR(B11="",PlazoM4=""),"",B11/PlazoM4)</f>
        <v/>
      </c>
    </row>
    <row r="12" spans="1:10">
      <c r="E12" s="153"/>
      <c r="F12" s="249" t="s">
        <v>290</v>
      </c>
      <c r="H12" s="250"/>
    </row>
    <row r="13" spans="1:10">
      <c r="D13" s="154"/>
    </row>
  </sheetData>
  <sheetProtection selectLockedCells="1" selectUnlockedCells="1"/>
  <customSheetViews>
    <customSheetView guid="{7043DB3C-32B3-43B5-9ACE-4B1C78863594}" topLeftCell="A4">
      <selection activeCell="F24" sqref="F24"/>
      <pageMargins left="0.75" right="0.75" top="1" bottom="1" header="0" footer="0"/>
      <headerFooter alignWithMargins="0"/>
    </customSheetView>
  </customSheetViews>
  <phoneticPr fontId="23" type="noConversion"/>
  <pageMargins left="0.75" right="0.75" top="1" bottom="1" header="0" footer="0"/>
  <pageSetup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4">
    <tabColor rgb="FFFFC000"/>
  </sheetPr>
  <dimension ref="B1:H21"/>
  <sheetViews>
    <sheetView view="pageBreakPreview" zoomScale="95" zoomScaleNormal="100" zoomScaleSheetLayoutView="95" workbookViewId="0">
      <selection activeCell="B6" sqref="B6"/>
    </sheetView>
  </sheetViews>
  <sheetFormatPr baseColWidth="10" defaultColWidth="11.42578125" defaultRowHeight="12.75"/>
  <cols>
    <col min="1" max="2" width="11.42578125" style="100"/>
    <col min="3" max="3" width="16.42578125" style="100" customWidth="1"/>
    <col min="4" max="6" width="11.42578125" style="100"/>
    <col min="7" max="7" width="11.42578125" style="100" customWidth="1"/>
    <col min="8" max="8" width="11.42578125" style="100"/>
    <col min="9" max="9" width="4.85546875" style="100" customWidth="1"/>
    <col min="10" max="16384" width="11.42578125" style="100"/>
  </cols>
  <sheetData>
    <row r="1" spans="2:8" ht="20.25">
      <c r="B1" s="207" t="s">
        <v>150</v>
      </c>
    </row>
    <row r="2" spans="2:8" ht="20.25">
      <c r="B2" s="207" t="s">
        <v>211</v>
      </c>
    </row>
    <row r="3" spans="2:8" ht="20.25">
      <c r="B3" s="207" t="s">
        <v>292</v>
      </c>
    </row>
    <row r="4" spans="2:8" ht="20.25">
      <c r="B4" s="207" t="s">
        <v>149</v>
      </c>
    </row>
    <row r="5" spans="2:8" ht="20.25">
      <c r="B5" s="207" t="s">
        <v>295</v>
      </c>
    </row>
    <row r="6" spans="2:8" ht="21" thickBot="1">
      <c r="B6" s="207"/>
    </row>
    <row r="7" spans="2:8" ht="13.5" thickBot="1">
      <c r="B7" s="424" t="s">
        <v>199</v>
      </c>
      <c r="C7" s="425"/>
      <c r="D7" s="426"/>
      <c r="F7" s="424" t="s">
        <v>207</v>
      </c>
      <c r="G7" s="425"/>
      <c r="H7" s="426"/>
    </row>
    <row r="8" spans="2:8" ht="13.5" thickBot="1">
      <c r="B8" s="126" t="s">
        <v>203</v>
      </c>
      <c r="C8" s="128" t="s">
        <v>205</v>
      </c>
      <c r="D8" s="127" t="s">
        <v>204</v>
      </c>
      <c r="F8" s="126" t="s">
        <v>208</v>
      </c>
      <c r="G8" s="128" t="s">
        <v>209</v>
      </c>
      <c r="H8" s="127" t="s">
        <v>204</v>
      </c>
    </row>
    <row r="9" spans="2:8">
      <c r="B9" s="118">
        <v>0</v>
      </c>
      <c r="C9" s="118">
        <v>3</v>
      </c>
      <c r="D9" s="118">
        <v>60</v>
      </c>
      <c r="F9" s="118">
        <v>1</v>
      </c>
      <c r="G9" s="118">
        <v>5</v>
      </c>
      <c r="H9" s="118">
        <v>20</v>
      </c>
    </row>
    <row r="10" spans="2:8">
      <c r="B10" s="119">
        <v>3</v>
      </c>
      <c r="C10" s="119">
        <v>6</v>
      </c>
      <c r="D10" s="119">
        <v>80</v>
      </c>
      <c r="F10" s="119">
        <v>6</v>
      </c>
      <c r="G10" s="119">
        <v>10</v>
      </c>
      <c r="H10" s="119">
        <v>30</v>
      </c>
    </row>
    <row r="11" spans="2:8" ht="13.5" thickBot="1">
      <c r="B11" s="119">
        <v>6</v>
      </c>
      <c r="C11" s="119">
        <v>10</v>
      </c>
      <c r="D11" s="119">
        <v>100</v>
      </c>
      <c r="F11" s="120">
        <v>11</v>
      </c>
      <c r="G11" s="121" t="s">
        <v>206</v>
      </c>
      <c r="H11" s="120">
        <v>40</v>
      </c>
    </row>
    <row r="12" spans="2:8" ht="13.5" thickBot="1">
      <c r="B12" s="120">
        <v>10</v>
      </c>
      <c r="C12" s="121" t="s">
        <v>206</v>
      </c>
      <c r="D12" s="120">
        <v>120</v>
      </c>
      <c r="F12" s="129"/>
      <c r="G12" s="130"/>
      <c r="H12" s="129"/>
    </row>
    <row r="14" spans="2:8" ht="13.5" thickBot="1"/>
    <row r="15" spans="2:8" ht="13.5" thickBot="1">
      <c r="B15" s="424" t="s">
        <v>194</v>
      </c>
      <c r="C15" s="425"/>
      <c r="D15" s="426"/>
    </row>
    <row r="16" spans="2:8" ht="13.5" thickBot="1">
      <c r="B16" s="126" t="s">
        <v>203</v>
      </c>
      <c r="C16" s="128" t="s">
        <v>205</v>
      </c>
      <c r="D16" s="127" t="s">
        <v>204</v>
      </c>
    </row>
    <row r="17" spans="2:4">
      <c r="B17" s="118">
        <v>0</v>
      </c>
      <c r="C17" s="118">
        <v>0.5</v>
      </c>
      <c r="D17" s="118">
        <v>20</v>
      </c>
    </row>
    <row r="18" spans="2:4">
      <c r="B18" s="119">
        <v>0.5</v>
      </c>
      <c r="C18" s="119">
        <v>0.75</v>
      </c>
      <c r="D18" s="119">
        <v>25</v>
      </c>
    </row>
    <row r="19" spans="2:4">
      <c r="B19" s="119">
        <v>0.75</v>
      </c>
      <c r="C19" s="125">
        <v>1</v>
      </c>
      <c r="D19" s="119">
        <v>30</v>
      </c>
    </row>
    <row r="20" spans="2:4">
      <c r="B20" s="124">
        <v>1</v>
      </c>
      <c r="C20" s="123">
        <v>1.5</v>
      </c>
      <c r="D20" s="122">
        <v>35</v>
      </c>
    </row>
    <row r="21" spans="2:4" ht="13.5" thickBot="1">
      <c r="B21" s="120">
        <v>1.5</v>
      </c>
      <c r="C21" s="121" t="s">
        <v>206</v>
      </c>
      <c r="D21" s="120">
        <v>40</v>
      </c>
    </row>
  </sheetData>
  <mergeCells count="3">
    <mergeCell ref="B7:D7"/>
    <mergeCell ref="B15:D15"/>
    <mergeCell ref="F7:H7"/>
  </mergeCells>
  <pageMargins left="0.7" right="0.7" top="0.75" bottom="0.75" header="0.3" footer="0.3"/>
  <pageSetup scale="83"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B1:AK26"/>
  <sheetViews>
    <sheetView view="pageBreakPreview" zoomScale="64" zoomScaleNormal="80" zoomScaleSheetLayoutView="85" workbookViewId="0">
      <selection activeCell="T12" sqref="T12"/>
    </sheetView>
  </sheetViews>
  <sheetFormatPr baseColWidth="10" defaultColWidth="11.42578125" defaultRowHeight="18" customHeight="1"/>
  <cols>
    <col min="1" max="1" width="4.42578125" style="89" customWidth="1"/>
    <col min="2" max="2" width="8.85546875" style="89" bestFit="1" customWidth="1"/>
    <col min="3" max="3" width="49" style="89" customWidth="1"/>
    <col min="4" max="4" width="17.42578125" style="89" customWidth="1"/>
    <col min="5" max="5" width="25" style="89" customWidth="1"/>
    <col min="6" max="6" width="26.7109375" style="91" customWidth="1"/>
    <col min="7" max="7" width="25" style="91" bestFit="1" customWidth="1"/>
    <col min="8" max="9" width="23.140625" style="91" customWidth="1"/>
    <col min="10" max="10" width="28.7109375" style="92" customWidth="1"/>
    <col min="11" max="11" width="23" style="92" customWidth="1"/>
    <col min="12" max="12" width="20.85546875" style="92" customWidth="1"/>
    <col min="13" max="13" width="4.140625" style="93" bestFit="1" customWidth="1"/>
    <col min="14" max="14" width="8" style="93" bestFit="1" customWidth="1"/>
    <col min="15" max="15" width="8" style="93" hidden="1" customWidth="1"/>
    <col min="16" max="16" width="19.42578125" style="93" hidden="1" customWidth="1"/>
    <col min="17" max="17" width="21.7109375" style="93" bestFit="1" customWidth="1"/>
    <col min="18" max="18" width="24.85546875" style="93" customWidth="1"/>
    <col min="19" max="19" width="21.42578125" style="93" customWidth="1"/>
    <col min="20" max="20" width="17" style="93" bestFit="1" customWidth="1"/>
    <col min="21" max="21" width="14.7109375" style="93" customWidth="1"/>
    <col min="22" max="22" width="17.42578125" style="93" customWidth="1"/>
    <col min="23" max="23" width="21.7109375" style="93" customWidth="1"/>
    <col min="24" max="24" width="20.42578125" style="93" hidden="1" customWidth="1"/>
    <col min="25" max="25" width="19.42578125" style="93" customWidth="1"/>
    <col min="26" max="26" width="14.7109375" style="93" customWidth="1"/>
    <col min="27" max="27" width="15.85546875" style="91" customWidth="1"/>
    <col min="28" max="28" width="15.42578125" style="89" hidden="1" customWidth="1"/>
    <col min="29" max="29" width="15.85546875" style="89" hidden="1" customWidth="1"/>
    <col min="30" max="30" width="18.42578125" style="94" bestFit="1" customWidth="1"/>
    <col min="31" max="31" width="14.140625" style="89" bestFit="1" customWidth="1"/>
    <col min="32" max="32" width="14.42578125" style="94" customWidth="1"/>
    <col min="33" max="33" width="14.140625" style="89" bestFit="1" customWidth="1"/>
    <col min="34" max="34" width="17.42578125" style="89" customWidth="1"/>
    <col min="35" max="35" width="3.28515625" style="89" customWidth="1"/>
    <col min="36" max="36" width="11.42578125" style="89"/>
    <col min="37" max="37" width="19.140625" style="89" customWidth="1"/>
    <col min="38" max="16384" width="11.42578125" style="89"/>
  </cols>
  <sheetData>
    <row r="1" spans="2:34" ht="18" customHeight="1">
      <c r="B1" s="207" t="s">
        <v>150</v>
      </c>
      <c r="C1" s="101"/>
      <c r="D1" s="101"/>
      <c r="E1" s="101"/>
      <c r="F1" s="101"/>
      <c r="G1" s="101"/>
      <c r="H1" s="101"/>
      <c r="I1" s="101"/>
      <c r="J1" s="101"/>
      <c r="K1" s="101"/>
      <c r="L1" s="101"/>
      <c r="M1" s="101"/>
      <c r="N1" s="101"/>
      <c r="O1" s="101"/>
      <c r="P1" s="101"/>
      <c r="Q1" s="101"/>
      <c r="R1" s="101"/>
      <c r="S1" s="101"/>
      <c r="T1" s="101"/>
      <c r="U1" s="101"/>
      <c r="V1" s="101"/>
      <c r="W1" s="101"/>
      <c r="X1" s="101"/>
      <c r="Y1" s="101"/>
      <c r="Z1" s="101"/>
      <c r="AA1" s="101"/>
    </row>
    <row r="2" spans="2:34" s="90" customFormat="1" ht="23.25">
      <c r="B2" s="207" t="s">
        <v>211</v>
      </c>
      <c r="C2" s="208"/>
      <c r="D2" s="208"/>
      <c r="E2" s="208"/>
      <c r="F2" s="208"/>
      <c r="G2" s="208"/>
      <c r="H2" s="208"/>
      <c r="I2" s="208"/>
      <c r="J2" s="208"/>
      <c r="K2" s="208"/>
      <c r="L2" s="208"/>
      <c r="M2" s="208"/>
      <c r="N2" s="208"/>
      <c r="O2" s="208"/>
      <c r="P2" s="208"/>
      <c r="Q2" s="208"/>
      <c r="R2" s="208"/>
      <c r="S2" s="208"/>
      <c r="T2" s="208"/>
      <c r="U2" s="208"/>
      <c r="V2" s="208"/>
      <c r="W2" s="208"/>
      <c r="X2" s="208"/>
      <c r="Y2" s="208"/>
      <c r="Z2" s="208"/>
      <c r="AA2" s="208"/>
      <c r="AB2" s="208"/>
      <c r="AC2" s="208"/>
      <c r="AD2" s="208"/>
      <c r="AE2" s="208"/>
      <c r="AF2" s="208"/>
      <c r="AG2" s="208"/>
      <c r="AH2" s="208"/>
    </row>
    <row r="3" spans="2:34" s="90" customFormat="1" ht="20.25">
      <c r="B3" s="207" t="s">
        <v>292</v>
      </c>
      <c r="C3" s="209"/>
      <c r="D3" s="209"/>
      <c r="E3" s="209"/>
      <c r="F3" s="209"/>
      <c r="G3" s="209"/>
      <c r="H3" s="209"/>
      <c r="I3" s="209"/>
      <c r="J3" s="209"/>
      <c r="K3" s="209"/>
      <c r="L3" s="209"/>
      <c r="M3" s="209"/>
      <c r="N3" s="209"/>
      <c r="O3" s="209"/>
      <c r="P3" s="209"/>
      <c r="Q3" s="209"/>
      <c r="R3" s="209"/>
      <c r="S3" s="209"/>
      <c r="T3" s="209"/>
      <c r="U3" s="209"/>
      <c r="V3" s="209"/>
      <c r="W3" s="209"/>
      <c r="X3" s="209"/>
      <c r="Y3" s="209"/>
      <c r="Z3" s="209"/>
      <c r="AA3" s="209"/>
      <c r="AB3" s="209"/>
      <c r="AC3" s="209"/>
      <c r="AD3" s="209"/>
      <c r="AE3" s="209"/>
      <c r="AF3" s="209"/>
      <c r="AG3" s="209"/>
      <c r="AH3" s="209"/>
    </row>
    <row r="4" spans="2:34" ht="18" customHeight="1">
      <c r="B4" s="207" t="s">
        <v>149</v>
      </c>
      <c r="C4" s="206"/>
      <c r="D4" s="206"/>
      <c r="E4" s="206"/>
      <c r="F4" s="206"/>
      <c r="G4" s="206"/>
      <c r="H4" s="206"/>
      <c r="I4" s="206"/>
      <c r="J4" s="206"/>
      <c r="K4" s="206"/>
      <c r="L4" s="206"/>
      <c r="M4" s="206"/>
      <c r="N4" s="206"/>
      <c r="O4" s="206"/>
      <c r="P4" s="206"/>
      <c r="Q4" s="206"/>
      <c r="R4" s="206"/>
      <c r="S4" s="206"/>
      <c r="T4" s="206"/>
      <c r="U4" s="206"/>
      <c r="V4" s="206"/>
      <c r="W4" s="206"/>
      <c r="X4" s="206"/>
      <c r="Y4" s="206"/>
      <c r="Z4" s="206"/>
      <c r="AA4" s="206"/>
      <c r="AB4" s="206"/>
      <c r="AC4" s="206"/>
      <c r="AD4" s="206"/>
      <c r="AE4" s="206"/>
      <c r="AF4" s="206"/>
      <c r="AG4" s="206"/>
      <c r="AH4" s="206"/>
    </row>
    <row r="5" spans="2:34" ht="18" customHeight="1">
      <c r="B5" s="207" t="s">
        <v>298</v>
      </c>
      <c r="C5" s="210"/>
      <c r="D5" s="210"/>
      <c r="E5" s="210"/>
      <c r="F5" s="247"/>
      <c r="G5" s="210"/>
      <c r="H5" s="210"/>
      <c r="I5" s="210"/>
      <c r="J5" s="210"/>
      <c r="K5" s="210"/>
      <c r="L5" s="210"/>
      <c r="M5" s="210"/>
      <c r="N5" s="210"/>
      <c r="O5" s="210"/>
      <c r="P5" s="210"/>
      <c r="Q5" s="210"/>
      <c r="R5" s="210"/>
      <c r="S5" s="210"/>
      <c r="T5" s="210"/>
      <c r="U5" s="210"/>
      <c r="V5" s="210"/>
      <c r="W5" s="210"/>
      <c r="X5" s="210"/>
      <c r="Y5" s="210"/>
      <c r="Z5" s="210"/>
      <c r="AA5" s="210"/>
      <c r="AB5" s="210"/>
      <c r="AC5" s="210"/>
      <c r="AD5" s="210"/>
      <c r="AE5" s="210"/>
      <c r="AF5" s="210"/>
      <c r="AG5" s="210"/>
      <c r="AH5" s="210"/>
    </row>
    <row r="6" spans="2:34" ht="18" customHeight="1" thickBot="1">
      <c r="B6" s="99"/>
      <c r="C6" s="99"/>
      <c r="D6" s="99"/>
      <c r="E6" s="99"/>
      <c r="F6" s="99"/>
      <c r="G6" s="99"/>
      <c r="H6" s="99"/>
      <c r="I6" s="99"/>
      <c r="J6" s="99"/>
      <c r="K6" s="99"/>
      <c r="L6" s="99"/>
      <c r="M6" s="99"/>
      <c r="N6" s="99"/>
      <c r="O6" s="99"/>
      <c r="P6" s="99"/>
      <c r="Q6" s="99"/>
      <c r="R6" s="99"/>
      <c r="S6" s="99"/>
      <c r="T6" s="99"/>
      <c r="U6" s="99"/>
      <c r="V6" s="99"/>
      <c r="W6" s="99"/>
      <c r="X6" s="99"/>
      <c r="Y6" s="99"/>
      <c r="Z6" s="99"/>
      <c r="AA6" s="99"/>
      <c r="AB6" s="99"/>
      <c r="AC6" s="99"/>
      <c r="AD6" s="99"/>
      <c r="AE6" s="99"/>
      <c r="AF6" s="99"/>
      <c r="AG6" s="99"/>
      <c r="AH6" s="99"/>
    </row>
    <row r="7" spans="2:34" ht="38.1" customHeight="1" thickBot="1">
      <c r="B7" s="449" t="s">
        <v>152</v>
      </c>
      <c r="C7" s="450"/>
      <c r="D7" s="451"/>
      <c r="E7" s="452" t="s">
        <v>162</v>
      </c>
      <c r="F7" s="453"/>
      <c r="G7" s="453"/>
      <c r="H7" s="453"/>
      <c r="I7" s="453"/>
      <c r="J7" s="453"/>
      <c r="K7" s="77"/>
      <c r="L7" s="77"/>
      <c r="M7" s="77"/>
      <c r="N7" s="77"/>
      <c r="O7" s="77"/>
      <c r="P7" s="77"/>
      <c r="Q7" s="78"/>
      <c r="R7" s="427" t="s">
        <v>236</v>
      </c>
      <c r="S7" s="428"/>
      <c r="T7" s="427" t="s">
        <v>164</v>
      </c>
      <c r="U7" s="428"/>
      <c r="V7" s="427" t="s">
        <v>151</v>
      </c>
      <c r="W7" s="428"/>
      <c r="X7" s="79"/>
      <c r="Y7" s="427" t="s">
        <v>180</v>
      </c>
      <c r="Z7" s="428"/>
      <c r="AA7" s="80" t="s">
        <v>182</v>
      </c>
      <c r="AB7" s="433" t="s">
        <v>172</v>
      </c>
      <c r="AC7" s="434"/>
      <c r="AD7" s="427" t="s">
        <v>184</v>
      </c>
      <c r="AE7" s="428"/>
      <c r="AF7" s="427" t="s">
        <v>186</v>
      </c>
      <c r="AG7" s="428"/>
      <c r="AH7" s="80" t="s">
        <v>183</v>
      </c>
    </row>
    <row r="8" spans="2:34" ht="56.25" customHeight="1">
      <c r="B8" s="454" t="s">
        <v>158</v>
      </c>
      <c r="C8" s="462" t="s">
        <v>157</v>
      </c>
      <c r="D8" s="459" t="s">
        <v>168</v>
      </c>
      <c r="E8" s="447" t="s">
        <v>160</v>
      </c>
      <c r="F8" s="461" t="s">
        <v>155</v>
      </c>
      <c r="G8" s="461" t="s">
        <v>159</v>
      </c>
      <c r="H8" s="431" t="s">
        <v>156</v>
      </c>
      <c r="I8" s="439" t="s">
        <v>234</v>
      </c>
      <c r="J8" s="439" t="s">
        <v>235</v>
      </c>
      <c r="K8" s="81"/>
      <c r="L8" s="81"/>
      <c r="M8" s="444" t="s">
        <v>163</v>
      </c>
      <c r="N8" s="441" t="s">
        <v>238</v>
      </c>
      <c r="O8" s="456" t="s">
        <v>169</v>
      </c>
      <c r="P8" s="436" t="s">
        <v>170</v>
      </c>
      <c r="Q8" s="440" t="s">
        <v>167</v>
      </c>
      <c r="R8" s="429" t="s">
        <v>285</v>
      </c>
      <c r="S8" s="430"/>
      <c r="T8" s="429" t="s">
        <v>282</v>
      </c>
      <c r="U8" s="430"/>
      <c r="V8" s="429" t="s">
        <v>283</v>
      </c>
      <c r="W8" s="430"/>
      <c r="X8" s="435" t="s">
        <v>171</v>
      </c>
      <c r="Y8" s="429" t="s">
        <v>250</v>
      </c>
      <c r="Z8" s="430"/>
      <c r="AA8" s="431" t="s">
        <v>176</v>
      </c>
      <c r="AB8" s="71" t="s">
        <v>173</v>
      </c>
      <c r="AC8" s="72">
        <v>535600</v>
      </c>
      <c r="AD8" s="429" t="s">
        <v>280</v>
      </c>
      <c r="AE8" s="430"/>
      <c r="AF8" s="429" t="s">
        <v>281</v>
      </c>
      <c r="AG8" s="430"/>
      <c r="AH8" s="431" t="s">
        <v>176</v>
      </c>
    </row>
    <row r="9" spans="2:34" ht="54" customHeight="1" thickBot="1">
      <c r="B9" s="455"/>
      <c r="C9" s="462"/>
      <c r="D9" s="460"/>
      <c r="E9" s="448"/>
      <c r="F9" s="438"/>
      <c r="G9" s="431"/>
      <c r="H9" s="438"/>
      <c r="I9" s="439"/>
      <c r="J9" s="439"/>
      <c r="K9" s="81" t="s">
        <v>178</v>
      </c>
      <c r="L9" s="81" t="s">
        <v>179</v>
      </c>
      <c r="M9" s="445"/>
      <c r="N9" s="442"/>
      <c r="O9" s="457"/>
      <c r="P9" s="436"/>
      <c r="Q9" s="440"/>
      <c r="R9" s="66" t="s">
        <v>237</v>
      </c>
      <c r="S9" s="140" t="s">
        <v>286</v>
      </c>
      <c r="T9" s="66" t="s">
        <v>161</v>
      </c>
      <c r="U9" s="183">
        <v>1</v>
      </c>
      <c r="V9" s="66" t="s">
        <v>188</v>
      </c>
      <c r="W9" s="184">
        <v>0.7</v>
      </c>
      <c r="X9" s="436"/>
      <c r="Y9" s="66" t="s">
        <v>181</v>
      </c>
      <c r="Z9" s="183">
        <v>1</v>
      </c>
      <c r="AA9" s="431"/>
      <c r="AB9" s="73" t="s">
        <v>174</v>
      </c>
      <c r="AC9" s="74">
        <v>566700</v>
      </c>
      <c r="AD9" s="83" t="s">
        <v>185</v>
      </c>
      <c r="AE9" s="184">
        <v>0</v>
      </c>
      <c r="AF9" s="83" t="s">
        <v>187</v>
      </c>
      <c r="AG9" s="184">
        <v>0</v>
      </c>
      <c r="AH9" s="431"/>
    </row>
    <row r="10" spans="2:34" ht="44.25" customHeight="1" thickBot="1">
      <c r="B10" s="455"/>
      <c r="C10" s="462"/>
      <c r="D10" s="460"/>
      <c r="E10" s="448"/>
      <c r="F10" s="438"/>
      <c r="G10" s="431"/>
      <c r="H10" s="438"/>
      <c r="I10" s="439"/>
      <c r="J10" s="439"/>
      <c r="K10" s="81"/>
      <c r="L10" s="81"/>
      <c r="M10" s="446"/>
      <c r="N10" s="443"/>
      <c r="O10" s="458"/>
      <c r="P10" s="436"/>
      <c r="Q10" s="440"/>
      <c r="R10" s="67" t="s">
        <v>154</v>
      </c>
      <c r="S10" s="68" t="s">
        <v>153</v>
      </c>
      <c r="T10" s="67" t="s">
        <v>154</v>
      </c>
      <c r="U10" s="68" t="s">
        <v>153</v>
      </c>
      <c r="V10" s="67" t="s">
        <v>154</v>
      </c>
      <c r="W10" s="68" t="s">
        <v>153</v>
      </c>
      <c r="X10" s="437"/>
      <c r="Y10" s="67" t="s">
        <v>154</v>
      </c>
      <c r="Z10" s="68" t="s">
        <v>153</v>
      </c>
      <c r="AA10" s="432"/>
      <c r="AB10" s="75" t="s">
        <v>175</v>
      </c>
      <c r="AC10" s="76">
        <v>30000</v>
      </c>
      <c r="AD10" s="84" t="s">
        <v>154</v>
      </c>
      <c r="AE10" s="82" t="s">
        <v>153</v>
      </c>
      <c r="AF10" s="84" t="s">
        <v>154</v>
      </c>
      <c r="AG10" s="82" t="s">
        <v>153</v>
      </c>
      <c r="AH10" s="432"/>
    </row>
    <row r="11" spans="2:34" ht="8.25" customHeight="1" thickBot="1">
      <c r="B11" s="95"/>
      <c r="C11" s="96"/>
      <c r="D11" s="96"/>
      <c r="E11" s="96"/>
      <c r="F11" s="96"/>
      <c r="G11" s="96"/>
      <c r="H11" s="96"/>
      <c r="I11" s="96"/>
      <c r="J11" s="96"/>
      <c r="K11" s="96"/>
      <c r="L11" s="96"/>
      <c r="M11" s="96"/>
      <c r="N11" s="116"/>
      <c r="O11" s="96"/>
      <c r="P11" s="96"/>
      <c r="Q11" s="96"/>
      <c r="R11" s="96"/>
      <c r="S11" s="96"/>
      <c r="T11" s="96"/>
      <c r="U11" s="96"/>
      <c r="V11" s="96"/>
      <c r="W11" s="96"/>
      <c r="X11" s="96"/>
      <c r="Y11" s="96"/>
      <c r="Z11" s="96"/>
      <c r="AA11" s="96"/>
      <c r="AB11" s="97"/>
      <c r="AC11" s="98"/>
      <c r="AD11" s="251"/>
      <c r="AE11" s="97"/>
      <c r="AF11" s="251"/>
      <c r="AG11" s="97"/>
      <c r="AH11" s="98"/>
    </row>
    <row r="12" spans="2:34" ht="24.75" customHeight="1">
      <c r="B12" s="246">
        <v>1</v>
      </c>
      <c r="C12" s="356" t="s">
        <v>300</v>
      </c>
      <c r="D12" s="357">
        <v>1</v>
      </c>
      <c r="E12" s="358">
        <v>73094889</v>
      </c>
      <c r="F12" s="358">
        <v>76768927</v>
      </c>
      <c r="G12" s="358">
        <v>21642476</v>
      </c>
      <c r="H12" s="358">
        <v>21642476</v>
      </c>
      <c r="I12" s="229">
        <f t="shared" ref="I12" si="0">IF(ISERROR(E12-G12),"",E12-G12)</f>
        <v>51452413</v>
      </c>
      <c r="J12" s="229">
        <f t="shared" ref="J12" si="1">IF(ISERROR(F12-H12),"",F12-H12)</f>
        <v>55126451</v>
      </c>
      <c r="K12" s="358">
        <v>23711791</v>
      </c>
      <c r="L12" s="358">
        <v>134100</v>
      </c>
      <c r="M12" s="230">
        <v>1</v>
      </c>
      <c r="N12" s="326">
        <f>IF(ISERROR(VLOOKUP(M12,POA!$A$8:$C$22,3,0)),"",VLOOKUP(M12,POA!$A$8:$C$22,3,0))</f>
        <v>1</v>
      </c>
      <c r="O12" s="232"/>
      <c r="P12" s="230">
        <f>+SUM(P13:P13)</f>
        <v>0</v>
      </c>
      <c r="Q12" s="233">
        <f>IF(ISERROR(VLOOKUP(M12,POA!$A$8:$C$22,2,0)),"",VLOOKUP(M12,POA!$A$8:$C$22,2,0))</f>
        <v>120000000</v>
      </c>
      <c r="R12" s="229">
        <f>SUM(I12)</f>
        <v>51452413</v>
      </c>
      <c r="S12" s="234" t="str">
        <f>IF(OR(R12=0,M12="",Q12=""),"",IF(R12&gt;=(0.1*Q12),"HABIL","NO HABIL"))</f>
        <v>HABIL</v>
      </c>
      <c r="T12" s="229">
        <f>IF(ISERROR(SUM(E12/G12)),0,SUM(E12/G12))</f>
        <v>3.377381081536142</v>
      </c>
      <c r="U12" s="234" t="str">
        <f t="shared" ref="U12:U16" si="2">IF(OR(T12=0,M12="",Q12=""),"",IF(T12&gt;=$U$9,"HABIL","NO HABIL"))</f>
        <v>HABIL</v>
      </c>
      <c r="V12" s="235">
        <f>IF(ISERROR(SUM(H12/F12)),0,SUM(H12/F12))</f>
        <v>0.28191713556189213</v>
      </c>
      <c r="W12" s="234" t="str">
        <f t="shared" ref="W12:W16" si="3">IF(OR(V12=0,M12="",Q12=""),"",IF(V12&lt;=$W$9,"HABIL","NO HABIL"))</f>
        <v>HABIL</v>
      </c>
      <c r="X12" s="230">
        <f>+SUM(X13:X13)</f>
        <v>0</v>
      </c>
      <c r="Y12" s="235">
        <f>IF(ISERROR(SUM(K12/L12)),0,SUM(K12/L12))</f>
        <v>176.8217076808352</v>
      </c>
      <c r="Z12" s="234" t="str">
        <f t="shared" ref="Z12:Z16" si="4">IF(OR(Y12=0,M12="",Q12=""),"",IF(Y12&gt;=$Z$9,"HABIL","NO HABIL"))</f>
        <v>HABIL</v>
      </c>
      <c r="AA12" s="236" t="str">
        <f>IF(OR(S12="",U12="",W12="",Z12=""),"",IF(S12="NO HABIL","NO HABIL",IF(U12="NO HABIL","NO HABIL",IF(W12="NO HABIL","NO HABIL",IF(Z12="NO HABIL","NO HABIL",IF(Z12="NO HABIL","NO HABIL","HABIL"))))))</f>
        <v>HABIL</v>
      </c>
      <c r="AB12" s="320"/>
      <c r="AC12" s="321"/>
      <c r="AD12" s="235">
        <f>IF(ISERROR(SUM(K12/J12)),0,SUM(K12/J12))</f>
        <v>0.43013454648114385</v>
      </c>
      <c r="AE12" s="234" t="str">
        <f t="shared" ref="AE12:AE16" si="5">IF(OR(AD12=0,M12="",Q12=""),"",IF(AD12&gt;=$AE$9,"HABIL","NO HABIL"))</f>
        <v>HABIL</v>
      </c>
      <c r="AF12" s="235">
        <f>IF(ISERROR(SUM(K12/F12)),0,SUM(K12/F12))</f>
        <v>0.30887224723096623</v>
      </c>
      <c r="AG12" s="234" t="str">
        <f t="shared" ref="AG12:AG16" si="6">IF(OR(AF12=0,M12="",Q12=""),"",IF(AF12&gt;=$AG$9,"HABIL","NO HABIL"))</f>
        <v>HABIL</v>
      </c>
      <c r="AH12" s="237" t="str">
        <f t="shared" ref="AH12" si="7">IF(OR(AE12="",AG12=""),"",IF(AE12="NO HABIL","NO HABIL",IF(AG12="NO HABIL","NO HABIL",IF(AG12="NO HABIL","NO HABIL","HABIL"))))</f>
        <v>HABIL</v>
      </c>
    </row>
    <row r="13" spans="2:34" ht="18" hidden="1" customHeight="1">
      <c r="B13" s="246"/>
      <c r="C13" s="358"/>
      <c r="D13" s="358"/>
      <c r="E13" s="358"/>
      <c r="F13" s="358"/>
      <c r="G13" s="358"/>
      <c r="H13" s="358"/>
      <c r="I13" s="358"/>
      <c r="J13" s="358"/>
      <c r="K13" s="358"/>
      <c r="L13" s="358"/>
      <c r="M13" s="230"/>
      <c r="N13" s="231"/>
      <c r="O13" s="232"/>
      <c r="P13" s="230" t="str">
        <f>IF(ISERROR(VLOOKUP(O13,POA!$A$8:$F$22,4,0)),"",VLOOKUP(O13,POA!$A$8:$F$22,4,0))</f>
        <v/>
      </c>
      <c r="Q13" s="233" t="str">
        <f>IF(ISERROR(VLOOKUP(M13,POA!$A$8:$C$22,2,0)),"",VLOOKUP(M13,POA!$A$8:$C$22,2,0))</f>
        <v/>
      </c>
      <c r="R13" s="229">
        <f>SUM(I13)</f>
        <v>0</v>
      </c>
      <c r="S13" s="234" t="str">
        <f>IF(OR(R13=0,M13="",Q13=""),"",IF(R13&gt;=(0.2*Q13),"HABIL","NO HABIL"))</f>
        <v/>
      </c>
      <c r="T13" s="229">
        <f t="shared" ref="T13:T14" si="8">IF(ISERROR(SUM(E13/G13)),0,SUM(E13/G13))</f>
        <v>0</v>
      </c>
      <c r="U13" s="234" t="str">
        <f t="shared" si="2"/>
        <v/>
      </c>
      <c r="V13" s="235">
        <f t="shared" ref="V13:V17" si="9">IF(ISERROR(SUM(H13/F13)),0,SUM(H13/F13))</f>
        <v>0</v>
      </c>
      <c r="W13" s="234" t="str">
        <f t="shared" si="3"/>
        <v/>
      </c>
      <c r="X13" s="230">
        <v>0</v>
      </c>
      <c r="Y13" s="235">
        <f t="shared" ref="Y13:Y14" si="10">IF(ISERROR(SUM(K13/L13)),0,SUM(K13/L13))</f>
        <v>0</v>
      </c>
      <c r="Z13" s="234" t="str">
        <f t="shared" si="4"/>
        <v/>
      </c>
      <c r="AA13" s="236" t="str">
        <f>IF(OR(S13="",U13="",W13="",Z13=""),"",IF(S13="NO HABIL","NO HABIL",IF(U13="NO HABIL","NO HABIL",IF(W13="NO HABIL","NO HABIL",IF(Z13="NO HABIL","NO HABIL",IF(Z13="NO HABIL","NO HABIL","HABIL"))))))</f>
        <v/>
      </c>
      <c r="AB13" s="320">
        <f>IF(ISERROR(F13/$AC$9),"",F13/$AC$9)</f>
        <v>0</v>
      </c>
      <c r="AC13" s="321" t="str">
        <f t="shared" ref="AC13" si="11">+IF(AB13&lt;$AC$10,"MIPYME","NO CUMPLE")</f>
        <v>MIPYME</v>
      </c>
      <c r="AD13" s="235">
        <f>IF(ISERROR(SUM(K13/J13)),0,SUM(K13/J13))</f>
        <v>0</v>
      </c>
      <c r="AE13" s="234" t="str">
        <f t="shared" si="5"/>
        <v/>
      </c>
      <c r="AF13" s="235">
        <f t="shared" ref="AF13:AF14" si="12">IF(ISERROR(SUM(K13/F13)),0,SUM(K13/F13))</f>
        <v>0</v>
      </c>
      <c r="AG13" s="234" t="str">
        <f t="shared" si="6"/>
        <v/>
      </c>
      <c r="AH13" s="237" t="str">
        <f>IF(OR(AE13="",AG13=""),"",IF(AE13="NO HABIL","NO HABIL",IF(AG13="NO HABIL","NO HABIL",IF(AG13="NO HABIL","NO HABIL","HABIL"))))</f>
        <v/>
      </c>
    </row>
    <row r="14" spans="2:34" ht="21" hidden="1" customHeight="1">
      <c r="B14" s="246"/>
      <c r="C14" s="358"/>
      <c r="D14" s="358"/>
      <c r="E14" s="358"/>
      <c r="F14" s="358"/>
      <c r="G14" s="358"/>
      <c r="H14" s="358"/>
      <c r="I14" s="358"/>
      <c r="J14" s="358"/>
      <c r="K14" s="358"/>
      <c r="L14" s="358"/>
      <c r="M14" s="230"/>
      <c r="N14" s="231"/>
      <c r="O14" s="322"/>
      <c r="P14" s="322" t="str">
        <f>IF(ISERROR(VLOOKUP(O14,POA!$A$8:$F$22,4,0)),"",VLOOKUP(O14,POA!$A$8:$F$22,4,0))</f>
        <v/>
      </c>
      <c r="Q14" s="233" t="str">
        <f>IF(ISERROR(VLOOKUP(M14,POA!$A$8:$C$22,2,0)),"",VLOOKUP(M14,POA!$A$8:$C$22,2,0))</f>
        <v/>
      </c>
      <c r="R14" s="229">
        <f t="shared" ref="R14:R16" si="13">SUM(I14)</f>
        <v>0</v>
      </c>
      <c r="S14" s="288" t="str">
        <f>IF(OR(R14=0,M14="",Q14=""),"",IF(R14&gt;=(0.2*Q14),"HABIL","NO HABIL"))</f>
        <v/>
      </c>
      <c r="T14" s="229">
        <f t="shared" si="8"/>
        <v>0</v>
      </c>
      <c r="U14" s="288" t="str">
        <f t="shared" si="2"/>
        <v/>
      </c>
      <c r="V14" s="235">
        <f t="shared" si="9"/>
        <v>0</v>
      </c>
      <c r="W14" s="288" t="str">
        <f t="shared" si="3"/>
        <v/>
      </c>
      <c r="X14" s="323">
        <v>0</v>
      </c>
      <c r="Y14" s="235">
        <f t="shared" si="10"/>
        <v>0</v>
      </c>
      <c r="Z14" s="234" t="str">
        <f t="shared" si="4"/>
        <v/>
      </c>
      <c r="AA14" s="236" t="str">
        <f t="shared" ref="AA14" si="14">IF(OR(S14="",U14="",W14="",Z14=""),"",IF(S14="NO HABIL","NO HABIL",IF(U14="NO HABIL","NO HABIL",IF(W14="NO HABIL","NO HABIL",IF(Z14="NO HABIL","NO HABIL",IF(Z14="NO HABIL","NO HABIL","HABIL"))))))</f>
        <v/>
      </c>
      <c r="AB14" s="324">
        <f>IF(ISERROR(F14/$AC$9),"",F14/$AC$9)</f>
        <v>0</v>
      </c>
      <c r="AC14" s="325" t="str">
        <f t="shared" ref="AC14" si="15">+IF(AB14&lt;$AC$10,"MIPYME","NO CUMPLE")</f>
        <v>MIPYME</v>
      </c>
      <c r="AD14" s="235">
        <f t="shared" ref="AD14" si="16">IF(ISERROR(SUM(K14/J14)),0,SUM(K14/J14))</f>
        <v>0</v>
      </c>
      <c r="AE14" s="234" t="str">
        <f t="shared" si="5"/>
        <v/>
      </c>
      <c r="AF14" s="235">
        <f t="shared" si="12"/>
        <v>0</v>
      </c>
      <c r="AG14" s="234" t="str">
        <f t="shared" si="6"/>
        <v/>
      </c>
      <c r="AH14" s="237" t="str">
        <f>IF(OR(AE14="",AG14=""),"",IF(AE14="NO HABIL","NO HABIL",IF(AG14="NO HABIL","NO HABIL",IF(AG14="NO HABIL","NO HABIL","HABIL"))))</f>
        <v/>
      </c>
    </row>
    <row r="15" spans="2:34" ht="27" hidden="1" customHeight="1">
      <c r="B15" s="246"/>
      <c r="C15" s="358"/>
      <c r="D15" s="358"/>
      <c r="E15" s="358"/>
      <c r="F15" s="358"/>
      <c r="G15" s="358"/>
      <c r="H15" s="358"/>
      <c r="I15" s="358"/>
      <c r="J15" s="358"/>
      <c r="K15" s="358"/>
      <c r="L15" s="358"/>
      <c r="M15" s="230"/>
      <c r="N15" s="231"/>
      <c r="O15" s="232"/>
      <c r="P15" s="230" t="e">
        <f>+SUM(#REF!)</f>
        <v>#REF!</v>
      </c>
      <c r="Q15" s="233" t="str">
        <f>IF(ISERROR(VLOOKUP(M15,POA!$A$8:$C$22,2,0)),"",VLOOKUP(M15,POA!$A$8:$C$22,2,0))</f>
        <v/>
      </c>
      <c r="R15" s="229">
        <f t="shared" si="13"/>
        <v>0</v>
      </c>
      <c r="S15" s="234" t="str">
        <f>IF(OR(R15=0,M15="",Q15=""),"",IF(R15&gt;=(0.1*Q15),"HABIL","NO HABIL"))</f>
        <v/>
      </c>
      <c r="T15" s="229">
        <f>IF(ISERROR(SUM(E15/G15)),0,SUM(E15/G15))</f>
        <v>0</v>
      </c>
      <c r="U15" s="234" t="str">
        <f t="shared" si="2"/>
        <v/>
      </c>
      <c r="V15" s="235">
        <f t="shared" si="9"/>
        <v>0</v>
      </c>
      <c r="W15" s="234" t="str">
        <f t="shared" si="3"/>
        <v/>
      </c>
      <c r="X15" s="230" t="e">
        <f>+SUM(#REF!)</f>
        <v>#REF!</v>
      </c>
      <c r="Y15" s="235">
        <f>IF(ISERROR(SUM(K15/L15)),0,SUM(K15/L15))</f>
        <v>0</v>
      </c>
      <c r="Z15" s="234" t="str">
        <f t="shared" si="4"/>
        <v/>
      </c>
      <c r="AA15" s="236" t="str">
        <f>IF(OR(S15="",U15="",W15="",Z15=""),"",IF(S15="NO HABIL","NO HABIL",IF(U15="NO HABIL","NO HABIL",IF(W15="NO HABIL","NO HABIL",IF(Z15="NO HABIL","NO HABIL",IF(Z15="NO HABIL","NO HABIL","HABIL"))))))</f>
        <v/>
      </c>
      <c r="AB15" s="320"/>
      <c r="AC15" s="321"/>
      <c r="AD15" s="235">
        <f>IF(ISERROR(SUM(K15/J15)),0,SUM(K15/J15))</f>
        <v>0</v>
      </c>
      <c r="AE15" s="234" t="str">
        <f t="shared" si="5"/>
        <v/>
      </c>
      <c r="AF15" s="235">
        <f>IF(ISERROR(SUM(K15/F15)),0,SUM(K15/F15))</f>
        <v>0</v>
      </c>
      <c r="AG15" s="234" t="str">
        <f t="shared" si="6"/>
        <v/>
      </c>
      <c r="AH15" s="237" t="str">
        <f t="shared" ref="AH15:AH16" si="17">IF(OR(AE15="",AG15=""),"",IF(AE15="NO HABIL","NO HABIL",IF(AG15="NO HABIL","NO HABIL",IF(AG15="NO HABIL","NO HABIL","HABIL"))))</f>
        <v/>
      </c>
    </row>
    <row r="16" spans="2:34" ht="21.95" hidden="1" customHeight="1">
      <c r="B16" s="246"/>
      <c r="C16" s="358"/>
      <c r="D16" s="358"/>
      <c r="E16" s="358"/>
      <c r="F16" s="358"/>
      <c r="G16" s="358"/>
      <c r="H16" s="358"/>
      <c r="I16" s="358"/>
      <c r="J16" s="358"/>
      <c r="K16" s="358"/>
      <c r="L16" s="358"/>
      <c r="M16" s="230"/>
      <c r="N16" s="231"/>
      <c r="O16" s="232"/>
      <c r="P16" s="230">
        <f>+SUM(P19:P19)</f>
        <v>0</v>
      </c>
      <c r="Q16" s="233" t="str">
        <f>IF(ISERROR(VLOOKUP(M16,POA!$A$8:$C$22,2,0)),"",VLOOKUP(M16,POA!$A$8:$C$22,2,0))</f>
        <v/>
      </c>
      <c r="R16" s="229">
        <f t="shared" si="13"/>
        <v>0</v>
      </c>
      <c r="S16" s="234" t="str">
        <f>IF(OR(R16=0,M16="",Q16=""),"",IF(R16&gt;=(0.1*Q16),"HABIL","NO HABIL"))</f>
        <v/>
      </c>
      <c r="T16" s="229">
        <f t="shared" ref="T16:T17" si="18">IF(ISERROR(SUM(E16/G16)),0,SUM(E16/G16))</f>
        <v>0</v>
      </c>
      <c r="U16" s="234" t="str">
        <f t="shared" si="2"/>
        <v/>
      </c>
      <c r="V16" s="235">
        <f t="shared" si="9"/>
        <v>0</v>
      </c>
      <c r="W16" s="234" t="str">
        <f t="shared" si="3"/>
        <v/>
      </c>
      <c r="X16" s="230">
        <f>+SUM(X19:X19)</f>
        <v>0</v>
      </c>
      <c r="Y16" s="235">
        <f t="shared" ref="Y16:Y17" si="19">IF(ISERROR(SUM(K16/L16)),0,SUM(K16/L16))</f>
        <v>0</v>
      </c>
      <c r="Z16" s="234" t="str">
        <f t="shared" si="4"/>
        <v/>
      </c>
      <c r="AA16" s="236" t="str">
        <f>IF(OR(S16="",U16="",W16="",Z16=""),"",IF(S16="NO HABIL","NO HABIL",IF(U16="NO HABIL","NO HABIL",IF(W16="NO HABIL","NO HABIL",IF(Z16="NO HABIL","NO HABIL",IF(Z16="NO HABIL","NO HABIL","HABIL"))))))</f>
        <v/>
      </c>
      <c r="AB16" s="320"/>
      <c r="AC16" s="321"/>
      <c r="AD16" s="235">
        <f>IF(ISERROR(SUM(K16/J16)),0,SUM(K16/J16))</f>
        <v>0</v>
      </c>
      <c r="AE16" s="234" t="str">
        <f t="shared" si="5"/>
        <v/>
      </c>
      <c r="AF16" s="235">
        <f>IF(ISERROR(SUM(K16/F16)),0,SUM(K16/F16))</f>
        <v>0</v>
      </c>
      <c r="AG16" s="234" t="str">
        <f t="shared" si="6"/>
        <v/>
      </c>
      <c r="AH16" s="237" t="str">
        <f t="shared" si="17"/>
        <v/>
      </c>
    </row>
    <row r="17" spans="2:37" ht="18" hidden="1" customHeight="1">
      <c r="B17" s="246"/>
      <c r="C17" s="358"/>
      <c r="D17" s="358"/>
      <c r="E17" s="358"/>
      <c r="F17" s="358"/>
      <c r="G17" s="358"/>
      <c r="H17" s="358"/>
      <c r="I17" s="358"/>
      <c r="J17" s="358"/>
      <c r="K17" s="358"/>
      <c r="L17" s="358"/>
      <c r="M17" s="230"/>
      <c r="N17" s="231"/>
      <c r="O17" s="232"/>
      <c r="P17" s="230">
        <f>+SUM(P20:P20)</f>
        <v>0</v>
      </c>
      <c r="Q17" s="233" t="str">
        <f>IF(ISERROR(VLOOKUP(M17,POA!$A$8:$C$22,2,0)),"",VLOOKUP(M17,POA!$A$8:$C$22,2,0))</f>
        <v/>
      </c>
      <c r="R17" s="229">
        <f t="shared" ref="R17" si="20">SUM(I17)</f>
        <v>0</v>
      </c>
      <c r="S17" s="234" t="str">
        <f>IF(OR(R17=0,M17="",Q17=""),"",IF(R17&gt;=(0.1*Q17),"HABIL","NO HABIL"))</f>
        <v/>
      </c>
      <c r="T17" s="229">
        <f t="shared" si="18"/>
        <v>0</v>
      </c>
      <c r="U17" s="234" t="str">
        <f t="shared" ref="U17" si="21">IF(OR(T17=0,M17="",Q17=""),"",IF(T17&gt;=$U$9,"HABIL","NO HABIL"))</f>
        <v/>
      </c>
      <c r="V17" s="235">
        <f t="shared" si="9"/>
        <v>0</v>
      </c>
      <c r="W17" s="234" t="str">
        <f t="shared" ref="W17" si="22">IF(OR(V17=0,M17="",Q17=""),"",IF(V17&lt;=$W$9,"HABIL","NO HABIL"))</f>
        <v/>
      </c>
      <c r="X17" s="230">
        <f>+SUM(X20:X20)</f>
        <v>0</v>
      </c>
      <c r="Y17" s="235">
        <f t="shared" si="19"/>
        <v>0</v>
      </c>
      <c r="Z17" s="234" t="str">
        <f t="shared" ref="Z17" si="23">IF(OR(Y17=0,M17="",Q17=""),"",IF(Y17&gt;=$Z$9,"HABIL","NO HABIL"))</f>
        <v/>
      </c>
      <c r="AA17" s="236" t="str">
        <f>IF(OR(S17="",U17="",W17="",Z17=""),"",IF(S17="NO HABIL","NO HABIL",IF(U17="NO HABIL","NO HABIL",IF(W17="NO HABIL","NO HABIL",IF(Z17="NO HABIL","NO HABIL",IF(Z17="NO HABIL","NO HABIL","HABIL"))))))</f>
        <v/>
      </c>
      <c r="AB17" s="320"/>
      <c r="AC17" s="321"/>
      <c r="AD17" s="235">
        <f>IF(ISERROR(SUM(K17/J17)),0,SUM(K17/J17))</f>
        <v>0</v>
      </c>
      <c r="AE17" s="234" t="str">
        <f t="shared" ref="AE17" si="24">IF(OR(AD17=0,M17="",Q17=""),"",IF(AD17&gt;=$AE$9,"HABIL","NO HABIL"))</f>
        <v/>
      </c>
      <c r="AF17" s="235">
        <f>IF(ISERROR(SUM(K17/F17)),0,SUM(K17/F17))</f>
        <v>0</v>
      </c>
      <c r="AG17" s="234" t="str">
        <f t="shared" ref="AG17" si="25">IF(OR(AF17=0,M17="",Q17=""),"",IF(AF17&gt;=$AG$9,"HABIL","NO HABIL"))</f>
        <v/>
      </c>
      <c r="AH17" s="237" t="str">
        <f>IF(OR(AE17="",AG17=""),"",IF(AE17="NO HABIL","NO HABIL",IF(AG17="NO HABIL","NO HABIL",IF(AG17="NO HABIL","NO HABIL","HABIL"))))</f>
        <v/>
      </c>
    </row>
    <row r="18" spans="2:37" ht="18" hidden="1" customHeight="1">
      <c r="B18" s="246"/>
      <c r="C18" s="358"/>
      <c r="D18" s="358"/>
      <c r="E18" s="358"/>
      <c r="F18" s="358"/>
      <c r="G18" s="358"/>
      <c r="H18" s="358"/>
      <c r="I18" s="358"/>
      <c r="J18" s="358"/>
      <c r="K18" s="358"/>
      <c r="L18" s="358"/>
      <c r="M18" s="230"/>
      <c r="N18" s="231"/>
      <c r="O18" s="232"/>
      <c r="P18" s="230">
        <f>+SUM(P21:P21)</f>
        <v>0</v>
      </c>
      <c r="Q18" s="233"/>
      <c r="R18" s="229"/>
      <c r="S18" s="234"/>
      <c r="T18" s="229"/>
      <c r="U18" s="234"/>
      <c r="V18" s="235"/>
      <c r="W18" s="288"/>
      <c r="X18" s="230"/>
      <c r="Y18" s="235"/>
      <c r="Z18" s="234"/>
      <c r="AA18" s="236"/>
      <c r="AB18" s="320"/>
      <c r="AC18" s="321"/>
      <c r="AD18" s="235"/>
      <c r="AE18" s="234"/>
      <c r="AF18" s="235"/>
      <c r="AG18" s="234"/>
      <c r="AH18" s="237"/>
      <c r="AK18" s="336"/>
    </row>
    <row r="19" spans="2:37" ht="18" hidden="1" customHeight="1">
      <c r="B19" s="246"/>
      <c r="C19" s="358"/>
      <c r="D19" s="358"/>
      <c r="E19" s="358"/>
      <c r="F19" s="358"/>
      <c r="G19" s="358"/>
      <c r="H19" s="358"/>
      <c r="I19" s="358"/>
      <c r="J19" s="358"/>
      <c r="K19" s="358"/>
      <c r="L19" s="358"/>
      <c r="M19" s="230"/>
      <c r="N19" s="231"/>
      <c r="O19" s="232"/>
      <c r="P19" s="230" t="str">
        <f>IF(ISERROR(VLOOKUP(O19,POA!$A$8:$F$22,4,0)),"",VLOOKUP(O19,POA!$A$8:$F$22,4,0))</f>
        <v/>
      </c>
      <c r="Q19" s="233"/>
      <c r="R19" s="229"/>
      <c r="S19" s="234"/>
      <c r="T19" s="229"/>
      <c r="U19" s="234"/>
      <c r="V19" s="235"/>
      <c r="W19" s="234"/>
      <c r="X19" s="230"/>
      <c r="Y19" s="235"/>
      <c r="Z19" s="234"/>
      <c r="AA19" s="236"/>
      <c r="AB19" s="320"/>
      <c r="AC19" s="321"/>
      <c r="AD19" s="235"/>
      <c r="AE19" s="234"/>
      <c r="AF19" s="235"/>
      <c r="AG19" s="234"/>
      <c r="AH19" s="237"/>
    </row>
    <row r="20" spans="2:37" ht="21" hidden="1" customHeight="1">
      <c r="B20" s="246"/>
      <c r="C20" s="358"/>
      <c r="D20" s="358"/>
      <c r="E20" s="358"/>
      <c r="F20" s="358"/>
      <c r="G20" s="358"/>
      <c r="H20" s="358"/>
      <c r="I20" s="358"/>
      <c r="J20" s="358"/>
      <c r="K20" s="358"/>
      <c r="L20" s="358"/>
      <c r="M20" s="230"/>
      <c r="N20" s="231"/>
      <c r="O20" s="322"/>
      <c r="P20" s="322" t="str">
        <f>IF(ISERROR(VLOOKUP(O20,POA!$A$8:$F$22,4,0)),"",VLOOKUP(O20,POA!$A$8:$F$22,4,0))</f>
        <v/>
      </c>
      <c r="Q20" s="233"/>
      <c r="R20" s="229"/>
      <c r="S20" s="288"/>
      <c r="T20" s="229"/>
      <c r="U20" s="288"/>
      <c r="V20" s="235"/>
      <c r="W20" s="234"/>
      <c r="X20" s="323"/>
      <c r="Y20" s="235"/>
      <c r="Z20" s="234"/>
      <c r="AA20" s="236"/>
      <c r="AB20" s="324"/>
      <c r="AC20" s="325"/>
      <c r="AD20" s="235"/>
      <c r="AE20" s="234"/>
      <c r="AF20" s="235"/>
      <c r="AG20" s="234"/>
      <c r="AH20" s="237"/>
    </row>
    <row r="21" spans="2:37" ht="9.75" customHeight="1">
      <c r="B21" s="246"/>
      <c r="C21" s="227"/>
      <c r="D21" s="228"/>
      <c r="E21" s="229"/>
      <c r="F21" s="229"/>
      <c r="G21" s="229"/>
      <c r="H21" s="229"/>
      <c r="I21" s="229"/>
      <c r="J21" s="229"/>
      <c r="K21" s="229"/>
      <c r="L21" s="229"/>
      <c r="M21" s="230"/>
      <c r="N21" s="231"/>
      <c r="O21" s="232"/>
      <c r="P21" s="230"/>
      <c r="Q21" s="233"/>
      <c r="R21" s="229"/>
      <c r="S21" s="234"/>
      <c r="T21" s="229"/>
      <c r="U21" s="234"/>
      <c r="V21" s="235"/>
      <c r="W21" s="234"/>
      <c r="X21" s="230"/>
      <c r="Y21" s="235"/>
      <c r="Z21" s="234"/>
      <c r="AA21" s="236"/>
      <c r="AB21" s="320"/>
      <c r="AC21" s="321"/>
      <c r="AD21" s="235"/>
      <c r="AE21" s="234"/>
      <c r="AF21" s="235"/>
      <c r="AG21" s="234"/>
      <c r="AH21" s="237"/>
    </row>
    <row r="22" spans="2:37" ht="17.25" thickBot="1">
      <c r="B22" s="327"/>
      <c r="C22" s="328"/>
      <c r="D22" s="329"/>
      <c r="E22" s="330"/>
      <c r="F22" s="330"/>
      <c r="G22" s="330"/>
      <c r="H22" s="330"/>
      <c r="I22" s="330"/>
      <c r="J22" s="330"/>
      <c r="K22" s="330"/>
      <c r="L22" s="330"/>
      <c r="M22" s="260"/>
      <c r="N22" s="331"/>
      <c r="O22" s="256"/>
      <c r="P22" s="256"/>
      <c r="Q22" s="257"/>
      <c r="R22" s="330"/>
      <c r="S22" s="253"/>
      <c r="T22" s="330"/>
      <c r="U22" s="253"/>
      <c r="V22" s="332"/>
      <c r="W22" s="253"/>
      <c r="X22" s="252"/>
      <c r="Y22" s="332"/>
      <c r="Z22" s="258"/>
      <c r="AA22" s="333"/>
      <c r="AB22" s="254"/>
      <c r="AC22" s="255"/>
      <c r="AD22" s="332"/>
      <c r="AE22" s="258"/>
      <c r="AF22" s="332"/>
      <c r="AG22" s="258"/>
      <c r="AH22" s="259"/>
      <c r="AK22" s="336"/>
    </row>
    <row r="26" spans="2:37" ht="18" customHeight="1">
      <c r="E26" s="91"/>
    </row>
  </sheetData>
  <sheetProtection algorithmName="SHA-512" hashValue="gogI2iV+1MiCb4HJ8Ve5f/SXNkgNN8s4mWNkx8x+psF/KNiqo9fdHQlp6cMQNyVmcgW1SsFHURpDf60vRIAmlA==" saltValue="32Q3ipK0Wt+L+OigBjEc3g==" spinCount="100000" sheet="1" objects="1" scenarios="1" selectLockedCells="1" selectUnlockedCells="1"/>
  <customSheetViews>
    <customSheetView guid="{7043DB3C-32B3-43B5-9ACE-4B1C78863594}" scale="85" printArea="1">
      <selection activeCell="D44" sqref="D44"/>
      <pageMargins left="0.19685039370078741" right="0.75" top="0.55118110236220474" bottom="0.43307086614173229" header="0" footer="0"/>
      <printOptions horizontalCentered="1" verticalCentered="1"/>
      <pageSetup paperSize="14" scale="50" orientation="landscape" horizontalDpi="300" verticalDpi="300" r:id="rId1"/>
      <headerFooter alignWithMargins="0">
        <oddFooter>&amp;RElaboro: JJR
&amp;D</oddFooter>
      </headerFooter>
    </customSheetView>
  </customSheetViews>
  <mergeCells count="32">
    <mergeCell ref="E8:E10"/>
    <mergeCell ref="B7:D7"/>
    <mergeCell ref="T7:U7"/>
    <mergeCell ref="V7:W7"/>
    <mergeCell ref="E7:J7"/>
    <mergeCell ref="B8:B10"/>
    <mergeCell ref="O8:O10"/>
    <mergeCell ref="D8:D10"/>
    <mergeCell ref="F8:F10"/>
    <mergeCell ref="C8:C10"/>
    <mergeCell ref="R7:S7"/>
    <mergeCell ref="T8:U8"/>
    <mergeCell ref="V8:W8"/>
    <mergeCell ref="G8:G10"/>
    <mergeCell ref="X8:X10"/>
    <mergeCell ref="H8:H10"/>
    <mergeCell ref="I8:I10"/>
    <mergeCell ref="Q8:Q10"/>
    <mergeCell ref="N8:N10"/>
    <mergeCell ref="P8:P10"/>
    <mergeCell ref="M8:M10"/>
    <mergeCell ref="R8:S8"/>
    <mergeCell ref="J8:J10"/>
    <mergeCell ref="AF7:AG7"/>
    <mergeCell ref="AF8:AG8"/>
    <mergeCell ref="AH8:AH10"/>
    <mergeCell ref="Y7:Z7"/>
    <mergeCell ref="Y8:Z8"/>
    <mergeCell ref="AD7:AE7"/>
    <mergeCell ref="AD8:AE8"/>
    <mergeCell ref="AB7:AC7"/>
    <mergeCell ref="AA8:AA10"/>
  </mergeCells>
  <phoneticPr fontId="0" type="noConversion"/>
  <conditionalFormatting sqref="AA7:AA10 AB11 AB7:AB9 AC8:AC9 AB10:AC10 AH7:AH11 AD11:AG11 AI1:IX11 AB1:AH1 X13 AB13:AC13 M13:Q13 AE13 AG13 N14 Z13:Z14 R16 R19:R20 I12:J12">
    <cfRule type="cellIs" dxfId="611" priority="8270" stopIfTrue="1" operator="equal">
      <formula>"NO ADMISIBLE"</formula>
    </cfRule>
  </conditionalFormatting>
  <conditionalFormatting sqref="U13 AE13 AG13:AH13 S13 W13 Z13:AA14 AD16 AD19:AD20 AF16 AF19:AF20 Y12:Y14">
    <cfRule type="cellIs" dxfId="610" priority="8271" stopIfTrue="1" operator="equal">
      <formula>"NO ADMISIBLE"</formula>
    </cfRule>
    <cfRule type="cellIs" dxfId="609" priority="8272" stopIfTrue="1" operator="equal">
      <formula>"ADMISIBLE"</formula>
    </cfRule>
  </conditionalFormatting>
  <conditionalFormatting sqref="AB12:AC12 X12:Z12 M12 T12:T14 Y13:Y14 O12:Q12">
    <cfRule type="cellIs" dxfId="608" priority="347" stopIfTrue="1" operator="equal">
      <formula>"NO ADMISIBLE"</formula>
    </cfRule>
  </conditionalFormatting>
  <conditionalFormatting sqref="U12:W12 AA12 V13:V20">
    <cfRule type="cellIs" dxfId="607" priority="348" stopIfTrue="1" operator="equal">
      <formula>"NO ADMISIBLE"</formula>
    </cfRule>
    <cfRule type="cellIs" dxfId="606" priority="349" stopIfTrue="1" operator="equal">
      <formula>"ADMISIBLE"</formula>
    </cfRule>
  </conditionalFormatting>
  <conditionalFormatting sqref="Z12">
    <cfRule type="cellIs" dxfId="605" priority="345" stopIfTrue="1" operator="equal">
      <formula>"NO ADMISIBLE"</formula>
    </cfRule>
    <cfRule type="cellIs" dxfId="604" priority="346" stopIfTrue="1" operator="equal">
      <formula>"ADMISIBLE"</formula>
    </cfRule>
  </conditionalFormatting>
  <conditionalFormatting sqref="AD12:AE12 AD13:AD14">
    <cfRule type="cellIs" dxfId="603" priority="344" stopIfTrue="1" operator="equal">
      <formula>"NO ADMISIBLE"</formula>
    </cfRule>
  </conditionalFormatting>
  <conditionalFormatting sqref="AD12:AD14">
    <cfRule type="cellIs" dxfId="602" priority="342" stopIfTrue="1" operator="equal">
      <formula>"NO ADMISIBLE"</formula>
    </cfRule>
    <cfRule type="cellIs" dxfId="601" priority="343" stopIfTrue="1" operator="equal">
      <formula>"ADMISIBLE"</formula>
    </cfRule>
  </conditionalFormatting>
  <conditionalFormatting sqref="AE12">
    <cfRule type="cellIs" dxfId="600" priority="340" stopIfTrue="1" operator="equal">
      <formula>"NO ADMISIBLE"</formula>
    </cfRule>
    <cfRule type="cellIs" dxfId="599" priority="341" stopIfTrue="1" operator="equal">
      <formula>"ADMISIBLE"</formula>
    </cfRule>
  </conditionalFormatting>
  <conditionalFormatting sqref="AF12:AG12 AF13:AF14">
    <cfRule type="cellIs" dxfId="598" priority="339" stopIfTrue="1" operator="equal">
      <formula>"NO ADMISIBLE"</formula>
    </cfRule>
  </conditionalFormatting>
  <conditionalFormatting sqref="AF12:AF14">
    <cfRule type="cellIs" dxfId="597" priority="337" stopIfTrue="1" operator="equal">
      <formula>"NO ADMISIBLE"</formula>
    </cfRule>
    <cfRule type="cellIs" dxfId="596" priority="338" stopIfTrue="1" operator="equal">
      <formula>"ADMISIBLE"</formula>
    </cfRule>
  </conditionalFormatting>
  <conditionalFormatting sqref="AG12">
    <cfRule type="cellIs" dxfId="595" priority="335" stopIfTrue="1" operator="equal">
      <formula>"NO ADMISIBLE"</formula>
    </cfRule>
    <cfRule type="cellIs" dxfId="594" priority="336" stopIfTrue="1" operator="equal">
      <formula>"ADMISIBLE"</formula>
    </cfRule>
  </conditionalFormatting>
  <conditionalFormatting sqref="AH12">
    <cfRule type="cellIs" dxfId="593" priority="333" stopIfTrue="1" operator="equal">
      <formula>"NO ADMISIBLE"</formula>
    </cfRule>
    <cfRule type="cellIs" dxfId="592" priority="334" stopIfTrue="1" operator="equal">
      <formula>"ADMISIBLE"</formula>
    </cfRule>
  </conditionalFormatting>
  <conditionalFormatting sqref="R12:R14">
    <cfRule type="cellIs" dxfId="591" priority="329" stopIfTrue="1" operator="equal">
      <formula>"NO ADMISIBLE"</formula>
    </cfRule>
  </conditionalFormatting>
  <conditionalFormatting sqref="S12">
    <cfRule type="cellIs" dxfId="590" priority="330" stopIfTrue="1" operator="equal">
      <formula>"NO ADMISIBLE"</formula>
    </cfRule>
    <cfRule type="cellIs" dxfId="589" priority="331" stopIfTrue="1" operator="equal">
      <formula>"ADMISIBLE"</formula>
    </cfRule>
  </conditionalFormatting>
  <conditionalFormatting sqref="X14 AB14:AC14 M14 AE14 AG14 O14:Q14">
    <cfRule type="cellIs" dxfId="588" priority="305" stopIfTrue="1" operator="equal">
      <formula>"NO ADMISIBLE"</formula>
    </cfRule>
  </conditionalFormatting>
  <conditionalFormatting sqref="U14 AE14 AG14:AH14 S14 W14">
    <cfRule type="cellIs" dxfId="587" priority="306" stopIfTrue="1" operator="equal">
      <formula>"NO ADMISIBLE"</formula>
    </cfRule>
    <cfRule type="cellIs" dxfId="586" priority="307" stopIfTrue="1" operator="equal">
      <formula>"ADMISIBLE"</formula>
    </cfRule>
  </conditionalFormatting>
  <conditionalFormatting sqref="AB12:AC12 X12:Z12 M12 T12:T14 Y13:Y14 O12:Q12">
    <cfRule type="cellIs" dxfId="585" priority="298" stopIfTrue="1" operator="equal">
      <formula>"NO ADMISIBLE"</formula>
    </cfRule>
  </conditionalFormatting>
  <conditionalFormatting sqref="U12:W12 AA12 V13:V20">
    <cfRule type="cellIs" dxfId="584" priority="299" stopIfTrue="1" operator="equal">
      <formula>"NO ADMISIBLE"</formula>
    </cfRule>
    <cfRule type="cellIs" dxfId="583" priority="300" stopIfTrue="1" operator="equal">
      <formula>"ADMISIBLE"</formula>
    </cfRule>
  </conditionalFormatting>
  <conditionalFormatting sqref="Z12">
    <cfRule type="cellIs" dxfId="582" priority="296" stopIfTrue="1" operator="equal">
      <formula>"NO ADMISIBLE"</formula>
    </cfRule>
    <cfRule type="cellIs" dxfId="581" priority="297" stopIfTrue="1" operator="equal">
      <formula>"ADMISIBLE"</formula>
    </cfRule>
  </conditionalFormatting>
  <conditionalFormatting sqref="AD12:AE12 AD13:AD14">
    <cfRule type="cellIs" dxfId="580" priority="295" stopIfTrue="1" operator="equal">
      <formula>"NO ADMISIBLE"</formula>
    </cfRule>
  </conditionalFormatting>
  <conditionalFormatting sqref="AD12:AD14">
    <cfRule type="cellIs" dxfId="579" priority="293" stopIfTrue="1" operator="equal">
      <formula>"NO ADMISIBLE"</formula>
    </cfRule>
    <cfRule type="cellIs" dxfId="578" priority="294" stopIfTrue="1" operator="equal">
      <formula>"ADMISIBLE"</formula>
    </cfRule>
  </conditionalFormatting>
  <conditionalFormatting sqref="AE12">
    <cfRule type="cellIs" dxfId="577" priority="291" stopIfTrue="1" operator="equal">
      <formula>"NO ADMISIBLE"</formula>
    </cfRule>
    <cfRule type="cellIs" dxfId="576" priority="292" stopIfTrue="1" operator="equal">
      <formula>"ADMISIBLE"</formula>
    </cfRule>
  </conditionalFormatting>
  <conditionalFormatting sqref="AF12:AG12 AF13:AF14">
    <cfRule type="cellIs" dxfId="575" priority="290" stopIfTrue="1" operator="equal">
      <formula>"NO ADMISIBLE"</formula>
    </cfRule>
  </conditionalFormatting>
  <conditionalFormatting sqref="AF12:AF14">
    <cfRule type="cellIs" dxfId="574" priority="288" stopIfTrue="1" operator="equal">
      <formula>"NO ADMISIBLE"</formula>
    </cfRule>
    <cfRule type="cellIs" dxfId="573" priority="289" stopIfTrue="1" operator="equal">
      <formula>"ADMISIBLE"</formula>
    </cfRule>
  </conditionalFormatting>
  <conditionalFormatting sqref="AG12">
    <cfRule type="cellIs" dxfId="572" priority="286" stopIfTrue="1" operator="equal">
      <formula>"NO ADMISIBLE"</formula>
    </cfRule>
    <cfRule type="cellIs" dxfId="571" priority="287" stopIfTrue="1" operator="equal">
      <formula>"ADMISIBLE"</formula>
    </cfRule>
  </conditionalFormatting>
  <conditionalFormatting sqref="AH12">
    <cfRule type="cellIs" dxfId="570" priority="284" stopIfTrue="1" operator="equal">
      <formula>"NO ADMISIBLE"</formula>
    </cfRule>
    <cfRule type="cellIs" dxfId="569" priority="285" stopIfTrue="1" operator="equal">
      <formula>"ADMISIBLE"</formula>
    </cfRule>
  </conditionalFormatting>
  <conditionalFormatting sqref="R12:R14">
    <cfRule type="cellIs" dxfId="568" priority="281" stopIfTrue="1" operator="equal">
      <formula>"NO ADMISIBLE"</formula>
    </cfRule>
  </conditionalFormatting>
  <conditionalFormatting sqref="S12">
    <cfRule type="cellIs" dxfId="567" priority="282" stopIfTrue="1" operator="equal">
      <formula>"NO ADMISIBLE"</formula>
    </cfRule>
    <cfRule type="cellIs" dxfId="566" priority="283" stopIfTrue="1" operator="equal">
      <formula>"ADMISIBLE"</formula>
    </cfRule>
  </conditionalFormatting>
  <conditionalFormatting sqref="AB13:AC13 X13 M13:Q13 N14 Z13:Z14">
    <cfRule type="cellIs" dxfId="565" priority="278" stopIfTrue="1" operator="equal">
      <formula>"NO ADMISIBLE"</formula>
    </cfRule>
  </conditionalFormatting>
  <conditionalFormatting sqref="U13 W13 AA13:AA14">
    <cfRule type="cellIs" dxfId="564" priority="279" stopIfTrue="1" operator="equal">
      <formula>"NO ADMISIBLE"</formula>
    </cfRule>
    <cfRule type="cellIs" dxfId="563" priority="280" stopIfTrue="1" operator="equal">
      <formula>"ADMISIBLE"</formula>
    </cfRule>
  </conditionalFormatting>
  <conditionalFormatting sqref="Z13:Z14">
    <cfRule type="cellIs" dxfId="562" priority="276" stopIfTrue="1" operator="equal">
      <formula>"NO ADMISIBLE"</formula>
    </cfRule>
    <cfRule type="cellIs" dxfId="561" priority="277" stopIfTrue="1" operator="equal">
      <formula>"ADMISIBLE"</formula>
    </cfRule>
  </conditionalFormatting>
  <conditionalFormatting sqref="AE13">
    <cfRule type="cellIs" dxfId="560" priority="275" stopIfTrue="1" operator="equal">
      <formula>"NO ADMISIBLE"</formula>
    </cfRule>
  </conditionalFormatting>
  <conditionalFormatting sqref="AE13">
    <cfRule type="cellIs" dxfId="559" priority="271" stopIfTrue="1" operator="equal">
      <formula>"NO ADMISIBLE"</formula>
    </cfRule>
    <cfRule type="cellIs" dxfId="558" priority="272" stopIfTrue="1" operator="equal">
      <formula>"ADMISIBLE"</formula>
    </cfRule>
  </conditionalFormatting>
  <conditionalFormatting sqref="AG13">
    <cfRule type="cellIs" dxfId="557" priority="270" stopIfTrue="1" operator="equal">
      <formula>"NO ADMISIBLE"</formula>
    </cfRule>
  </conditionalFormatting>
  <conditionalFormatting sqref="AG13">
    <cfRule type="cellIs" dxfId="556" priority="266" stopIfTrue="1" operator="equal">
      <formula>"NO ADMISIBLE"</formula>
    </cfRule>
    <cfRule type="cellIs" dxfId="555" priority="267" stopIfTrue="1" operator="equal">
      <formula>"ADMISIBLE"</formula>
    </cfRule>
  </conditionalFormatting>
  <conditionalFormatting sqref="AH13">
    <cfRule type="cellIs" dxfId="554" priority="264" stopIfTrue="1" operator="equal">
      <formula>"NO ADMISIBLE"</formula>
    </cfRule>
    <cfRule type="cellIs" dxfId="553" priority="265" stopIfTrue="1" operator="equal">
      <formula>"ADMISIBLE"</formula>
    </cfRule>
  </conditionalFormatting>
  <conditionalFormatting sqref="S13">
    <cfRule type="cellIs" dxfId="552" priority="262" stopIfTrue="1" operator="equal">
      <formula>"NO ADMISIBLE"</formula>
    </cfRule>
    <cfRule type="cellIs" dxfId="551" priority="263" stopIfTrue="1" operator="equal">
      <formula>"ADMISIBLE"</formula>
    </cfRule>
  </conditionalFormatting>
  <conditionalFormatting sqref="AB15:AC15 X15:Z15 M15:Q15 X19 AB19:AC19 M19:Q19 AE19 AG19 N20 Z19:Z20 Y16:Y20 T15:T21">
    <cfRule type="cellIs" dxfId="550" priority="250" stopIfTrue="1" operator="equal">
      <formula>"NO ADMISIBLE"</formula>
    </cfRule>
  </conditionalFormatting>
  <conditionalFormatting sqref="U15 AA15 U19 AE19 AG19:AH19 S19 Z19:AA20 Y15:Y20 W15">
    <cfRule type="cellIs" dxfId="549" priority="251" stopIfTrue="1" operator="equal">
      <formula>"NO ADMISIBLE"</formula>
    </cfRule>
    <cfRule type="cellIs" dxfId="548" priority="252" stopIfTrue="1" operator="equal">
      <formula>"ADMISIBLE"</formula>
    </cfRule>
  </conditionalFormatting>
  <conditionalFormatting sqref="Z15">
    <cfRule type="cellIs" dxfId="547" priority="248" stopIfTrue="1" operator="equal">
      <formula>"NO ADMISIBLE"</formula>
    </cfRule>
    <cfRule type="cellIs" dxfId="546" priority="249" stopIfTrue="1" operator="equal">
      <formula>"ADMISIBLE"</formula>
    </cfRule>
  </conditionalFormatting>
  <conditionalFormatting sqref="AD15:AE15">
    <cfRule type="cellIs" dxfId="545" priority="247" stopIfTrue="1" operator="equal">
      <formula>"NO ADMISIBLE"</formula>
    </cfRule>
  </conditionalFormatting>
  <conditionalFormatting sqref="AD15">
    <cfRule type="cellIs" dxfId="544" priority="245" stopIfTrue="1" operator="equal">
      <formula>"NO ADMISIBLE"</formula>
    </cfRule>
    <cfRule type="cellIs" dxfId="543" priority="246" stopIfTrue="1" operator="equal">
      <formula>"ADMISIBLE"</formula>
    </cfRule>
  </conditionalFormatting>
  <conditionalFormatting sqref="AE15">
    <cfRule type="cellIs" dxfId="542" priority="243" stopIfTrue="1" operator="equal">
      <formula>"NO ADMISIBLE"</formula>
    </cfRule>
    <cfRule type="cellIs" dxfId="541" priority="244" stopIfTrue="1" operator="equal">
      <formula>"ADMISIBLE"</formula>
    </cfRule>
  </conditionalFormatting>
  <conditionalFormatting sqref="AF15:AG15">
    <cfRule type="cellIs" dxfId="540" priority="242" stopIfTrue="1" operator="equal">
      <formula>"NO ADMISIBLE"</formula>
    </cfRule>
  </conditionalFormatting>
  <conditionalFormatting sqref="AF15">
    <cfRule type="cellIs" dxfId="539" priority="240" stopIfTrue="1" operator="equal">
      <formula>"NO ADMISIBLE"</formula>
    </cfRule>
    <cfRule type="cellIs" dxfId="538" priority="241" stopIfTrue="1" operator="equal">
      <formula>"ADMISIBLE"</formula>
    </cfRule>
  </conditionalFormatting>
  <conditionalFormatting sqref="AG15">
    <cfRule type="cellIs" dxfId="537" priority="238" stopIfTrue="1" operator="equal">
      <formula>"NO ADMISIBLE"</formula>
    </cfRule>
    <cfRule type="cellIs" dxfId="536" priority="239" stopIfTrue="1" operator="equal">
      <formula>"ADMISIBLE"</formula>
    </cfRule>
  </conditionalFormatting>
  <conditionalFormatting sqref="AH15">
    <cfRule type="cellIs" dxfId="535" priority="236" stopIfTrue="1" operator="equal">
      <formula>"NO ADMISIBLE"</formula>
    </cfRule>
    <cfRule type="cellIs" dxfId="534" priority="237" stopIfTrue="1" operator="equal">
      <formula>"ADMISIBLE"</formula>
    </cfRule>
  </conditionalFormatting>
  <conditionalFormatting sqref="R15">
    <cfRule type="cellIs" dxfId="533" priority="232" stopIfTrue="1" operator="equal">
      <formula>"NO ADMISIBLE"</formula>
    </cfRule>
  </conditionalFormatting>
  <conditionalFormatting sqref="S15">
    <cfRule type="cellIs" dxfId="532" priority="233" stopIfTrue="1" operator="equal">
      <formula>"NO ADMISIBLE"</formula>
    </cfRule>
    <cfRule type="cellIs" dxfId="531" priority="234" stopIfTrue="1" operator="equal">
      <formula>"ADMISIBLE"</formula>
    </cfRule>
  </conditionalFormatting>
  <conditionalFormatting sqref="AB16:AC16 X16 M16:Q16 Z16">
    <cfRule type="cellIs" dxfId="530" priority="229" stopIfTrue="1" operator="equal">
      <formula>"NO ADMISIBLE"</formula>
    </cfRule>
  </conditionalFormatting>
  <conditionalFormatting sqref="U16 AA16 W16">
    <cfRule type="cellIs" dxfId="529" priority="230" stopIfTrue="1" operator="equal">
      <formula>"NO ADMISIBLE"</formula>
    </cfRule>
    <cfRule type="cellIs" dxfId="528" priority="231" stopIfTrue="1" operator="equal">
      <formula>"ADMISIBLE"</formula>
    </cfRule>
  </conditionalFormatting>
  <conditionalFormatting sqref="Z16">
    <cfRule type="cellIs" dxfId="527" priority="227" stopIfTrue="1" operator="equal">
      <formula>"NO ADMISIBLE"</formula>
    </cfRule>
    <cfRule type="cellIs" dxfId="526" priority="228" stopIfTrue="1" operator="equal">
      <formula>"ADMISIBLE"</formula>
    </cfRule>
  </conditionalFormatting>
  <conditionalFormatting sqref="AD16:AE16 AD19:AD20">
    <cfRule type="cellIs" dxfId="525" priority="226" stopIfTrue="1" operator="equal">
      <formula>"NO ADMISIBLE"</formula>
    </cfRule>
  </conditionalFormatting>
  <conditionalFormatting sqref="AE16">
    <cfRule type="cellIs" dxfId="524" priority="222" stopIfTrue="1" operator="equal">
      <formula>"NO ADMISIBLE"</formula>
    </cfRule>
    <cfRule type="cellIs" dxfId="523" priority="223" stopIfTrue="1" operator="equal">
      <formula>"ADMISIBLE"</formula>
    </cfRule>
  </conditionalFormatting>
  <conditionalFormatting sqref="AF16:AG16 AF19:AF20">
    <cfRule type="cellIs" dxfId="522" priority="221" stopIfTrue="1" operator="equal">
      <formula>"NO ADMISIBLE"</formula>
    </cfRule>
  </conditionalFormatting>
  <conditionalFormatting sqref="AG16">
    <cfRule type="cellIs" dxfId="521" priority="217" stopIfTrue="1" operator="equal">
      <formula>"NO ADMISIBLE"</formula>
    </cfRule>
    <cfRule type="cellIs" dxfId="520" priority="218" stopIfTrue="1" operator="equal">
      <formula>"ADMISIBLE"</formula>
    </cfRule>
  </conditionalFormatting>
  <conditionalFormatting sqref="AH16">
    <cfRule type="cellIs" dxfId="519" priority="215" stopIfTrue="1" operator="equal">
      <formula>"NO ADMISIBLE"</formula>
    </cfRule>
    <cfRule type="cellIs" dxfId="518" priority="216" stopIfTrue="1" operator="equal">
      <formula>"ADMISIBLE"</formula>
    </cfRule>
  </conditionalFormatting>
  <conditionalFormatting sqref="S16">
    <cfRule type="cellIs" dxfId="517" priority="212" stopIfTrue="1" operator="equal">
      <formula>"NO ADMISIBLE"</formula>
    </cfRule>
    <cfRule type="cellIs" dxfId="516" priority="213" stopIfTrue="1" operator="equal">
      <formula>"ADMISIBLE"</formula>
    </cfRule>
  </conditionalFormatting>
  <conditionalFormatting sqref="X20 AB20:AC20 M20 AE20 AG20 O20:Q20">
    <cfRule type="cellIs" dxfId="515" priority="207" stopIfTrue="1" operator="equal">
      <formula>"NO ADMISIBLE"</formula>
    </cfRule>
  </conditionalFormatting>
  <conditionalFormatting sqref="U20 AE20 AG20:AH20 S20">
    <cfRule type="cellIs" dxfId="514" priority="208" stopIfTrue="1" operator="equal">
      <formula>"NO ADMISIBLE"</formula>
    </cfRule>
    <cfRule type="cellIs" dxfId="513" priority="209" stopIfTrue="1" operator="equal">
      <formula>"ADMISIBLE"</formula>
    </cfRule>
  </conditionalFormatting>
  <conditionalFormatting sqref="AB16:AC16 X16 M16:Q16 Z16">
    <cfRule type="cellIs" dxfId="512" priority="200" stopIfTrue="1" operator="equal">
      <formula>"NO ADMISIBLE"</formula>
    </cfRule>
  </conditionalFormatting>
  <conditionalFormatting sqref="U16 AA16 W16">
    <cfRule type="cellIs" dxfId="511" priority="201" stopIfTrue="1" operator="equal">
      <formula>"NO ADMISIBLE"</formula>
    </cfRule>
    <cfRule type="cellIs" dxfId="510" priority="202" stopIfTrue="1" operator="equal">
      <formula>"ADMISIBLE"</formula>
    </cfRule>
  </conditionalFormatting>
  <conditionalFormatting sqref="Z16">
    <cfRule type="cellIs" dxfId="509" priority="198" stopIfTrue="1" operator="equal">
      <formula>"NO ADMISIBLE"</formula>
    </cfRule>
    <cfRule type="cellIs" dxfId="508" priority="199" stopIfTrue="1" operator="equal">
      <formula>"ADMISIBLE"</formula>
    </cfRule>
  </conditionalFormatting>
  <conditionalFormatting sqref="AD16:AE16 AD19:AD20">
    <cfRule type="cellIs" dxfId="507" priority="197" stopIfTrue="1" operator="equal">
      <formula>"NO ADMISIBLE"</formula>
    </cfRule>
  </conditionalFormatting>
  <conditionalFormatting sqref="AE16">
    <cfRule type="cellIs" dxfId="506" priority="193" stopIfTrue="1" operator="equal">
      <formula>"NO ADMISIBLE"</formula>
    </cfRule>
    <cfRule type="cellIs" dxfId="505" priority="194" stopIfTrue="1" operator="equal">
      <formula>"ADMISIBLE"</formula>
    </cfRule>
  </conditionalFormatting>
  <conditionalFormatting sqref="AF16:AG16 AF19:AF20">
    <cfRule type="cellIs" dxfId="504" priority="192" stopIfTrue="1" operator="equal">
      <formula>"NO ADMISIBLE"</formula>
    </cfRule>
  </conditionalFormatting>
  <conditionalFormatting sqref="AG16">
    <cfRule type="cellIs" dxfId="503" priority="188" stopIfTrue="1" operator="equal">
      <formula>"NO ADMISIBLE"</formula>
    </cfRule>
    <cfRule type="cellIs" dxfId="502" priority="189" stopIfTrue="1" operator="equal">
      <formula>"ADMISIBLE"</formula>
    </cfRule>
  </conditionalFormatting>
  <conditionalFormatting sqref="AH16">
    <cfRule type="cellIs" dxfId="501" priority="186" stopIfTrue="1" operator="equal">
      <formula>"NO ADMISIBLE"</formula>
    </cfRule>
    <cfRule type="cellIs" dxfId="500" priority="187" stopIfTrue="1" operator="equal">
      <formula>"ADMISIBLE"</formula>
    </cfRule>
  </conditionalFormatting>
  <conditionalFormatting sqref="S16">
    <cfRule type="cellIs" dxfId="499" priority="184" stopIfTrue="1" operator="equal">
      <formula>"NO ADMISIBLE"</formula>
    </cfRule>
    <cfRule type="cellIs" dxfId="498" priority="185" stopIfTrue="1" operator="equal">
      <formula>"ADMISIBLE"</formula>
    </cfRule>
  </conditionalFormatting>
  <conditionalFormatting sqref="AB19:AC19 X19 M19:Q19 N20 Z19:Z20">
    <cfRule type="cellIs" dxfId="497" priority="180" stopIfTrue="1" operator="equal">
      <formula>"NO ADMISIBLE"</formula>
    </cfRule>
  </conditionalFormatting>
  <conditionalFormatting sqref="U19 AA19:AA20">
    <cfRule type="cellIs" dxfId="496" priority="181" stopIfTrue="1" operator="equal">
      <formula>"NO ADMISIBLE"</formula>
    </cfRule>
    <cfRule type="cellIs" dxfId="495" priority="182" stopIfTrue="1" operator="equal">
      <formula>"ADMISIBLE"</formula>
    </cfRule>
  </conditionalFormatting>
  <conditionalFormatting sqref="Z19:Z20">
    <cfRule type="cellIs" dxfId="494" priority="178" stopIfTrue="1" operator="equal">
      <formula>"NO ADMISIBLE"</formula>
    </cfRule>
    <cfRule type="cellIs" dxfId="493" priority="179" stopIfTrue="1" operator="equal">
      <formula>"ADMISIBLE"</formula>
    </cfRule>
  </conditionalFormatting>
  <conditionalFormatting sqref="AE19">
    <cfRule type="cellIs" dxfId="492" priority="177" stopIfTrue="1" operator="equal">
      <formula>"NO ADMISIBLE"</formula>
    </cfRule>
  </conditionalFormatting>
  <conditionalFormatting sqref="AE19">
    <cfRule type="cellIs" dxfId="491" priority="175" stopIfTrue="1" operator="equal">
      <formula>"NO ADMISIBLE"</formula>
    </cfRule>
    <cfRule type="cellIs" dxfId="490" priority="176" stopIfTrue="1" operator="equal">
      <formula>"ADMISIBLE"</formula>
    </cfRule>
  </conditionalFormatting>
  <conditionalFormatting sqref="AG19">
    <cfRule type="cellIs" dxfId="489" priority="174" stopIfTrue="1" operator="equal">
      <formula>"NO ADMISIBLE"</formula>
    </cfRule>
  </conditionalFormatting>
  <conditionalFormatting sqref="AG19">
    <cfRule type="cellIs" dxfId="488" priority="172" stopIfTrue="1" operator="equal">
      <formula>"NO ADMISIBLE"</formula>
    </cfRule>
    <cfRule type="cellIs" dxfId="487" priority="173" stopIfTrue="1" operator="equal">
      <formula>"ADMISIBLE"</formula>
    </cfRule>
  </conditionalFormatting>
  <conditionalFormatting sqref="AH19">
    <cfRule type="cellIs" dxfId="486" priority="170" stopIfTrue="1" operator="equal">
      <formula>"NO ADMISIBLE"</formula>
    </cfRule>
    <cfRule type="cellIs" dxfId="485" priority="171" stopIfTrue="1" operator="equal">
      <formula>"ADMISIBLE"</formula>
    </cfRule>
  </conditionalFormatting>
  <conditionalFormatting sqref="S19">
    <cfRule type="cellIs" dxfId="484" priority="168" stopIfTrue="1" operator="equal">
      <formula>"NO ADMISIBLE"</formula>
    </cfRule>
    <cfRule type="cellIs" dxfId="483" priority="169" stopIfTrue="1" operator="equal">
      <formula>"ADMISIBLE"</formula>
    </cfRule>
  </conditionalFormatting>
  <conditionalFormatting sqref="J21 X21 AB21:AC21 M21:Q21 AE21 AG21 N22 Z21:Z22">
    <cfRule type="cellIs" dxfId="482" priority="162" stopIfTrue="1" operator="equal">
      <formula>"NO ADMISIBLE"</formula>
    </cfRule>
  </conditionalFormatting>
  <conditionalFormatting sqref="U21 AE21 AG21 S21 W21 Z21:AA22">
    <cfRule type="cellIs" dxfId="481" priority="163" stopIfTrue="1" operator="equal">
      <formula>"NO ADMISIBLE"</formula>
    </cfRule>
    <cfRule type="cellIs" dxfId="480" priority="164" stopIfTrue="1" operator="equal">
      <formula>"ADMISIBLE"</formula>
    </cfRule>
  </conditionalFormatting>
  <conditionalFormatting sqref="T22 Y21:Y22">
    <cfRule type="cellIs" dxfId="479" priority="159" stopIfTrue="1" operator="equal">
      <formula>"NO ADMISIBLE"</formula>
    </cfRule>
  </conditionalFormatting>
  <conditionalFormatting sqref="V21:V22 Y21:Y22">
    <cfRule type="cellIs" dxfId="478" priority="160" stopIfTrue="1" operator="equal">
      <formula>"NO ADMISIBLE"</formula>
    </cfRule>
    <cfRule type="cellIs" dxfId="477" priority="161" stopIfTrue="1" operator="equal">
      <formula>"ADMISIBLE"</formula>
    </cfRule>
  </conditionalFormatting>
  <conditionalFormatting sqref="AD21:AD22">
    <cfRule type="cellIs" dxfId="476" priority="158" stopIfTrue="1" operator="equal">
      <formula>"NO ADMISIBLE"</formula>
    </cfRule>
  </conditionalFormatting>
  <conditionalFormatting sqref="AD21:AD22">
    <cfRule type="cellIs" dxfId="475" priority="156" stopIfTrue="1" operator="equal">
      <formula>"NO ADMISIBLE"</formula>
    </cfRule>
    <cfRule type="cellIs" dxfId="474" priority="157" stopIfTrue="1" operator="equal">
      <formula>"ADMISIBLE"</formula>
    </cfRule>
  </conditionalFormatting>
  <conditionalFormatting sqref="AF21:AF22">
    <cfRule type="cellIs" dxfId="473" priority="155" stopIfTrue="1" operator="equal">
      <formula>"NO ADMISIBLE"</formula>
    </cfRule>
  </conditionalFormatting>
  <conditionalFormatting sqref="AF21:AF22">
    <cfRule type="cellIs" dxfId="472" priority="153" stopIfTrue="1" operator="equal">
      <formula>"NO ADMISIBLE"</formula>
    </cfRule>
    <cfRule type="cellIs" dxfId="471" priority="154" stopIfTrue="1" operator="equal">
      <formula>"ADMISIBLE"</formula>
    </cfRule>
  </conditionalFormatting>
  <conditionalFormatting sqref="R21:R22">
    <cfRule type="cellIs" dxfId="470" priority="152" stopIfTrue="1" operator="equal">
      <formula>"NO ADMISIBLE"</formula>
    </cfRule>
  </conditionalFormatting>
  <conditionalFormatting sqref="X22 AB22:AC22 M22 AE22 AG22 O22:Q22">
    <cfRule type="cellIs" dxfId="469" priority="149" stopIfTrue="1" operator="equal">
      <formula>"NO ADMISIBLE"</formula>
    </cfRule>
  </conditionalFormatting>
  <conditionalFormatting sqref="U22 AE22 AG22:AH22 S22 W22">
    <cfRule type="cellIs" dxfId="468" priority="150" stopIfTrue="1" operator="equal">
      <formula>"NO ADMISIBLE"</formula>
    </cfRule>
    <cfRule type="cellIs" dxfId="467" priority="151" stopIfTrue="1" operator="equal">
      <formula>"ADMISIBLE"</formula>
    </cfRule>
  </conditionalFormatting>
  <conditionalFormatting sqref="C21">
    <cfRule type="cellIs" dxfId="466" priority="148" stopIfTrue="1" operator="equal">
      <formula>"NO ADMISIBLE"</formula>
    </cfRule>
  </conditionalFormatting>
  <conditionalFormatting sqref="C22">
    <cfRule type="cellIs" dxfId="465" priority="147" stopIfTrue="1" operator="equal">
      <formula>"NO ADMISIBLE"</formula>
    </cfRule>
  </conditionalFormatting>
  <conditionalFormatting sqref="D21">
    <cfRule type="cellIs" dxfId="464" priority="146" stopIfTrue="1" operator="equal">
      <formula>"NO ADMISIBLE"</formula>
    </cfRule>
  </conditionalFormatting>
  <conditionalFormatting sqref="D22">
    <cfRule type="cellIs" dxfId="463" priority="145" stopIfTrue="1" operator="equal">
      <formula>"NO ADMISIBLE"</formula>
    </cfRule>
  </conditionalFormatting>
  <conditionalFormatting sqref="T22 Y21:Y22">
    <cfRule type="cellIs" dxfId="462" priority="142" stopIfTrue="1" operator="equal">
      <formula>"NO ADMISIBLE"</formula>
    </cfRule>
  </conditionalFormatting>
  <conditionalFormatting sqref="V21:V22 Y21:Y22">
    <cfRule type="cellIs" dxfId="461" priority="143" stopIfTrue="1" operator="equal">
      <formula>"NO ADMISIBLE"</formula>
    </cfRule>
    <cfRule type="cellIs" dxfId="460" priority="144" stopIfTrue="1" operator="equal">
      <formula>"ADMISIBLE"</formula>
    </cfRule>
  </conditionalFormatting>
  <conditionalFormatting sqref="AD21:AD22">
    <cfRule type="cellIs" dxfId="459" priority="141" stopIfTrue="1" operator="equal">
      <formula>"NO ADMISIBLE"</formula>
    </cfRule>
  </conditionalFormatting>
  <conditionalFormatting sqref="AD21:AD22">
    <cfRule type="cellIs" dxfId="458" priority="139" stopIfTrue="1" operator="equal">
      <formula>"NO ADMISIBLE"</formula>
    </cfRule>
    <cfRule type="cellIs" dxfId="457" priority="140" stopIfTrue="1" operator="equal">
      <formula>"ADMISIBLE"</formula>
    </cfRule>
  </conditionalFormatting>
  <conditionalFormatting sqref="AF21:AF22">
    <cfRule type="cellIs" dxfId="456" priority="138" stopIfTrue="1" operator="equal">
      <formula>"NO ADMISIBLE"</formula>
    </cfRule>
  </conditionalFormatting>
  <conditionalFormatting sqref="AF21:AF22">
    <cfRule type="cellIs" dxfId="455" priority="136" stopIfTrue="1" operator="equal">
      <formula>"NO ADMISIBLE"</formula>
    </cfRule>
    <cfRule type="cellIs" dxfId="454" priority="137" stopIfTrue="1" operator="equal">
      <formula>"ADMISIBLE"</formula>
    </cfRule>
  </conditionalFormatting>
  <conditionalFormatting sqref="R21:R22">
    <cfRule type="cellIs" dxfId="453" priority="135" stopIfTrue="1" operator="equal">
      <formula>"NO ADMISIBLE"</formula>
    </cfRule>
  </conditionalFormatting>
  <conditionalFormatting sqref="AB21:AC21 X21 M21:Q21 N22 Z21:Z22">
    <cfRule type="cellIs" dxfId="452" priority="132" stopIfTrue="1" operator="equal">
      <formula>"NO ADMISIBLE"</formula>
    </cfRule>
  </conditionalFormatting>
  <conditionalFormatting sqref="U21 W21 AA21:AA22">
    <cfRule type="cellIs" dxfId="451" priority="133" stopIfTrue="1" operator="equal">
      <formula>"NO ADMISIBLE"</formula>
    </cfRule>
    <cfRule type="cellIs" dxfId="450" priority="134" stopIfTrue="1" operator="equal">
      <formula>"ADMISIBLE"</formula>
    </cfRule>
  </conditionalFormatting>
  <conditionalFormatting sqref="Z21:Z22">
    <cfRule type="cellIs" dxfId="449" priority="130" stopIfTrue="1" operator="equal">
      <formula>"NO ADMISIBLE"</formula>
    </cfRule>
    <cfRule type="cellIs" dxfId="448" priority="131" stopIfTrue="1" operator="equal">
      <formula>"ADMISIBLE"</formula>
    </cfRule>
  </conditionalFormatting>
  <conditionalFormatting sqref="AE21">
    <cfRule type="cellIs" dxfId="447" priority="129" stopIfTrue="1" operator="equal">
      <formula>"NO ADMISIBLE"</formula>
    </cfRule>
  </conditionalFormatting>
  <conditionalFormatting sqref="AE21">
    <cfRule type="cellIs" dxfId="446" priority="127" stopIfTrue="1" operator="equal">
      <formula>"NO ADMISIBLE"</formula>
    </cfRule>
    <cfRule type="cellIs" dxfId="445" priority="128" stopIfTrue="1" operator="equal">
      <formula>"ADMISIBLE"</formula>
    </cfRule>
  </conditionalFormatting>
  <conditionalFormatting sqref="AG21">
    <cfRule type="cellIs" dxfId="444" priority="126" stopIfTrue="1" operator="equal">
      <formula>"NO ADMISIBLE"</formula>
    </cfRule>
  </conditionalFormatting>
  <conditionalFormatting sqref="AG21">
    <cfRule type="cellIs" dxfId="443" priority="124" stopIfTrue="1" operator="equal">
      <formula>"NO ADMISIBLE"</formula>
    </cfRule>
    <cfRule type="cellIs" dxfId="442" priority="125" stopIfTrue="1" operator="equal">
      <formula>"ADMISIBLE"</formula>
    </cfRule>
  </conditionalFormatting>
  <conditionalFormatting sqref="I22">
    <cfRule type="cellIs" dxfId="441" priority="117" stopIfTrue="1" operator="equal">
      <formula>"NO ADMISIBLE"</formula>
    </cfRule>
  </conditionalFormatting>
  <conditionalFormatting sqref="S21">
    <cfRule type="cellIs" dxfId="440" priority="120" stopIfTrue="1" operator="equal">
      <formula>"NO ADMISIBLE"</formula>
    </cfRule>
    <cfRule type="cellIs" dxfId="439" priority="121" stopIfTrue="1" operator="equal">
      <formula>"ADMISIBLE"</formula>
    </cfRule>
  </conditionalFormatting>
  <conditionalFormatting sqref="J22">
    <cfRule type="cellIs" dxfId="438" priority="118" stopIfTrue="1" operator="equal">
      <formula>"NO ADMISIBLE"</formula>
    </cfRule>
  </conditionalFormatting>
  <conditionalFormatting sqref="I21">
    <cfRule type="cellIs" dxfId="437" priority="119" stopIfTrue="1" operator="equal">
      <formula>"NO ADMISIBLE"</formula>
    </cfRule>
  </conditionalFormatting>
  <conditionalFormatting sqref="R18">
    <cfRule type="cellIs" dxfId="436" priority="114" stopIfTrue="1" operator="equal">
      <formula>"NO ADMISIBLE"</formula>
    </cfRule>
  </conditionalFormatting>
  <conditionalFormatting sqref="AD18 AF18">
    <cfRule type="cellIs" dxfId="435" priority="115" stopIfTrue="1" operator="equal">
      <formula>"NO ADMISIBLE"</formula>
    </cfRule>
    <cfRule type="cellIs" dxfId="434" priority="116" stopIfTrue="1" operator="equal">
      <formula>"ADMISIBLE"</formula>
    </cfRule>
  </conditionalFormatting>
  <conditionalFormatting sqref="Z18">
    <cfRule type="cellIs" dxfId="433" priority="71" stopIfTrue="1" operator="equal">
      <formula>"NO ADMISIBLE"</formula>
    </cfRule>
    <cfRule type="cellIs" dxfId="432" priority="72" stopIfTrue="1" operator="equal">
      <formula>"ADMISIBLE"</formula>
    </cfRule>
  </conditionalFormatting>
  <conditionalFormatting sqref="AD18:AE18">
    <cfRule type="cellIs" dxfId="431" priority="70" stopIfTrue="1" operator="equal">
      <formula>"NO ADMISIBLE"</formula>
    </cfRule>
  </conditionalFormatting>
  <conditionalFormatting sqref="AE18">
    <cfRule type="cellIs" dxfId="430" priority="68" stopIfTrue="1" operator="equal">
      <formula>"NO ADMISIBLE"</formula>
    </cfRule>
    <cfRule type="cellIs" dxfId="429" priority="69" stopIfTrue="1" operator="equal">
      <formula>"ADMISIBLE"</formula>
    </cfRule>
  </conditionalFormatting>
  <conditionalFormatting sqref="S18">
    <cfRule type="cellIs" dxfId="428" priority="61" stopIfTrue="1" operator="equal">
      <formula>"NO ADMISIBLE"</formula>
    </cfRule>
    <cfRule type="cellIs" dxfId="427" priority="62" stopIfTrue="1" operator="equal">
      <formula>"ADMISIBLE"</formula>
    </cfRule>
  </conditionalFormatting>
  <conditionalFormatting sqref="AB18:AC18 X18 M18:Q18 Z18">
    <cfRule type="cellIs" dxfId="426" priority="90" stopIfTrue="1" operator="equal">
      <formula>"NO ADMISIBLE"</formula>
    </cfRule>
  </conditionalFormatting>
  <conditionalFormatting sqref="U18 AA18">
    <cfRule type="cellIs" dxfId="425" priority="91" stopIfTrue="1" operator="equal">
      <formula>"NO ADMISIBLE"</formula>
    </cfRule>
    <cfRule type="cellIs" dxfId="424" priority="92" stopIfTrue="1" operator="equal">
      <formula>"ADMISIBLE"</formula>
    </cfRule>
  </conditionalFormatting>
  <conditionalFormatting sqref="Z18">
    <cfRule type="cellIs" dxfId="423" priority="88" stopIfTrue="1" operator="equal">
      <formula>"NO ADMISIBLE"</formula>
    </cfRule>
    <cfRule type="cellIs" dxfId="422" priority="89" stopIfTrue="1" operator="equal">
      <formula>"ADMISIBLE"</formula>
    </cfRule>
  </conditionalFormatting>
  <conditionalFormatting sqref="AD18:AE18">
    <cfRule type="cellIs" dxfId="421" priority="87" stopIfTrue="1" operator="equal">
      <formula>"NO ADMISIBLE"</formula>
    </cfRule>
  </conditionalFormatting>
  <conditionalFormatting sqref="AE18">
    <cfRule type="cellIs" dxfId="420" priority="85" stopIfTrue="1" operator="equal">
      <formula>"NO ADMISIBLE"</formula>
    </cfRule>
    <cfRule type="cellIs" dxfId="419" priority="86" stopIfTrue="1" operator="equal">
      <formula>"ADMISIBLE"</formula>
    </cfRule>
  </conditionalFormatting>
  <conditionalFormatting sqref="AF18:AG18">
    <cfRule type="cellIs" dxfId="418" priority="84" stopIfTrue="1" operator="equal">
      <formula>"NO ADMISIBLE"</formula>
    </cfRule>
  </conditionalFormatting>
  <conditionalFormatting sqref="AG18">
    <cfRule type="cellIs" dxfId="417" priority="82" stopIfTrue="1" operator="equal">
      <formula>"NO ADMISIBLE"</formula>
    </cfRule>
    <cfRule type="cellIs" dxfId="416" priority="83" stopIfTrue="1" operator="equal">
      <formula>"ADMISIBLE"</formula>
    </cfRule>
  </conditionalFormatting>
  <conditionalFormatting sqref="AH18">
    <cfRule type="cellIs" dxfId="415" priority="80" stopIfTrue="1" operator="equal">
      <formula>"NO ADMISIBLE"</formula>
    </cfRule>
    <cfRule type="cellIs" dxfId="414" priority="81" stopIfTrue="1" operator="equal">
      <formula>"ADMISIBLE"</formula>
    </cfRule>
  </conditionalFormatting>
  <conditionalFormatting sqref="S18">
    <cfRule type="cellIs" dxfId="413" priority="77" stopIfTrue="1" operator="equal">
      <formula>"NO ADMISIBLE"</formula>
    </cfRule>
    <cfRule type="cellIs" dxfId="412" priority="78" stopIfTrue="1" operator="equal">
      <formula>"ADMISIBLE"</formula>
    </cfRule>
  </conditionalFormatting>
  <conditionalFormatting sqref="AB18:AC18 X18 M18:Q18 Z18">
    <cfRule type="cellIs" dxfId="411" priority="73" stopIfTrue="1" operator="equal">
      <formula>"NO ADMISIBLE"</formula>
    </cfRule>
  </conditionalFormatting>
  <conditionalFormatting sqref="U18 AA18">
    <cfRule type="cellIs" dxfId="410" priority="74" stopIfTrue="1" operator="equal">
      <formula>"NO ADMISIBLE"</formula>
    </cfRule>
    <cfRule type="cellIs" dxfId="409" priority="75" stopIfTrue="1" operator="equal">
      <formula>"ADMISIBLE"</formula>
    </cfRule>
  </conditionalFormatting>
  <conditionalFormatting sqref="AF18:AG18">
    <cfRule type="cellIs" dxfId="408" priority="67" stopIfTrue="1" operator="equal">
      <formula>"NO ADMISIBLE"</formula>
    </cfRule>
  </conditionalFormatting>
  <conditionalFormatting sqref="AG18">
    <cfRule type="cellIs" dxfId="407" priority="65" stopIfTrue="1" operator="equal">
      <formula>"NO ADMISIBLE"</formula>
    </cfRule>
    <cfRule type="cellIs" dxfId="406" priority="66" stopIfTrue="1" operator="equal">
      <formula>"ADMISIBLE"</formula>
    </cfRule>
  </conditionalFormatting>
  <conditionalFormatting sqref="AH18">
    <cfRule type="cellIs" dxfId="405" priority="63" stopIfTrue="1" operator="equal">
      <formula>"NO ADMISIBLE"</formula>
    </cfRule>
    <cfRule type="cellIs" dxfId="404" priority="64" stopIfTrue="1" operator="equal">
      <formula>"ADMISIBLE"</formula>
    </cfRule>
  </conditionalFormatting>
  <conditionalFormatting sqref="R17">
    <cfRule type="cellIs" dxfId="403" priority="58" stopIfTrue="1" operator="equal">
      <formula>"NO ADMISIBLE"</formula>
    </cfRule>
  </conditionalFormatting>
  <conditionalFormatting sqref="AD17 AF17">
    <cfRule type="cellIs" dxfId="402" priority="59" stopIfTrue="1" operator="equal">
      <formula>"NO ADMISIBLE"</formula>
    </cfRule>
    <cfRule type="cellIs" dxfId="401" priority="60" stopIfTrue="1" operator="equal">
      <formula>"ADMISIBLE"</formula>
    </cfRule>
  </conditionalFormatting>
  <conditionalFormatting sqref="AB17:AC17 X17 M17:Q17 Z17">
    <cfRule type="cellIs" dxfId="400" priority="55" stopIfTrue="1" operator="equal">
      <formula>"NO ADMISIBLE"</formula>
    </cfRule>
  </conditionalFormatting>
  <conditionalFormatting sqref="U17 AA17 W17 W19:W20">
    <cfRule type="cellIs" dxfId="399" priority="56" stopIfTrue="1" operator="equal">
      <formula>"NO ADMISIBLE"</formula>
    </cfRule>
    <cfRule type="cellIs" dxfId="398" priority="57" stopIfTrue="1" operator="equal">
      <formula>"ADMISIBLE"</formula>
    </cfRule>
  </conditionalFormatting>
  <conditionalFormatting sqref="Z17">
    <cfRule type="cellIs" dxfId="397" priority="53" stopIfTrue="1" operator="equal">
      <formula>"NO ADMISIBLE"</formula>
    </cfRule>
    <cfRule type="cellIs" dxfId="396" priority="54" stopIfTrue="1" operator="equal">
      <formula>"ADMISIBLE"</formula>
    </cfRule>
  </conditionalFormatting>
  <conditionalFormatting sqref="AD17:AE17">
    <cfRule type="cellIs" dxfId="395" priority="52" stopIfTrue="1" operator="equal">
      <formula>"NO ADMISIBLE"</formula>
    </cfRule>
  </conditionalFormatting>
  <conditionalFormatting sqref="AE17">
    <cfRule type="cellIs" dxfId="394" priority="50" stopIfTrue="1" operator="equal">
      <formula>"NO ADMISIBLE"</formula>
    </cfRule>
    <cfRule type="cellIs" dxfId="393" priority="51" stopIfTrue="1" operator="equal">
      <formula>"ADMISIBLE"</formula>
    </cfRule>
  </conditionalFormatting>
  <conditionalFormatting sqref="AF17:AG17">
    <cfRule type="cellIs" dxfId="392" priority="49" stopIfTrue="1" operator="equal">
      <formula>"NO ADMISIBLE"</formula>
    </cfRule>
  </conditionalFormatting>
  <conditionalFormatting sqref="AG17">
    <cfRule type="cellIs" dxfId="391" priority="47" stopIfTrue="1" operator="equal">
      <formula>"NO ADMISIBLE"</formula>
    </cfRule>
    <cfRule type="cellIs" dxfId="390" priority="48" stopIfTrue="1" operator="equal">
      <formula>"ADMISIBLE"</formula>
    </cfRule>
  </conditionalFormatting>
  <conditionalFormatting sqref="S17">
    <cfRule type="cellIs" dxfId="389" priority="43" stopIfTrue="1" operator="equal">
      <formula>"NO ADMISIBLE"</formula>
    </cfRule>
    <cfRule type="cellIs" dxfId="388" priority="44" stopIfTrue="1" operator="equal">
      <formula>"ADMISIBLE"</formula>
    </cfRule>
  </conditionalFormatting>
  <conditionalFormatting sqref="AB17:AC17 X17 M17:Q17 Z17">
    <cfRule type="cellIs" dxfId="387" priority="40" stopIfTrue="1" operator="equal">
      <formula>"NO ADMISIBLE"</formula>
    </cfRule>
  </conditionalFormatting>
  <conditionalFormatting sqref="U17 AA17 W17 W19:W20">
    <cfRule type="cellIs" dxfId="386" priority="41" stopIfTrue="1" operator="equal">
      <formula>"NO ADMISIBLE"</formula>
    </cfRule>
    <cfRule type="cellIs" dxfId="385" priority="42" stopIfTrue="1" operator="equal">
      <formula>"ADMISIBLE"</formula>
    </cfRule>
  </conditionalFormatting>
  <conditionalFormatting sqref="Z17">
    <cfRule type="cellIs" dxfId="384" priority="38" stopIfTrue="1" operator="equal">
      <formula>"NO ADMISIBLE"</formula>
    </cfRule>
    <cfRule type="cellIs" dxfId="383" priority="39" stopIfTrue="1" operator="equal">
      <formula>"ADMISIBLE"</formula>
    </cfRule>
  </conditionalFormatting>
  <conditionalFormatting sqref="AD17:AE17">
    <cfRule type="cellIs" dxfId="382" priority="37" stopIfTrue="1" operator="equal">
      <formula>"NO ADMISIBLE"</formula>
    </cfRule>
  </conditionalFormatting>
  <conditionalFormatting sqref="AE17">
    <cfRule type="cellIs" dxfId="381" priority="35" stopIfTrue="1" operator="equal">
      <formula>"NO ADMISIBLE"</formula>
    </cfRule>
    <cfRule type="cellIs" dxfId="380" priority="36" stopIfTrue="1" operator="equal">
      <formula>"ADMISIBLE"</formula>
    </cfRule>
  </conditionalFormatting>
  <conditionalFormatting sqref="AF17:AG17">
    <cfRule type="cellIs" dxfId="379" priority="34" stopIfTrue="1" operator="equal">
      <formula>"NO ADMISIBLE"</formula>
    </cfRule>
  </conditionalFormatting>
  <conditionalFormatting sqref="AG17">
    <cfRule type="cellIs" dxfId="378" priority="32" stopIfTrue="1" operator="equal">
      <formula>"NO ADMISIBLE"</formula>
    </cfRule>
    <cfRule type="cellIs" dxfId="377" priority="33" stopIfTrue="1" operator="equal">
      <formula>"ADMISIBLE"</formula>
    </cfRule>
  </conditionalFormatting>
  <conditionalFormatting sqref="S17">
    <cfRule type="cellIs" dxfId="376" priority="28" stopIfTrue="1" operator="equal">
      <formula>"NO ADMISIBLE"</formula>
    </cfRule>
    <cfRule type="cellIs" dxfId="375" priority="29" stopIfTrue="1" operator="equal">
      <formula>"ADMISIBLE"</formula>
    </cfRule>
  </conditionalFormatting>
  <conditionalFormatting sqref="AH17">
    <cfRule type="cellIs" dxfId="374" priority="22" stopIfTrue="1" operator="equal">
      <formula>"NO ADMISIBLE"</formula>
    </cfRule>
    <cfRule type="cellIs" dxfId="373" priority="23" stopIfTrue="1" operator="equal">
      <formula>"ADMISIBLE"</formula>
    </cfRule>
  </conditionalFormatting>
  <conditionalFormatting sqref="AH17">
    <cfRule type="cellIs" dxfId="372" priority="20" stopIfTrue="1" operator="equal">
      <formula>"NO ADMISIBLE"</formula>
    </cfRule>
    <cfRule type="cellIs" dxfId="371" priority="21" stopIfTrue="1" operator="equal">
      <formula>"ADMISIBLE"</formula>
    </cfRule>
  </conditionalFormatting>
  <conditionalFormatting sqref="AH21">
    <cfRule type="cellIs" dxfId="370" priority="18" stopIfTrue="1" operator="equal">
      <formula>"NO ADMISIBLE"</formula>
    </cfRule>
    <cfRule type="cellIs" dxfId="369" priority="19" stopIfTrue="1" operator="equal">
      <formula>"ADMISIBLE"</formula>
    </cfRule>
  </conditionalFormatting>
  <conditionalFormatting sqref="AH21">
    <cfRule type="cellIs" dxfId="368" priority="16" stopIfTrue="1" operator="equal">
      <formula>"NO ADMISIBLE"</formula>
    </cfRule>
    <cfRule type="cellIs" dxfId="367" priority="17" stopIfTrue="1" operator="equal">
      <formula>"ADMISIBLE"</formula>
    </cfRule>
  </conditionalFormatting>
  <conditionalFormatting sqref="W18">
    <cfRule type="cellIs" dxfId="366" priority="11" stopIfTrue="1" operator="equal">
      <formula>"NO ADMISIBLE"</formula>
    </cfRule>
    <cfRule type="cellIs" dxfId="365" priority="12" stopIfTrue="1" operator="equal">
      <formula>"ADMISIBLE"</formula>
    </cfRule>
  </conditionalFormatting>
  <conditionalFormatting sqref="D12">
    <cfRule type="expression" dxfId="364" priority="6">
      <formula>IF($B12-INT($B12)=0,TRUE,FALSE)</formula>
    </cfRule>
    <cfRule type="expression" dxfId="363" priority="7" stopIfTrue="1">
      <formula>IF($B12-INT($B12)&gt;0,TRUE,FALSE)</formula>
    </cfRule>
  </conditionalFormatting>
  <conditionalFormatting sqref="C12">
    <cfRule type="expression" dxfId="362" priority="4">
      <formula>IF($B12-INT($B12)=0,TRUE,FALSE)</formula>
    </cfRule>
    <cfRule type="expression" dxfId="361" priority="5" stopIfTrue="1">
      <formula>IF($B12-INT($B12)&gt;0,TRUE,FALSE)</formula>
    </cfRule>
  </conditionalFormatting>
  <conditionalFormatting sqref="N12">
    <cfRule type="cellIs" dxfId="360" priority="3" stopIfTrue="1" operator="equal">
      <formula>"NO ADMISIBLE"</formula>
    </cfRule>
  </conditionalFormatting>
  <dataValidations count="1">
    <dataValidation type="list" allowBlank="1" showInputMessage="1" showErrorMessage="1" sqref="C12:D22" xr:uid="{00000000-0002-0000-0300-000000000000}">
      <formula1>prueba</formula1>
    </dataValidation>
  </dataValidations>
  <printOptions horizontalCentered="1" verticalCentered="1"/>
  <pageMargins left="0.19685039370078741" right="0.75" top="0.55118110236220474" bottom="0.43307086614173229" header="0" footer="0"/>
  <pageSetup paperSize="14" scale="23" orientation="landscape" horizontalDpi="300" verticalDpi="300" r:id="rId2"/>
  <headerFooter alignWithMargins="0">
    <oddFooter>&amp;RElaboro: JJR
&amp;D</oddFooter>
  </headerFooter>
  <colBreaks count="1" manualBreakCount="1">
    <brk id="38" max="22" man="1"/>
  </colBreaks>
  <drawing r:id="rId3"/>
  <legacyDrawing r:id="rId4"/>
  <mc:AlternateContent xmlns:mc="http://schemas.openxmlformats.org/markup-compatibility/2006">
    <mc:Choice Requires="x14">
      <controls>
        <mc:AlternateContent xmlns:mc="http://schemas.openxmlformats.org/markup-compatibility/2006">
          <mc:Choice Requires="x14">
            <control shapeId="1058" r:id="rId5" name="Button 34">
              <controlPr defaultSize="0" print="0" autoFill="0" autoPict="0" macro="[0]!copiar" altText="No. Propuestas">
                <anchor moveWithCells="1" sizeWithCells="1">
                  <from>
                    <xdr:col>0</xdr:col>
                    <xdr:colOff>0</xdr:colOff>
                    <xdr:row>1</xdr:row>
                    <xdr:rowOff>0</xdr:rowOff>
                  </from>
                  <to>
                    <xdr:col>1</xdr:col>
                    <xdr:colOff>0</xdr:colOff>
                    <xdr:row>2</xdr:row>
                    <xdr:rowOff>0</xdr:rowOff>
                  </to>
                </anchor>
              </controlPr>
            </control>
          </mc:Choice>
        </mc:AlternateContent>
        <mc:AlternateContent xmlns:mc="http://schemas.openxmlformats.org/markup-compatibility/2006">
          <mc:Choice Requires="x14">
            <control shapeId="1062" r:id="rId6" name="Check Box 1">
              <controlPr defaultSize="0" autoFill="0" autoLine="0" autoPict="0">
                <anchor moveWithCells="1">
                  <from>
                    <xdr:col>35</xdr:col>
                    <xdr:colOff>28575</xdr:colOff>
                    <xdr:row>10</xdr:row>
                    <xdr:rowOff>85725</xdr:rowOff>
                  </from>
                  <to>
                    <xdr:col>35</xdr:col>
                    <xdr:colOff>333375</xdr:colOff>
                    <xdr:row>11</xdr:row>
                    <xdr:rowOff>200025</xdr:rowOff>
                  </to>
                </anchor>
              </controlPr>
            </control>
          </mc:Choice>
        </mc:AlternateContent>
        <mc:AlternateContent xmlns:mc="http://schemas.openxmlformats.org/markup-compatibility/2006">
          <mc:Choice Requires="x14">
            <control shapeId="1066" r:id="rId7" name="Check Box 42">
              <controlPr defaultSize="0" autoFill="0" autoLine="0" autoPict="0">
                <anchor moveWithCells="1">
                  <from>
                    <xdr:col>35</xdr:col>
                    <xdr:colOff>219075</xdr:colOff>
                    <xdr:row>11</xdr:row>
                    <xdr:rowOff>0</xdr:rowOff>
                  </from>
                  <to>
                    <xdr:col>35</xdr:col>
                    <xdr:colOff>523875</xdr:colOff>
                    <xdr:row>11</xdr:row>
                    <xdr:rowOff>219075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1"/>
  <dimension ref="A2:O45"/>
  <sheetViews>
    <sheetView view="pageBreakPreview" topLeftCell="C1" zoomScale="80" zoomScaleNormal="100" zoomScaleSheetLayoutView="80" workbookViewId="0">
      <selection activeCell="K11" sqref="K11"/>
    </sheetView>
  </sheetViews>
  <sheetFormatPr baseColWidth="10" defaultColWidth="11.42578125" defaultRowHeight="12.75"/>
  <cols>
    <col min="1" max="1" width="11.42578125" style="101" customWidth="1"/>
    <col min="2" max="2" width="11.28515625" style="101" customWidth="1"/>
    <col min="3" max="3" width="4.85546875" style="101" customWidth="1"/>
    <col min="4" max="4" width="29.42578125" style="101" customWidth="1"/>
    <col min="5" max="5" width="15" style="101" customWidth="1"/>
    <col min="6" max="6" width="22.28515625" style="101" customWidth="1"/>
    <col min="7" max="8" width="17" style="101" customWidth="1"/>
    <col min="9" max="9" width="13.85546875" style="93" customWidth="1"/>
    <col min="10" max="10" width="36.140625" style="93" customWidth="1"/>
    <col min="11" max="11" width="34.42578125" style="381" customWidth="1"/>
    <col min="12" max="12" width="3.28515625" style="112" customWidth="1"/>
    <col min="13" max="13" width="9.7109375" style="113" customWidth="1"/>
    <col min="14" max="14" width="12.42578125" style="101" customWidth="1"/>
    <col min="15" max="15" width="12.7109375" style="101" customWidth="1"/>
    <col min="16" max="16384" width="11.42578125" style="101"/>
  </cols>
  <sheetData>
    <row r="2" spans="1:15" s="103" customFormat="1" ht="20.25" customHeight="1">
      <c r="C2" s="471" t="s">
        <v>197</v>
      </c>
      <c r="D2" s="471"/>
      <c r="E2" s="471"/>
      <c r="F2" s="471"/>
      <c r="G2" s="471"/>
      <c r="H2" s="471"/>
      <c r="I2" s="471"/>
      <c r="J2" s="471"/>
      <c r="K2" s="380"/>
      <c r="L2" s="104"/>
      <c r="M2" s="105"/>
    </row>
    <row r="3" spans="1:15" s="103" customFormat="1" ht="18" customHeight="1">
      <c r="C3" s="472" t="s">
        <v>211</v>
      </c>
      <c r="D3" s="472"/>
      <c r="E3" s="472"/>
      <c r="F3" s="472"/>
      <c r="G3" s="472"/>
      <c r="H3" s="472"/>
      <c r="I3" s="472"/>
      <c r="J3" s="472"/>
      <c r="K3" s="380"/>
      <c r="L3" s="104"/>
      <c r="M3" s="105"/>
    </row>
    <row r="4" spans="1:15" s="103" customFormat="1" ht="13.5" customHeight="1">
      <c r="C4" s="473" t="str">
        <f>'Capacidad Financiera'!B4</f>
        <v>EVALUACIÓN FINANCIERA</v>
      </c>
      <c r="D4" s="473"/>
      <c r="E4" s="473"/>
      <c r="F4" s="473"/>
      <c r="G4" s="473"/>
      <c r="H4" s="473"/>
      <c r="I4" s="473"/>
      <c r="J4" s="473"/>
      <c r="K4" s="380"/>
      <c r="L4" s="104"/>
      <c r="M4" s="105"/>
    </row>
    <row r="5" spans="1:15" s="103" customFormat="1" ht="13.5" customHeight="1">
      <c r="C5" s="473" t="s">
        <v>298</v>
      </c>
      <c r="D5" s="473"/>
      <c r="E5" s="473"/>
      <c r="F5" s="473"/>
      <c r="G5" s="473"/>
      <c r="H5" s="473"/>
      <c r="I5" s="473"/>
      <c r="J5" s="473"/>
      <c r="K5" s="380"/>
      <c r="L5" s="104"/>
      <c r="M5" s="105"/>
    </row>
    <row r="6" spans="1:15" s="103" customFormat="1" ht="18.75" customHeight="1">
      <c r="C6" s="144"/>
      <c r="D6" s="211" t="s">
        <v>292</v>
      </c>
      <c r="E6" s="144"/>
      <c r="F6" s="144"/>
      <c r="G6" s="144"/>
      <c r="H6" s="144"/>
      <c r="I6" s="144"/>
      <c r="J6" s="144"/>
      <c r="K6" s="380"/>
      <c r="L6" s="104"/>
      <c r="M6" s="105"/>
    </row>
    <row r="7" spans="1:15" s="103" customFormat="1" ht="19.5" customHeight="1">
      <c r="C7" s="144"/>
      <c r="D7" s="211" t="s">
        <v>298</v>
      </c>
      <c r="E7" s="144"/>
      <c r="F7" s="144"/>
      <c r="G7" s="144"/>
      <c r="H7" s="144"/>
      <c r="I7" s="144"/>
      <c r="J7" s="144"/>
      <c r="K7" s="380"/>
      <c r="L7" s="104"/>
      <c r="M7" s="105"/>
    </row>
    <row r="8" spans="1:15" s="103" customFormat="1" ht="14.25" thickBot="1">
      <c r="C8" s="106"/>
      <c r="D8" s="106"/>
      <c r="E8" s="107"/>
      <c r="F8" s="107"/>
      <c r="G8" s="107"/>
      <c r="H8" s="108"/>
      <c r="I8" s="110"/>
      <c r="J8" s="110"/>
      <c r="K8" s="380"/>
      <c r="L8" s="104"/>
      <c r="M8" s="105"/>
    </row>
    <row r="9" spans="1:15" ht="36" customHeight="1">
      <c r="C9" s="467" t="s">
        <v>158</v>
      </c>
      <c r="D9" s="469" t="s">
        <v>157</v>
      </c>
      <c r="E9" s="463" t="s">
        <v>214</v>
      </c>
      <c r="F9" s="463" t="s">
        <v>231</v>
      </c>
      <c r="G9" s="463" t="s">
        <v>232</v>
      </c>
      <c r="H9" s="463" t="s">
        <v>233</v>
      </c>
      <c r="I9" s="465" t="s">
        <v>213</v>
      </c>
      <c r="J9" s="466"/>
    </row>
    <row r="10" spans="1:15" ht="103.5" customHeight="1" thickBot="1">
      <c r="C10" s="468"/>
      <c r="D10" s="470"/>
      <c r="E10" s="464"/>
      <c r="F10" s="464"/>
      <c r="G10" s="464"/>
      <c r="H10" s="464"/>
      <c r="I10" s="267" t="s">
        <v>215</v>
      </c>
      <c r="J10" s="138" t="s">
        <v>216</v>
      </c>
    </row>
    <row r="11" spans="1:15" ht="96" customHeight="1" thickBot="1">
      <c r="A11" s="128" t="s">
        <v>217</v>
      </c>
      <c r="C11" s="238">
        <f>+'Capacidad Financiera'!B12</f>
        <v>1</v>
      </c>
      <c r="D11" s="239" t="str">
        <f>IF(ISERROR(VLOOKUP(C11,'Capacidad Financiera'!$B$12:$AA$59186,2,0)),"",VLOOKUP(C11,'Capacidad Financiera'!$B$12:$AA$59186,2,0))</f>
        <v>ESTUDIO, DISEÑO Y CONSTRUCCION EN INGENIERIA S.A.S</v>
      </c>
      <c r="E11" s="240">
        <f>IF(ISERROR(VLOOKUP(C11,'Capacidad Financiera'!$B$12:$AA$59186,3,0)),"",VLOOKUP(C11,'Capacidad Financiera'!$B$12:$AA$59186,3,0))</f>
        <v>1</v>
      </c>
      <c r="F11" s="241"/>
      <c r="G11" s="117" t="str">
        <f>IF(OR(D11="",E11="",F11=""),"",F11/SALACTUAL)</f>
        <v/>
      </c>
      <c r="H11" s="117" t="str">
        <f>IF(OR(D11="",E11="",F11=""),"",IF(C11&lt;&gt;"",IF(ISERROR(VLOOKUP($A$12,POA!$A$2:$D$16,2,0)),"",VLOOKUP($A$12,POA!$A$2:$D$16,2,0)/SALACTUAL),""))</f>
        <v/>
      </c>
      <c r="I11" s="135" t="str">
        <f>IF(OR(D11="",E11="",G11=""),"",IF(C11&lt;&gt;"",G11/(H11*E11),""))</f>
        <v/>
      </c>
      <c r="J11" s="136"/>
      <c r="K11" s="407" t="s">
        <v>301</v>
      </c>
      <c r="L11" s="114"/>
      <c r="M11" s="115"/>
      <c r="N11" s="102"/>
      <c r="O11" s="102"/>
    </row>
    <row r="12" spans="1:15" ht="35.25" hidden="1" customHeight="1">
      <c r="A12" s="205">
        <v>1</v>
      </c>
      <c r="C12" s="467" t="s">
        <v>158</v>
      </c>
      <c r="D12" s="469"/>
      <c r="E12" s="463" t="s">
        <v>214</v>
      </c>
      <c r="F12" s="463" t="s">
        <v>231</v>
      </c>
      <c r="G12" s="463" t="s">
        <v>232</v>
      </c>
      <c r="H12" s="463" t="s">
        <v>233</v>
      </c>
      <c r="I12" s="465" t="s">
        <v>213</v>
      </c>
      <c r="J12" s="466"/>
    </row>
    <row r="13" spans="1:15" ht="73.5" hidden="1" customHeight="1" thickBot="1">
      <c r="C13" s="468"/>
      <c r="D13" s="470"/>
      <c r="E13" s="464"/>
      <c r="F13" s="464"/>
      <c r="G13" s="464"/>
      <c r="H13" s="464"/>
      <c r="I13" s="267" t="s">
        <v>215</v>
      </c>
      <c r="J13" s="138" t="s">
        <v>216</v>
      </c>
    </row>
    <row r="14" spans="1:15" ht="33" hidden="1" customHeight="1">
      <c r="C14" s="238"/>
      <c r="D14" s="239" t="str">
        <f>IF(ISERROR(VLOOKUP(C14,'Capacidad Financiera'!$B$12:$AA$59186,2,0)),"",VLOOKUP(C14,'Capacidad Financiera'!$B$12:$AA$59186,2,0))</f>
        <v/>
      </c>
      <c r="E14" s="240" t="str">
        <f>IF(ISERROR(VLOOKUP(C14,'Capacidad Financiera'!$B$12:$AA$59186,3,0)),"",VLOOKUP(C14,'Capacidad Financiera'!$B$12:$AA$59186,3,0))</f>
        <v/>
      </c>
      <c r="F14" s="241"/>
      <c r="G14" s="117" t="str">
        <f t="shared" ref="G14" si="0">IF(OR(D14="",E14="",F14=""),"",F14/SALACTUAL)</f>
        <v/>
      </c>
      <c r="H14" s="117" t="str">
        <f>IF(OR(D14="",E14="",F14=""),"",IF(C14&lt;&gt;"",IF(ISERROR(VLOOKUP($A$12,POA!$A$2:$D$16,2,0)),"",VLOOKUP($A$12,POA!$A$2:$D$16,2,0)/SALACTUAL),""))</f>
        <v/>
      </c>
      <c r="I14" s="135" t="str">
        <f>IF(OR(D14="",E14="",G14=""),"",IF(C14&lt;&gt;"",G14/(H14*E14),""))</f>
        <v/>
      </c>
      <c r="J14" s="136" t="s">
        <v>297</v>
      </c>
      <c r="K14" s="407"/>
    </row>
    <row r="15" spans="1:15" ht="20.25" hidden="1" customHeight="1">
      <c r="C15" s="467"/>
      <c r="D15" s="469" t="s">
        <v>157</v>
      </c>
      <c r="E15" s="463" t="s">
        <v>214</v>
      </c>
      <c r="F15" s="463" t="s">
        <v>231</v>
      </c>
      <c r="G15" s="463" t="s">
        <v>232</v>
      </c>
      <c r="H15" s="463" t="s">
        <v>233</v>
      </c>
      <c r="I15" s="465" t="s">
        <v>213</v>
      </c>
      <c r="J15" s="466"/>
    </row>
    <row r="16" spans="1:15" ht="105.75" hidden="1" customHeight="1" thickBot="1">
      <c r="C16" s="468"/>
      <c r="D16" s="470"/>
      <c r="E16" s="464"/>
      <c r="F16" s="464"/>
      <c r="G16" s="464"/>
      <c r="H16" s="464"/>
      <c r="I16" s="267" t="s">
        <v>215</v>
      </c>
      <c r="J16" s="138" t="s">
        <v>216</v>
      </c>
    </row>
    <row r="17" spans="3:11" ht="24.75" hidden="1" customHeight="1" thickBot="1">
      <c r="C17" s="238"/>
      <c r="D17" s="239"/>
      <c r="E17" s="240" t="str">
        <f>IF(ISERROR(VLOOKUP(C17,'Capacidad Financiera'!$B$12:$AA$59186,3,0)),"",VLOOKUP(C17,'Capacidad Financiera'!$B$12:$AA$59186,3,0))</f>
        <v/>
      </c>
      <c r="F17" s="241"/>
      <c r="G17" s="117" t="str">
        <f t="shared" ref="G17" si="1">IF(OR(D17="",E17="",F17=""),"",F17/SALACTUAL)</f>
        <v/>
      </c>
      <c r="H17" s="117" t="str">
        <f>IF(OR(D17="",E17="",F17=""),"",IF(C17&lt;&gt;"",IF(ISERROR(VLOOKUP($A$12,POA!$A$2:$D$16,2,0)),"",VLOOKUP($A$12,POA!$A$2:$D$16,2,0)/SALACTUAL),""))</f>
        <v/>
      </c>
      <c r="I17" s="135" t="str">
        <f>IF(OR(D17="",E17="",G17=""),"",IF(C17&lt;&gt;"",G17/(H17*E17),""))</f>
        <v/>
      </c>
      <c r="J17" s="136" t="s">
        <v>297</v>
      </c>
      <c r="K17" s="382"/>
    </row>
    <row r="18" spans="3:11" hidden="1">
      <c r="C18" s="467"/>
      <c r="D18" s="469" t="s">
        <v>157</v>
      </c>
      <c r="E18" s="463" t="s">
        <v>214</v>
      </c>
      <c r="F18" s="463" t="s">
        <v>231</v>
      </c>
      <c r="G18" s="463" t="s">
        <v>232</v>
      </c>
      <c r="H18" s="463" t="s">
        <v>233</v>
      </c>
      <c r="I18" s="465" t="s">
        <v>213</v>
      </c>
      <c r="J18" s="466"/>
    </row>
    <row r="19" spans="3:11" ht="114.75" hidden="1" customHeight="1" thickBot="1">
      <c r="C19" s="468"/>
      <c r="D19" s="470"/>
      <c r="E19" s="464"/>
      <c r="F19" s="464"/>
      <c r="G19" s="464"/>
      <c r="H19" s="464"/>
      <c r="I19" s="267" t="s">
        <v>215</v>
      </c>
      <c r="J19" s="138" t="s">
        <v>216</v>
      </c>
    </row>
    <row r="20" spans="3:11" ht="29.25" hidden="1" customHeight="1" thickBot="1">
      <c r="C20" s="238"/>
      <c r="D20" s="239"/>
      <c r="E20" s="240" t="str">
        <f>IF(ISERROR(VLOOKUP(C20,'Capacidad Financiera'!$B$12:$AA$59186,3,0)),"",VLOOKUP(C20,'Capacidad Financiera'!$B$12:$AA$59186,3,0))</f>
        <v/>
      </c>
      <c r="F20" s="241"/>
      <c r="G20" s="117" t="str">
        <f>IF(OR(D20="",E20="",F20=""),"",F20/SALACTUAL)</f>
        <v/>
      </c>
      <c r="H20" s="117" t="str">
        <f>IF(OR(D20="",E20="",F20=""),"",IF(C20&lt;&gt;"",IF(ISERROR(VLOOKUP($A$12,POA!$A$2:$D$16,2,0)),"",VLOOKUP($A$12,POA!$A$2:$D$16,2,0)/SALACTUAL),""))</f>
        <v/>
      </c>
      <c r="I20" s="135" t="str">
        <f>IF(OR(D20="",E20="",G20=""),"",IF(C20&lt;&gt;"",G20/(H20*E20),""))</f>
        <v/>
      </c>
      <c r="J20" s="136" t="s">
        <v>297</v>
      </c>
    </row>
    <row r="21" spans="3:11" hidden="1">
      <c r="C21" s="467" t="s">
        <v>158</v>
      </c>
      <c r="D21" s="469" t="s">
        <v>157</v>
      </c>
      <c r="E21" s="463" t="s">
        <v>214</v>
      </c>
      <c r="F21" s="463" t="s">
        <v>231</v>
      </c>
      <c r="G21" s="463" t="s">
        <v>232</v>
      </c>
      <c r="H21" s="463" t="s">
        <v>233</v>
      </c>
      <c r="I21" s="465" t="s">
        <v>213</v>
      </c>
      <c r="J21" s="466"/>
    </row>
    <row r="22" spans="3:11" ht="110.25" hidden="1" customHeight="1" thickBot="1">
      <c r="C22" s="468"/>
      <c r="D22" s="470"/>
      <c r="E22" s="464"/>
      <c r="F22" s="464"/>
      <c r="G22" s="464"/>
      <c r="H22" s="464"/>
      <c r="I22" s="267" t="s">
        <v>215</v>
      </c>
      <c r="J22" s="138" t="s">
        <v>216</v>
      </c>
    </row>
    <row r="23" spans="3:11" ht="24.75" hidden="1" customHeight="1" thickBot="1">
      <c r="C23" s="238"/>
      <c r="D23" s="239"/>
      <c r="E23" s="240" t="str">
        <f>IF(ISERROR(VLOOKUP(C23,'Capacidad Financiera'!$B$12:$AA$59186,3,0)),"",VLOOKUP(C23,'Capacidad Financiera'!$B$12:$AA$59186,3,0))</f>
        <v/>
      </c>
      <c r="F23" s="241"/>
      <c r="G23" s="117" t="str">
        <f>IF(OR(D23="",E23="",F23=""),"",F23/SALACTUAL)</f>
        <v/>
      </c>
      <c r="H23" s="117" t="str">
        <f>IF(OR(D23="",E23="",F23=""),"",IF(C23&lt;&gt;"",IF(ISERROR(VLOOKUP($A$12,POA!$A$2:$D$16,2,0)),"",VLOOKUP($A$12,POA!$A$2:$D$16,2,0)/SALACTUAL),""))</f>
        <v/>
      </c>
      <c r="I23" s="135" t="str">
        <f>IF(OR(D23="",E23="",G23=""),"",IF(C23&lt;&gt;"",G23/(H23*E23),""))</f>
        <v/>
      </c>
      <c r="J23" s="136" t="s">
        <v>297</v>
      </c>
    </row>
    <row r="24" spans="3:11" ht="28.5" hidden="1" customHeight="1">
      <c r="C24" s="467" t="s">
        <v>158</v>
      </c>
      <c r="D24" s="469" t="s">
        <v>157</v>
      </c>
      <c r="E24" s="463" t="s">
        <v>214</v>
      </c>
      <c r="F24" s="463" t="s">
        <v>231</v>
      </c>
      <c r="G24" s="463" t="s">
        <v>232</v>
      </c>
      <c r="H24" s="463" t="s">
        <v>233</v>
      </c>
      <c r="I24" s="465" t="s">
        <v>213</v>
      </c>
      <c r="J24" s="466"/>
    </row>
    <row r="25" spans="3:11" ht="101.25" hidden="1" customHeight="1" thickBot="1">
      <c r="C25" s="468"/>
      <c r="D25" s="470"/>
      <c r="E25" s="464"/>
      <c r="F25" s="464"/>
      <c r="G25" s="464"/>
      <c r="H25" s="464"/>
      <c r="I25" s="267" t="s">
        <v>215</v>
      </c>
      <c r="J25" s="138" t="s">
        <v>216</v>
      </c>
    </row>
    <row r="26" spans="3:11" ht="36.75" hidden="1" customHeight="1" thickBot="1">
      <c r="C26" s="238"/>
      <c r="D26" s="239"/>
      <c r="E26" s="240" t="str">
        <f>IF(ISERROR(VLOOKUP(C26,'Capacidad Financiera'!$B$12:$AA$59186,3,0)),"",VLOOKUP(C26,'Capacidad Financiera'!$B$12:$AA$59186,3,0))</f>
        <v/>
      </c>
      <c r="F26" s="241"/>
      <c r="G26" s="117" t="str">
        <f t="shared" ref="G26" si="2">IF(OR(D26="",E26="",F26=""),"",F26/SALACTUAL)</f>
        <v/>
      </c>
      <c r="H26" s="117" t="str">
        <f>IF(OR(D26="",E26="",F26=""),"",IF(C26&lt;&gt;"",IF(ISERROR(VLOOKUP($A$12,POA!$A$2:$D$16,2,0)),"",VLOOKUP($A$12,POA!$A$2:$D$16,2,0)/SALACTUAL),""))</f>
        <v/>
      </c>
      <c r="I26" s="135" t="str">
        <f>IF(OR(D26="",E26="",G26=""),"",IF(C26&lt;&gt;"",G26/(H26*E26),""))</f>
        <v/>
      </c>
      <c r="J26" s="136" t="s">
        <v>297</v>
      </c>
    </row>
    <row r="27" spans="3:11" ht="36.75" hidden="1" customHeight="1">
      <c r="C27" s="467"/>
      <c r="D27" s="469" t="s">
        <v>157</v>
      </c>
      <c r="E27" s="463" t="s">
        <v>214</v>
      </c>
      <c r="F27" s="463" t="s">
        <v>231</v>
      </c>
      <c r="G27" s="463" t="s">
        <v>232</v>
      </c>
      <c r="H27" s="463" t="s">
        <v>233</v>
      </c>
      <c r="I27" s="465" t="s">
        <v>213</v>
      </c>
      <c r="J27" s="466"/>
      <c r="K27" s="383"/>
    </row>
    <row r="28" spans="3:11" ht="64.5" hidden="1" customHeight="1" thickBot="1">
      <c r="C28" s="468"/>
      <c r="D28" s="470"/>
      <c r="E28" s="464"/>
      <c r="F28" s="464"/>
      <c r="G28" s="464"/>
      <c r="H28" s="464"/>
      <c r="I28" s="267" t="s">
        <v>215</v>
      </c>
      <c r="J28" s="138" t="s">
        <v>216</v>
      </c>
      <c r="K28" s="383"/>
    </row>
    <row r="29" spans="3:11" ht="36.75" hidden="1" customHeight="1" thickBot="1">
      <c r="C29" s="238"/>
      <c r="D29" s="239"/>
      <c r="E29" s="240" t="str">
        <f>IF(ISERROR(VLOOKUP(C29,'Capacidad Financiera'!$B$12:$AA$59186,3,0)),"",VLOOKUP(C29,'Capacidad Financiera'!$B$12:$AA$59186,3,0))</f>
        <v/>
      </c>
      <c r="F29" s="241"/>
      <c r="G29" s="117" t="str">
        <f t="shared" ref="G29" si="3">IF(OR(D29="",E29="",F29=""),"",F29/SALACTUAL)</f>
        <v/>
      </c>
      <c r="H29" s="117" t="str">
        <f>IF(OR(D29="",E29="",F29=""),"",IF(C29&lt;&gt;"",IF(ISERROR(VLOOKUP($A$12,POA!$A$2:$D$16,2,0)),"",VLOOKUP($A$12,POA!$A$2:$D$16,2,0)/SALACTUAL),""))</f>
        <v/>
      </c>
      <c r="I29" s="135" t="str">
        <f>IF(OR(D29="",E29="",G29=""),"",IF(C29&lt;&gt;"",G29/(H29*E29),""))</f>
        <v/>
      </c>
      <c r="J29" s="136" t="s">
        <v>297</v>
      </c>
      <c r="K29" s="383"/>
    </row>
    <row r="30" spans="3:11" ht="36.75" hidden="1" customHeight="1">
      <c r="C30" s="467"/>
      <c r="D30" s="469" t="s">
        <v>157</v>
      </c>
      <c r="E30" s="463" t="s">
        <v>214</v>
      </c>
      <c r="F30" s="463" t="s">
        <v>231</v>
      </c>
      <c r="G30" s="463" t="s">
        <v>232</v>
      </c>
      <c r="H30" s="463" t="s">
        <v>233</v>
      </c>
      <c r="I30" s="465" t="s">
        <v>213</v>
      </c>
      <c r="J30" s="466"/>
      <c r="K30" s="383"/>
    </row>
    <row r="31" spans="3:11" ht="81" hidden="1" customHeight="1" thickBot="1">
      <c r="C31" s="468"/>
      <c r="D31" s="470"/>
      <c r="E31" s="464"/>
      <c r="F31" s="464"/>
      <c r="G31" s="464"/>
      <c r="H31" s="464"/>
      <c r="I31" s="267" t="s">
        <v>215</v>
      </c>
      <c r="J31" s="138" t="s">
        <v>216</v>
      </c>
      <c r="K31" s="383"/>
    </row>
    <row r="32" spans="3:11" ht="50.25" hidden="1" customHeight="1" thickBot="1">
      <c r="C32" s="238"/>
      <c r="D32" s="239"/>
      <c r="E32" s="240"/>
      <c r="F32" s="241"/>
      <c r="G32" s="117"/>
      <c r="H32" s="117"/>
      <c r="I32" s="135" t="str">
        <f>IF(OR(D32="",E32="",G32=""),"",IF(C32&lt;&gt;"",G32/(H32*E32),""))</f>
        <v/>
      </c>
      <c r="J32" s="136" t="s">
        <v>297</v>
      </c>
      <c r="K32" s="383"/>
    </row>
    <row r="33" spans="3:13" ht="35.25" hidden="1" customHeight="1">
      <c r="C33" s="467"/>
      <c r="D33" s="469" t="s">
        <v>157</v>
      </c>
      <c r="E33" s="463" t="s">
        <v>214</v>
      </c>
      <c r="F33" s="463" t="s">
        <v>231</v>
      </c>
      <c r="G33" s="463" t="s">
        <v>232</v>
      </c>
      <c r="H33" s="463" t="s">
        <v>233</v>
      </c>
      <c r="I33" s="465" t="s">
        <v>213</v>
      </c>
      <c r="J33" s="466"/>
    </row>
    <row r="34" spans="3:13" ht="111" hidden="1" customHeight="1" thickBot="1">
      <c r="C34" s="468"/>
      <c r="D34" s="470"/>
      <c r="E34" s="464"/>
      <c r="F34" s="464"/>
      <c r="G34" s="464"/>
      <c r="H34" s="464"/>
      <c r="I34" s="267" t="s">
        <v>215</v>
      </c>
      <c r="J34" s="138" t="s">
        <v>216</v>
      </c>
    </row>
    <row r="35" spans="3:13" ht="21" hidden="1" customHeight="1" thickBot="1">
      <c r="C35" s="238"/>
      <c r="D35" s="239"/>
      <c r="E35" s="240"/>
      <c r="F35" s="241"/>
      <c r="G35" s="117"/>
      <c r="H35" s="117"/>
      <c r="I35" s="135"/>
      <c r="J35" s="136"/>
      <c r="K35" s="383"/>
    </row>
    <row r="36" spans="3:13" ht="24" hidden="1" customHeight="1">
      <c r="C36" s="467"/>
      <c r="D36" s="469" t="s">
        <v>157</v>
      </c>
      <c r="E36" s="463" t="s">
        <v>214</v>
      </c>
      <c r="F36" s="463" t="s">
        <v>231</v>
      </c>
      <c r="G36" s="463" t="s">
        <v>232</v>
      </c>
      <c r="H36" s="463" t="s">
        <v>233</v>
      </c>
      <c r="I36" s="465" t="s">
        <v>213</v>
      </c>
      <c r="J36" s="466"/>
    </row>
    <row r="37" spans="3:13" ht="109.5" hidden="1" customHeight="1" thickBot="1">
      <c r="C37" s="468"/>
      <c r="D37" s="470"/>
      <c r="E37" s="464"/>
      <c r="F37" s="464"/>
      <c r="G37" s="464"/>
      <c r="H37" s="464"/>
      <c r="I37" s="267" t="s">
        <v>215</v>
      </c>
      <c r="J37" s="138" t="s">
        <v>216</v>
      </c>
    </row>
    <row r="38" spans="3:13" customFormat="1" ht="36" hidden="1" customHeight="1" thickBot="1">
      <c r="C38" s="373"/>
      <c r="D38" s="374"/>
      <c r="E38" s="375"/>
      <c r="F38" s="376"/>
      <c r="G38" s="377" t="str">
        <f>IF(OR(D38="",E38="",F38=""),"",F38/SALACTUAL)</f>
        <v/>
      </c>
      <c r="H38" s="377" t="str">
        <f>IF(OR(D38="",E38="",F38=""),"",IF(C38&lt;&gt;"",IF(ISERROR(VLOOKUP($A$12,POA!$A$2:$D$16,2,0)),"",VLOOKUP($A$12,POA!$A$2:$D$16,2,0)/SALACTUAL),""))</f>
        <v/>
      </c>
      <c r="I38" s="378" t="str">
        <f>IF(OR(D38="",E38="",G38=""),"",IF(C38&lt;&gt;"",G38/(H38*E38),""))</f>
        <v/>
      </c>
      <c r="J38" s="379" t="s">
        <v>297</v>
      </c>
      <c r="K38" s="371"/>
      <c r="L38" s="369"/>
      <c r="M38" s="370"/>
    </row>
    <row r="39" spans="3:13" ht="27.75" hidden="1" customHeight="1">
      <c r="C39" s="467"/>
      <c r="D39" s="469" t="s">
        <v>157</v>
      </c>
      <c r="E39" s="463" t="s">
        <v>214</v>
      </c>
      <c r="F39" s="463" t="s">
        <v>231</v>
      </c>
      <c r="G39" s="463" t="s">
        <v>232</v>
      </c>
      <c r="H39" s="463" t="s">
        <v>233</v>
      </c>
      <c r="I39" s="465" t="s">
        <v>213</v>
      </c>
      <c r="J39" s="466"/>
    </row>
    <row r="40" spans="3:13" ht="69.75" hidden="1" customHeight="1" thickBot="1">
      <c r="C40" s="468"/>
      <c r="D40" s="470"/>
      <c r="E40" s="464"/>
      <c r="F40" s="464"/>
      <c r="G40" s="464"/>
      <c r="H40" s="464"/>
      <c r="I40" s="267" t="s">
        <v>215</v>
      </c>
      <c r="J40" s="138" t="s">
        <v>216</v>
      </c>
    </row>
    <row r="41" spans="3:13" ht="49.5" hidden="1" customHeight="1" thickBot="1">
      <c r="C41" s="238"/>
      <c r="D41" s="239" t="str">
        <f>IF(ISERROR(VLOOKUP(C41,'Capacidad Financiera'!$B$12:$AA$59186,2,0)),"",VLOOKUP(C41,'Capacidad Financiera'!$B$12:$AA$59186,2,0))</f>
        <v/>
      </c>
      <c r="E41" s="240" t="str">
        <f>IF(ISERROR(VLOOKUP(C41,'Capacidad Financiera'!$B$12:$AA$59186,3,0)),"",VLOOKUP(C41,'Capacidad Financiera'!$B$12:$AA$59186,3,0))</f>
        <v/>
      </c>
      <c r="F41" s="241"/>
      <c r="G41" s="117" t="str">
        <f t="shared" ref="G41" si="4">IF(OR(D41="",E41="",F41=""),"",F41/SALACTUAL)</f>
        <v/>
      </c>
      <c r="H41" s="117" t="str">
        <f>IF(OR(D41="",E41="",F41=""),"",IF(C41&lt;&gt;"",IF(ISERROR(VLOOKUP($A$12,POA!$A$2:$D$16,2,0)),"",VLOOKUP($A$12,POA!$A$2:$D$16,2,0)/SALACTUAL),""))</f>
        <v/>
      </c>
      <c r="I41" s="135" t="str">
        <f>IF(OR(D41="",E41="",G41=""),"",IF(C41&lt;&gt;"",G41/(H41*E41),""))</f>
        <v/>
      </c>
      <c r="J41" s="136" t="s">
        <v>297</v>
      </c>
    </row>
    <row r="42" spans="3:13" hidden="1">
      <c r="C42" s="467"/>
      <c r="D42" s="469" t="s">
        <v>157</v>
      </c>
      <c r="E42" s="463" t="s">
        <v>214</v>
      </c>
      <c r="F42" s="463" t="s">
        <v>231</v>
      </c>
      <c r="G42" s="463" t="s">
        <v>232</v>
      </c>
      <c r="H42" s="463" t="s">
        <v>233</v>
      </c>
      <c r="I42" s="465" t="s">
        <v>213</v>
      </c>
      <c r="J42" s="466"/>
    </row>
    <row r="43" spans="3:13" ht="75.75" hidden="1" customHeight="1" thickBot="1">
      <c r="C43" s="468"/>
      <c r="D43" s="470"/>
      <c r="E43" s="464"/>
      <c r="F43" s="464"/>
      <c r="G43" s="464"/>
      <c r="H43" s="464"/>
      <c r="I43" s="267" t="s">
        <v>215</v>
      </c>
      <c r="J43" s="138" t="s">
        <v>216</v>
      </c>
    </row>
    <row r="44" spans="3:13" ht="57" hidden="1" customHeight="1" thickBot="1">
      <c r="C44" s="317"/>
      <c r="D44" s="344" t="str">
        <f>IF(ISERROR(VLOOKUP(C44,'Capacidad Financiera'!$B$12:$AA$59186,2,0)),"",VLOOKUP(C44,'Capacidad Financiera'!$B$12:$AA$59186,2,0))</f>
        <v/>
      </c>
      <c r="E44" s="345" t="str">
        <f>IF(ISERROR(VLOOKUP(C44,'Capacidad Financiera'!$B$12:$AA$59186,3,0)),"",VLOOKUP(C44,'Capacidad Financiera'!$B$12:$AA$59186,3,0))</f>
        <v/>
      </c>
      <c r="F44" s="346"/>
      <c r="G44" s="347" t="str">
        <f>IF(OR(D44="",E44="",F44=""),"",F44/SALACTUAL)</f>
        <v/>
      </c>
      <c r="H44" s="347" t="str">
        <f>IF(OR(D44="",E44="",F44=""),"",IF(C44&lt;&gt;"",IF(ISERROR(VLOOKUP($A$12,POA!$A$2:$D$16,2,0)),"",VLOOKUP($A$12,POA!$A$2:$D$16,2,0)/SALACTUAL),""))</f>
        <v/>
      </c>
      <c r="I44" s="348" t="str">
        <f>IF(OR(D44="",E44="",G44=""),"",IF(C44&lt;&gt;"",G44/(H44*E44),""))</f>
        <v/>
      </c>
      <c r="J44" s="349" t="s">
        <v>297</v>
      </c>
      <c r="K44" s="338"/>
    </row>
    <row r="45" spans="3:13">
      <c r="F45" s="289"/>
    </row>
  </sheetData>
  <sheetProtection algorithmName="SHA-512" hashValue="6UEb746dMWd+AQGC1sB9vtrX4PGo8WHeI8zaUVWx0UoLQomNM0itlPrA5/cnvcQllA7PG1OGTVdndJRC8VNXBQ==" saltValue="NNXtfeRICFLLvv/yGiTWgg==" spinCount="100000" sheet="1" objects="1" scenarios="1" selectLockedCells="1" selectUnlockedCells="1"/>
  <mergeCells count="88">
    <mergeCell ref="H33:H34"/>
    <mergeCell ref="I33:J33"/>
    <mergeCell ref="C36:C37"/>
    <mergeCell ref="D36:D37"/>
    <mergeCell ref="E36:E37"/>
    <mergeCell ref="F36:F37"/>
    <mergeCell ref="G36:G37"/>
    <mergeCell ref="H36:H37"/>
    <mergeCell ref="I36:J36"/>
    <mergeCell ref="C33:C34"/>
    <mergeCell ref="D33:D34"/>
    <mergeCell ref="E33:E34"/>
    <mergeCell ref="F33:F34"/>
    <mergeCell ref="G33:G34"/>
    <mergeCell ref="H21:H22"/>
    <mergeCell ref="I21:J21"/>
    <mergeCell ref="C24:C25"/>
    <mergeCell ref="D24:D25"/>
    <mergeCell ref="E24:E25"/>
    <mergeCell ref="F24:F25"/>
    <mergeCell ref="G24:G25"/>
    <mergeCell ref="H24:H25"/>
    <mergeCell ref="I24:J24"/>
    <mergeCell ref="C21:C22"/>
    <mergeCell ref="D21:D22"/>
    <mergeCell ref="E21:E22"/>
    <mergeCell ref="F21:F22"/>
    <mergeCell ref="G21:G22"/>
    <mergeCell ref="H15:H16"/>
    <mergeCell ref="I15:J15"/>
    <mergeCell ref="C18:C19"/>
    <mergeCell ref="D18:D19"/>
    <mergeCell ref="E18:E19"/>
    <mergeCell ref="F18:F19"/>
    <mergeCell ref="G18:G19"/>
    <mergeCell ref="H18:H19"/>
    <mergeCell ref="I18:J18"/>
    <mergeCell ref="C15:C16"/>
    <mergeCell ref="D15:D16"/>
    <mergeCell ref="E15:E16"/>
    <mergeCell ref="F15:F16"/>
    <mergeCell ref="G15:G16"/>
    <mergeCell ref="I9:J9"/>
    <mergeCell ref="C2:J2"/>
    <mergeCell ref="C3:J3"/>
    <mergeCell ref="C4:J4"/>
    <mergeCell ref="C5:J5"/>
    <mergeCell ref="C9:C10"/>
    <mergeCell ref="D9:D10"/>
    <mergeCell ref="E9:E10"/>
    <mergeCell ref="F9:F10"/>
    <mergeCell ref="H9:H10"/>
    <mergeCell ref="G9:G10"/>
    <mergeCell ref="H12:H13"/>
    <mergeCell ref="I12:J12"/>
    <mergeCell ref="C12:C13"/>
    <mergeCell ref="D12:D13"/>
    <mergeCell ref="E12:E13"/>
    <mergeCell ref="F12:F13"/>
    <mergeCell ref="G12:G13"/>
    <mergeCell ref="H39:H40"/>
    <mergeCell ref="I39:J39"/>
    <mergeCell ref="C42:C43"/>
    <mergeCell ref="D42:D43"/>
    <mergeCell ref="E42:E43"/>
    <mergeCell ref="F42:F43"/>
    <mergeCell ref="G42:G43"/>
    <mergeCell ref="H42:H43"/>
    <mergeCell ref="I42:J42"/>
    <mergeCell ref="C39:C40"/>
    <mergeCell ref="D39:D40"/>
    <mergeCell ref="E39:E40"/>
    <mergeCell ref="F39:F40"/>
    <mergeCell ref="G39:G40"/>
    <mergeCell ref="H27:H28"/>
    <mergeCell ref="I27:J27"/>
    <mergeCell ref="C30:C31"/>
    <mergeCell ref="D30:D31"/>
    <mergeCell ref="E30:E31"/>
    <mergeCell ref="F30:F31"/>
    <mergeCell ref="G30:G31"/>
    <mergeCell ref="H30:H31"/>
    <mergeCell ref="I30:J30"/>
    <mergeCell ref="C27:C28"/>
    <mergeCell ref="D27:D28"/>
    <mergeCell ref="E27:E28"/>
    <mergeCell ref="F27:F28"/>
    <mergeCell ref="G27:G28"/>
  </mergeCells>
  <conditionalFormatting sqref="E8:H8">
    <cfRule type="expression" dxfId="359" priority="1178" stopIfTrue="1">
      <formula>IF($B8-INT($B8)&gt;0,TRUE,FALSE)</formula>
    </cfRule>
  </conditionalFormatting>
  <conditionalFormatting sqref="D11 D8 I8:J8">
    <cfRule type="cellIs" dxfId="358" priority="1179" stopIfTrue="1" operator="equal">
      <formula>"NO ADMISIBLE"</formula>
    </cfRule>
  </conditionalFormatting>
  <conditionalFormatting sqref="F11">
    <cfRule type="expression" dxfId="357" priority="1169" stopIfTrue="1">
      <formula>IF(#REF!-INT(#REF!)&gt;0,TRUE,FALSE)</formula>
    </cfRule>
  </conditionalFormatting>
  <conditionalFormatting sqref="E14">
    <cfRule type="expression" dxfId="356" priority="78" stopIfTrue="1">
      <formula>IF(#REF!-INT(#REF!)&gt;0,TRUE,FALSE)</formula>
    </cfRule>
  </conditionalFormatting>
  <conditionalFormatting sqref="F14">
    <cfRule type="expression" dxfId="355" priority="73" stopIfTrue="1">
      <formula>IF(#REF!-INT(#REF!)&gt;0,TRUE,FALSE)</formula>
    </cfRule>
  </conditionalFormatting>
  <conditionalFormatting sqref="I11:J11">
    <cfRule type="expression" dxfId="354" priority="71" stopIfTrue="1">
      <formula>IF($B3-INT($B3)&gt;0,TRUE,FALSE)</formula>
    </cfRule>
  </conditionalFormatting>
  <conditionalFormatting sqref="H11">
    <cfRule type="expression" dxfId="353" priority="70" stopIfTrue="1">
      <formula>IF(#REF!-INT(#REF!)&gt;0,TRUE,FALSE)</formula>
    </cfRule>
  </conditionalFormatting>
  <conditionalFormatting sqref="G11">
    <cfRule type="expression" dxfId="352" priority="69" stopIfTrue="1">
      <formula>IF(#REF!-INT(#REF!)&gt;0,TRUE,FALSE)</formula>
    </cfRule>
  </conditionalFormatting>
  <conditionalFormatting sqref="I14:J14">
    <cfRule type="expression" dxfId="351" priority="68" stopIfTrue="1">
      <formula>IF($B6-INT($B6)&gt;0,TRUE,FALSE)</formula>
    </cfRule>
  </conditionalFormatting>
  <conditionalFormatting sqref="H14">
    <cfRule type="expression" dxfId="350" priority="67" stopIfTrue="1">
      <formula>IF(#REF!-INT(#REF!)&gt;0,TRUE,FALSE)</formula>
    </cfRule>
  </conditionalFormatting>
  <conditionalFormatting sqref="G14">
    <cfRule type="expression" dxfId="349" priority="66" stopIfTrue="1">
      <formula>IF(#REF!-INT(#REF!)&gt;0,TRUE,FALSE)</formula>
    </cfRule>
  </conditionalFormatting>
  <conditionalFormatting sqref="D17">
    <cfRule type="cellIs" dxfId="348" priority="64" stopIfTrue="1" operator="equal">
      <formula>"NO ADMISIBLE"</formula>
    </cfRule>
  </conditionalFormatting>
  <conditionalFormatting sqref="E17">
    <cfRule type="expression" dxfId="347" priority="65" stopIfTrue="1">
      <formula>IF(#REF!-INT(#REF!)&gt;0,TRUE,FALSE)</formula>
    </cfRule>
  </conditionalFormatting>
  <conditionalFormatting sqref="F17">
    <cfRule type="expression" dxfId="346" priority="63" stopIfTrue="1">
      <formula>IF(#REF!-INT(#REF!)&gt;0,TRUE,FALSE)</formula>
    </cfRule>
  </conditionalFormatting>
  <conditionalFormatting sqref="D20">
    <cfRule type="cellIs" dxfId="345" priority="61" stopIfTrue="1" operator="equal">
      <formula>"NO ADMISIBLE"</formula>
    </cfRule>
  </conditionalFormatting>
  <conditionalFormatting sqref="E20">
    <cfRule type="expression" dxfId="344" priority="62" stopIfTrue="1">
      <formula>IF(#REF!-INT(#REF!)&gt;0,TRUE,FALSE)</formula>
    </cfRule>
  </conditionalFormatting>
  <conditionalFormatting sqref="F20">
    <cfRule type="expression" dxfId="343" priority="60" stopIfTrue="1">
      <formula>IF(#REF!-INT(#REF!)&gt;0,TRUE,FALSE)</formula>
    </cfRule>
  </conditionalFormatting>
  <conditionalFormatting sqref="I17:J17">
    <cfRule type="expression" dxfId="342" priority="59" stopIfTrue="1">
      <formula>IF($B9-INT($B9)&gt;0,TRUE,FALSE)</formula>
    </cfRule>
  </conditionalFormatting>
  <conditionalFormatting sqref="H17">
    <cfRule type="expression" dxfId="341" priority="58" stopIfTrue="1">
      <formula>IF(#REF!-INT(#REF!)&gt;0,TRUE,FALSE)</formula>
    </cfRule>
  </conditionalFormatting>
  <conditionalFormatting sqref="G17">
    <cfRule type="expression" dxfId="340" priority="57" stopIfTrue="1">
      <formula>IF(#REF!-INT(#REF!)&gt;0,TRUE,FALSE)</formula>
    </cfRule>
  </conditionalFormatting>
  <conditionalFormatting sqref="I20:J20">
    <cfRule type="expression" dxfId="339" priority="56" stopIfTrue="1">
      <formula>IF($B12-INT($B12)&gt;0,TRUE,FALSE)</formula>
    </cfRule>
  </conditionalFormatting>
  <conditionalFormatting sqref="H20">
    <cfRule type="expression" dxfId="338" priority="55" stopIfTrue="1">
      <formula>IF(#REF!-INT(#REF!)&gt;0,TRUE,FALSE)</formula>
    </cfRule>
  </conditionalFormatting>
  <conditionalFormatting sqref="G20">
    <cfRule type="expression" dxfId="337" priority="54" stopIfTrue="1">
      <formula>IF(#REF!-INT(#REF!)&gt;0,TRUE,FALSE)</formula>
    </cfRule>
  </conditionalFormatting>
  <conditionalFormatting sqref="G38">
    <cfRule type="expression" dxfId="336" priority="30" stopIfTrue="1">
      <formula>IF(#REF!-INT(#REF!)&gt;0,TRUE,FALSE)</formula>
    </cfRule>
  </conditionalFormatting>
  <conditionalFormatting sqref="D23">
    <cfRule type="cellIs" dxfId="335" priority="52" stopIfTrue="1" operator="equal">
      <formula>"NO ADMISIBLE"</formula>
    </cfRule>
  </conditionalFormatting>
  <conditionalFormatting sqref="E23">
    <cfRule type="expression" dxfId="334" priority="53" stopIfTrue="1">
      <formula>IF(#REF!-INT(#REF!)&gt;0,TRUE,FALSE)</formula>
    </cfRule>
  </conditionalFormatting>
  <conditionalFormatting sqref="F23">
    <cfRule type="expression" dxfId="333" priority="51" stopIfTrue="1">
      <formula>IF(#REF!-INT(#REF!)&gt;0,TRUE,FALSE)</formula>
    </cfRule>
  </conditionalFormatting>
  <conditionalFormatting sqref="D26">
    <cfRule type="cellIs" dxfId="332" priority="49" stopIfTrue="1" operator="equal">
      <formula>"NO ADMISIBLE"</formula>
    </cfRule>
  </conditionalFormatting>
  <conditionalFormatting sqref="E26">
    <cfRule type="expression" dxfId="331" priority="50" stopIfTrue="1">
      <formula>IF(#REF!-INT(#REF!)&gt;0,TRUE,FALSE)</formula>
    </cfRule>
  </conditionalFormatting>
  <conditionalFormatting sqref="F26">
    <cfRule type="expression" dxfId="330" priority="48" stopIfTrue="1">
      <formula>IF(#REF!-INT(#REF!)&gt;0,TRUE,FALSE)</formula>
    </cfRule>
  </conditionalFormatting>
  <conditionalFormatting sqref="I23:J23">
    <cfRule type="expression" dxfId="329" priority="47" stopIfTrue="1">
      <formula>IF($B15-INT($B15)&gt;0,TRUE,FALSE)</formula>
    </cfRule>
  </conditionalFormatting>
  <conditionalFormatting sqref="H23">
    <cfRule type="expression" dxfId="328" priority="46" stopIfTrue="1">
      <formula>IF(#REF!-INT(#REF!)&gt;0,TRUE,FALSE)</formula>
    </cfRule>
  </conditionalFormatting>
  <conditionalFormatting sqref="G23">
    <cfRule type="expression" dxfId="327" priority="45" stopIfTrue="1">
      <formula>IF(#REF!-INT(#REF!)&gt;0,TRUE,FALSE)</formula>
    </cfRule>
  </conditionalFormatting>
  <conditionalFormatting sqref="I26:J26">
    <cfRule type="expression" dxfId="326" priority="44" stopIfTrue="1">
      <formula>IF($B18-INT($B18)&gt;0,TRUE,FALSE)</formula>
    </cfRule>
  </conditionalFormatting>
  <conditionalFormatting sqref="H26">
    <cfRule type="expression" dxfId="325" priority="43" stopIfTrue="1">
      <formula>IF(#REF!-INT(#REF!)&gt;0,TRUE,FALSE)</formula>
    </cfRule>
  </conditionalFormatting>
  <conditionalFormatting sqref="G26">
    <cfRule type="expression" dxfId="324" priority="42" stopIfTrue="1">
      <formula>IF(#REF!-INT(#REF!)&gt;0,TRUE,FALSE)</formula>
    </cfRule>
  </conditionalFormatting>
  <conditionalFormatting sqref="D35">
    <cfRule type="cellIs" dxfId="323" priority="40" stopIfTrue="1" operator="equal">
      <formula>"NO ADMISIBLE"</formula>
    </cfRule>
  </conditionalFormatting>
  <conditionalFormatting sqref="E35">
    <cfRule type="expression" dxfId="322" priority="41" stopIfTrue="1">
      <formula>IF(#REF!-INT(#REF!)&gt;0,TRUE,FALSE)</formula>
    </cfRule>
  </conditionalFormatting>
  <conditionalFormatting sqref="F35">
    <cfRule type="expression" dxfId="321" priority="39" stopIfTrue="1">
      <formula>IF(#REF!-INT(#REF!)&gt;0,TRUE,FALSE)</formula>
    </cfRule>
  </conditionalFormatting>
  <conditionalFormatting sqref="D38">
    <cfRule type="cellIs" dxfId="320" priority="37" stopIfTrue="1" operator="equal">
      <formula>"NO ADMISIBLE"</formula>
    </cfRule>
  </conditionalFormatting>
  <conditionalFormatting sqref="E38">
    <cfRule type="expression" dxfId="319" priority="38" stopIfTrue="1">
      <formula>IF(#REF!-INT(#REF!)&gt;0,TRUE,FALSE)</formula>
    </cfRule>
  </conditionalFormatting>
  <conditionalFormatting sqref="F38">
    <cfRule type="expression" dxfId="318" priority="36" stopIfTrue="1">
      <formula>IF(#REF!-INT(#REF!)&gt;0,TRUE,FALSE)</formula>
    </cfRule>
  </conditionalFormatting>
  <conditionalFormatting sqref="I35:J35">
    <cfRule type="expression" dxfId="317" priority="35" stopIfTrue="1">
      <formula>IF($B21-INT($B21)&gt;0,TRUE,FALSE)</formula>
    </cfRule>
  </conditionalFormatting>
  <conditionalFormatting sqref="H35">
    <cfRule type="expression" dxfId="316" priority="34" stopIfTrue="1">
      <formula>IF(#REF!-INT(#REF!)&gt;0,TRUE,FALSE)</formula>
    </cfRule>
  </conditionalFormatting>
  <conditionalFormatting sqref="G35">
    <cfRule type="expression" dxfId="315" priority="33" stopIfTrue="1">
      <formula>IF(#REF!-INT(#REF!)&gt;0,TRUE,FALSE)</formula>
    </cfRule>
  </conditionalFormatting>
  <conditionalFormatting sqref="I38:J38">
    <cfRule type="expression" dxfId="314" priority="32" stopIfTrue="1">
      <formula>IF($B24-INT($B24)&gt;0,TRUE,FALSE)</formula>
    </cfRule>
  </conditionalFormatting>
  <conditionalFormatting sqref="H38">
    <cfRule type="expression" dxfId="313" priority="31" stopIfTrue="1">
      <formula>IF(#REF!-INT(#REF!)&gt;0,TRUE,FALSE)</formula>
    </cfRule>
  </conditionalFormatting>
  <conditionalFormatting sqref="G44">
    <cfRule type="expression" dxfId="312" priority="18" stopIfTrue="1">
      <formula>IF(#REF!-INT(#REF!)&gt;0,TRUE,FALSE)</formula>
    </cfRule>
  </conditionalFormatting>
  <conditionalFormatting sqref="D41">
    <cfRule type="cellIs" dxfId="311" priority="28" stopIfTrue="1" operator="equal">
      <formula>"NO ADMISIBLE"</formula>
    </cfRule>
  </conditionalFormatting>
  <conditionalFormatting sqref="E41">
    <cfRule type="expression" dxfId="310" priority="29" stopIfTrue="1">
      <formula>IF(#REF!-INT(#REF!)&gt;0,TRUE,FALSE)</formula>
    </cfRule>
  </conditionalFormatting>
  <conditionalFormatting sqref="D44">
    <cfRule type="cellIs" dxfId="309" priority="25" stopIfTrue="1" operator="equal">
      <formula>"NO ADMISIBLE"</formula>
    </cfRule>
  </conditionalFormatting>
  <conditionalFormatting sqref="E44">
    <cfRule type="expression" dxfId="308" priority="26" stopIfTrue="1">
      <formula>IF(#REF!-INT(#REF!)&gt;0,TRUE,FALSE)</formula>
    </cfRule>
  </conditionalFormatting>
  <conditionalFormatting sqref="I41:J41">
    <cfRule type="expression" dxfId="307" priority="23" stopIfTrue="1">
      <formula>IF($B33-INT($B33)&gt;0,TRUE,FALSE)</formula>
    </cfRule>
  </conditionalFormatting>
  <conditionalFormatting sqref="H41">
    <cfRule type="expression" dxfId="306" priority="22" stopIfTrue="1">
      <formula>IF(#REF!-INT(#REF!)&gt;0,TRUE,FALSE)</formula>
    </cfRule>
  </conditionalFormatting>
  <conditionalFormatting sqref="G41">
    <cfRule type="expression" dxfId="305" priority="21" stopIfTrue="1">
      <formula>IF(#REF!-INT(#REF!)&gt;0,TRUE,FALSE)</formula>
    </cfRule>
  </conditionalFormatting>
  <conditionalFormatting sqref="I44:J44">
    <cfRule type="expression" dxfId="304" priority="20" stopIfTrue="1">
      <formula>IF($B36-INT($B36)&gt;0,TRUE,FALSE)</formula>
    </cfRule>
  </conditionalFormatting>
  <conditionalFormatting sqref="H44">
    <cfRule type="expression" dxfId="303" priority="19" stopIfTrue="1">
      <formula>IF(#REF!-INT(#REF!)&gt;0,TRUE,FALSE)</formula>
    </cfRule>
  </conditionalFormatting>
  <conditionalFormatting sqref="F45">
    <cfRule type="expression" dxfId="302" priority="17" stopIfTrue="1">
      <formula>IF(#REF!-INT(#REF!)&gt;0,TRUE,FALSE)</formula>
    </cfRule>
  </conditionalFormatting>
  <conditionalFormatting sqref="F41">
    <cfRule type="expression" dxfId="301" priority="16" stopIfTrue="1">
      <formula>IF(#REF!-INT(#REF!)&gt;0,TRUE,FALSE)</formula>
    </cfRule>
  </conditionalFormatting>
  <conditionalFormatting sqref="F44">
    <cfRule type="expression" dxfId="300" priority="15" stopIfTrue="1">
      <formula>IF(#REF!-INT(#REF!)&gt;0,TRUE,FALSE)</formula>
    </cfRule>
  </conditionalFormatting>
  <conditionalFormatting sqref="G32">
    <cfRule type="expression" dxfId="299" priority="3" stopIfTrue="1">
      <formula>IF(#REF!-INT(#REF!)&gt;0,TRUE,FALSE)</formula>
    </cfRule>
  </conditionalFormatting>
  <conditionalFormatting sqref="D29">
    <cfRule type="cellIs" dxfId="298" priority="13" stopIfTrue="1" operator="equal">
      <formula>"NO ADMISIBLE"</formula>
    </cfRule>
  </conditionalFormatting>
  <conditionalFormatting sqref="E29">
    <cfRule type="expression" dxfId="297" priority="14" stopIfTrue="1">
      <formula>IF(#REF!-INT(#REF!)&gt;0,TRUE,FALSE)</formula>
    </cfRule>
  </conditionalFormatting>
  <conditionalFormatting sqref="F29">
    <cfRule type="expression" dxfId="296" priority="12" stopIfTrue="1">
      <formula>IF(#REF!-INT(#REF!)&gt;0,TRUE,FALSE)</formula>
    </cfRule>
  </conditionalFormatting>
  <conditionalFormatting sqref="D32">
    <cfRule type="cellIs" dxfId="295" priority="10" stopIfTrue="1" operator="equal">
      <formula>"NO ADMISIBLE"</formula>
    </cfRule>
  </conditionalFormatting>
  <conditionalFormatting sqref="E32">
    <cfRule type="expression" dxfId="294" priority="11" stopIfTrue="1">
      <formula>IF(#REF!-INT(#REF!)&gt;0,TRUE,FALSE)</formula>
    </cfRule>
  </conditionalFormatting>
  <conditionalFormatting sqref="F32">
    <cfRule type="expression" dxfId="293" priority="9" stopIfTrue="1">
      <formula>IF(#REF!-INT(#REF!)&gt;0,TRUE,FALSE)</formula>
    </cfRule>
  </conditionalFormatting>
  <conditionalFormatting sqref="I29:J29">
    <cfRule type="expression" dxfId="292" priority="8" stopIfTrue="1">
      <formula>IF($B15-INT($B15)&gt;0,TRUE,FALSE)</formula>
    </cfRule>
  </conditionalFormatting>
  <conditionalFormatting sqref="H29">
    <cfRule type="expression" dxfId="291" priority="7" stopIfTrue="1">
      <formula>IF(#REF!-INT(#REF!)&gt;0,TRUE,FALSE)</formula>
    </cfRule>
  </conditionalFormatting>
  <conditionalFormatting sqref="G29">
    <cfRule type="expression" dxfId="290" priority="6" stopIfTrue="1">
      <formula>IF(#REF!-INT(#REF!)&gt;0,TRUE,FALSE)</formula>
    </cfRule>
  </conditionalFormatting>
  <conditionalFormatting sqref="I32:J32">
    <cfRule type="expression" dxfId="289" priority="5" stopIfTrue="1">
      <formula>IF($B18-INT($B18)&gt;0,TRUE,FALSE)</formula>
    </cfRule>
  </conditionalFormatting>
  <conditionalFormatting sqref="H32">
    <cfRule type="expression" dxfId="288" priority="4" stopIfTrue="1">
      <formula>IF(#REF!-INT(#REF!)&gt;0,TRUE,FALSE)</formula>
    </cfRule>
  </conditionalFormatting>
  <conditionalFormatting sqref="E11">
    <cfRule type="expression" dxfId="287" priority="2" stopIfTrue="1">
      <formula>IF(#REF!-INT(#REF!)&gt;0,TRUE,FALSE)</formula>
    </cfRule>
  </conditionalFormatting>
  <conditionalFormatting sqref="D14">
    <cfRule type="cellIs" dxfId="286" priority="1" stopIfTrue="1" operator="equal">
      <formula>"NO ADMISIBLE"</formula>
    </cfRule>
  </conditionalFormatting>
  <dataValidations count="1">
    <dataValidation type="list" allowBlank="1" showInputMessage="1" showErrorMessage="1" sqref="D8 D11 D32 D17 D20 D23 D44 D35 D38 D41 D26 D29 D14" xr:uid="{00000000-0002-0000-0400-000000000000}">
      <formula1>prueba</formula1>
    </dataValidation>
  </dataValidations>
  <pageMargins left="0.75" right="0.75" top="1" bottom="1" header="0" footer="0"/>
  <pageSetup paperSize="9" scale="3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MacroExp">
                <anchor moveWithCells="1" sizeWithCells="1">
                  <from>
                    <xdr:col>0</xdr:col>
                    <xdr:colOff>219075</xdr:colOff>
                    <xdr:row>2</xdr:row>
                    <xdr:rowOff>114300</xdr:rowOff>
                  </from>
                  <to>
                    <xdr:col>1</xdr:col>
                    <xdr:colOff>638175</xdr:colOff>
                    <xdr:row>4</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dimension ref="C2:M56"/>
  <sheetViews>
    <sheetView view="pageBreakPreview" zoomScale="80" zoomScaleNormal="100" zoomScaleSheetLayoutView="80" workbookViewId="0">
      <selection activeCell="H12" sqref="H12"/>
    </sheetView>
  </sheetViews>
  <sheetFormatPr baseColWidth="10" defaultColWidth="11.42578125" defaultRowHeight="12.75"/>
  <cols>
    <col min="1" max="1" width="8.28515625" style="101" customWidth="1"/>
    <col min="2" max="2" width="8.7109375" style="101" customWidth="1"/>
    <col min="3" max="3" width="6.7109375" style="101" customWidth="1"/>
    <col min="4" max="4" width="29.42578125" style="101" customWidth="1"/>
    <col min="5" max="6" width="18.7109375" style="93" customWidth="1"/>
    <col min="7" max="7" width="20.85546875" style="93" bestFit="1" customWidth="1"/>
    <col min="8" max="8" width="42.42578125" style="93" customWidth="1"/>
    <col min="9" max="9" width="38.7109375" style="101" customWidth="1"/>
    <col min="10" max="10" width="13.85546875" style="112" customWidth="1"/>
    <col min="11" max="11" width="9.7109375" style="113" customWidth="1"/>
    <col min="12" max="12" width="12.42578125" style="101" customWidth="1"/>
    <col min="13" max="13" width="12.7109375" style="101" customWidth="1"/>
    <col min="14" max="16384" width="11.42578125" style="101"/>
  </cols>
  <sheetData>
    <row r="2" spans="3:13" s="103" customFormat="1" ht="20.25" customHeight="1">
      <c r="C2" s="471" t="s">
        <v>197</v>
      </c>
      <c r="D2" s="471"/>
      <c r="E2" s="471"/>
      <c r="F2" s="471"/>
      <c r="G2" s="471"/>
      <c r="H2" s="471"/>
      <c r="J2" s="104"/>
      <c r="K2" s="105"/>
    </row>
    <row r="3" spans="3:13" s="103" customFormat="1" ht="18" customHeight="1">
      <c r="C3" s="472" t="s">
        <v>211</v>
      </c>
      <c r="D3" s="472"/>
      <c r="E3" s="472"/>
      <c r="F3" s="472"/>
      <c r="G3" s="472"/>
      <c r="H3" s="472"/>
      <c r="J3" s="104"/>
      <c r="K3" s="105"/>
    </row>
    <row r="4" spans="3:13" s="103" customFormat="1" ht="13.5" customHeight="1">
      <c r="C4" s="473" t="str">
        <f>'Capacidad Financiera'!B4</f>
        <v>EVALUACIÓN FINANCIERA</v>
      </c>
      <c r="D4" s="473"/>
      <c r="E4" s="473"/>
      <c r="F4" s="473"/>
      <c r="G4" s="473"/>
      <c r="H4" s="473"/>
      <c r="J4" s="104"/>
      <c r="K4" s="105"/>
    </row>
    <row r="5" spans="3:13" s="103" customFormat="1" ht="13.5" customHeight="1">
      <c r="C5" s="473" t="s">
        <v>218</v>
      </c>
      <c r="D5" s="473"/>
      <c r="E5" s="473"/>
      <c r="F5" s="473"/>
      <c r="G5" s="473"/>
      <c r="H5" s="473"/>
      <c r="J5" s="104"/>
      <c r="K5" s="105"/>
    </row>
    <row r="6" spans="3:13" s="103" customFormat="1" ht="13.5" customHeight="1">
      <c r="C6" s="144"/>
      <c r="D6" s="12" t="s">
        <v>293</v>
      </c>
      <c r="E6" s="144"/>
      <c r="F6" s="144"/>
      <c r="G6" s="144"/>
      <c r="H6" s="144"/>
      <c r="J6" s="104"/>
      <c r="K6" s="105"/>
    </row>
    <row r="7" spans="3:13" s="103" customFormat="1" ht="13.5" customHeight="1">
      <c r="C7" s="144"/>
      <c r="D7" s="12" t="s">
        <v>298</v>
      </c>
      <c r="E7" s="144"/>
      <c r="F7" s="144"/>
      <c r="G7" s="144"/>
      <c r="H7" s="144"/>
      <c r="J7" s="104"/>
      <c r="K7" s="105"/>
    </row>
    <row r="8" spans="3:13" s="103" customFormat="1" ht="13.5" customHeight="1">
      <c r="C8" s="144"/>
      <c r="D8" s="144"/>
      <c r="E8" s="144"/>
      <c r="F8" s="144"/>
      <c r="G8" s="144"/>
      <c r="H8" s="144"/>
      <c r="J8" s="104"/>
      <c r="K8" s="105"/>
    </row>
    <row r="9" spans="3:13" s="103" customFormat="1" ht="14.25" thickBot="1">
      <c r="C9" s="106"/>
      <c r="D9" s="106"/>
      <c r="E9" s="110"/>
      <c r="F9" s="110"/>
      <c r="G9" s="110"/>
      <c r="H9" s="110"/>
      <c r="J9" s="104"/>
      <c r="K9" s="105"/>
    </row>
    <row r="10" spans="3:13" ht="43.5" customHeight="1">
      <c r="C10" s="467" t="s">
        <v>158</v>
      </c>
      <c r="D10" s="469" t="s">
        <v>157</v>
      </c>
      <c r="E10" s="463" t="s">
        <v>219</v>
      </c>
      <c r="F10" s="474" t="s">
        <v>220</v>
      </c>
      <c r="G10" s="474" t="s">
        <v>221</v>
      </c>
      <c r="H10" s="133" t="s">
        <v>218</v>
      </c>
    </row>
    <row r="11" spans="3:13" ht="126" customHeight="1" thickBot="1">
      <c r="C11" s="468"/>
      <c r="D11" s="470"/>
      <c r="E11" s="464"/>
      <c r="F11" s="475"/>
      <c r="G11" s="475"/>
      <c r="H11" s="138" t="s">
        <v>222</v>
      </c>
    </row>
    <row r="12" spans="3:13" ht="38.25">
      <c r="C12" s="238">
        <f>+'Capacidad Financiera'!B12</f>
        <v>1</v>
      </c>
      <c r="D12" s="243" t="str">
        <f>IF(ISERROR(VLOOKUP(C12,'Capacidad Financiera'!$B$12:$AA$59186,2,0)),"",VLOOKUP(C12,'Capacidad Financiera'!$B$12:$AA$59186,2,0))</f>
        <v>ESTUDIO, DISEÑO Y CONSTRUCCION EN INGENIERIA S.A.S</v>
      </c>
      <c r="E12" s="134">
        <f>IF(OR(C12="",D12=""),"",IF(ISERROR(VLOOKUP(D12,'Capacidad Financiera'!$C$12:$AA$59205,3,0)),"",VLOOKUP(D12,'Capacidad Financiera'!$C$12:$AA$59205,3,0)))</f>
        <v>73094889</v>
      </c>
      <c r="F12" s="134">
        <f>IF(OR(C12="",D12=""),"",IF(ISERROR(VLOOKUP(D12,'Capacidad Financiera'!$C$12:$AA$59205,5,0)),"",VLOOKUP(D12,'Capacidad Financiera'!$C$12:$AA$59205,5,0)))</f>
        <v>21642476</v>
      </c>
      <c r="G12" s="135">
        <f t="shared" ref="G12" si="0">IF(OR(D12="",E12="",F12=""),"",IF(OR(E12=0,F12=0),0,E12/F12))</f>
        <v>3.377381081536142</v>
      </c>
      <c r="H12" s="136">
        <v>40</v>
      </c>
      <c r="J12" s="114"/>
      <c r="K12" s="115"/>
      <c r="L12" s="102"/>
      <c r="M12" s="102"/>
    </row>
    <row r="13" spans="3:13" ht="14.25" hidden="1" thickBot="1">
      <c r="C13" s="384"/>
      <c r="D13" s="106"/>
      <c r="E13" s="110"/>
      <c r="F13" s="110"/>
      <c r="G13" s="110"/>
      <c r="H13" s="385"/>
    </row>
    <row r="14" spans="3:13" hidden="1">
      <c r="C14" s="467" t="s">
        <v>158</v>
      </c>
      <c r="D14" s="469" t="s">
        <v>157</v>
      </c>
      <c r="E14" s="463" t="s">
        <v>219</v>
      </c>
      <c r="F14" s="474" t="s">
        <v>220</v>
      </c>
      <c r="G14" s="474" t="s">
        <v>221</v>
      </c>
      <c r="H14" s="133" t="s">
        <v>218</v>
      </c>
    </row>
    <row r="15" spans="3:13" ht="68.25" hidden="1" thickBot="1">
      <c r="C15" s="468"/>
      <c r="D15" s="470"/>
      <c r="E15" s="464"/>
      <c r="F15" s="475"/>
      <c r="G15" s="475"/>
      <c r="H15" s="138" t="s">
        <v>222</v>
      </c>
    </row>
    <row r="16" spans="3:13" ht="39.950000000000003" hidden="1" customHeight="1">
      <c r="C16" s="238">
        <v>2</v>
      </c>
      <c r="D16" s="243" t="str">
        <f>IF(ISERROR(VLOOKUP(C16,'Capacidad Financiera'!$B$12:$AA$59186,2,0)),"",VLOOKUP(C16,'Capacidad Financiera'!$B$12:$AA$59186,2,0))</f>
        <v/>
      </c>
      <c r="E16" s="134" t="str">
        <f>IF(OR(C16="",D16=""),"",IF(ISERROR(VLOOKUP(D16,'Capacidad Financiera'!$C$12:$AA$59205,3,0)),"",VLOOKUP(D16,'Capacidad Financiera'!$C$12:$AA$59205,3,0)))</f>
        <v/>
      </c>
      <c r="F16" s="134" t="str">
        <f>IF(OR(C16="",D16=""),"",IF(ISERROR(VLOOKUP(D16,'Capacidad Financiera'!$C$12:$AA$59205,5,0)),"",VLOOKUP(D16,'Capacidad Financiera'!$C$12:$AA$59205,5,0)))</f>
        <v/>
      </c>
      <c r="G16" s="135" t="str">
        <f t="shared" ref="G16" si="1">IF(OR(D16="",E16="",F16=""),"",IF(OR(E16=0,F16=0),0,E16/F16))</f>
        <v/>
      </c>
      <c r="H16" s="136">
        <v>40</v>
      </c>
    </row>
    <row r="17" spans="3:9" ht="14.25" hidden="1" thickBot="1">
      <c r="C17" s="384"/>
      <c r="D17" s="106"/>
      <c r="E17" s="110"/>
      <c r="F17" s="110"/>
      <c r="G17" s="110"/>
      <c r="H17" s="385"/>
    </row>
    <row r="18" spans="3:9" ht="26.1" hidden="1" customHeight="1">
      <c r="C18" s="467" t="s">
        <v>158</v>
      </c>
      <c r="D18" s="469" t="s">
        <v>157</v>
      </c>
      <c r="E18" s="463" t="s">
        <v>219</v>
      </c>
      <c r="F18" s="474" t="s">
        <v>220</v>
      </c>
      <c r="G18" s="474" t="s">
        <v>221</v>
      </c>
      <c r="H18" s="133" t="s">
        <v>218</v>
      </c>
    </row>
    <row r="19" spans="3:9" ht="68.25" hidden="1" thickBot="1">
      <c r="C19" s="468"/>
      <c r="D19" s="470"/>
      <c r="E19" s="464"/>
      <c r="F19" s="475"/>
      <c r="G19" s="475"/>
      <c r="H19" s="138" t="s">
        <v>222</v>
      </c>
    </row>
    <row r="20" spans="3:9" hidden="1">
      <c r="C20" s="238"/>
      <c r="D20" s="243"/>
      <c r="E20" s="134" t="str">
        <f>IF(OR(C20="",D20=""),"",IF(ISERROR(VLOOKUP(D20,'Capacidad Financiera'!$C$12:$AA$59205,3,0)),"",VLOOKUP(D20,'Capacidad Financiera'!$C$12:$AA$59205,3,0)))</f>
        <v/>
      </c>
      <c r="F20" s="134" t="str">
        <f>IF(OR(C20="",D20=""),"",IF(ISERROR(VLOOKUP(D20,'Capacidad Financiera'!$C$12:$AA$59205,5,0)),"",VLOOKUP(D20,'Capacidad Financiera'!$C$12:$AA$59205,5,0)))</f>
        <v/>
      </c>
      <c r="G20" s="135" t="str">
        <f>IF(OR(D20="",E20="",F20=""),"",IF(OR(E20=0,F20=0),0,E20/F20))</f>
        <v/>
      </c>
      <c r="H20" s="136" t="s">
        <v>297</v>
      </c>
    </row>
    <row r="21" spans="3:9" ht="14.25" hidden="1" thickBot="1">
      <c r="C21" s="384"/>
      <c r="D21" s="106"/>
      <c r="E21" s="110"/>
      <c r="F21" s="110"/>
      <c r="G21" s="110"/>
      <c r="H21" s="385"/>
    </row>
    <row r="22" spans="3:9" hidden="1">
      <c r="C22" s="467" t="s">
        <v>158</v>
      </c>
      <c r="D22" s="469" t="s">
        <v>157</v>
      </c>
      <c r="E22" s="463" t="s">
        <v>219</v>
      </c>
      <c r="F22" s="474" t="s">
        <v>220</v>
      </c>
      <c r="G22" s="474" t="s">
        <v>221</v>
      </c>
      <c r="H22" s="133" t="s">
        <v>218</v>
      </c>
    </row>
    <row r="23" spans="3:9" ht="68.25" hidden="1" thickBot="1">
      <c r="C23" s="468"/>
      <c r="D23" s="470"/>
      <c r="E23" s="464"/>
      <c r="F23" s="475"/>
      <c r="G23" s="475"/>
      <c r="H23" s="138" t="s">
        <v>222</v>
      </c>
    </row>
    <row r="24" spans="3:9" hidden="1">
      <c r="C24" s="238"/>
      <c r="D24" s="243" t="str">
        <f>IF(ISERROR(VLOOKUP(C24,'Capacidad Financiera'!$B$12:$AA$59186,2,0)),"",VLOOKUP(C24,'Capacidad Financiera'!$B$12:$AA$59186,2,0))</f>
        <v/>
      </c>
      <c r="E24" s="134" t="str">
        <f>IF(OR(C24="",D24=""),"",IF(ISERROR(VLOOKUP(D24,'Capacidad Financiera'!$C$12:$AA$59205,3,0)),"",VLOOKUP(D24,'Capacidad Financiera'!$C$12:$AA$59205,3,0)))</f>
        <v/>
      </c>
      <c r="F24" s="134" t="str">
        <f>IF(OR(C24="",D24=""),"",IF(ISERROR(VLOOKUP(D24,'Capacidad Financiera'!$C$12:$AA$59205,5,0)),"",VLOOKUP(D24,'Capacidad Financiera'!$C$12:$AA$59205,5,0)))</f>
        <v/>
      </c>
      <c r="G24" s="135" t="str">
        <f>IF(OR(D24="",E24="",F24=""),"",IF(OR(E24=0,F24=0),0,E24/F24))</f>
        <v/>
      </c>
      <c r="H24" s="136" t="s">
        <v>297</v>
      </c>
      <c r="I24" s="335"/>
    </row>
    <row r="25" spans="3:9" ht="14.25" hidden="1" thickBot="1">
      <c r="C25" s="384"/>
      <c r="D25" s="106"/>
      <c r="E25" s="110"/>
      <c r="F25" s="110"/>
      <c r="G25" s="110"/>
      <c r="H25" s="385"/>
    </row>
    <row r="26" spans="3:9" hidden="1">
      <c r="C26" s="467" t="s">
        <v>158</v>
      </c>
      <c r="D26" s="469" t="s">
        <v>157</v>
      </c>
      <c r="E26" s="463" t="s">
        <v>219</v>
      </c>
      <c r="F26" s="474" t="s">
        <v>220</v>
      </c>
      <c r="G26" s="474" t="s">
        <v>221</v>
      </c>
      <c r="H26" s="133" t="s">
        <v>218</v>
      </c>
    </row>
    <row r="27" spans="3:9" ht="68.25" hidden="1" thickBot="1">
      <c r="C27" s="468"/>
      <c r="D27" s="470"/>
      <c r="E27" s="464"/>
      <c r="F27" s="475"/>
      <c r="G27" s="475"/>
      <c r="H27" s="138" t="s">
        <v>222</v>
      </c>
    </row>
    <row r="28" spans="3:9" hidden="1">
      <c r="C28" s="238"/>
      <c r="D28" s="243" t="str">
        <f>IF(ISERROR(VLOOKUP(C28,'Capacidad Financiera'!$B$12:$AA$59186,2,0)),"",VLOOKUP(C28,'Capacidad Financiera'!$B$12:$AA$59186,2,0))</f>
        <v/>
      </c>
      <c r="E28" s="134" t="str">
        <f>IF(OR(C28="",D28=""),"",IF(ISERROR(VLOOKUP(D28,'Capacidad Financiera'!$C$12:$AA$59205,3,0)),"",VLOOKUP(D28,'Capacidad Financiera'!$C$12:$AA$59205,3,0)))</f>
        <v/>
      </c>
      <c r="F28" s="134" t="str">
        <f>IF(OR(C28="",D28=""),"",IF(ISERROR(VLOOKUP(D28,'Capacidad Financiera'!$C$12:$AA$59205,5,0)),"",VLOOKUP(D28,'Capacidad Financiera'!$C$12:$AA$59205,5,0)))</f>
        <v/>
      </c>
      <c r="G28" s="135" t="str">
        <f t="shared" ref="G28" si="2">IF(OR(D28="",E28="",F28=""),"",IF(OR(E28=0,F28=0),0,E28/F28))</f>
        <v/>
      </c>
      <c r="H28" s="136" t="s">
        <v>297</v>
      </c>
    </row>
    <row r="29" spans="3:9" ht="14.25" hidden="1" thickBot="1">
      <c r="C29" s="384"/>
      <c r="D29" s="106"/>
      <c r="E29" s="110"/>
      <c r="F29" s="110"/>
      <c r="G29" s="110"/>
      <c r="H29" s="385"/>
    </row>
    <row r="30" spans="3:9" hidden="1">
      <c r="C30" s="467" t="s">
        <v>158</v>
      </c>
      <c r="D30" s="469" t="s">
        <v>157</v>
      </c>
      <c r="E30" s="463" t="s">
        <v>219</v>
      </c>
      <c r="F30" s="474" t="s">
        <v>220</v>
      </c>
      <c r="G30" s="474" t="s">
        <v>221</v>
      </c>
      <c r="H30" s="133" t="s">
        <v>218</v>
      </c>
    </row>
    <row r="31" spans="3:9" ht="68.25" hidden="1" thickBot="1">
      <c r="C31" s="468"/>
      <c r="D31" s="470"/>
      <c r="E31" s="464"/>
      <c r="F31" s="475"/>
      <c r="G31" s="475"/>
      <c r="H31" s="138" t="s">
        <v>222</v>
      </c>
    </row>
    <row r="32" spans="3:9" hidden="1">
      <c r="C32" s="238"/>
      <c r="D32" s="243" t="str">
        <f>IF(ISERROR(VLOOKUP(C32,'Capacidad Financiera'!$B$12:$AA$59186,2,0)),"",VLOOKUP(C32,'Capacidad Financiera'!$B$12:$AA$59186,2,0))</f>
        <v/>
      </c>
      <c r="E32" s="134" t="str">
        <f>IF(OR(C32="",D32=""),"",IF(ISERROR(VLOOKUP(D32,'Capacidad Financiera'!$C$12:$AA$59205,3,0)),"",VLOOKUP(D32,'Capacidad Financiera'!$C$12:$AA$59205,3,0)))</f>
        <v/>
      </c>
      <c r="F32" s="134" t="str">
        <f>IF(OR(C32="",D32=""),"",IF(ISERROR(VLOOKUP(D32,'Capacidad Financiera'!$C$12:$AA$59205,5,0)),"",VLOOKUP(D32,'Capacidad Financiera'!$C$12:$AA$59205,5,0)))</f>
        <v/>
      </c>
      <c r="G32" s="135" t="str">
        <f t="shared" ref="G32" si="3">IF(OR(D32="",E32="",F32=""),"",IF(OR(E32=0,F32=0),0,E32/F32))</f>
        <v/>
      </c>
      <c r="H32" s="136" t="s">
        <v>297</v>
      </c>
      <c r="I32" s="335"/>
    </row>
    <row r="33" spans="3:9" ht="14.25" hidden="1" thickBot="1">
      <c r="C33" s="384"/>
      <c r="D33" s="106"/>
      <c r="E33" s="110"/>
      <c r="F33" s="110"/>
      <c r="G33" s="110"/>
      <c r="H33" s="385"/>
    </row>
    <row r="34" spans="3:9" hidden="1">
      <c r="C34" s="467" t="s">
        <v>158</v>
      </c>
      <c r="D34" s="469" t="s">
        <v>157</v>
      </c>
      <c r="E34" s="463" t="s">
        <v>219</v>
      </c>
      <c r="F34" s="474" t="s">
        <v>220</v>
      </c>
      <c r="G34" s="474" t="s">
        <v>221</v>
      </c>
      <c r="H34" s="133" t="s">
        <v>218</v>
      </c>
    </row>
    <row r="35" spans="3:9" ht="68.25" hidden="1" thickBot="1">
      <c r="C35" s="468"/>
      <c r="D35" s="470"/>
      <c r="E35" s="464"/>
      <c r="F35" s="475"/>
      <c r="G35" s="475"/>
      <c r="H35" s="138" t="s">
        <v>222</v>
      </c>
    </row>
    <row r="36" spans="3:9" ht="25.5" hidden="1" customHeight="1">
      <c r="C36" s="238"/>
      <c r="D36" s="243" t="str">
        <f>IF(ISERROR(VLOOKUP(C36,'Capacidad Financiera'!$B$12:$AA$59186,2,0)),"",VLOOKUP(C36,'Capacidad Financiera'!$B$12:$AA$59186,2,0))</f>
        <v/>
      </c>
      <c r="E36" s="134" t="str">
        <f>IF(OR(C36="",D36=""),"",IF(ISERROR(VLOOKUP(D36,'Capacidad Financiera'!$C$12:$AA$59205,3,0)),"",VLOOKUP(D36,'Capacidad Financiera'!$C$12:$AA$59205,3,0)))</f>
        <v/>
      </c>
      <c r="F36" s="134" t="str">
        <f>IF(OR(C36="",D36=""),"",IF(ISERROR(VLOOKUP(D36,'Capacidad Financiera'!$C$12:$AA$59205,5,0)),"",VLOOKUP(D36,'Capacidad Financiera'!$C$12:$AA$59205,5,0)))</f>
        <v/>
      </c>
      <c r="G36" s="135" t="str">
        <f t="shared" ref="G36" si="4">IF(OR(D36="",E36="",F36=""),"",IF(OR(E36=0,F36=0),0,E36/F36))</f>
        <v/>
      </c>
      <c r="H36" s="136" t="s">
        <v>297</v>
      </c>
    </row>
    <row r="37" spans="3:9" ht="14.25" hidden="1" thickBot="1">
      <c r="C37" s="384"/>
      <c r="D37" s="106"/>
      <c r="E37" s="110"/>
      <c r="F37" s="110"/>
      <c r="G37" s="110"/>
      <c r="H37" s="385"/>
    </row>
    <row r="38" spans="3:9" hidden="1">
      <c r="C38" s="467" t="s">
        <v>158</v>
      </c>
      <c r="D38" s="469" t="s">
        <v>157</v>
      </c>
      <c r="E38" s="463" t="s">
        <v>219</v>
      </c>
      <c r="F38" s="474" t="s">
        <v>220</v>
      </c>
      <c r="G38" s="474" t="s">
        <v>221</v>
      </c>
      <c r="H38" s="133" t="s">
        <v>218</v>
      </c>
    </row>
    <row r="39" spans="3:9" ht="68.25" hidden="1" thickBot="1">
      <c r="C39" s="468"/>
      <c r="D39" s="470"/>
      <c r="E39" s="464"/>
      <c r="F39" s="475"/>
      <c r="G39" s="475"/>
      <c r="H39" s="138" t="s">
        <v>222</v>
      </c>
    </row>
    <row r="40" spans="3:9" ht="27" hidden="1" customHeight="1">
      <c r="C40" s="238"/>
      <c r="D40" s="243"/>
      <c r="E40" s="134"/>
      <c r="F40" s="134"/>
      <c r="G40" s="135"/>
      <c r="H40" s="136"/>
      <c r="I40" s="335"/>
    </row>
    <row r="41" spans="3:9" ht="14.25" hidden="1" thickBot="1">
      <c r="C41" s="384"/>
      <c r="D41" s="106"/>
      <c r="E41" s="110"/>
      <c r="F41" s="110"/>
      <c r="G41" s="110"/>
      <c r="H41" s="385"/>
    </row>
    <row r="42" spans="3:9" hidden="1">
      <c r="C42" s="467" t="s">
        <v>158</v>
      </c>
      <c r="D42" s="469" t="s">
        <v>157</v>
      </c>
      <c r="E42" s="463" t="s">
        <v>219</v>
      </c>
      <c r="F42" s="474" t="s">
        <v>220</v>
      </c>
      <c r="G42" s="474" t="s">
        <v>221</v>
      </c>
      <c r="H42" s="133" t="s">
        <v>218</v>
      </c>
    </row>
    <row r="43" spans="3:9" ht="68.25" hidden="1" thickBot="1">
      <c r="C43" s="468"/>
      <c r="D43" s="470"/>
      <c r="E43" s="464"/>
      <c r="F43" s="475"/>
      <c r="G43" s="475"/>
      <c r="H43" s="138" t="s">
        <v>222</v>
      </c>
    </row>
    <row r="44" spans="3:9" hidden="1">
      <c r="C44" s="238"/>
      <c r="D44" s="243"/>
      <c r="E44" s="134"/>
      <c r="F44" s="134"/>
      <c r="G44" s="135"/>
      <c r="H44" s="136"/>
    </row>
    <row r="45" spans="3:9" ht="14.25" hidden="1" thickBot="1">
      <c r="C45" s="384"/>
      <c r="D45" s="106"/>
      <c r="E45" s="110"/>
      <c r="F45" s="110"/>
      <c r="G45" s="110"/>
      <c r="H45" s="385"/>
    </row>
    <row r="46" spans="3:9" hidden="1">
      <c r="C46" s="467" t="s">
        <v>158</v>
      </c>
      <c r="D46" s="469" t="s">
        <v>157</v>
      </c>
      <c r="E46" s="463" t="s">
        <v>219</v>
      </c>
      <c r="F46" s="474" t="s">
        <v>220</v>
      </c>
      <c r="G46" s="474" t="s">
        <v>221</v>
      </c>
      <c r="H46" s="133" t="s">
        <v>218</v>
      </c>
    </row>
    <row r="47" spans="3:9" ht="68.25" hidden="1" thickBot="1">
      <c r="C47" s="468"/>
      <c r="D47" s="470"/>
      <c r="E47" s="464"/>
      <c r="F47" s="475"/>
      <c r="G47" s="475"/>
      <c r="H47" s="138" t="s">
        <v>222</v>
      </c>
    </row>
    <row r="48" spans="3:9" hidden="1">
      <c r="C48" s="238"/>
      <c r="D48" s="243"/>
      <c r="E48" s="134"/>
      <c r="F48" s="134"/>
      <c r="G48" s="135"/>
      <c r="H48" s="136"/>
      <c r="I48" s="335"/>
    </row>
    <row r="49" spans="3:9" ht="13.5" hidden="1" thickBot="1">
      <c r="C49" s="386"/>
      <c r="H49" s="387"/>
    </row>
    <row r="50" spans="3:9" hidden="1">
      <c r="C50" s="467" t="s">
        <v>158</v>
      </c>
      <c r="D50" s="469" t="s">
        <v>157</v>
      </c>
      <c r="E50" s="463" t="s">
        <v>219</v>
      </c>
      <c r="F50" s="474" t="s">
        <v>220</v>
      </c>
      <c r="G50" s="474" t="s">
        <v>221</v>
      </c>
      <c r="H50" s="133" t="s">
        <v>218</v>
      </c>
    </row>
    <row r="51" spans="3:9" ht="68.25" hidden="1" thickBot="1">
      <c r="C51" s="468"/>
      <c r="D51" s="470"/>
      <c r="E51" s="464"/>
      <c r="F51" s="475"/>
      <c r="G51" s="475"/>
      <c r="H51" s="138" t="s">
        <v>222</v>
      </c>
    </row>
    <row r="52" spans="3:9" ht="23.25" hidden="1" customHeight="1" thickBot="1">
      <c r="C52" s="317"/>
      <c r="D52" s="318"/>
      <c r="E52" s="388"/>
      <c r="F52" s="388"/>
      <c r="G52" s="389"/>
      <c r="H52" s="390"/>
    </row>
    <row r="53" spans="3:9" ht="13.5" hidden="1">
      <c r="C53" s="106"/>
      <c r="D53" s="106"/>
      <c r="E53" s="110"/>
      <c r="F53" s="110"/>
      <c r="G53" s="110"/>
      <c r="H53" s="110"/>
    </row>
    <row r="54" spans="3:9" hidden="1">
      <c r="C54" s="467" t="s">
        <v>158</v>
      </c>
      <c r="D54" s="469" t="s">
        <v>157</v>
      </c>
      <c r="E54" s="463" t="s">
        <v>219</v>
      </c>
      <c r="F54" s="474" t="s">
        <v>220</v>
      </c>
      <c r="G54" s="474" t="s">
        <v>221</v>
      </c>
      <c r="H54" s="133" t="s">
        <v>218</v>
      </c>
    </row>
    <row r="55" spans="3:9" ht="68.25" hidden="1" thickBot="1">
      <c r="C55" s="468"/>
      <c r="D55" s="470"/>
      <c r="E55" s="464"/>
      <c r="F55" s="475"/>
      <c r="G55" s="475"/>
      <c r="H55" s="138" t="s">
        <v>222</v>
      </c>
    </row>
    <row r="56" spans="3:9" ht="27" hidden="1" customHeight="1">
      <c r="C56" s="238"/>
      <c r="D56" s="243" t="str">
        <f>IF(ISERROR(VLOOKUP(C56,'Capacidad Financiera'!$B$12:$AA$59186,2,0)),"",VLOOKUP(C56,'Capacidad Financiera'!$B$12:$AA$59186,2,0))</f>
        <v/>
      </c>
      <c r="E56" s="134" t="str">
        <f>IF(OR(C56="",D56=""),"",IF(ISERROR(VLOOKUP(D56,'Capacidad Financiera'!$C$12:$AA$59205,3,0)),"",VLOOKUP(D56,'Capacidad Financiera'!$C$12:$AA$59205,3,0)))</f>
        <v/>
      </c>
      <c r="F56" s="134" t="str">
        <f>IF(OR(C56="",D56=""),"",IF(ISERROR(VLOOKUP(D56,'Capacidad Financiera'!$C$12:$AA$59205,5,0)),"",VLOOKUP(D56,'Capacidad Financiera'!$C$12:$AA$59205,5,0)))</f>
        <v/>
      </c>
      <c r="G56" s="135" t="str">
        <f>IF(OR(D56="",E56="",F56=""),"",IF(OR(E56=0,F56=0),0,E56/F56))</f>
        <v/>
      </c>
      <c r="H56" s="136" t="s">
        <v>297</v>
      </c>
      <c r="I56" s="335"/>
    </row>
  </sheetData>
  <sheetProtection algorithmName="SHA-512" hashValue="6lTQh3t8Q0WrFZ18jGfG73g4v0PYUMI0nzu2eNaEWNefAE6twYGVBsErUG2mfMTxpwcw/bJeuPqyWJqViAG3XA==" saltValue="ao1AgM0V4cEFvW/8J2b7MQ==" spinCount="100000" sheet="1" objects="1" scenarios="1" selectLockedCells="1" selectUnlockedCells="1"/>
  <mergeCells count="64">
    <mergeCell ref="C46:C47"/>
    <mergeCell ref="D46:D47"/>
    <mergeCell ref="E46:E47"/>
    <mergeCell ref="F46:F47"/>
    <mergeCell ref="G46:G47"/>
    <mergeCell ref="C42:C43"/>
    <mergeCell ref="D42:D43"/>
    <mergeCell ref="E42:E43"/>
    <mergeCell ref="F42:F43"/>
    <mergeCell ref="G42:G43"/>
    <mergeCell ref="C30:C31"/>
    <mergeCell ref="D30:D31"/>
    <mergeCell ref="E30:E31"/>
    <mergeCell ref="F30:F31"/>
    <mergeCell ref="G30:G31"/>
    <mergeCell ref="C26:C27"/>
    <mergeCell ref="D26:D27"/>
    <mergeCell ref="E26:E27"/>
    <mergeCell ref="F26:F27"/>
    <mergeCell ref="G26:G27"/>
    <mergeCell ref="C22:C23"/>
    <mergeCell ref="D22:D23"/>
    <mergeCell ref="E22:E23"/>
    <mergeCell ref="F22:F23"/>
    <mergeCell ref="G22:G23"/>
    <mergeCell ref="C18:C19"/>
    <mergeCell ref="D18:D19"/>
    <mergeCell ref="E18:E19"/>
    <mergeCell ref="F18:F19"/>
    <mergeCell ref="G18:G19"/>
    <mergeCell ref="E10:E11"/>
    <mergeCell ref="F10:F11"/>
    <mergeCell ref="G10:G11"/>
    <mergeCell ref="C2:H2"/>
    <mergeCell ref="C3:H3"/>
    <mergeCell ref="C4:H4"/>
    <mergeCell ref="C5:H5"/>
    <mergeCell ref="C10:C11"/>
    <mergeCell ref="D10:D11"/>
    <mergeCell ref="C14:C15"/>
    <mergeCell ref="D14:D15"/>
    <mergeCell ref="E14:E15"/>
    <mergeCell ref="F14:F15"/>
    <mergeCell ref="G14:G15"/>
    <mergeCell ref="C50:C51"/>
    <mergeCell ref="D50:D51"/>
    <mergeCell ref="E50:E51"/>
    <mergeCell ref="F50:F51"/>
    <mergeCell ref="G50:G51"/>
    <mergeCell ref="C54:C55"/>
    <mergeCell ref="D54:D55"/>
    <mergeCell ref="E54:E55"/>
    <mergeCell ref="F54:F55"/>
    <mergeCell ref="G54:G55"/>
    <mergeCell ref="C34:C35"/>
    <mergeCell ref="D34:D35"/>
    <mergeCell ref="E34:E35"/>
    <mergeCell ref="F34:F35"/>
    <mergeCell ref="G34:G35"/>
    <mergeCell ref="C38:C39"/>
    <mergeCell ref="D38:D39"/>
    <mergeCell ref="E38:E39"/>
    <mergeCell ref="F38:F39"/>
    <mergeCell ref="G38:G39"/>
  </mergeCells>
  <conditionalFormatting sqref="D12 D9:H9">
    <cfRule type="cellIs" dxfId="285" priority="522" stopIfTrue="1" operator="equal">
      <formula>"NO ADMISIBLE"</formula>
    </cfRule>
  </conditionalFormatting>
  <conditionalFormatting sqref="D13:H13">
    <cfRule type="cellIs" dxfId="284" priority="28" stopIfTrue="1" operator="equal">
      <formula>"NO ADMISIBLE"</formula>
    </cfRule>
  </conditionalFormatting>
  <conditionalFormatting sqref="E12:H12">
    <cfRule type="expression" dxfId="283" priority="25" stopIfTrue="1">
      <formula>IF($B4-INT($B4)&gt;0,TRUE,FALSE)</formula>
    </cfRule>
  </conditionalFormatting>
  <conditionalFormatting sqref="E16:H16">
    <cfRule type="expression" dxfId="282" priority="24" stopIfTrue="1">
      <formula>IF($B8-INT($B8)&gt;0,TRUE,FALSE)</formula>
    </cfRule>
  </conditionalFormatting>
  <conditionalFormatting sqref="D20">
    <cfRule type="cellIs" dxfId="281" priority="23" stopIfTrue="1" operator="equal">
      <formula>"NO ADMISIBLE"</formula>
    </cfRule>
  </conditionalFormatting>
  <conditionalFormatting sqref="D24 D21:H21">
    <cfRule type="cellIs" dxfId="280" priority="22" stopIfTrue="1" operator="equal">
      <formula>"NO ADMISIBLE"</formula>
    </cfRule>
  </conditionalFormatting>
  <conditionalFormatting sqref="E20:H20">
    <cfRule type="expression" dxfId="279" priority="21" stopIfTrue="1">
      <formula>IF($B11-INT($B11)&gt;0,TRUE,FALSE)</formula>
    </cfRule>
  </conditionalFormatting>
  <conditionalFormatting sqref="E24:H24">
    <cfRule type="expression" dxfId="278" priority="20" stopIfTrue="1">
      <formula>IF($B15-INT($B15)&gt;0,TRUE,FALSE)</formula>
    </cfRule>
  </conditionalFormatting>
  <conditionalFormatting sqref="D17:H17">
    <cfRule type="cellIs" dxfId="277" priority="19" stopIfTrue="1" operator="equal">
      <formula>"NO ADMISIBLE"</formula>
    </cfRule>
  </conditionalFormatting>
  <conditionalFormatting sqref="D28 D25:H25">
    <cfRule type="cellIs" dxfId="276" priority="18" stopIfTrue="1" operator="equal">
      <formula>"NO ADMISIBLE"</formula>
    </cfRule>
  </conditionalFormatting>
  <conditionalFormatting sqref="D32 D29:H29">
    <cfRule type="cellIs" dxfId="275" priority="17" stopIfTrue="1" operator="equal">
      <formula>"NO ADMISIBLE"</formula>
    </cfRule>
  </conditionalFormatting>
  <conditionalFormatting sqref="E28:H28">
    <cfRule type="expression" dxfId="274" priority="16" stopIfTrue="1">
      <formula>IF($B20-INT($B20)&gt;0,TRUE,FALSE)</formula>
    </cfRule>
  </conditionalFormatting>
  <conditionalFormatting sqref="E32:H32">
    <cfRule type="expression" dxfId="273" priority="15" stopIfTrue="1">
      <formula>IF($B24-INT($B24)&gt;0,TRUE,FALSE)</formula>
    </cfRule>
  </conditionalFormatting>
  <conditionalFormatting sqref="D44">
    <cfRule type="cellIs" dxfId="272" priority="14" stopIfTrue="1" operator="equal">
      <formula>"NO ADMISIBLE"</formula>
    </cfRule>
  </conditionalFormatting>
  <conditionalFormatting sqref="D48 D45:H45">
    <cfRule type="cellIs" dxfId="271" priority="13" stopIfTrue="1" operator="equal">
      <formula>"NO ADMISIBLE"</formula>
    </cfRule>
  </conditionalFormatting>
  <conditionalFormatting sqref="E44:H44">
    <cfRule type="expression" dxfId="270" priority="12" stopIfTrue="1">
      <formula>IF($B27-INT($B27)&gt;0,TRUE,FALSE)</formula>
    </cfRule>
  </conditionalFormatting>
  <conditionalFormatting sqref="E48:H48">
    <cfRule type="expression" dxfId="269" priority="11" stopIfTrue="1">
      <formula>IF($B31-INT($B31)&gt;0,TRUE,FALSE)</formula>
    </cfRule>
  </conditionalFormatting>
  <conditionalFormatting sqref="D33:H33 D41:H41">
    <cfRule type="cellIs" dxfId="268" priority="10" stopIfTrue="1" operator="equal">
      <formula>"NO ADMISIBLE"</formula>
    </cfRule>
  </conditionalFormatting>
  <conditionalFormatting sqref="D52">
    <cfRule type="cellIs" dxfId="267" priority="9" stopIfTrue="1" operator="equal">
      <formula>"NO ADMISIBLE"</formula>
    </cfRule>
  </conditionalFormatting>
  <conditionalFormatting sqref="D56 D53:H53">
    <cfRule type="cellIs" dxfId="266" priority="8" stopIfTrue="1" operator="equal">
      <formula>"NO ADMISIBLE"</formula>
    </cfRule>
  </conditionalFormatting>
  <conditionalFormatting sqref="E52:H52">
    <cfRule type="expression" dxfId="265" priority="7" stopIfTrue="1">
      <formula>IF($B43-INT($B43)&gt;0,TRUE,FALSE)</formula>
    </cfRule>
  </conditionalFormatting>
  <conditionalFormatting sqref="E56:H56">
    <cfRule type="expression" dxfId="264" priority="6" stopIfTrue="1">
      <formula>IF($B47-INT($B47)&gt;0,TRUE,FALSE)</formula>
    </cfRule>
  </conditionalFormatting>
  <conditionalFormatting sqref="D36">
    <cfRule type="cellIs" dxfId="263" priority="5" stopIfTrue="1" operator="equal">
      <formula>"NO ADMISIBLE"</formula>
    </cfRule>
  </conditionalFormatting>
  <conditionalFormatting sqref="D40 D37:H37">
    <cfRule type="cellIs" dxfId="262" priority="4" stopIfTrue="1" operator="equal">
      <formula>"NO ADMISIBLE"</formula>
    </cfRule>
  </conditionalFormatting>
  <conditionalFormatting sqref="E36:H36">
    <cfRule type="expression" dxfId="261" priority="3" stopIfTrue="1">
      <formula>IF($B28-INT($B28)&gt;0,TRUE,FALSE)</formula>
    </cfRule>
  </conditionalFormatting>
  <conditionalFormatting sqref="E40:H40">
    <cfRule type="expression" dxfId="260" priority="2" stopIfTrue="1">
      <formula>IF($B32-INT($B32)&gt;0,TRUE,FALSE)</formula>
    </cfRule>
  </conditionalFormatting>
  <conditionalFormatting sqref="D16">
    <cfRule type="cellIs" dxfId="259" priority="1" stopIfTrue="1" operator="equal">
      <formula>"NO ADMISIBLE"</formula>
    </cfRule>
  </conditionalFormatting>
  <dataValidations count="1">
    <dataValidation type="list" allowBlank="1" showInputMessage="1" showErrorMessage="1" sqref="D9 D20:D21 D12:D13 D24:D25 D36:D37 D44:D45 D28:D29 D48 D56 D52:D53 D32:D33 D40:D41 D16:D17" xr:uid="{00000000-0002-0000-0600-000000000000}">
      <formula1>prueba</formula1>
    </dataValidation>
  </dataValidations>
  <pageMargins left="0.75" right="0.75" top="1" bottom="1" header="0" footer="0"/>
  <pageSetup paperSize="9" scale="4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MacroCF">
                <anchor moveWithCells="1" sizeWithCells="1">
                  <from>
                    <xdr:col>0</xdr:col>
                    <xdr:colOff>219075</xdr:colOff>
                    <xdr:row>2</xdr:row>
                    <xdr:rowOff>114300</xdr:rowOff>
                  </from>
                  <to>
                    <xdr:col>1</xdr:col>
                    <xdr:colOff>638175</xdr:colOff>
                    <xdr:row>4</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2"/>
  <dimension ref="B2:J63"/>
  <sheetViews>
    <sheetView view="pageBreakPreview" topLeftCell="A6" zoomScale="80" zoomScaleNormal="100" zoomScaleSheetLayoutView="80" workbookViewId="0">
      <selection activeCell="F12" sqref="F12"/>
    </sheetView>
  </sheetViews>
  <sheetFormatPr baseColWidth="10" defaultColWidth="11.42578125" defaultRowHeight="12.75"/>
  <cols>
    <col min="1" max="1" width="7.42578125" style="101" customWidth="1"/>
    <col min="2" max="2" width="8.7109375" style="101" customWidth="1"/>
    <col min="3" max="3" width="3.85546875" style="101" customWidth="1"/>
    <col min="4" max="4" width="34.140625" style="101" customWidth="1"/>
    <col min="5" max="5" width="42" style="93" customWidth="1"/>
    <col min="6" max="6" width="29.5703125" style="381" customWidth="1"/>
    <col min="7" max="7" width="13.85546875" style="393" customWidth="1"/>
    <col min="8" max="8" width="9.7109375" style="394" customWidth="1"/>
    <col min="9" max="9" width="12.42578125" style="101" customWidth="1"/>
    <col min="10" max="10" width="12.7109375" style="101" customWidth="1"/>
    <col min="11" max="16384" width="11.42578125" style="101"/>
  </cols>
  <sheetData>
    <row r="2" spans="3:10" s="103" customFormat="1" ht="20.25" customHeight="1">
      <c r="C2" s="471" t="s">
        <v>197</v>
      </c>
      <c r="D2" s="471"/>
      <c r="E2" s="471"/>
      <c r="F2" s="380"/>
      <c r="G2" s="391"/>
      <c r="H2" s="392"/>
    </row>
    <row r="3" spans="3:10" s="103" customFormat="1" ht="18" customHeight="1">
      <c r="C3" s="472" t="s">
        <v>211</v>
      </c>
      <c r="D3" s="472"/>
      <c r="E3" s="472"/>
      <c r="F3" s="380"/>
      <c r="G3" s="391"/>
      <c r="H3" s="392"/>
    </row>
    <row r="4" spans="3:10" s="103" customFormat="1" ht="13.5" customHeight="1">
      <c r="C4" s="473" t="str">
        <f>'Capacidad Financiera'!B4</f>
        <v>EVALUACIÓN FINANCIERA</v>
      </c>
      <c r="D4" s="473"/>
      <c r="E4" s="473"/>
      <c r="F4" s="380"/>
      <c r="G4" s="391"/>
      <c r="H4" s="392"/>
    </row>
    <row r="5" spans="3:10" s="103" customFormat="1" ht="17.25" customHeight="1">
      <c r="C5" s="473" t="s">
        <v>223</v>
      </c>
      <c r="D5" s="473"/>
      <c r="E5" s="473"/>
      <c r="F5" s="380"/>
      <c r="G5" s="391"/>
      <c r="H5" s="392"/>
    </row>
    <row r="6" spans="3:10" s="103" customFormat="1" ht="13.5" customHeight="1">
      <c r="C6" s="144"/>
      <c r="D6" s="212" t="s">
        <v>292</v>
      </c>
      <c r="E6" s="144"/>
      <c r="F6" s="380"/>
      <c r="G6" s="391"/>
      <c r="H6" s="392"/>
    </row>
    <row r="7" spans="3:10" s="103" customFormat="1" ht="13.5" customHeight="1">
      <c r="C7" s="144"/>
      <c r="D7" s="212" t="s">
        <v>298</v>
      </c>
      <c r="E7" s="144"/>
      <c r="F7" s="380"/>
      <c r="G7" s="391"/>
      <c r="H7" s="392"/>
    </row>
    <row r="8" spans="3:10" s="103" customFormat="1" ht="13.5" customHeight="1">
      <c r="C8" s="144"/>
      <c r="D8" s="144"/>
      <c r="E8" s="144"/>
      <c r="F8" s="380"/>
      <c r="G8" s="391"/>
      <c r="H8" s="392"/>
    </row>
    <row r="9" spans="3:10" s="103" customFormat="1" ht="14.25" thickBot="1">
      <c r="C9" s="106"/>
      <c r="D9" s="106"/>
      <c r="E9" s="110"/>
      <c r="F9" s="380"/>
      <c r="G9" s="391"/>
      <c r="H9" s="392"/>
    </row>
    <row r="10" spans="3:10" ht="36" customHeight="1">
      <c r="C10" s="467" t="s">
        <v>158</v>
      </c>
      <c r="D10" s="469" t="s">
        <v>157</v>
      </c>
      <c r="E10" s="481" t="s">
        <v>224</v>
      </c>
    </row>
    <row r="11" spans="3:10" ht="36" customHeight="1" thickBot="1">
      <c r="C11" s="468"/>
      <c r="D11" s="470"/>
      <c r="E11" s="482"/>
    </row>
    <row r="12" spans="3:10" ht="162" customHeight="1">
      <c r="C12" s="238">
        <f>+'Capacidad Financiera'!B12</f>
        <v>1</v>
      </c>
      <c r="D12" s="239" t="str">
        <f>IF(ISERROR(VLOOKUP(C12,'Capacidad Financiera'!$B$12:$AA$59186,2,0)),"",VLOOKUP(C12,'Capacidad Financiera'!$B$12:$AA$59186,2,0))</f>
        <v>ESTUDIO, DISEÑO Y CONSTRUCCION EN INGENIERIA S.A.S</v>
      </c>
      <c r="E12" s="362">
        <v>0</v>
      </c>
      <c r="F12" s="406" t="s">
        <v>301</v>
      </c>
      <c r="G12" s="395"/>
      <c r="H12" s="396"/>
      <c r="I12" s="102"/>
      <c r="J12" s="102"/>
    </row>
    <row r="13" spans="3:10" ht="13.5">
      <c r="C13" s="106"/>
      <c r="D13" s="106"/>
      <c r="E13" s="110"/>
    </row>
    <row r="14" spans="3:10" hidden="1">
      <c r="C14" s="467" t="s">
        <v>158</v>
      </c>
      <c r="D14" s="469" t="s">
        <v>157</v>
      </c>
      <c r="E14" s="481" t="s">
        <v>224</v>
      </c>
    </row>
    <row r="15" spans="3:10" ht="41.1" hidden="1" customHeight="1" thickBot="1">
      <c r="C15" s="468"/>
      <c r="D15" s="470"/>
      <c r="E15" s="482"/>
    </row>
    <row r="16" spans="3:10" ht="36" hidden="1" customHeight="1">
      <c r="C16" s="238">
        <v>2</v>
      </c>
      <c r="D16" s="239" t="str">
        <f>IF(ISERROR(VLOOKUP(C16,'Capacidad Financiera'!$B$12:$AA$59186,2,0)),"",VLOOKUP(C16,'Capacidad Financiera'!$B$12:$AA$59186,2,0))</f>
        <v/>
      </c>
      <c r="E16" s="242">
        <v>0</v>
      </c>
      <c r="F16" s="407"/>
    </row>
    <row r="17" spans="3:7" hidden="1">
      <c r="E17" s="101"/>
    </row>
    <row r="18" spans="3:7" hidden="1">
      <c r="C18" s="467" t="s">
        <v>158</v>
      </c>
      <c r="D18" s="469" t="s">
        <v>157</v>
      </c>
      <c r="E18" s="481" t="s">
        <v>224</v>
      </c>
    </row>
    <row r="19" spans="3:7" ht="36.75" hidden="1" customHeight="1" thickBot="1">
      <c r="C19" s="468"/>
      <c r="D19" s="470"/>
      <c r="E19" s="482"/>
    </row>
    <row r="20" spans="3:7" ht="15" hidden="1">
      <c r="C20" s="238"/>
      <c r="D20" s="239" t="str">
        <f>IF(ISERROR(VLOOKUP(C20,'Capacidad Financiera'!$B$12:$AA$59186,2,0)),"",VLOOKUP(C20,'Capacidad Financiera'!$B$12:$AA$59186,2,0))</f>
        <v/>
      </c>
      <c r="E20" s="242"/>
      <c r="F20" s="476"/>
      <c r="G20" s="477"/>
    </row>
    <row r="21" spans="3:7" ht="14.25" hidden="1" thickBot="1">
      <c r="C21" s="106"/>
      <c r="D21" s="106"/>
      <c r="E21" s="110"/>
    </row>
    <row r="22" spans="3:7" hidden="1">
      <c r="C22" s="467" t="s">
        <v>158</v>
      </c>
      <c r="D22" s="469" t="s">
        <v>157</v>
      </c>
      <c r="E22" s="481" t="s">
        <v>224</v>
      </c>
    </row>
    <row r="23" spans="3:7" ht="42" hidden="1" customHeight="1" thickBot="1">
      <c r="C23" s="468"/>
      <c r="D23" s="470"/>
      <c r="E23" s="482"/>
    </row>
    <row r="24" spans="3:7" hidden="1">
      <c r="C24" s="238"/>
      <c r="D24" s="239" t="str">
        <f>IF(ISERROR(VLOOKUP(C24,'Capacidad Financiera'!$B$12:$AA$59186,2,0)),"",VLOOKUP(C24,'Capacidad Financiera'!$B$12:$AA$59186,2,0))</f>
        <v/>
      </c>
      <c r="E24" s="362"/>
      <c r="F24" s="478"/>
      <c r="G24" s="479"/>
    </row>
    <row r="25" spans="3:7" ht="14.25" hidden="1" thickBot="1">
      <c r="C25" s="106"/>
      <c r="D25" s="106"/>
      <c r="E25" s="110"/>
    </row>
    <row r="26" spans="3:7" hidden="1">
      <c r="C26" s="467" t="s">
        <v>158</v>
      </c>
      <c r="D26" s="469" t="s">
        <v>157</v>
      </c>
      <c r="E26" s="481" t="s">
        <v>224</v>
      </c>
    </row>
    <row r="27" spans="3:7" ht="44.25" hidden="1" customHeight="1" thickBot="1">
      <c r="C27" s="468"/>
      <c r="D27" s="470"/>
      <c r="E27" s="482"/>
    </row>
    <row r="28" spans="3:7" ht="18.75" hidden="1" customHeight="1">
      <c r="C28" s="238"/>
      <c r="D28" s="239" t="str">
        <f>IF(ISERROR(VLOOKUP(C28,'Capacidad Financiera'!$B$12:$AA$59186,2,0)),"",VLOOKUP(C28,'Capacidad Financiera'!$B$12:$AA$59186,2,0))</f>
        <v/>
      </c>
      <c r="E28" s="242"/>
      <c r="F28" s="478"/>
      <c r="G28" s="479"/>
    </row>
    <row r="29" spans="3:7" ht="19.5" hidden="1" customHeight="1" thickBot="1">
      <c r="C29" s="106"/>
      <c r="D29" s="106"/>
      <c r="E29" s="110"/>
    </row>
    <row r="30" spans="3:7" ht="44.1" hidden="1" customHeight="1">
      <c r="C30" s="467" t="s">
        <v>158</v>
      </c>
      <c r="D30" s="469" t="s">
        <v>157</v>
      </c>
      <c r="E30" s="481" t="s">
        <v>224</v>
      </c>
    </row>
    <row r="31" spans="3:7" ht="13.5" hidden="1" thickBot="1">
      <c r="C31" s="468"/>
      <c r="D31" s="470"/>
      <c r="E31" s="482"/>
    </row>
    <row r="32" spans="3:7" ht="12.75" hidden="1" customHeight="1">
      <c r="C32" s="238"/>
      <c r="D32" s="239" t="str">
        <f>IF(ISERROR(VLOOKUP(C32,'Capacidad Financiera'!$B$12:$AA$59186,2,0)),"",VLOOKUP(C32,'Capacidad Financiera'!$B$12:$AA$59186,2,0))</f>
        <v/>
      </c>
      <c r="E32" s="242"/>
      <c r="F32" s="478"/>
      <c r="G32" s="479"/>
    </row>
    <row r="33" spans="3:7" ht="13.5" hidden="1" thickBot="1">
      <c r="E33" s="101"/>
    </row>
    <row r="34" spans="3:7" hidden="1">
      <c r="C34" s="467" t="s">
        <v>158</v>
      </c>
      <c r="D34" s="469" t="s">
        <v>157</v>
      </c>
      <c r="E34" s="481" t="s">
        <v>224</v>
      </c>
    </row>
    <row r="35" spans="3:7" ht="36.75" hidden="1" customHeight="1" thickBot="1">
      <c r="C35" s="468"/>
      <c r="D35" s="470"/>
      <c r="E35" s="482"/>
    </row>
    <row r="36" spans="3:7" hidden="1">
      <c r="C36" s="238"/>
      <c r="D36" s="243" t="str">
        <f>IF(ISERROR(VLOOKUP(C36,'Capacidad Financiera'!$B$12:$AA$59186,2,0)),"",VLOOKUP(C36,'Capacidad Financiera'!$B$12:$AA$59186,2,0))</f>
        <v/>
      </c>
      <c r="E36" s="242"/>
      <c r="F36" s="478"/>
      <c r="G36" s="479"/>
    </row>
    <row r="37" spans="3:7" ht="14.25" hidden="1" thickBot="1">
      <c r="C37" s="106"/>
      <c r="D37" s="106"/>
      <c r="E37" s="110"/>
    </row>
    <row r="38" spans="3:7" hidden="1">
      <c r="C38" s="467" t="s">
        <v>158</v>
      </c>
      <c r="D38" s="469" t="s">
        <v>157</v>
      </c>
      <c r="E38" s="481" t="s">
        <v>224</v>
      </c>
    </row>
    <row r="39" spans="3:7" ht="31.5" hidden="1" customHeight="1" thickBot="1">
      <c r="C39" s="468"/>
      <c r="D39" s="470"/>
      <c r="E39" s="482"/>
    </row>
    <row r="40" spans="3:7" hidden="1">
      <c r="C40" s="238"/>
      <c r="D40" s="243"/>
      <c r="E40" s="242"/>
      <c r="F40" s="478"/>
      <c r="G40" s="479"/>
    </row>
    <row r="41" spans="3:7" ht="13.5" hidden="1" thickBot="1">
      <c r="E41" s="101"/>
    </row>
    <row r="42" spans="3:7" hidden="1">
      <c r="C42" s="467" t="s">
        <v>158</v>
      </c>
      <c r="D42" s="469" t="s">
        <v>157</v>
      </c>
      <c r="E42" s="481" t="s">
        <v>224</v>
      </c>
    </row>
    <row r="43" spans="3:7" ht="41.25" hidden="1" customHeight="1" thickBot="1">
      <c r="C43" s="468"/>
      <c r="D43" s="470"/>
      <c r="E43" s="482"/>
    </row>
    <row r="44" spans="3:7" hidden="1">
      <c r="C44" s="238"/>
      <c r="D44" s="239"/>
      <c r="E44" s="242"/>
    </row>
    <row r="45" spans="3:7" ht="14.25" hidden="1" thickBot="1">
      <c r="C45" s="106"/>
      <c r="D45" s="106"/>
      <c r="E45" s="110"/>
    </row>
    <row r="46" spans="3:7" hidden="1">
      <c r="C46" s="467" t="s">
        <v>158</v>
      </c>
      <c r="D46" s="469" t="s">
        <v>157</v>
      </c>
      <c r="E46" s="481" t="s">
        <v>224</v>
      </c>
    </row>
    <row r="47" spans="3:7" ht="35.25" hidden="1" customHeight="1" thickBot="1">
      <c r="C47" s="468"/>
      <c r="D47" s="470"/>
      <c r="E47" s="482"/>
    </row>
    <row r="48" spans="3:7" ht="15" hidden="1">
      <c r="C48" s="363"/>
      <c r="D48" s="364"/>
      <c r="E48" s="365"/>
      <c r="F48" s="476"/>
      <c r="G48" s="477"/>
    </row>
    <row r="49" spans="2:7" ht="13.5" hidden="1" thickBot="1"/>
    <row r="50" spans="2:7" hidden="1">
      <c r="C50" s="467" t="s">
        <v>158</v>
      </c>
      <c r="D50" s="469" t="s">
        <v>157</v>
      </c>
      <c r="E50" s="481" t="s">
        <v>224</v>
      </c>
    </row>
    <row r="51" spans="2:7" ht="35.25" hidden="1" customHeight="1" thickBot="1">
      <c r="C51" s="468"/>
      <c r="D51" s="470"/>
      <c r="E51" s="482"/>
    </row>
    <row r="52" spans="2:7" ht="26.1" hidden="1" customHeight="1">
      <c r="C52" s="238"/>
      <c r="D52" s="239" t="str">
        <f>IF(ISERROR(VLOOKUP(C52,'Capacidad Financiera'!$B$12:$AA$59186,2,0)),"",VLOOKUP(C52,'Capacidad Financiera'!$B$12:$AA$59186,2,0))</f>
        <v/>
      </c>
      <c r="E52" s="242">
        <v>0</v>
      </c>
    </row>
    <row r="53" spans="2:7" ht="14.25" hidden="1" thickBot="1">
      <c r="C53" s="106"/>
      <c r="D53" s="106"/>
      <c r="E53" s="110"/>
    </row>
    <row r="54" spans="2:7" hidden="1">
      <c r="C54" s="467" t="s">
        <v>158</v>
      </c>
      <c r="D54" s="469" t="s">
        <v>157</v>
      </c>
      <c r="E54" s="481" t="s">
        <v>224</v>
      </c>
    </row>
    <row r="55" spans="2:7" ht="33.75" hidden="1" customHeight="1" thickBot="1">
      <c r="C55" s="468"/>
      <c r="D55" s="470"/>
      <c r="E55" s="482"/>
    </row>
    <row r="56" spans="2:7" ht="31.5" hidden="1" customHeight="1">
      <c r="C56" s="363"/>
      <c r="D56" s="364" t="str">
        <f>IF(ISERROR(VLOOKUP(C56,'Capacidad Financiera'!$B$12:$AA$59186,2,0)),"",VLOOKUP(C56,'Capacidad Financiera'!$B$12:$AA$59186,2,0))</f>
        <v/>
      </c>
      <c r="E56" s="365"/>
      <c r="F56" s="476"/>
      <c r="G56" s="477"/>
    </row>
    <row r="57" spans="2:7" hidden="1"/>
    <row r="58" spans="2:7" hidden="1"/>
    <row r="59" spans="2:7" hidden="1"/>
    <row r="60" spans="2:7" hidden="1"/>
    <row r="62" spans="2:7">
      <c r="B62" s="480" t="s">
        <v>289</v>
      </c>
      <c r="C62" s="480"/>
      <c r="D62" s="480"/>
      <c r="E62" s="480"/>
    </row>
    <row r="63" spans="2:7">
      <c r="B63" s="480"/>
      <c r="C63" s="480"/>
      <c r="D63" s="480"/>
      <c r="E63" s="480"/>
    </row>
  </sheetData>
  <sheetProtection algorithmName="SHA-512" hashValue="jvm3q2LQxaJxcj4gFTx5uGBa8j6GGj3HsCzAyC+SZe7tajpDDJ3PFQ7gPO1isuNLWXPYiESSNO11qxqWHag6bQ==" saltValue="eJQ+s73YmdE7lqQoZg2nOw==" spinCount="100000" sheet="1" objects="1" scenarios="1" selectLockedCells="1" selectUnlockedCells="1"/>
  <mergeCells count="49">
    <mergeCell ref="D26:D27"/>
    <mergeCell ref="E26:E27"/>
    <mergeCell ref="C2:E2"/>
    <mergeCell ref="C3:E3"/>
    <mergeCell ref="C4:E4"/>
    <mergeCell ref="C5:E5"/>
    <mergeCell ref="C10:C11"/>
    <mergeCell ref="D10:D11"/>
    <mergeCell ref="E10:E11"/>
    <mergeCell ref="C42:C43"/>
    <mergeCell ref="D42:D43"/>
    <mergeCell ref="E42:E43"/>
    <mergeCell ref="C30:C31"/>
    <mergeCell ref="C14:C15"/>
    <mergeCell ref="D14:D15"/>
    <mergeCell ref="E14:E15"/>
    <mergeCell ref="C18:C19"/>
    <mergeCell ref="D18:D19"/>
    <mergeCell ref="E18:E19"/>
    <mergeCell ref="D30:D31"/>
    <mergeCell ref="E30:E31"/>
    <mergeCell ref="C22:C23"/>
    <mergeCell ref="D22:D23"/>
    <mergeCell ref="E22:E23"/>
    <mergeCell ref="C26:C27"/>
    <mergeCell ref="B62:E63"/>
    <mergeCell ref="C34:C35"/>
    <mergeCell ref="D34:D35"/>
    <mergeCell ref="E34:E35"/>
    <mergeCell ref="C38:C39"/>
    <mergeCell ref="D38:D39"/>
    <mergeCell ref="E38:E39"/>
    <mergeCell ref="C50:C51"/>
    <mergeCell ref="D50:D51"/>
    <mergeCell ref="E50:E51"/>
    <mergeCell ref="C54:C55"/>
    <mergeCell ref="D54:D55"/>
    <mergeCell ref="E54:E55"/>
    <mergeCell ref="C46:C47"/>
    <mergeCell ref="D46:D47"/>
    <mergeCell ref="E46:E47"/>
    <mergeCell ref="F20:G20"/>
    <mergeCell ref="F24:G24"/>
    <mergeCell ref="F28:G28"/>
    <mergeCell ref="F48:G48"/>
    <mergeCell ref="F56:G56"/>
    <mergeCell ref="F32:G32"/>
    <mergeCell ref="F36:G36"/>
    <mergeCell ref="F40:G40"/>
  </mergeCells>
  <conditionalFormatting sqref="D12 D9:E9">
    <cfRule type="cellIs" dxfId="258" priority="522" stopIfTrue="1" operator="equal">
      <formula>"NO ADMISIBLE"</formula>
    </cfRule>
  </conditionalFormatting>
  <conditionalFormatting sqref="E12">
    <cfRule type="expression" dxfId="257" priority="523" stopIfTrue="1">
      <formula>IF(#REF!-INT(#REF!)&gt;0,TRUE,FALSE)</formula>
    </cfRule>
  </conditionalFormatting>
  <conditionalFormatting sqref="D16 D13:E13">
    <cfRule type="cellIs" dxfId="256" priority="24" stopIfTrue="1" operator="equal">
      <formula>"NO ADMISIBLE"</formula>
    </cfRule>
  </conditionalFormatting>
  <conditionalFormatting sqref="E16">
    <cfRule type="expression" dxfId="255" priority="25" stopIfTrue="1">
      <formula>IF(#REF!-INT(#REF!)&gt;0,TRUE,FALSE)</formula>
    </cfRule>
  </conditionalFormatting>
  <conditionalFormatting sqref="D20">
    <cfRule type="cellIs" dxfId="254" priority="20" stopIfTrue="1" operator="equal">
      <formula>"NO ADMISIBLE"</formula>
    </cfRule>
  </conditionalFormatting>
  <conditionalFormatting sqref="E20">
    <cfRule type="expression" dxfId="253" priority="21" stopIfTrue="1">
      <formula>IF(#REF!-INT(#REF!)&gt;0,TRUE,FALSE)</formula>
    </cfRule>
  </conditionalFormatting>
  <conditionalFormatting sqref="D24 D21:E21">
    <cfRule type="cellIs" dxfId="252" priority="18" stopIfTrue="1" operator="equal">
      <formula>"NO ADMISIBLE"</formula>
    </cfRule>
  </conditionalFormatting>
  <conditionalFormatting sqref="E24">
    <cfRule type="expression" dxfId="251" priority="19" stopIfTrue="1">
      <formula>IF(#REF!-INT(#REF!)&gt;0,TRUE,FALSE)</formula>
    </cfRule>
  </conditionalFormatting>
  <conditionalFormatting sqref="D28 D25:E25">
    <cfRule type="cellIs" dxfId="250" priority="16" stopIfTrue="1" operator="equal">
      <formula>"NO ADMISIBLE"</formula>
    </cfRule>
  </conditionalFormatting>
  <conditionalFormatting sqref="E28">
    <cfRule type="expression" dxfId="249" priority="17" stopIfTrue="1">
      <formula>IF(#REF!-INT(#REF!)&gt;0,TRUE,FALSE)</formula>
    </cfRule>
  </conditionalFormatting>
  <conditionalFormatting sqref="D32 D29:E29">
    <cfRule type="cellIs" dxfId="248" priority="14" stopIfTrue="1" operator="equal">
      <formula>"NO ADMISIBLE"</formula>
    </cfRule>
  </conditionalFormatting>
  <conditionalFormatting sqref="E32">
    <cfRule type="expression" dxfId="247" priority="15" stopIfTrue="1">
      <formula>IF(#REF!-INT(#REF!)&gt;0,TRUE,FALSE)</formula>
    </cfRule>
  </conditionalFormatting>
  <conditionalFormatting sqref="D44">
    <cfRule type="cellIs" dxfId="246" priority="12" stopIfTrue="1" operator="equal">
      <formula>"NO ADMISIBLE"</formula>
    </cfRule>
  </conditionalFormatting>
  <conditionalFormatting sqref="E44">
    <cfRule type="expression" dxfId="245" priority="13" stopIfTrue="1">
      <formula>IF(#REF!-INT(#REF!)&gt;0,TRUE,FALSE)</formula>
    </cfRule>
  </conditionalFormatting>
  <conditionalFormatting sqref="D48 D45:E45">
    <cfRule type="cellIs" dxfId="244" priority="10" stopIfTrue="1" operator="equal">
      <formula>"NO ADMISIBLE"</formula>
    </cfRule>
  </conditionalFormatting>
  <conditionalFormatting sqref="E48">
    <cfRule type="expression" dxfId="243" priority="11" stopIfTrue="1">
      <formula>IF(#REF!-INT(#REF!)&gt;0,TRUE,FALSE)</formula>
    </cfRule>
  </conditionalFormatting>
  <conditionalFormatting sqref="D52">
    <cfRule type="cellIs" dxfId="242" priority="8" stopIfTrue="1" operator="equal">
      <formula>"NO ADMISIBLE"</formula>
    </cfRule>
  </conditionalFormatting>
  <conditionalFormatting sqref="E52">
    <cfRule type="expression" dxfId="241" priority="9" stopIfTrue="1">
      <formula>IF(#REF!-INT(#REF!)&gt;0,TRUE,FALSE)</formula>
    </cfRule>
  </conditionalFormatting>
  <conditionalFormatting sqref="D56 D53:E53">
    <cfRule type="cellIs" dxfId="240" priority="6" stopIfTrue="1" operator="equal">
      <formula>"NO ADMISIBLE"</formula>
    </cfRule>
  </conditionalFormatting>
  <conditionalFormatting sqref="E56">
    <cfRule type="expression" dxfId="239" priority="7" stopIfTrue="1">
      <formula>IF(#REF!-INT(#REF!)&gt;0,TRUE,FALSE)</formula>
    </cfRule>
  </conditionalFormatting>
  <conditionalFormatting sqref="D36">
    <cfRule type="cellIs" dxfId="238" priority="4" stopIfTrue="1" operator="equal">
      <formula>"NO ADMISIBLE"</formula>
    </cfRule>
  </conditionalFormatting>
  <conditionalFormatting sqref="D40 D37:E37">
    <cfRule type="cellIs" dxfId="237" priority="2" stopIfTrue="1" operator="equal">
      <formula>"NO ADMISIBLE"</formula>
    </cfRule>
  </conditionalFormatting>
  <conditionalFormatting sqref="E40">
    <cfRule type="expression" dxfId="236" priority="3" stopIfTrue="1">
      <formula>IF(#REF!-INT(#REF!)&gt;0,TRUE,FALSE)</formula>
    </cfRule>
  </conditionalFormatting>
  <conditionalFormatting sqref="E36">
    <cfRule type="expression" dxfId="235" priority="1" stopIfTrue="1">
      <formula>IF(#REF!-INT(#REF!)&gt;0,TRUE,FALSE)</formula>
    </cfRule>
  </conditionalFormatting>
  <dataValidations count="1">
    <dataValidation type="list" allowBlank="1" showInputMessage="1" showErrorMessage="1" sqref="D9 D16 D12:D13 D24:D25 D20:D21 D32 D28:D29 D48 D44:D45 D56 D52:D53 D40 D36:D37" xr:uid="{00000000-0002-0000-0700-000000000000}">
      <formula1>prueba</formula1>
    </dataValidation>
  </dataValidations>
  <pageMargins left="0.75" right="0.75" top="1" bottom="1" header="0" footer="0"/>
  <pageSetup paperSize="9" scale="5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2769" r:id="rId4" name="Button 1">
              <controlPr defaultSize="0" print="0" autoFill="0" autoPict="0" macro="[0]!MacroSaldoContratos">
                <anchor moveWithCells="1" sizeWithCells="1">
                  <from>
                    <xdr:col>0</xdr:col>
                    <xdr:colOff>219075</xdr:colOff>
                    <xdr:row>2</xdr:row>
                    <xdr:rowOff>114300</xdr:rowOff>
                  </from>
                  <to>
                    <xdr:col>1</xdr:col>
                    <xdr:colOff>638175</xdr:colOff>
                    <xdr:row>4</xdr:row>
                    <xdr:rowOff>28575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dimension ref="A2:J56"/>
  <sheetViews>
    <sheetView view="pageBreakPreview" zoomScale="80" zoomScaleNormal="100" zoomScaleSheetLayoutView="80" workbookViewId="0">
      <selection activeCell="E69" sqref="E69"/>
    </sheetView>
  </sheetViews>
  <sheetFormatPr baseColWidth="10" defaultColWidth="11.42578125" defaultRowHeight="12.75"/>
  <cols>
    <col min="1" max="2" width="7.42578125" style="101" customWidth="1"/>
    <col min="3" max="3" width="3.85546875" style="101" customWidth="1"/>
    <col min="4" max="4" width="35.140625" style="101" customWidth="1"/>
    <col min="5" max="5" width="68.140625" style="93" customWidth="1"/>
    <col min="6" max="6" width="23.140625" style="381" customWidth="1"/>
    <col min="7" max="7" width="13.85546875" style="112" customWidth="1"/>
    <col min="8" max="8" width="9.7109375" style="113" customWidth="1"/>
    <col min="9" max="9" width="12.42578125" style="101" customWidth="1"/>
    <col min="10" max="10" width="12.7109375" style="101" customWidth="1"/>
    <col min="11" max="16384" width="11.42578125" style="101"/>
  </cols>
  <sheetData>
    <row r="2" spans="3:10" s="103" customFormat="1" ht="20.25" customHeight="1">
      <c r="C2" s="471" t="s">
        <v>197</v>
      </c>
      <c r="D2" s="471"/>
      <c r="E2" s="471"/>
      <c r="F2" s="380"/>
      <c r="G2" s="104"/>
      <c r="H2" s="105"/>
    </row>
    <row r="3" spans="3:10" s="103" customFormat="1" ht="18" customHeight="1">
      <c r="C3" s="472" t="s">
        <v>211</v>
      </c>
      <c r="D3" s="472"/>
      <c r="E3" s="472"/>
      <c r="F3" s="380"/>
      <c r="G3" s="104"/>
      <c r="H3" s="105"/>
    </row>
    <row r="4" spans="3:10" s="103" customFormat="1" ht="13.5" customHeight="1">
      <c r="C4" s="473" t="str">
        <f>'Capacidad Financiera'!B4</f>
        <v>EVALUACIÓN FINANCIERA</v>
      </c>
      <c r="D4" s="473"/>
      <c r="E4" s="473"/>
      <c r="F4" s="380"/>
      <c r="G4" s="104"/>
      <c r="H4" s="105"/>
    </row>
    <row r="5" spans="3:10" s="103" customFormat="1" ht="13.5" customHeight="1">
      <c r="C5" s="473" t="s">
        <v>225</v>
      </c>
      <c r="D5" s="473"/>
      <c r="E5" s="473"/>
      <c r="F5" s="380"/>
      <c r="G5" s="104"/>
      <c r="H5" s="105"/>
    </row>
    <row r="6" spans="3:10" s="103" customFormat="1" ht="13.5" customHeight="1">
      <c r="C6" s="144"/>
      <c r="D6" s="212" t="s">
        <v>292</v>
      </c>
      <c r="E6" s="144"/>
      <c r="F6" s="380"/>
      <c r="G6" s="104"/>
      <c r="H6" s="105"/>
    </row>
    <row r="7" spans="3:10" s="103" customFormat="1" ht="13.5" customHeight="1">
      <c r="C7" s="144"/>
      <c r="D7" s="212" t="s">
        <v>298</v>
      </c>
      <c r="E7" s="144"/>
      <c r="F7" s="380"/>
      <c r="G7" s="104"/>
      <c r="H7" s="105"/>
    </row>
    <row r="8" spans="3:10" s="103" customFormat="1" ht="13.5" customHeight="1">
      <c r="C8" s="144"/>
      <c r="D8" s="144"/>
      <c r="E8" s="144"/>
      <c r="F8" s="380"/>
      <c r="G8" s="104"/>
      <c r="H8" s="105"/>
    </row>
    <row r="9" spans="3:10" s="103" customFormat="1" ht="14.25" thickBot="1">
      <c r="C9" s="106"/>
      <c r="D9" s="106"/>
      <c r="E9" s="110"/>
      <c r="F9" s="380"/>
      <c r="G9" s="104"/>
      <c r="H9" s="105"/>
    </row>
    <row r="10" spans="3:10" ht="23.25" customHeight="1">
      <c r="C10" s="467" t="s">
        <v>158</v>
      </c>
      <c r="D10" s="469" t="s">
        <v>157</v>
      </c>
      <c r="E10" s="133" t="s">
        <v>226</v>
      </c>
    </row>
    <row r="11" spans="3:10" ht="66" customHeight="1" thickBot="1">
      <c r="C11" s="468"/>
      <c r="D11" s="470"/>
      <c r="E11" s="138" t="s">
        <v>230</v>
      </c>
    </row>
    <row r="12" spans="3:10" ht="25.5">
      <c r="C12" s="238">
        <f>+'Capacidad Financiera'!B12</f>
        <v>1</v>
      </c>
      <c r="D12" s="243" t="str">
        <f>IF(ISERROR(VLOOKUP(C12,'Capacidad Financiera'!$B$12:$AA$59186,2,0)),"",VLOOKUP(C12,'Capacidad Financiera'!$B$12:$AA$59186,2,0))</f>
        <v>ESTUDIO, DISEÑO Y CONSTRUCCION EN INGENIERIA S.A.S</v>
      </c>
      <c r="E12" s="242">
        <v>109012185</v>
      </c>
      <c r="F12" s="405"/>
      <c r="G12" s="114"/>
      <c r="H12" s="248"/>
      <c r="I12" s="102"/>
      <c r="J12" s="102"/>
    </row>
    <row r="13" spans="3:10" ht="13.5">
      <c r="C13" s="106"/>
      <c r="D13" s="106"/>
      <c r="E13" s="110"/>
    </row>
    <row r="14" spans="3:10" hidden="1">
      <c r="C14" s="467" t="s">
        <v>158</v>
      </c>
      <c r="D14" s="469" t="s">
        <v>157</v>
      </c>
      <c r="E14" s="133" t="s">
        <v>226</v>
      </c>
      <c r="I14" s="316"/>
    </row>
    <row r="15" spans="3:10" ht="57" hidden="1" thickBot="1">
      <c r="C15" s="468"/>
      <c r="D15" s="470"/>
      <c r="E15" s="138" t="s">
        <v>230</v>
      </c>
    </row>
    <row r="16" spans="3:10" ht="17.25" hidden="1" customHeight="1">
      <c r="C16" s="238">
        <v>2</v>
      </c>
      <c r="D16" s="243" t="str">
        <f>IF(ISERROR(VLOOKUP(C16,'Capacidad Financiera'!$B$12:$AA$59186,2,0)),"",VLOOKUP(C16,'Capacidad Financiera'!$B$12:$AA$59186,2,0))</f>
        <v/>
      </c>
      <c r="E16" s="242"/>
      <c r="H16" s="248"/>
    </row>
    <row r="17" spans="1:9" hidden="1"/>
    <row r="18" spans="1:9" hidden="1">
      <c r="C18" s="467" t="s">
        <v>158</v>
      </c>
      <c r="D18" s="469" t="s">
        <v>157</v>
      </c>
      <c r="E18" s="133" t="s">
        <v>226</v>
      </c>
    </row>
    <row r="19" spans="1:9" ht="57" hidden="1" thickBot="1">
      <c r="C19" s="468"/>
      <c r="D19" s="470"/>
      <c r="E19" s="138" t="s">
        <v>230</v>
      </c>
    </row>
    <row r="20" spans="1:9" ht="15" hidden="1">
      <c r="C20" s="238"/>
      <c r="D20" s="243" t="str">
        <f>IF(ISERROR(VLOOKUP(C20,'Capacidad Financiera'!$B$12:$AA$59186,2,0)),"",VLOOKUP(C20,'Capacidad Financiera'!$B$12:$AA$59186,2,0))</f>
        <v/>
      </c>
      <c r="E20" s="242"/>
      <c r="G20" s="483"/>
      <c r="H20" s="483"/>
      <c r="I20" s="483"/>
    </row>
    <row r="21" spans="1:9" ht="14.25" hidden="1" thickBot="1">
      <c r="C21" s="106"/>
      <c r="D21" s="106"/>
      <c r="E21" s="110"/>
    </row>
    <row r="22" spans="1:9" hidden="1">
      <c r="C22" s="467" t="s">
        <v>158</v>
      </c>
      <c r="D22" s="469" t="s">
        <v>157</v>
      </c>
      <c r="E22" s="133" t="s">
        <v>226</v>
      </c>
    </row>
    <row r="23" spans="1:9" ht="57" hidden="1" thickBot="1">
      <c r="C23" s="468"/>
      <c r="D23" s="470"/>
      <c r="E23" s="138" t="s">
        <v>230</v>
      </c>
    </row>
    <row r="24" spans="1:9" s="361" customFormat="1" hidden="1">
      <c r="A24"/>
      <c r="B24"/>
      <c r="C24" s="238"/>
      <c r="D24" s="366" t="str">
        <f>IF(ISERROR(VLOOKUP(C24,'Capacidad Financiera'!$B$12:$AA$59186,2,0)),"",VLOOKUP(C24,'Capacidad Financiera'!$B$12:$AA$59186,2,0))</f>
        <v/>
      </c>
      <c r="E24" s="242"/>
      <c r="F24" s="381"/>
      <c r="G24" s="359"/>
      <c r="H24" s="360"/>
    </row>
    <row r="25" spans="1:9" ht="14.25" hidden="1" thickBot="1">
      <c r="C25" s="106"/>
      <c r="D25" s="106"/>
      <c r="E25" s="110"/>
    </row>
    <row r="26" spans="1:9" hidden="1">
      <c r="C26" s="467" t="s">
        <v>158</v>
      </c>
      <c r="D26" s="469" t="s">
        <v>157</v>
      </c>
      <c r="E26" s="133" t="s">
        <v>226</v>
      </c>
    </row>
    <row r="27" spans="1:9" ht="57" hidden="1" thickBot="1">
      <c r="C27" s="468"/>
      <c r="D27" s="470"/>
      <c r="E27" s="138" t="s">
        <v>230</v>
      </c>
    </row>
    <row r="28" spans="1:9" hidden="1">
      <c r="C28" s="238"/>
      <c r="D28" s="243" t="str">
        <f>IF(ISERROR(VLOOKUP(C28,'Capacidad Financiera'!$B$12:$AA$59186,2,0)),"",VLOOKUP(C28,'Capacidad Financiera'!$B$12:$AA$59186,2,0))</f>
        <v/>
      </c>
      <c r="E28" s="404"/>
    </row>
    <row r="29" spans="1:9" ht="14.25" hidden="1" thickBot="1">
      <c r="C29" s="106"/>
      <c r="D29" s="106"/>
      <c r="E29" s="110"/>
    </row>
    <row r="30" spans="1:9" hidden="1">
      <c r="C30" s="467" t="s">
        <v>158</v>
      </c>
      <c r="D30" s="469" t="s">
        <v>157</v>
      </c>
      <c r="E30" s="133" t="s">
        <v>226</v>
      </c>
    </row>
    <row r="31" spans="1:9" ht="57" hidden="1" thickBot="1">
      <c r="C31" s="468"/>
      <c r="D31" s="470"/>
      <c r="E31" s="138" t="s">
        <v>230</v>
      </c>
    </row>
    <row r="32" spans="1:9" ht="21.75" hidden="1" customHeight="1" thickBot="1">
      <c r="C32" s="238"/>
      <c r="D32" s="318" t="str">
        <f>IF(ISERROR(VLOOKUP(C32,'Capacidad Financiera'!$B$12:$AA$59186,2,0)),"",VLOOKUP(C32,'Capacidad Financiera'!$B$12:$AA$59186,2,0))</f>
        <v/>
      </c>
      <c r="E32" s="372"/>
      <c r="F32" s="397"/>
      <c r="G32" s="484"/>
      <c r="H32" s="484"/>
      <c r="I32" s="484"/>
    </row>
    <row r="33" spans="3:9" ht="19.5" hidden="1" customHeight="1" thickBot="1">
      <c r="C33" s="315"/>
      <c r="D33" s="316"/>
      <c r="E33" s="316"/>
    </row>
    <row r="34" spans="3:9" hidden="1">
      <c r="C34" s="467" t="s">
        <v>158</v>
      </c>
      <c r="D34" s="469" t="s">
        <v>157</v>
      </c>
      <c r="E34" s="133" t="s">
        <v>226</v>
      </c>
    </row>
    <row r="35" spans="3:9" ht="57" hidden="1" thickBot="1">
      <c r="C35" s="468"/>
      <c r="D35" s="470"/>
      <c r="E35" s="138" t="s">
        <v>230</v>
      </c>
    </row>
    <row r="36" spans="3:9" ht="30.75" hidden="1" customHeight="1" thickBot="1">
      <c r="C36" s="238"/>
      <c r="D36" s="318" t="str">
        <f>IF(ISERROR(VLOOKUP(C36,'Capacidad Financiera'!$B$12:$AA$59186,2,0)),"",VLOOKUP(C36,'Capacidad Financiera'!$B$12:$AA$59186,2,0))</f>
        <v/>
      </c>
      <c r="E36" s="319"/>
      <c r="G36" s="485"/>
      <c r="H36" s="486"/>
      <c r="I36" s="486"/>
    </row>
    <row r="37" spans="3:9" ht="14.25" hidden="1" thickBot="1">
      <c r="C37" s="106"/>
      <c r="D37" s="106"/>
      <c r="E37" s="110"/>
    </row>
    <row r="38" spans="3:9" hidden="1">
      <c r="C38" s="467" t="s">
        <v>158</v>
      </c>
      <c r="D38" s="469" t="s">
        <v>157</v>
      </c>
      <c r="E38" s="133" t="s">
        <v>226</v>
      </c>
    </row>
    <row r="39" spans="3:9" ht="57" hidden="1" thickBot="1">
      <c r="C39" s="468"/>
      <c r="D39" s="470"/>
      <c r="E39" s="138" t="s">
        <v>230</v>
      </c>
    </row>
    <row r="40" spans="3:9" ht="28.5" hidden="1" customHeight="1">
      <c r="C40" s="238"/>
      <c r="D40" s="243" t="str">
        <f>IF(ISERROR(VLOOKUP(C40,'Capacidad Financiera'!$B$12:$AA$59186,2,0)),"",VLOOKUP(C40,'Capacidad Financiera'!$B$12:$AA$59186,2,0))</f>
        <v/>
      </c>
      <c r="E40" s="242"/>
      <c r="G40" s="484"/>
      <c r="H40" s="484"/>
      <c r="I40" s="484"/>
    </row>
    <row r="41" spans="3:9" ht="13.5" hidden="1" thickBot="1">
      <c r="G41" s="337"/>
      <c r="H41" s="339"/>
      <c r="I41" s="340"/>
    </row>
    <row r="42" spans="3:9" hidden="1">
      <c r="C42" s="467" t="s">
        <v>158</v>
      </c>
      <c r="D42" s="469" t="s">
        <v>157</v>
      </c>
      <c r="E42" s="133" t="s">
        <v>226</v>
      </c>
      <c r="G42" s="337"/>
      <c r="H42" s="339"/>
      <c r="I42" s="340"/>
    </row>
    <row r="43" spans="3:9" ht="57" hidden="1" thickBot="1">
      <c r="C43" s="468"/>
      <c r="D43" s="470"/>
      <c r="E43" s="138" t="s">
        <v>230</v>
      </c>
      <c r="G43" s="337"/>
      <c r="H43" s="339"/>
      <c r="I43" s="340"/>
    </row>
    <row r="44" spans="3:9" ht="15" hidden="1">
      <c r="C44" s="238"/>
      <c r="D44" s="243" t="str">
        <f>IF(ISERROR(VLOOKUP(C44,'Capacidad Financiera'!$B$12:$AA$59186,2,0)),"",VLOOKUP(C44,'Capacidad Financiera'!$B$12:$AA$59186,2,0))</f>
        <v/>
      </c>
      <c r="E44" s="242"/>
      <c r="G44" s="483"/>
      <c r="H44" s="483"/>
      <c r="I44" s="483"/>
    </row>
    <row r="45" spans="3:9" ht="14.25" hidden="1" thickBot="1">
      <c r="C45" s="106"/>
      <c r="D45" s="106"/>
      <c r="E45" s="110"/>
      <c r="G45" s="337"/>
      <c r="H45" s="339"/>
      <c r="I45" s="340"/>
    </row>
    <row r="46" spans="3:9" hidden="1">
      <c r="C46" s="467" t="s">
        <v>158</v>
      </c>
      <c r="D46" s="469" t="s">
        <v>157</v>
      </c>
      <c r="E46" s="133" t="s">
        <v>226</v>
      </c>
      <c r="G46" s="341"/>
      <c r="H46" s="342"/>
      <c r="I46" s="90"/>
    </row>
    <row r="47" spans="3:9" ht="57" hidden="1" thickBot="1">
      <c r="C47" s="468"/>
      <c r="D47" s="470"/>
      <c r="E47" s="290" t="s">
        <v>230</v>
      </c>
    </row>
    <row r="48" spans="3:9" hidden="1">
      <c r="C48" s="238"/>
      <c r="D48" s="243" t="str">
        <f>IF(ISERROR(VLOOKUP(C48,'Capacidad Financiera'!$B$12:$AA$59186,2,0)),"",VLOOKUP(C48,'Capacidad Financiera'!$B$12:$AA$59186,2,0))</f>
        <v/>
      </c>
      <c r="E48" s="242"/>
    </row>
    <row r="50" spans="3:9" hidden="1">
      <c r="C50" s="467" t="s">
        <v>158</v>
      </c>
      <c r="D50" s="469" t="s">
        <v>157</v>
      </c>
      <c r="E50" s="133" t="s">
        <v>226</v>
      </c>
    </row>
    <row r="51" spans="3:9" ht="57" hidden="1" thickBot="1">
      <c r="C51" s="468"/>
      <c r="D51" s="470"/>
      <c r="E51" s="138" t="s">
        <v>230</v>
      </c>
    </row>
    <row r="52" spans="3:9" ht="30.75" hidden="1" customHeight="1">
      <c r="C52" s="238"/>
      <c r="D52" s="243" t="str">
        <f>IF(ISERROR(VLOOKUP(C52,'Capacidad Financiera'!$B$12:$AA$59186,2,0)),"",VLOOKUP(C52,'Capacidad Financiera'!$B$12:$AA$59186,2,0))</f>
        <v/>
      </c>
      <c r="E52" s="242"/>
      <c r="G52" s="483"/>
      <c r="H52" s="483"/>
      <c r="I52" s="483"/>
    </row>
    <row r="53" spans="3:9" ht="14.25" hidden="1" thickBot="1">
      <c r="C53" s="106"/>
      <c r="D53" s="106"/>
      <c r="E53" s="110"/>
    </row>
    <row r="54" spans="3:9" hidden="1">
      <c r="C54" s="467" t="s">
        <v>158</v>
      </c>
      <c r="D54" s="469" t="s">
        <v>157</v>
      </c>
      <c r="E54" s="133" t="s">
        <v>226</v>
      </c>
    </row>
    <row r="55" spans="3:9" ht="57" hidden="1" thickBot="1">
      <c r="C55" s="468"/>
      <c r="D55" s="470"/>
      <c r="E55" s="138" t="s">
        <v>230</v>
      </c>
    </row>
    <row r="56" spans="3:9" ht="30.75" hidden="1" customHeight="1">
      <c r="C56" s="238"/>
      <c r="D56" s="243" t="str">
        <f>IF(ISERROR(VLOOKUP(C56,'Capacidad Financiera'!$B$12:$AA$59186,2,0)),"",VLOOKUP(C56,'Capacidad Financiera'!$B$12:$AA$59186,2,0))</f>
        <v/>
      </c>
      <c r="E56" s="242"/>
      <c r="G56" s="483"/>
      <c r="H56" s="483"/>
      <c r="I56" s="483"/>
    </row>
  </sheetData>
  <sheetProtection algorithmName="SHA-512" hashValue="NqqPd7fpAkssJyvaCbT+OfchpsukEapZ3mJokDyh26eRWVgqFmmBPAL+YGJZ5M6+vz0W5wr3ryeOroh7IDQECw==" saltValue="tIEfHUiMc8nu93lyvEfNTA==" spinCount="100000" sheet="1" objects="1" scenarios="1" selectLockedCells="1" selectUnlockedCells="1"/>
  <mergeCells count="35">
    <mergeCell ref="C26:C27"/>
    <mergeCell ref="D26:D27"/>
    <mergeCell ref="C30:C31"/>
    <mergeCell ref="D30:D31"/>
    <mergeCell ref="C42:C43"/>
    <mergeCell ref="D42:D43"/>
    <mergeCell ref="C18:C19"/>
    <mergeCell ref="D18:D19"/>
    <mergeCell ref="C22:C23"/>
    <mergeCell ref="D22:D23"/>
    <mergeCell ref="C14:C15"/>
    <mergeCell ref="D14:D15"/>
    <mergeCell ref="C2:E2"/>
    <mergeCell ref="C3:E3"/>
    <mergeCell ref="C4:E4"/>
    <mergeCell ref="C5:E5"/>
    <mergeCell ref="C10:C11"/>
    <mergeCell ref="D10:D11"/>
    <mergeCell ref="C50:C51"/>
    <mergeCell ref="D50:D51"/>
    <mergeCell ref="C54:C55"/>
    <mergeCell ref="D54:D55"/>
    <mergeCell ref="C34:C35"/>
    <mergeCell ref="D34:D35"/>
    <mergeCell ref="C38:C39"/>
    <mergeCell ref="D38:D39"/>
    <mergeCell ref="C46:C47"/>
    <mergeCell ref="D46:D47"/>
    <mergeCell ref="G20:I20"/>
    <mergeCell ref="G44:I44"/>
    <mergeCell ref="G52:I52"/>
    <mergeCell ref="G56:I56"/>
    <mergeCell ref="G32:I32"/>
    <mergeCell ref="G36:I36"/>
    <mergeCell ref="G40:I40"/>
  </mergeCells>
  <conditionalFormatting sqref="D12 D9:E9">
    <cfRule type="cellIs" dxfId="234" priority="376" stopIfTrue="1" operator="equal">
      <formula>"NO ADMISIBLE"</formula>
    </cfRule>
  </conditionalFormatting>
  <conditionalFormatting sqref="D16 D13:E13">
    <cfRule type="cellIs" dxfId="232" priority="33" stopIfTrue="1" operator="equal">
      <formula>"NO ADMISIBLE"</formula>
    </cfRule>
  </conditionalFormatting>
  <conditionalFormatting sqref="D20">
    <cfRule type="cellIs" dxfId="231" priority="29" stopIfTrue="1" operator="equal">
      <formula>"NO ADMISIBLE"</formula>
    </cfRule>
  </conditionalFormatting>
  <conditionalFormatting sqref="D24 D21:E21">
    <cfRule type="cellIs" dxfId="230" priority="27" stopIfTrue="1" operator="equal">
      <formula>"NO ADMISIBLE"</formula>
    </cfRule>
  </conditionalFormatting>
  <conditionalFormatting sqref="D28 D25:E25">
    <cfRule type="cellIs" dxfId="229" priority="25" stopIfTrue="1" operator="equal">
      <formula>"NO ADMISIBLE"</formula>
    </cfRule>
  </conditionalFormatting>
  <conditionalFormatting sqref="D33 D29:E29">
    <cfRule type="cellIs" dxfId="228" priority="23" stopIfTrue="1" operator="equal">
      <formula>"NO ADMISIBLE"</formula>
    </cfRule>
  </conditionalFormatting>
  <conditionalFormatting sqref="E33">
    <cfRule type="expression" dxfId="227" priority="24" stopIfTrue="1">
      <formula>IF(#REF!-INT(#REF!)&gt;0,TRUE,FALSE)</formula>
    </cfRule>
  </conditionalFormatting>
  <conditionalFormatting sqref="D44">
    <cfRule type="cellIs" dxfId="226" priority="21" stopIfTrue="1" operator="equal">
      <formula>"NO ADMISIBLE"</formula>
    </cfRule>
  </conditionalFormatting>
  <conditionalFormatting sqref="E44">
    <cfRule type="expression" dxfId="225" priority="22" stopIfTrue="1">
      <formula>IF(#REF!-INT(#REF!)&gt;0,TRUE,FALSE)</formula>
    </cfRule>
  </conditionalFormatting>
  <conditionalFormatting sqref="D48 D45:E45">
    <cfRule type="cellIs" dxfId="224" priority="19" stopIfTrue="1" operator="equal">
      <formula>"NO ADMISIBLE"</formula>
    </cfRule>
  </conditionalFormatting>
  <conditionalFormatting sqref="E56">
    <cfRule type="expression" dxfId="223" priority="16" stopIfTrue="1">
      <formula>IF(#REF!-INT(#REF!)&gt;0,TRUE,FALSE)</formula>
    </cfRule>
  </conditionalFormatting>
  <conditionalFormatting sqref="D52">
    <cfRule type="cellIs" dxfId="222" priority="17" stopIfTrue="1" operator="equal">
      <formula>"NO ADMISIBLE"</formula>
    </cfRule>
  </conditionalFormatting>
  <conditionalFormatting sqref="E52">
    <cfRule type="expression" dxfId="221" priority="18" stopIfTrue="1">
      <formula>IF(#REF!-INT(#REF!)&gt;0,TRUE,FALSE)</formula>
    </cfRule>
  </conditionalFormatting>
  <conditionalFormatting sqref="D56 D53:E53">
    <cfRule type="cellIs" dxfId="220" priority="15" stopIfTrue="1" operator="equal">
      <formula>"NO ADMISIBLE"</formula>
    </cfRule>
  </conditionalFormatting>
  <conditionalFormatting sqref="D36">
    <cfRule type="cellIs" dxfId="219" priority="13" stopIfTrue="1" operator="equal">
      <formula>"NO ADMISIBLE"</formula>
    </cfRule>
  </conditionalFormatting>
  <conditionalFormatting sqref="E36">
    <cfRule type="expression" dxfId="218" priority="14" stopIfTrue="1">
      <formula>IF(#REF!-INT(#REF!)&gt;0,TRUE,FALSE)</formula>
    </cfRule>
  </conditionalFormatting>
  <conditionalFormatting sqref="D40 D37:E37">
    <cfRule type="cellIs" dxfId="217" priority="11" stopIfTrue="1" operator="equal">
      <formula>"NO ADMISIBLE"</formula>
    </cfRule>
  </conditionalFormatting>
  <conditionalFormatting sqref="E40">
    <cfRule type="expression" dxfId="216" priority="12" stopIfTrue="1">
      <formula>IF(#REF!-INT(#REF!)&gt;0,TRUE,FALSE)</formula>
    </cfRule>
  </conditionalFormatting>
  <conditionalFormatting sqref="D32">
    <cfRule type="cellIs" dxfId="215" priority="10" stopIfTrue="1" operator="equal">
      <formula>"NO ADMISIBLE"</formula>
    </cfRule>
  </conditionalFormatting>
  <conditionalFormatting sqref="E16">
    <cfRule type="expression" dxfId="214" priority="8" stopIfTrue="1">
      <formula>IF(#REF!-INT(#REF!)&gt;0,TRUE,FALSE)</formula>
    </cfRule>
  </conditionalFormatting>
  <conditionalFormatting sqref="E48">
    <cfRule type="expression" dxfId="213" priority="7" stopIfTrue="1">
      <formula>IF(#REF!-INT(#REF!)&gt;0,TRUE,FALSE)</formula>
    </cfRule>
  </conditionalFormatting>
  <conditionalFormatting sqref="I14">
    <cfRule type="expression" dxfId="212" priority="5" stopIfTrue="1">
      <formula>IF(#REF!-INT(#REF!)&gt;0,TRUE,FALSE)</formula>
    </cfRule>
  </conditionalFormatting>
  <conditionalFormatting sqref="E20">
    <cfRule type="expression" dxfId="211" priority="4" stopIfTrue="1">
      <formula>IF(#REF!-INT(#REF!)&gt;0,TRUE,FALSE)</formula>
    </cfRule>
  </conditionalFormatting>
  <conditionalFormatting sqref="E24">
    <cfRule type="expression" dxfId="210" priority="3" stopIfTrue="1">
      <formula>IF(#REF!-INT(#REF!)&gt;0,TRUE,FALSE)</formula>
    </cfRule>
  </conditionalFormatting>
  <conditionalFormatting sqref="E12">
    <cfRule type="expression" dxfId="7" priority="1" stopIfTrue="1">
      <formula>IF(#REF!-INT(#REF!)&gt;0,TRUE,FALSE)</formula>
    </cfRule>
  </conditionalFormatting>
  <dataValidations count="1">
    <dataValidation type="list" allowBlank="1" showInputMessage="1" showErrorMessage="1" sqref="D9 D16 D12:D13 D24:D25 D20:D21 D32:D33 D28:D29 D48 D44:D45 D56 D52:D53 D40 D36:D37" xr:uid="{00000000-0002-0000-0800-000000000000}">
      <formula1>prueba</formula1>
    </dataValidation>
  </dataValidations>
  <pageMargins left="0.75" right="0.75" top="1" bottom="1" header="0" footer="0"/>
  <pageSetup paperSize="9" scale="4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817" r:id="rId4" name="Button 1">
              <controlPr defaultSize="0" print="0" autoFill="0" autoPict="0" macro="[0]!MacroCapOrganizacion">
                <anchor moveWithCells="1" sizeWithCells="1">
                  <from>
                    <xdr:col>0</xdr:col>
                    <xdr:colOff>219075</xdr:colOff>
                    <xdr:row>2</xdr:row>
                    <xdr:rowOff>114300</xdr:rowOff>
                  </from>
                  <to>
                    <xdr:col>1</xdr:col>
                    <xdr:colOff>638175</xdr:colOff>
                    <xdr:row>4</xdr:row>
                    <xdr:rowOff>28575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3"/>
  <dimension ref="C2:K44"/>
  <sheetViews>
    <sheetView view="pageBreakPreview" zoomScale="80" zoomScaleNormal="85" zoomScaleSheetLayoutView="80" workbookViewId="0">
      <selection activeCell="F11" sqref="F11"/>
    </sheetView>
  </sheetViews>
  <sheetFormatPr baseColWidth="10" defaultColWidth="11.42578125" defaultRowHeight="12.75"/>
  <cols>
    <col min="1" max="1" width="11.42578125" style="101" customWidth="1"/>
    <col min="2" max="2" width="11.28515625" style="101" customWidth="1"/>
    <col min="3" max="3" width="3.85546875" style="101" customWidth="1"/>
    <col min="4" max="4" width="29.42578125" style="101" customWidth="1"/>
    <col min="5" max="5" width="35" style="100" customWidth="1"/>
    <col min="6" max="6" width="35" style="131" customWidth="1"/>
    <col min="7" max="7" width="28.140625" style="381" customWidth="1"/>
    <col min="8" max="8" width="27.7109375" style="112" customWidth="1"/>
    <col min="9" max="9" width="9.7109375" style="113" customWidth="1"/>
    <col min="10" max="10" width="12.42578125" style="101" customWidth="1"/>
    <col min="11" max="11" width="12.7109375" style="101" customWidth="1"/>
    <col min="12" max="16384" width="11.42578125" style="101"/>
  </cols>
  <sheetData>
    <row r="2" spans="3:11" s="103" customFormat="1" ht="20.25" customHeight="1">
      <c r="C2" s="471" t="s">
        <v>197</v>
      </c>
      <c r="D2" s="471"/>
      <c r="E2" s="471"/>
      <c r="F2" s="471"/>
      <c r="G2" s="380"/>
      <c r="H2" s="104"/>
      <c r="I2" s="105"/>
    </row>
    <row r="3" spans="3:11" s="103" customFormat="1" ht="18" customHeight="1">
      <c r="C3" s="472" t="s">
        <v>211</v>
      </c>
      <c r="D3" s="472"/>
      <c r="E3" s="472"/>
      <c r="F3" s="472"/>
      <c r="G3" s="380"/>
      <c r="H3" s="104"/>
      <c r="I3" s="105"/>
    </row>
    <row r="4" spans="3:11" s="103" customFormat="1" ht="13.5" customHeight="1">
      <c r="C4" s="473" t="str">
        <f>'Capacidad Financiera'!B4</f>
        <v>EVALUACIÓN FINANCIERA</v>
      </c>
      <c r="D4" s="473"/>
      <c r="E4" s="473"/>
      <c r="F4" s="473"/>
      <c r="G4" s="380"/>
      <c r="H4" s="104"/>
      <c r="I4" s="105"/>
    </row>
    <row r="5" spans="3:11" s="103" customFormat="1" ht="21" customHeight="1">
      <c r="C5" s="473" t="s">
        <v>210</v>
      </c>
      <c r="D5" s="473"/>
      <c r="E5" s="473"/>
      <c r="F5" s="473"/>
      <c r="G5" s="380"/>
      <c r="H5" s="104"/>
      <c r="I5" s="105"/>
    </row>
    <row r="6" spans="3:11" s="103" customFormat="1" ht="18.95" customHeight="1">
      <c r="C6" s="144"/>
      <c r="D6" s="12" t="s">
        <v>292</v>
      </c>
      <c r="E6" s="144"/>
      <c r="F6" s="144"/>
      <c r="G6" s="380"/>
      <c r="H6" s="104"/>
      <c r="I6" s="105"/>
    </row>
    <row r="7" spans="3:11" s="103" customFormat="1" ht="22.5" customHeight="1">
      <c r="C7" s="144"/>
      <c r="D7" s="12" t="s">
        <v>298</v>
      </c>
      <c r="E7" s="144"/>
      <c r="F7" s="144"/>
      <c r="G7" s="380"/>
      <c r="H7" s="104"/>
      <c r="I7" s="105"/>
    </row>
    <row r="8" spans="3:11" s="103" customFormat="1" ht="14.25" thickBot="1">
      <c r="C8" s="106"/>
      <c r="D8" s="106"/>
      <c r="E8" s="109"/>
      <c r="F8" s="110"/>
      <c r="G8" s="380"/>
      <c r="H8" s="104"/>
      <c r="I8" s="105"/>
    </row>
    <row r="9" spans="3:11" ht="19.5" customHeight="1">
      <c r="C9" s="467" t="s">
        <v>158</v>
      </c>
      <c r="D9" s="469" t="s">
        <v>157</v>
      </c>
      <c r="E9" s="132" t="s">
        <v>200</v>
      </c>
      <c r="F9" s="133" t="s">
        <v>210</v>
      </c>
    </row>
    <row r="10" spans="3:11" ht="67.5" customHeight="1" thickBot="1">
      <c r="C10" s="468"/>
      <c r="D10" s="470"/>
      <c r="E10" s="267" t="s">
        <v>201</v>
      </c>
      <c r="F10" s="138" t="s">
        <v>212</v>
      </c>
    </row>
    <row r="11" spans="3:11" ht="38.25">
      <c r="C11" s="238">
        <f>+'Capacidad Financiera'!B12</f>
        <v>1</v>
      </c>
      <c r="D11" s="243" t="str">
        <f>IF(ISERROR(VLOOKUP(C11,'Capacidad Financiera'!$B$12:$AA$59186,2,0)),"",VLOOKUP(C11,'Capacidad Financiera'!$B$12:$AA$59186,2,0))</f>
        <v>ESTUDIO, DISEÑO Y CONSTRUCCION EN INGENIERIA S.A.S</v>
      </c>
      <c r="E11" s="244"/>
      <c r="F11" s="136"/>
      <c r="G11" s="407" t="s">
        <v>301</v>
      </c>
      <c r="H11" s="114"/>
      <c r="I11" s="115"/>
      <c r="J11" s="102"/>
      <c r="K11" s="102"/>
    </row>
    <row r="12" spans="3:11" hidden="1">
      <c r="C12" s="467" t="s">
        <v>158</v>
      </c>
      <c r="D12" s="469" t="s">
        <v>157</v>
      </c>
      <c r="E12" s="132" t="s">
        <v>200</v>
      </c>
      <c r="F12" s="133" t="s">
        <v>210</v>
      </c>
    </row>
    <row r="13" spans="3:11" ht="70.5" hidden="1" customHeight="1" thickBot="1">
      <c r="C13" s="468"/>
      <c r="D13" s="470"/>
      <c r="E13" s="267" t="s">
        <v>201</v>
      </c>
      <c r="F13" s="138" t="s">
        <v>212</v>
      </c>
    </row>
    <row r="14" spans="3:11" ht="26.25" hidden="1" customHeight="1">
      <c r="C14" s="238">
        <v>2</v>
      </c>
      <c r="D14" s="243" t="str">
        <f>IF(ISERROR(VLOOKUP(C14,'Capacidad Financiera'!$B$12:$AA$59186,2,0)),"",VLOOKUP(C14,'Capacidad Financiera'!$B$12:$AA$59186,2,0))</f>
        <v/>
      </c>
      <c r="E14" s="244"/>
      <c r="F14" s="136" t="s">
        <v>297</v>
      </c>
      <c r="G14" s="407"/>
    </row>
    <row r="15" spans="3:11" hidden="1">
      <c r="C15" s="467" t="s">
        <v>158</v>
      </c>
      <c r="D15" s="469" t="s">
        <v>157</v>
      </c>
      <c r="E15" s="132" t="s">
        <v>200</v>
      </c>
      <c r="F15" s="133" t="s">
        <v>210</v>
      </c>
    </row>
    <row r="16" spans="3:11" ht="71.25" hidden="1" customHeight="1" thickBot="1">
      <c r="C16" s="468"/>
      <c r="D16" s="470"/>
      <c r="E16" s="267" t="s">
        <v>201</v>
      </c>
      <c r="F16" s="138" t="s">
        <v>212</v>
      </c>
    </row>
    <row r="17" spans="3:9" ht="21.95" hidden="1" customHeight="1" thickBot="1">
      <c r="C17" s="238"/>
      <c r="D17" s="243" t="str">
        <f>IF(ISERROR(VLOOKUP(C17,'Capacidad Financiera'!$B$12:$AA$59186,2,0)),"",VLOOKUP(C17,'Capacidad Financiera'!$B$12:$AA$59186,2,0))</f>
        <v/>
      </c>
      <c r="E17" s="244"/>
      <c r="F17" s="136" t="s">
        <v>297</v>
      </c>
      <c r="H17" s="337"/>
    </row>
    <row r="18" spans="3:9" hidden="1">
      <c r="C18" s="467" t="s">
        <v>158</v>
      </c>
      <c r="D18" s="469" t="s">
        <v>157</v>
      </c>
      <c r="E18" s="132" t="s">
        <v>200</v>
      </c>
      <c r="F18" s="133" t="s">
        <v>210</v>
      </c>
    </row>
    <row r="19" spans="3:9" ht="57" hidden="1" thickBot="1">
      <c r="C19" s="468"/>
      <c r="D19" s="470"/>
      <c r="E19" s="267" t="s">
        <v>201</v>
      </c>
      <c r="F19" s="138" t="s">
        <v>212</v>
      </c>
    </row>
    <row r="20" spans="3:9" ht="23.1" hidden="1" customHeight="1" thickBot="1">
      <c r="C20" s="238"/>
      <c r="D20" s="243" t="str">
        <f>IF(ISERROR(VLOOKUP(C20,'Capacidad Financiera'!$B$12:$AA$59186,2,0)),"",VLOOKUP(C20,'Capacidad Financiera'!$B$12:$AA$59186,2,0))</f>
        <v/>
      </c>
      <c r="E20" s="244"/>
      <c r="F20" s="136" t="s">
        <v>297</v>
      </c>
    </row>
    <row r="21" spans="3:9" hidden="1">
      <c r="C21" s="467" t="s">
        <v>158</v>
      </c>
      <c r="D21" s="469" t="s">
        <v>157</v>
      </c>
      <c r="E21" s="132" t="s">
        <v>200</v>
      </c>
      <c r="F21" s="133" t="s">
        <v>210</v>
      </c>
    </row>
    <row r="22" spans="3:9" ht="57" hidden="1" thickBot="1">
      <c r="C22" s="468"/>
      <c r="D22" s="470"/>
      <c r="E22" s="267" t="s">
        <v>201</v>
      </c>
      <c r="F22" s="138" t="s">
        <v>212</v>
      </c>
    </row>
    <row r="23" spans="3:9" ht="13.5" hidden="1" thickBot="1">
      <c r="C23" s="238"/>
      <c r="D23" s="243" t="str">
        <f>IF(ISERROR(VLOOKUP(C23,'Capacidad Financiera'!$B$12:$AA$59186,2,0)),"",VLOOKUP(C23,'Capacidad Financiera'!$B$12:$AA$59186,2,0))</f>
        <v/>
      </c>
      <c r="E23" s="244"/>
      <c r="F23" s="136" t="s">
        <v>297</v>
      </c>
    </row>
    <row r="24" spans="3:9" hidden="1">
      <c r="C24" s="467" t="s">
        <v>158</v>
      </c>
      <c r="D24" s="469" t="s">
        <v>157</v>
      </c>
      <c r="E24" s="132" t="s">
        <v>200</v>
      </c>
      <c r="F24" s="133" t="s">
        <v>210</v>
      </c>
    </row>
    <row r="25" spans="3:9" ht="57" hidden="1" thickBot="1">
      <c r="C25" s="468"/>
      <c r="D25" s="470"/>
      <c r="E25" s="267" t="s">
        <v>201</v>
      </c>
      <c r="F25" s="138" t="s">
        <v>212</v>
      </c>
    </row>
    <row r="26" spans="3:9" ht="13.5" hidden="1" thickBot="1">
      <c r="C26" s="238"/>
      <c r="D26" s="243" t="str">
        <f>IF(ISERROR(VLOOKUP(C26,'Capacidad Financiera'!$B$12:$AA$59186,2,0)),"",VLOOKUP(C26,'Capacidad Financiera'!$B$12:$AA$59186,2,0))</f>
        <v/>
      </c>
      <c r="E26" s="244"/>
      <c r="F26" s="136" t="s">
        <v>297</v>
      </c>
      <c r="H26" s="334"/>
    </row>
    <row r="27" spans="3:9" hidden="1">
      <c r="C27" s="467" t="s">
        <v>158</v>
      </c>
      <c r="D27" s="469" t="s">
        <v>157</v>
      </c>
      <c r="E27" s="132" t="s">
        <v>200</v>
      </c>
      <c r="F27" s="133" t="s">
        <v>210</v>
      </c>
    </row>
    <row r="28" spans="3:9" ht="57" hidden="1" thickBot="1">
      <c r="C28" s="468"/>
      <c r="D28" s="470"/>
      <c r="E28" s="267" t="s">
        <v>201</v>
      </c>
      <c r="F28" s="138" t="s">
        <v>212</v>
      </c>
    </row>
    <row r="29" spans="3:9" customFormat="1" ht="27.75" hidden="1" customHeight="1" thickBot="1">
      <c r="C29" s="238"/>
      <c r="D29" s="366" t="str">
        <f>IF(ISERROR(VLOOKUP(C29,'Capacidad Financiera'!$B$12:$AA$59186,2,0)),"",VLOOKUP(C29,'Capacidad Financiera'!$B$12:$AA$59186,2,0))</f>
        <v/>
      </c>
      <c r="E29" s="367"/>
      <c r="F29" s="368" t="s">
        <v>297</v>
      </c>
      <c r="G29" s="398"/>
      <c r="H29" s="399"/>
      <c r="I29" s="400"/>
    </row>
    <row r="30" spans="3:9" hidden="1">
      <c r="C30" s="467" t="s">
        <v>158</v>
      </c>
      <c r="D30" s="469" t="s">
        <v>157</v>
      </c>
      <c r="E30" s="132" t="s">
        <v>200</v>
      </c>
      <c r="F30" s="133" t="s">
        <v>210</v>
      </c>
    </row>
    <row r="31" spans="3:9" ht="57" hidden="1" thickBot="1">
      <c r="C31" s="468"/>
      <c r="D31" s="470"/>
      <c r="E31" s="267" t="s">
        <v>201</v>
      </c>
      <c r="F31" s="138" t="s">
        <v>212</v>
      </c>
    </row>
    <row r="32" spans="3:9" ht="27" hidden="1" customHeight="1" thickBot="1">
      <c r="C32" s="238"/>
      <c r="D32" s="243" t="str">
        <f>IF(ISERROR(VLOOKUP(C32,'Capacidad Financiera'!$B$12:$AA$59186,2,0)),"",VLOOKUP(C32,'Capacidad Financiera'!$B$12:$AA$59186,2,0))</f>
        <v/>
      </c>
      <c r="E32" s="244"/>
      <c r="F32" s="136" t="s">
        <v>297</v>
      </c>
    </row>
    <row r="33" spans="3:8" hidden="1">
      <c r="C33" s="467" t="s">
        <v>158</v>
      </c>
      <c r="D33" s="469" t="s">
        <v>157</v>
      </c>
      <c r="E33" s="132" t="s">
        <v>200</v>
      </c>
      <c r="F33" s="133" t="s">
        <v>210</v>
      </c>
    </row>
    <row r="34" spans="3:8" ht="59.1" hidden="1" customHeight="1" thickBot="1">
      <c r="C34" s="468"/>
      <c r="D34" s="470"/>
      <c r="E34" s="267" t="s">
        <v>201</v>
      </c>
      <c r="F34" s="138" t="s">
        <v>212</v>
      </c>
    </row>
    <row r="35" spans="3:8" ht="13.5" hidden="1" thickBot="1">
      <c r="C35" s="238"/>
      <c r="D35" s="243" t="str">
        <f>IF(ISERROR(VLOOKUP(C35,'Capacidad Financiera'!$B$12:$AA$59186,2,0)),"",VLOOKUP(C35,'Capacidad Financiera'!$B$12:$AA$59186,2,0))</f>
        <v/>
      </c>
      <c r="E35" s="244"/>
      <c r="F35" s="136" t="s">
        <v>297</v>
      </c>
    </row>
    <row r="36" spans="3:8" hidden="1">
      <c r="C36" s="467" t="s">
        <v>158</v>
      </c>
      <c r="D36" s="469" t="s">
        <v>157</v>
      </c>
      <c r="E36" s="132" t="s">
        <v>200</v>
      </c>
      <c r="F36" s="133" t="s">
        <v>210</v>
      </c>
    </row>
    <row r="37" spans="3:8" ht="74.25" hidden="1" customHeight="1" thickBot="1">
      <c r="C37" s="468"/>
      <c r="D37" s="470"/>
      <c r="E37" s="267" t="s">
        <v>201</v>
      </c>
      <c r="F37" s="138" t="s">
        <v>212</v>
      </c>
    </row>
    <row r="38" spans="3:8" ht="15.75" hidden="1" thickBot="1">
      <c r="C38" s="317"/>
      <c r="D38" s="318" t="str">
        <f>IF(ISERROR(VLOOKUP(C38,'Capacidad Financiera'!$B$12:$AA$59186,2,0)),"",VLOOKUP(C38,'Capacidad Financiera'!$B$12:$AA$59186,2,0))</f>
        <v/>
      </c>
      <c r="E38" s="401"/>
      <c r="F38" s="390" t="s">
        <v>297</v>
      </c>
      <c r="H38" s="343"/>
    </row>
    <row r="39" spans="3:8" hidden="1">
      <c r="C39" s="467" t="s">
        <v>158</v>
      </c>
      <c r="D39" s="469" t="s">
        <v>157</v>
      </c>
      <c r="E39" s="132" t="s">
        <v>200</v>
      </c>
      <c r="F39" s="133" t="s">
        <v>210</v>
      </c>
    </row>
    <row r="40" spans="3:8" ht="57" hidden="1" thickBot="1">
      <c r="C40" s="468"/>
      <c r="D40" s="470"/>
      <c r="E40" s="267" t="s">
        <v>201</v>
      </c>
      <c r="F40" s="138" t="s">
        <v>212</v>
      </c>
    </row>
    <row r="41" spans="3:8" ht="26.25" hidden="1" customHeight="1" thickBot="1">
      <c r="C41" s="238"/>
      <c r="D41" s="243" t="str">
        <f>IF(ISERROR(VLOOKUP(C41,'Capacidad Financiera'!$B$12:$AA$59186,2,0)),"",VLOOKUP(C41,'Capacidad Financiera'!$B$12:$AA$59186,2,0))</f>
        <v/>
      </c>
      <c r="E41" s="244"/>
      <c r="F41" s="136" t="s">
        <v>297</v>
      </c>
    </row>
    <row r="42" spans="3:8" hidden="1">
      <c r="C42" s="467" t="s">
        <v>158</v>
      </c>
      <c r="D42" s="469" t="s">
        <v>157</v>
      </c>
      <c r="E42" s="132" t="s">
        <v>200</v>
      </c>
      <c r="F42" s="133" t="s">
        <v>210</v>
      </c>
    </row>
    <row r="43" spans="3:8" ht="57" hidden="1" thickBot="1">
      <c r="C43" s="468"/>
      <c r="D43" s="470"/>
      <c r="E43" s="267" t="s">
        <v>201</v>
      </c>
      <c r="F43" s="138" t="s">
        <v>212</v>
      </c>
    </row>
    <row r="44" spans="3:8" ht="27" hidden="1" customHeight="1">
      <c r="C44" s="238"/>
      <c r="D44" s="243" t="str">
        <f>IF(ISERROR(VLOOKUP(C44,'Capacidad Financiera'!$B$12:$AA$59186,2,0)),"",VLOOKUP(C44,'Capacidad Financiera'!$B$12:$AA$59186,2,0))</f>
        <v/>
      </c>
      <c r="E44" s="244"/>
      <c r="F44" s="136" t="s">
        <v>297</v>
      </c>
      <c r="H44" s="343"/>
    </row>
  </sheetData>
  <sheetProtection algorithmName="SHA-512" hashValue="IfaWlxRk4aUVp2IYynVZRx0o6U6icTQLJK95SQw4uxNGpopIfzIu7fatteaYGbk3JOeUHXzPQzT7foH4uDGaEA==" saltValue="x4F0FKvpmZDDv3/3MGqHDQ==" spinCount="100000" sheet="1" objects="1" scenarios="1" selectLockedCells="1" selectUnlockedCells="1"/>
  <mergeCells count="28">
    <mergeCell ref="C21:C22"/>
    <mergeCell ref="D21:D22"/>
    <mergeCell ref="C24:C25"/>
    <mergeCell ref="D24:D25"/>
    <mergeCell ref="C33:C34"/>
    <mergeCell ref="D33:D34"/>
    <mergeCell ref="C15:C16"/>
    <mergeCell ref="D15:D16"/>
    <mergeCell ref="C18:C19"/>
    <mergeCell ref="D18:D19"/>
    <mergeCell ref="C12:C13"/>
    <mergeCell ref="D12:D13"/>
    <mergeCell ref="C2:F2"/>
    <mergeCell ref="C3:F3"/>
    <mergeCell ref="C4:F4"/>
    <mergeCell ref="C5:F5"/>
    <mergeCell ref="C9:C10"/>
    <mergeCell ref="D9:D10"/>
    <mergeCell ref="C39:C40"/>
    <mergeCell ref="D39:D40"/>
    <mergeCell ref="C42:C43"/>
    <mergeCell ref="D42:D43"/>
    <mergeCell ref="C27:C28"/>
    <mergeCell ref="D27:D28"/>
    <mergeCell ref="C30:C31"/>
    <mergeCell ref="D30:D31"/>
    <mergeCell ref="C36:C37"/>
    <mergeCell ref="D36:D37"/>
  </mergeCells>
  <conditionalFormatting sqref="E8">
    <cfRule type="expression" dxfId="209" priority="285" stopIfTrue="1">
      <formula>IF($B8-INT($B8)&gt;0,TRUE,FALSE)</formula>
    </cfRule>
  </conditionalFormatting>
  <conditionalFormatting sqref="D11 D8 F8">
    <cfRule type="cellIs" dxfId="208" priority="286" stopIfTrue="1" operator="equal">
      <formula>"NO ADMISIBLE"</formula>
    </cfRule>
  </conditionalFormatting>
  <conditionalFormatting sqref="E11">
    <cfRule type="expression" dxfId="207" priority="287" stopIfTrue="1">
      <formula>IF(#REF!-INT(#REF!)&gt;0,TRUE,FALSE)</formula>
    </cfRule>
  </conditionalFormatting>
  <conditionalFormatting sqref="D14">
    <cfRule type="cellIs" dxfId="206" priority="34" stopIfTrue="1" operator="equal">
      <formula>"NO ADMISIBLE"</formula>
    </cfRule>
  </conditionalFormatting>
  <conditionalFormatting sqref="E14">
    <cfRule type="expression" dxfId="205" priority="35" stopIfTrue="1">
      <formula>IF(#REF!-INT(#REF!)&gt;0,TRUE,FALSE)</formula>
    </cfRule>
  </conditionalFormatting>
  <conditionalFormatting sqref="F11">
    <cfRule type="expression" dxfId="204" priority="32" stopIfTrue="1">
      <formula>IF($B3-INT($B3)&gt;0,TRUE,FALSE)</formula>
    </cfRule>
  </conditionalFormatting>
  <conditionalFormatting sqref="F14">
    <cfRule type="expression" dxfId="203" priority="31" stopIfTrue="1">
      <formula>IF($B6-INT($B6)&gt;0,TRUE,FALSE)</formula>
    </cfRule>
  </conditionalFormatting>
  <conditionalFormatting sqref="D17">
    <cfRule type="cellIs" dxfId="202" priority="29" stopIfTrue="1" operator="equal">
      <formula>"NO ADMISIBLE"</formula>
    </cfRule>
  </conditionalFormatting>
  <conditionalFormatting sqref="E17">
    <cfRule type="expression" dxfId="201" priority="30" stopIfTrue="1">
      <formula>IF(#REF!-INT(#REF!)&gt;0,TRUE,FALSE)</formula>
    </cfRule>
  </conditionalFormatting>
  <conditionalFormatting sqref="D20">
    <cfRule type="cellIs" dxfId="200" priority="27" stopIfTrue="1" operator="equal">
      <formula>"NO ADMISIBLE"</formula>
    </cfRule>
  </conditionalFormatting>
  <conditionalFormatting sqref="E20">
    <cfRule type="expression" dxfId="199" priority="28" stopIfTrue="1">
      <formula>IF(#REF!-INT(#REF!)&gt;0,TRUE,FALSE)</formula>
    </cfRule>
  </conditionalFormatting>
  <conditionalFormatting sqref="F17">
    <cfRule type="expression" dxfId="198" priority="26" stopIfTrue="1">
      <formula>IF($B9-INT($B9)&gt;0,TRUE,FALSE)</formula>
    </cfRule>
  </conditionalFormatting>
  <conditionalFormatting sqref="F20">
    <cfRule type="expression" dxfId="197" priority="25" stopIfTrue="1">
      <formula>IF($B12-INT($B12)&gt;0,TRUE,FALSE)</formula>
    </cfRule>
  </conditionalFormatting>
  <conditionalFormatting sqref="D23">
    <cfRule type="cellIs" dxfId="196" priority="23" stopIfTrue="1" operator="equal">
      <formula>"NO ADMISIBLE"</formula>
    </cfRule>
  </conditionalFormatting>
  <conditionalFormatting sqref="E23">
    <cfRule type="expression" dxfId="195" priority="24" stopIfTrue="1">
      <formula>IF(#REF!-INT(#REF!)&gt;0,TRUE,FALSE)</formula>
    </cfRule>
  </conditionalFormatting>
  <conditionalFormatting sqref="D26">
    <cfRule type="cellIs" dxfId="194" priority="21" stopIfTrue="1" operator="equal">
      <formula>"NO ADMISIBLE"</formula>
    </cfRule>
  </conditionalFormatting>
  <conditionalFormatting sqref="E26">
    <cfRule type="expression" dxfId="193" priority="22" stopIfTrue="1">
      <formula>IF(#REF!-INT(#REF!)&gt;0,TRUE,FALSE)</formula>
    </cfRule>
  </conditionalFormatting>
  <conditionalFormatting sqref="F23">
    <cfRule type="expression" dxfId="192" priority="20" stopIfTrue="1">
      <formula>IF($B15-INT($B15)&gt;0,TRUE,FALSE)</formula>
    </cfRule>
  </conditionalFormatting>
  <conditionalFormatting sqref="F26">
    <cfRule type="expression" dxfId="191" priority="19" stopIfTrue="1">
      <formula>IF($B18-INT($B18)&gt;0,TRUE,FALSE)</formula>
    </cfRule>
  </conditionalFormatting>
  <conditionalFormatting sqref="D35">
    <cfRule type="cellIs" dxfId="190" priority="17" stopIfTrue="1" operator="equal">
      <formula>"NO ADMISIBLE"</formula>
    </cfRule>
  </conditionalFormatting>
  <conditionalFormatting sqref="E35">
    <cfRule type="expression" dxfId="189" priority="18" stopIfTrue="1">
      <formula>IF(#REF!-INT(#REF!)&gt;0,TRUE,FALSE)</formula>
    </cfRule>
  </conditionalFormatting>
  <conditionalFormatting sqref="D38">
    <cfRule type="cellIs" dxfId="188" priority="15" stopIfTrue="1" operator="equal">
      <formula>"NO ADMISIBLE"</formula>
    </cfRule>
  </conditionalFormatting>
  <conditionalFormatting sqref="E38">
    <cfRule type="expression" dxfId="187" priority="16" stopIfTrue="1">
      <formula>IF(#REF!-INT(#REF!)&gt;0,TRUE,FALSE)</formula>
    </cfRule>
  </conditionalFormatting>
  <conditionalFormatting sqref="F35">
    <cfRule type="expression" dxfId="186" priority="14" stopIfTrue="1">
      <formula>IF($B21-INT($B21)&gt;0,TRUE,FALSE)</formula>
    </cfRule>
  </conditionalFormatting>
  <conditionalFormatting sqref="F38">
    <cfRule type="expression" dxfId="185" priority="13" stopIfTrue="1">
      <formula>IF($B24-INT($B24)&gt;0,TRUE,FALSE)</formula>
    </cfRule>
  </conditionalFormatting>
  <conditionalFormatting sqref="D41">
    <cfRule type="cellIs" dxfId="184" priority="11" stopIfTrue="1" operator="equal">
      <formula>"NO ADMISIBLE"</formula>
    </cfRule>
  </conditionalFormatting>
  <conditionalFormatting sqref="E41">
    <cfRule type="expression" dxfId="183" priority="12" stopIfTrue="1">
      <formula>IF(#REF!-INT(#REF!)&gt;0,TRUE,FALSE)</formula>
    </cfRule>
  </conditionalFormatting>
  <conditionalFormatting sqref="D44">
    <cfRule type="cellIs" dxfId="182" priority="9" stopIfTrue="1" operator="equal">
      <formula>"NO ADMISIBLE"</formula>
    </cfRule>
  </conditionalFormatting>
  <conditionalFormatting sqref="E44">
    <cfRule type="expression" dxfId="181" priority="10" stopIfTrue="1">
      <formula>IF(#REF!-INT(#REF!)&gt;0,TRUE,FALSE)</formula>
    </cfRule>
  </conditionalFormatting>
  <conditionalFormatting sqref="F41">
    <cfRule type="expression" dxfId="180" priority="8" stopIfTrue="1">
      <formula>IF($B33-INT($B33)&gt;0,TRUE,FALSE)</formula>
    </cfRule>
  </conditionalFormatting>
  <conditionalFormatting sqref="F44">
    <cfRule type="expression" dxfId="179" priority="7" stopIfTrue="1">
      <formula>IF($B36-INT($B36)&gt;0,TRUE,FALSE)</formula>
    </cfRule>
  </conditionalFormatting>
  <conditionalFormatting sqref="D29">
    <cfRule type="cellIs" dxfId="178" priority="5" stopIfTrue="1" operator="equal">
      <formula>"NO ADMISIBLE"</formula>
    </cfRule>
  </conditionalFormatting>
  <conditionalFormatting sqref="E29">
    <cfRule type="expression" dxfId="177" priority="6" stopIfTrue="1">
      <formula>IF(#REF!-INT(#REF!)&gt;0,TRUE,FALSE)</formula>
    </cfRule>
  </conditionalFormatting>
  <conditionalFormatting sqref="D32">
    <cfRule type="cellIs" dxfId="176" priority="3" stopIfTrue="1" operator="equal">
      <formula>"NO ADMISIBLE"</formula>
    </cfRule>
  </conditionalFormatting>
  <conditionalFormatting sqref="E32">
    <cfRule type="expression" dxfId="175" priority="4" stopIfTrue="1">
      <formula>IF(#REF!-INT(#REF!)&gt;0,TRUE,FALSE)</formula>
    </cfRule>
  </conditionalFormatting>
  <conditionalFormatting sqref="F29">
    <cfRule type="expression" dxfId="174" priority="2" stopIfTrue="1">
      <formula>IF($B15-INT($B15)&gt;0,TRUE,FALSE)</formula>
    </cfRule>
  </conditionalFormatting>
  <conditionalFormatting sqref="F32">
    <cfRule type="expression" dxfId="173" priority="1" stopIfTrue="1">
      <formula>IF($B18-INT($B18)&gt;0,TRUE,FALSE)</formula>
    </cfRule>
  </conditionalFormatting>
  <dataValidations count="1">
    <dataValidation type="list" allowBlank="1" showInputMessage="1" showErrorMessage="1" sqref="D8 D11 D14 D17 D20 D23 D44 D35 D38 D41 D26 D29 D32" xr:uid="{00000000-0002-0000-0500-000000000000}">
      <formula1>prueba</formula1>
    </dataValidation>
  </dataValidations>
  <pageMargins left="0.75" right="0.75" top="1" bottom="1" header="0" footer="0"/>
  <pageSetup paperSize="9" scale="43" orientation="portrait" r:id="rId1"/>
  <headerFooter alignWithMargins="0"/>
  <rowBreaks count="1" manualBreakCount="1">
    <brk id="46"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MacroCT">
                <anchor moveWithCells="1" sizeWithCells="1">
                  <from>
                    <xdr:col>0</xdr:col>
                    <xdr:colOff>219075</xdr:colOff>
                    <xdr:row>2</xdr:row>
                    <xdr:rowOff>114300</xdr:rowOff>
                  </from>
                  <to>
                    <xdr:col>1</xdr:col>
                    <xdr:colOff>638175</xdr:colOff>
                    <xdr:row>4</xdr:row>
                    <xdr:rowOff>28575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7"/>
  <dimension ref="C2:AC65"/>
  <sheetViews>
    <sheetView tabSelected="1" view="pageBreakPreview" zoomScale="70" zoomScaleNormal="50" zoomScaleSheetLayoutView="70" workbookViewId="0">
      <selection activeCell="S64" sqref="S64"/>
    </sheetView>
  </sheetViews>
  <sheetFormatPr baseColWidth="10" defaultColWidth="11.42578125" defaultRowHeight="12.75"/>
  <cols>
    <col min="1" max="1" width="11.42578125" style="101" customWidth="1"/>
    <col min="2" max="2" width="11.28515625" style="101" customWidth="1"/>
    <col min="3" max="3" width="3.85546875" style="101" customWidth="1"/>
    <col min="4" max="4" width="29.42578125" style="101" customWidth="1"/>
    <col min="5" max="5" width="11.42578125" style="101" customWidth="1"/>
    <col min="6" max="6" width="3.85546875" style="101" customWidth="1"/>
    <col min="7" max="7" width="21.28515625" style="101" customWidth="1"/>
    <col min="8" max="8" width="20.85546875" style="101" customWidth="1"/>
    <col min="9" max="9" width="7.28515625" style="101" customWidth="1"/>
    <col min="10" max="10" width="29" style="101" customWidth="1"/>
    <col min="11" max="11" width="22" style="93" bestFit="1" customWidth="1"/>
    <col min="12" max="12" width="14.42578125" style="93" customWidth="1"/>
    <col min="13" max="13" width="8.85546875" style="93" hidden="1" customWidth="1"/>
    <col min="14" max="14" width="14.42578125" style="93" hidden="1" customWidth="1"/>
    <col min="15" max="15" width="13.140625" style="93" customWidth="1"/>
    <col min="16" max="16" width="13.85546875" style="93" bestFit="1" customWidth="1"/>
    <col min="17" max="17" width="20.7109375" style="93" customWidth="1"/>
    <col min="18" max="18" width="26.42578125" style="93" customWidth="1"/>
    <col min="19" max="19" width="29.42578125" style="101" customWidth="1"/>
    <col min="20" max="20" width="2.140625" style="101" customWidth="1"/>
    <col min="21" max="21" width="55.28515625" style="112" customWidth="1"/>
    <col min="22" max="22" width="4.28515625" style="113" customWidth="1"/>
    <col min="23" max="23" width="12.42578125" style="101" customWidth="1"/>
    <col min="24" max="24" width="12.7109375" style="101" customWidth="1"/>
    <col min="25" max="16384" width="11.42578125" style="101"/>
  </cols>
  <sheetData>
    <row r="2" spans="3:24" s="103" customFormat="1" ht="20.25" customHeight="1">
      <c r="C2" s="471" t="s">
        <v>197</v>
      </c>
      <c r="D2" s="471"/>
      <c r="E2" s="471"/>
      <c r="F2" s="471"/>
      <c r="G2" s="471"/>
      <c r="H2" s="471"/>
      <c r="I2" s="471"/>
      <c r="J2" s="471"/>
      <c r="K2" s="471"/>
      <c r="L2" s="471"/>
      <c r="M2" s="471"/>
      <c r="N2" s="471"/>
      <c r="O2" s="471"/>
      <c r="P2" s="471"/>
      <c r="Q2" s="471"/>
      <c r="R2" s="471"/>
      <c r="S2" s="471"/>
      <c r="U2" s="104"/>
      <c r="V2" s="105"/>
    </row>
    <row r="3" spans="3:24" s="103" customFormat="1" ht="18" customHeight="1">
      <c r="C3" s="472" t="s">
        <v>211</v>
      </c>
      <c r="D3" s="472"/>
      <c r="E3" s="472"/>
      <c r="F3" s="472"/>
      <c r="G3" s="472"/>
      <c r="H3" s="472"/>
      <c r="I3" s="472"/>
      <c r="J3" s="472"/>
      <c r="K3" s="472"/>
      <c r="L3" s="472"/>
      <c r="M3" s="472"/>
      <c r="N3" s="472"/>
      <c r="O3" s="472"/>
      <c r="P3" s="472"/>
      <c r="Q3" s="472"/>
      <c r="R3" s="472"/>
      <c r="S3" s="472"/>
      <c r="U3" s="104"/>
      <c r="V3" s="105"/>
    </row>
    <row r="4" spans="3:24" s="103" customFormat="1" ht="13.5" customHeight="1">
      <c r="C4" s="473" t="str">
        <f>'Capacidad Financiera'!B4</f>
        <v>EVALUACIÓN FINANCIERA</v>
      </c>
      <c r="D4" s="473"/>
      <c r="E4" s="473"/>
      <c r="F4" s="473"/>
      <c r="G4" s="473"/>
      <c r="H4" s="473"/>
      <c r="I4" s="473"/>
      <c r="J4" s="473"/>
      <c r="K4" s="473"/>
      <c r="L4" s="473"/>
      <c r="M4" s="473"/>
      <c r="N4" s="473"/>
      <c r="O4" s="473"/>
      <c r="P4" s="473"/>
      <c r="Q4" s="473"/>
      <c r="R4" s="473"/>
      <c r="S4" s="473"/>
      <c r="U4" s="104"/>
      <c r="V4" s="105"/>
    </row>
    <row r="5" spans="3:24" s="103" customFormat="1" ht="13.5" customHeight="1">
      <c r="C5" s="473" t="s">
        <v>198</v>
      </c>
      <c r="D5" s="473"/>
      <c r="E5" s="473"/>
      <c r="F5" s="473"/>
      <c r="G5" s="473"/>
      <c r="H5" s="473"/>
      <c r="I5" s="473"/>
      <c r="J5" s="473"/>
      <c r="K5" s="473"/>
      <c r="L5" s="473"/>
      <c r="M5" s="473"/>
      <c r="N5" s="473"/>
      <c r="O5" s="473"/>
      <c r="P5" s="473"/>
      <c r="Q5" s="473"/>
      <c r="R5" s="473"/>
      <c r="S5" s="473"/>
      <c r="U5" s="104"/>
      <c r="V5" s="105"/>
    </row>
    <row r="6" spans="3:24" s="103" customFormat="1" ht="13.5" customHeight="1">
      <c r="C6" s="144"/>
      <c r="D6" s="212" t="s">
        <v>292</v>
      </c>
      <c r="E6" s="144"/>
      <c r="F6" s="144"/>
      <c r="G6" s="144"/>
      <c r="H6" s="144"/>
      <c r="I6" s="144"/>
      <c r="J6" s="144"/>
      <c r="K6" s="144"/>
      <c r="L6" s="144"/>
      <c r="M6" s="144"/>
      <c r="N6" s="144"/>
      <c r="O6" s="144"/>
      <c r="P6" s="144"/>
      <c r="Q6" s="144"/>
      <c r="R6" s="144"/>
      <c r="S6" s="144"/>
      <c r="U6" s="104"/>
      <c r="V6" s="105"/>
    </row>
    <row r="7" spans="3:24" s="103" customFormat="1" ht="13.5" customHeight="1">
      <c r="C7" s="144"/>
      <c r="D7" s="212" t="s">
        <v>298</v>
      </c>
      <c r="E7" s="144"/>
      <c r="F7" s="144"/>
      <c r="G7" s="144"/>
      <c r="H7" s="144"/>
      <c r="I7" s="144"/>
      <c r="J7" s="144"/>
      <c r="K7" s="144"/>
      <c r="L7" s="144"/>
      <c r="M7" s="144"/>
      <c r="N7" s="144"/>
      <c r="O7" s="144"/>
      <c r="P7" s="144"/>
      <c r="Q7" s="144"/>
      <c r="R7" s="144"/>
      <c r="S7" s="144"/>
      <c r="U7" s="104"/>
      <c r="V7" s="105"/>
    </row>
    <row r="8" spans="3:24" s="103" customFormat="1" ht="13.5" customHeight="1">
      <c r="C8" s="144"/>
      <c r="D8" s="144"/>
      <c r="E8" s="144"/>
      <c r="F8" s="144"/>
      <c r="G8" s="144"/>
      <c r="H8" s="144"/>
      <c r="I8" s="144"/>
      <c r="J8" s="144"/>
      <c r="K8" s="144"/>
      <c r="L8" s="144"/>
      <c r="M8" s="144"/>
      <c r="N8" s="144"/>
      <c r="O8" s="144"/>
      <c r="P8" s="144"/>
      <c r="Q8" s="144"/>
      <c r="R8" s="144"/>
      <c r="S8" s="144"/>
      <c r="U8" s="104"/>
      <c r="V8" s="105"/>
    </row>
    <row r="9" spans="3:24" s="103" customFormat="1" ht="14.25" thickBot="1">
      <c r="C9" s="106"/>
      <c r="D9" s="106"/>
      <c r="E9" s="107"/>
      <c r="F9" s="107"/>
      <c r="G9" s="108"/>
      <c r="H9" s="108"/>
      <c r="I9" s="108"/>
      <c r="J9" s="109"/>
      <c r="L9" s="110"/>
      <c r="M9" s="110"/>
      <c r="N9" s="110"/>
      <c r="O9" s="110"/>
      <c r="P9" s="110"/>
      <c r="Q9" s="110"/>
      <c r="R9" s="110"/>
      <c r="S9" s="111"/>
      <c r="U9" s="104"/>
      <c r="V9" s="105"/>
    </row>
    <row r="10" spans="3:24" ht="54" customHeight="1">
      <c r="C10" s="487" t="s">
        <v>158</v>
      </c>
      <c r="D10" s="490" t="s">
        <v>157</v>
      </c>
      <c r="E10" s="69" t="s">
        <v>202</v>
      </c>
      <c r="F10" s="493" t="s">
        <v>163</v>
      </c>
      <c r="G10" s="69" t="s">
        <v>189</v>
      </c>
      <c r="H10" s="69" t="s">
        <v>190</v>
      </c>
      <c r="I10" s="496" t="s">
        <v>1</v>
      </c>
      <c r="J10" s="85" t="s">
        <v>191</v>
      </c>
      <c r="K10" s="69" t="s">
        <v>192</v>
      </c>
      <c r="L10" s="69" t="s">
        <v>193</v>
      </c>
      <c r="M10" s="456" t="s">
        <v>169</v>
      </c>
      <c r="N10" s="435" t="s">
        <v>170</v>
      </c>
      <c r="O10" s="69" t="s">
        <v>207</v>
      </c>
      <c r="P10" s="70" t="s">
        <v>194</v>
      </c>
      <c r="Q10" s="86" t="s">
        <v>228</v>
      </c>
      <c r="R10" s="88" t="s">
        <v>195</v>
      </c>
      <c r="S10" s="139" t="s">
        <v>229</v>
      </c>
    </row>
    <row r="11" spans="3:24">
      <c r="C11" s="488"/>
      <c r="D11" s="491"/>
      <c r="E11" s="499" t="s">
        <v>2</v>
      </c>
      <c r="F11" s="494"/>
      <c r="G11" s="499" t="s">
        <v>3</v>
      </c>
      <c r="H11" s="499" t="s">
        <v>3</v>
      </c>
      <c r="I11" s="497"/>
      <c r="J11" s="501" t="s">
        <v>196</v>
      </c>
      <c r="K11" s="503" t="s">
        <v>227</v>
      </c>
      <c r="L11" s="503" t="s">
        <v>204</v>
      </c>
      <c r="M11" s="457"/>
      <c r="N11" s="436"/>
      <c r="O11" s="503" t="s">
        <v>204</v>
      </c>
      <c r="P11" s="503" t="s">
        <v>204</v>
      </c>
      <c r="Q11" s="503" t="s">
        <v>227</v>
      </c>
      <c r="R11" s="501" t="s">
        <v>294</v>
      </c>
      <c r="S11" s="505" t="s">
        <v>177</v>
      </c>
    </row>
    <row r="12" spans="3:24" ht="51" customHeight="1" thickBot="1">
      <c r="C12" s="489"/>
      <c r="D12" s="492"/>
      <c r="E12" s="500"/>
      <c r="F12" s="495"/>
      <c r="G12" s="500"/>
      <c r="H12" s="500"/>
      <c r="I12" s="498"/>
      <c r="J12" s="502"/>
      <c r="K12" s="504"/>
      <c r="L12" s="504"/>
      <c r="M12" s="458"/>
      <c r="N12" s="437"/>
      <c r="O12" s="504"/>
      <c r="P12" s="504"/>
      <c r="Q12" s="504"/>
      <c r="R12" s="502"/>
      <c r="S12" s="506"/>
    </row>
    <row r="13" spans="3:24" ht="132.75" customHeight="1">
      <c r="C13" s="238">
        <f>+'Capacidad Financiera'!B12</f>
        <v>1</v>
      </c>
      <c r="D13" s="239" t="str">
        <f>IF(ISERROR(VLOOKUP(C13,'Capacidad Financiera'!$B$12:$AA$59186,2,0)),"",VLOOKUP(C13,'Capacidad Financiera'!$B$12:$AA$59186,2,0))</f>
        <v>ESTUDIO, DISEÑO Y CONSTRUCCION EN INGENIERIA S.A.S</v>
      </c>
      <c r="E13" s="240">
        <f>IF(ISERROR(VLOOKUP(C13,'Capacidad Financiera'!$B$12:$AA$59186,3,0)),"",VLOOKUP(C13,'Capacidad Financiera'!$B$12:$AA$59186,3,0))</f>
        <v>1</v>
      </c>
      <c r="F13" s="245">
        <f>'Capacidad Financiera'!M12</f>
        <v>1</v>
      </c>
      <c r="G13" s="241">
        <f>IF(ISERROR(VLOOKUP(F13,POA!$A$8:$D$22,2,0)),"",VLOOKUP(F13,POA!$A$8:$D$22,2,0))</f>
        <v>120000000</v>
      </c>
      <c r="H13" s="241">
        <f>IF(ISERROR(VLOOKUP(F13,POA!$A$8:$D$22,3,0)),"",VLOOKUP(F13,POA!$A$8:$D$22,4,0))</f>
        <v>1E-10</v>
      </c>
      <c r="I13" s="243">
        <f>IF(ISERROR(VLOOKUP(F13,POA!$A$8:$D$8,3,0)),"",VLOOKUP(F13,POA!$A$8:$D$8,3,0))</f>
        <v>1</v>
      </c>
      <c r="J13" s="243">
        <f>IF(I13="","",IF(I13&lt;12,(G13-H13),IF(I13&gt;=12,(((G13-H13)/I13)*12),"")))</f>
        <v>120000000</v>
      </c>
      <c r="K13" s="137">
        <f>IF(IF(ISERROR(VLOOKUP(C13,'Cap Organización'!$C$10:$I$1048576,3,0)),"",VLOOKUP(C13,'Cap Organización'!$C$10:$I$1048576,3,0))=0,"",IF(ISERROR(VLOOKUP(C13,'Cap Organización'!$C$10:$I$1048576,3,0)),"",VLOOKUP(C13,'Cap Organización'!$C$10:$I$1048576,3,0)))</f>
        <v>109012185</v>
      </c>
      <c r="L13" s="134">
        <f>IF(ISERROR(VLOOKUP(C13,'Puntaje Exp'!$C$10:$J$1048576,8,0)),"",VLOOKUP(C13,'Puntaje Exp'!$C$10:$J$1048576,8,0))</f>
        <v>0</v>
      </c>
      <c r="M13" s="134">
        <v>0</v>
      </c>
      <c r="N13" s="134" t="s">
        <v>297</v>
      </c>
      <c r="O13" s="134">
        <f>IF(ISERROR(VLOOKUP(C13,'Puntaje CT'!$C$10:$I$1048576,4,0)),"",VLOOKUP(C13,'Puntaje CT'!$C$10:$I$1048576,4,0))</f>
        <v>0</v>
      </c>
      <c r="P13" s="134">
        <f>IF(ISERROR(VLOOKUP(C13,'Puntaje CF'!$C$10:$I$1048576,6,0)),"",VLOOKUP(C13,'Puntaje CF'!$C$10:$I$1048576,6,0))</f>
        <v>40</v>
      </c>
      <c r="Q13" s="137" t="str">
        <f>IF(IF(ISERROR(VLOOKUP(C13,'Saldo CtosEjecución'!$C$10:$I$1048576,3,0)),"",VLOOKUP(C13,'Saldo CtosEjecución'!$C$10:$I$1048576,3,0))=0,"",IF(ISERROR(VLOOKUP(C13,'Saldo CtosEjecución'!$C$10:$I$1048576,3,0)),"",VLOOKUP(C13,'Saldo CtosEjecución'!$C$10:$I$1048576,3,0)))</f>
        <v/>
      </c>
      <c r="R13" s="87" t="str">
        <f>IF(OR(K13="",L13="",O13="",P13="",Q13=""),"",(K13*((L13+O13+P13)/100))-Q13)</f>
        <v/>
      </c>
      <c r="S13" s="141" t="s">
        <v>296</v>
      </c>
      <c r="U13" s="405" t="s">
        <v>301</v>
      </c>
      <c r="V13" s="115"/>
      <c r="W13" s="102"/>
      <c r="X13" s="102"/>
    </row>
    <row r="14" spans="3:24" ht="56.25" hidden="1">
      <c r="C14" s="487" t="s">
        <v>158</v>
      </c>
      <c r="D14" s="490" t="s">
        <v>157</v>
      </c>
      <c r="E14" s="69" t="s">
        <v>202</v>
      </c>
      <c r="F14" s="493" t="s">
        <v>163</v>
      </c>
      <c r="G14" s="69" t="s">
        <v>189</v>
      </c>
      <c r="H14" s="69" t="s">
        <v>190</v>
      </c>
      <c r="I14" s="496" t="s">
        <v>1</v>
      </c>
      <c r="J14" s="85" t="s">
        <v>191</v>
      </c>
      <c r="K14" s="69" t="s">
        <v>192</v>
      </c>
      <c r="L14" s="69" t="s">
        <v>193</v>
      </c>
      <c r="M14" s="456" t="s">
        <v>169</v>
      </c>
      <c r="N14" s="435" t="s">
        <v>170</v>
      </c>
      <c r="O14" s="69" t="s">
        <v>207</v>
      </c>
      <c r="P14" s="70" t="s">
        <v>194</v>
      </c>
      <c r="Q14" s="86" t="s">
        <v>228</v>
      </c>
      <c r="R14" s="88" t="s">
        <v>195</v>
      </c>
      <c r="S14" s="139" t="s">
        <v>229</v>
      </c>
    </row>
    <row r="15" spans="3:24" hidden="1">
      <c r="C15" s="488"/>
      <c r="D15" s="491"/>
      <c r="E15" s="499" t="s">
        <v>2</v>
      </c>
      <c r="F15" s="494"/>
      <c r="G15" s="499" t="s">
        <v>3</v>
      </c>
      <c r="H15" s="499" t="s">
        <v>3</v>
      </c>
      <c r="I15" s="497"/>
      <c r="J15" s="501" t="s">
        <v>196</v>
      </c>
      <c r="K15" s="503" t="s">
        <v>227</v>
      </c>
      <c r="L15" s="503" t="s">
        <v>204</v>
      </c>
      <c r="M15" s="457"/>
      <c r="N15" s="436"/>
      <c r="O15" s="503" t="s">
        <v>204</v>
      </c>
      <c r="P15" s="503" t="s">
        <v>204</v>
      </c>
      <c r="Q15" s="503" t="s">
        <v>227</v>
      </c>
      <c r="R15" s="501" t="s">
        <v>294</v>
      </c>
      <c r="S15" s="505" t="s">
        <v>177</v>
      </c>
    </row>
    <row r="16" spans="3:24" ht="48" hidden="1" customHeight="1" thickBot="1">
      <c r="C16" s="489"/>
      <c r="D16" s="492"/>
      <c r="E16" s="500"/>
      <c r="F16" s="495"/>
      <c r="G16" s="500"/>
      <c r="H16" s="500"/>
      <c r="I16" s="498"/>
      <c r="J16" s="502"/>
      <c r="K16" s="504"/>
      <c r="L16" s="504"/>
      <c r="M16" s="458"/>
      <c r="N16" s="437"/>
      <c r="O16" s="504"/>
      <c r="P16" s="504"/>
      <c r="Q16" s="504"/>
      <c r="R16" s="502"/>
      <c r="S16" s="506"/>
    </row>
    <row r="17" spans="3:21" ht="42" hidden="1" customHeight="1" thickBot="1">
      <c r="C17" s="238">
        <f>+'Capacidad Financiera'!B13</f>
        <v>0</v>
      </c>
      <c r="D17" s="239" t="str">
        <f>IF(ISERROR(VLOOKUP(C17,'Capacidad Financiera'!$B$12:$AA$59186,2,0)),"",VLOOKUP(C17,'Capacidad Financiera'!$B$12:$AA$59186,2,0))</f>
        <v/>
      </c>
      <c r="E17" s="240" t="str">
        <f>IF(ISERROR(VLOOKUP(C17,'Capacidad Financiera'!$B$12:$AA$59186,3,0)),"",VLOOKUP(C17,'Capacidad Financiera'!$B$12:$AA$59186,3,0))</f>
        <v/>
      </c>
      <c r="F17" s="245">
        <f>'Capacidad Financiera'!M12</f>
        <v>1</v>
      </c>
      <c r="G17" s="241">
        <f>IF(ISERROR(VLOOKUP(F17,POA!$A$8:$D$22,2,0)),"",VLOOKUP(F17,POA!$A$8:$D$22,2,0))</f>
        <v>120000000</v>
      </c>
      <c r="H17" s="241">
        <f>IF(ISERROR(VLOOKUP(F17,POA!$A$8:$D$22,3,0)),"",VLOOKUP(F17,POA!$A$8:$D$22,4,0))</f>
        <v>1E-10</v>
      </c>
      <c r="I17" s="243">
        <f>IF(ISERROR(VLOOKUP(F17,POA!$A$8:$D$8,3,0)),"",VLOOKUP(F17,POA!$A$8:$D$8,3,0))</f>
        <v>1</v>
      </c>
      <c r="J17" s="243">
        <f>IF(I17="","",IF(I17&lt;12,(G17-H17),IF(I17&gt;=12,(((G17-H17)/I17)*12),"")))</f>
        <v>120000000</v>
      </c>
      <c r="K17" s="137" t="str">
        <f>IF(IF(ISERROR(VLOOKUP(C17,'Cap Organización'!$C$10:$I$1048576,3,0)),"",VLOOKUP(C17,'Cap Organización'!$C$10:$I$1048576,3,0))=0,"",IF(ISERROR(VLOOKUP(C17,'Cap Organización'!$C$10:$I$1048576,3,0)),"",VLOOKUP(C17,'Cap Organización'!$C$10:$I$1048576,3,0)))</f>
        <v/>
      </c>
      <c r="L17" s="134" t="str">
        <f>IF(ISERROR(VLOOKUP(C17,'Puntaje Exp'!$C$10:$J$1048576,8,0)),"",VLOOKUP(C17,'Puntaje Exp'!$C$10:$J$1048576,8,0))</f>
        <v/>
      </c>
      <c r="M17" s="134">
        <v>0</v>
      </c>
      <c r="N17" s="134" t="s">
        <v>297</v>
      </c>
      <c r="O17" s="134" t="str">
        <f>IF(ISERROR(VLOOKUP(C17,'Puntaje CT'!$C$10:$I$1048576,4,0)),"",VLOOKUP(C17,'Puntaje CT'!$C$10:$I$1048576,4,0))</f>
        <v/>
      </c>
      <c r="P17" s="134" t="str">
        <f>IF(ISERROR(VLOOKUP(C17,'Puntaje CF'!$C$10:$I$1048576,6,0)),"",VLOOKUP(C17,'Puntaje CF'!$C$10:$I$1048576,6,0))</f>
        <v/>
      </c>
      <c r="Q17" s="137" t="str">
        <f>IF(IF(ISERROR(VLOOKUP(C17,'Saldo CtosEjecución'!$C$10:$I$1048576,3,0)),"",VLOOKUP(C17,'Saldo CtosEjecución'!$C$10:$I$1048576,3,0))=0,"",IF(ISERROR(VLOOKUP(C17,'Saldo CtosEjecución'!$C$10:$I$1048576,3,0)),"",VLOOKUP(C17,'Saldo CtosEjecución'!$C$10:$I$1048576,3,0)))</f>
        <v/>
      </c>
      <c r="R17" s="87" t="str">
        <f>IF(OR(K17="",L17="",O17="",P17="",Q17=""),"",(K17*((L17+O17+P17)/100))-Q17)</f>
        <v/>
      </c>
      <c r="S17" s="141" t="s">
        <v>296</v>
      </c>
      <c r="U17" s="407"/>
    </row>
    <row r="18" spans="3:21" ht="56.25" hidden="1">
      <c r="C18" s="487" t="s">
        <v>158</v>
      </c>
      <c r="D18" s="490" t="s">
        <v>157</v>
      </c>
      <c r="E18" s="69" t="s">
        <v>202</v>
      </c>
      <c r="F18" s="493" t="s">
        <v>163</v>
      </c>
      <c r="G18" s="69" t="s">
        <v>189</v>
      </c>
      <c r="H18" s="69" t="s">
        <v>190</v>
      </c>
      <c r="I18" s="496" t="s">
        <v>1</v>
      </c>
      <c r="J18" s="85" t="s">
        <v>191</v>
      </c>
      <c r="K18" s="69" t="s">
        <v>192</v>
      </c>
      <c r="L18" s="69" t="s">
        <v>193</v>
      </c>
      <c r="M18" s="456" t="s">
        <v>169</v>
      </c>
      <c r="N18" s="435" t="s">
        <v>170</v>
      </c>
      <c r="O18" s="69" t="s">
        <v>207</v>
      </c>
      <c r="P18" s="70" t="s">
        <v>194</v>
      </c>
      <c r="Q18" s="86" t="s">
        <v>228</v>
      </c>
      <c r="R18" s="88" t="s">
        <v>195</v>
      </c>
      <c r="S18" s="139" t="s">
        <v>229</v>
      </c>
    </row>
    <row r="19" spans="3:21" hidden="1">
      <c r="C19" s="488"/>
      <c r="D19" s="491"/>
      <c r="E19" s="499" t="s">
        <v>2</v>
      </c>
      <c r="F19" s="494"/>
      <c r="G19" s="499" t="s">
        <v>3</v>
      </c>
      <c r="H19" s="499" t="s">
        <v>3</v>
      </c>
      <c r="I19" s="497"/>
      <c r="J19" s="501" t="s">
        <v>196</v>
      </c>
      <c r="K19" s="503" t="s">
        <v>227</v>
      </c>
      <c r="L19" s="503" t="s">
        <v>204</v>
      </c>
      <c r="M19" s="457"/>
      <c r="N19" s="436"/>
      <c r="O19" s="503" t="s">
        <v>204</v>
      </c>
      <c r="P19" s="503" t="s">
        <v>204</v>
      </c>
      <c r="Q19" s="503" t="s">
        <v>227</v>
      </c>
      <c r="R19" s="501" t="s">
        <v>294</v>
      </c>
      <c r="S19" s="505" t="s">
        <v>177</v>
      </c>
    </row>
    <row r="20" spans="3:21" ht="48" hidden="1" customHeight="1" thickBot="1">
      <c r="C20" s="489"/>
      <c r="D20" s="492"/>
      <c r="E20" s="500"/>
      <c r="F20" s="495"/>
      <c r="G20" s="500"/>
      <c r="H20" s="500"/>
      <c r="I20" s="498"/>
      <c r="J20" s="502"/>
      <c r="K20" s="504"/>
      <c r="L20" s="504"/>
      <c r="M20" s="458"/>
      <c r="N20" s="437"/>
      <c r="O20" s="504"/>
      <c r="P20" s="504"/>
      <c r="Q20" s="504"/>
      <c r="R20" s="502"/>
      <c r="S20" s="506"/>
    </row>
    <row r="21" spans="3:21" ht="48" hidden="1" customHeight="1" thickBot="1">
      <c r="C21" s="238"/>
      <c r="D21" s="239" t="str">
        <f>IF(ISERROR(VLOOKUP(C21,'Capacidad Financiera'!$B$12:$AA$59186,2,0)),"",VLOOKUP(C21,'Capacidad Financiera'!$B$12:$AA$59186,2,0))</f>
        <v/>
      </c>
      <c r="E21" s="240" t="str">
        <f>IF(ISERROR(VLOOKUP(C21,'Capacidad Financiera'!$B$12:$AA$59186,3,0)),"",VLOOKUP(C21,'Capacidad Financiera'!$B$12:$AA$59186,3,0))</f>
        <v/>
      </c>
      <c r="F21" s="245">
        <v>1</v>
      </c>
      <c r="G21" s="241"/>
      <c r="H21" s="241">
        <f>IF(ISERROR(VLOOKUP(F21,POA!$A$8:$D$22,3,0)),"",VLOOKUP(F21,POA!$A$8:$D$22,4,0))</f>
        <v>1E-10</v>
      </c>
      <c r="I21" s="243">
        <f>IF(ISERROR(VLOOKUP(F21,POA!$A$8:$D$8,3,0)),"",VLOOKUP(F21,POA!$A$8:$D$8,3,0))</f>
        <v>1</v>
      </c>
      <c r="J21" s="243">
        <f>IF(I21="","",IF(I21&lt;12,(G21-H21),IF(I21&gt;=12,(((G21-H21)/I21)*12),"")))</f>
        <v>-1E-10</v>
      </c>
      <c r="K21" s="137" t="str">
        <f>IF(IF(ISERROR(VLOOKUP(C21,'Cap Organización'!$C$10:$I$1048576,3,0)),"",VLOOKUP(C21,'Cap Organización'!$C$10:$I$1048576,3,0))=0,"",IF(ISERROR(VLOOKUP(C21,'Cap Organización'!$C$10:$I$1048576,3,0)),"",VLOOKUP(C21,'Cap Organización'!$C$10:$I$1048576,3,0)))</f>
        <v/>
      </c>
      <c r="L21" s="134" t="str">
        <f>IF(ISERROR(VLOOKUP(C21,'Puntaje Exp'!$C$10:$J$1048576,8,0)),"",VLOOKUP(C21,'Puntaje Exp'!$C$10:$J$1048576,8,0))</f>
        <v/>
      </c>
      <c r="M21" s="134" t="e">
        <v>#REF!</v>
      </c>
      <c r="N21" s="134" t="s">
        <v>297</v>
      </c>
      <c r="O21" s="134" t="str">
        <f>IF(ISERROR(VLOOKUP(C21,'Puntaje CT'!$C$10:$I$1048576,4,0)),"",VLOOKUP(C21,'Puntaje CT'!$C$10:$I$1048576,4,0))</f>
        <v/>
      </c>
      <c r="P21" s="134" t="str">
        <f>IF(ISERROR(VLOOKUP(C21,'Puntaje CF'!$C$10:$I$1048576,6,0)),"",VLOOKUP(C21,'Puntaje CF'!$C$10:$I$1048576,6,0))</f>
        <v/>
      </c>
      <c r="Q21" s="137" t="str">
        <f>IF(IF(ISERROR(VLOOKUP(C21,'Saldo CtosEjecución'!$C$10:$I$1048576,3,0)),"",VLOOKUP(C21,'Saldo CtosEjecución'!$C$10:$I$1048576,3,0))=0,"",IF(ISERROR(VLOOKUP(C21,'Saldo CtosEjecución'!$C$10:$I$1048576,3,0)),"",VLOOKUP(C21,'Saldo CtosEjecución'!$C$10:$I$1048576,3,0)))</f>
        <v/>
      </c>
      <c r="R21" s="87" t="str">
        <f>IF(OR(K21="",L21="",O21="",P21="",Q21=""),"",(K21*((L21+O21+P21)/100))-Q21)</f>
        <v/>
      </c>
      <c r="S21" s="141" t="str">
        <f>+IF(OR(R21=0,F21=""),"",IF(R21&gt;=J21,"HABIL","NO HABIL"))</f>
        <v>HABIL</v>
      </c>
      <c r="U21" s="355"/>
    </row>
    <row r="22" spans="3:21" ht="56.25" hidden="1">
      <c r="C22" s="487" t="s">
        <v>158</v>
      </c>
      <c r="D22" s="490" t="s">
        <v>157</v>
      </c>
      <c r="E22" s="69" t="s">
        <v>202</v>
      </c>
      <c r="F22" s="493" t="s">
        <v>163</v>
      </c>
      <c r="G22" s="69" t="s">
        <v>189</v>
      </c>
      <c r="H22" s="69" t="s">
        <v>190</v>
      </c>
      <c r="I22" s="496" t="s">
        <v>1</v>
      </c>
      <c r="J22" s="85" t="s">
        <v>191</v>
      </c>
      <c r="K22" s="69" t="s">
        <v>192</v>
      </c>
      <c r="L22" s="69" t="s">
        <v>193</v>
      </c>
      <c r="M22" s="456" t="s">
        <v>169</v>
      </c>
      <c r="N22" s="435" t="s">
        <v>170</v>
      </c>
      <c r="O22" s="69" t="s">
        <v>207</v>
      </c>
      <c r="P22" s="70" t="s">
        <v>194</v>
      </c>
      <c r="Q22" s="86" t="s">
        <v>228</v>
      </c>
      <c r="R22" s="88" t="s">
        <v>195</v>
      </c>
      <c r="S22" s="139" t="s">
        <v>229</v>
      </c>
    </row>
    <row r="23" spans="3:21" ht="34.5" hidden="1" customHeight="1">
      <c r="C23" s="488"/>
      <c r="D23" s="491"/>
      <c r="E23" s="499" t="s">
        <v>2</v>
      </c>
      <c r="F23" s="494"/>
      <c r="G23" s="499" t="s">
        <v>3</v>
      </c>
      <c r="H23" s="499" t="s">
        <v>3</v>
      </c>
      <c r="I23" s="497"/>
      <c r="J23" s="501" t="s">
        <v>196</v>
      </c>
      <c r="K23" s="503" t="s">
        <v>227</v>
      </c>
      <c r="L23" s="503" t="s">
        <v>204</v>
      </c>
      <c r="M23" s="457"/>
      <c r="N23" s="436"/>
      <c r="O23" s="503" t="s">
        <v>204</v>
      </c>
      <c r="P23" s="503" t="s">
        <v>204</v>
      </c>
      <c r="Q23" s="503" t="s">
        <v>227</v>
      </c>
      <c r="R23" s="501" t="s">
        <v>294</v>
      </c>
      <c r="S23" s="505" t="s">
        <v>177</v>
      </c>
    </row>
    <row r="24" spans="3:21" ht="34.5" hidden="1" customHeight="1" thickBot="1">
      <c r="C24" s="489"/>
      <c r="D24" s="492"/>
      <c r="E24" s="500"/>
      <c r="F24" s="495"/>
      <c r="G24" s="500"/>
      <c r="H24" s="500"/>
      <c r="I24" s="498"/>
      <c r="J24" s="502"/>
      <c r="K24" s="504"/>
      <c r="L24" s="504"/>
      <c r="M24" s="458"/>
      <c r="N24" s="437"/>
      <c r="O24" s="504"/>
      <c r="P24" s="504"/>
      <c r="Q24" s="504"/>
      <c r="R24" s="502"/>
      <c r="S24" s="506"/>
    </row>
    <row r="25" spans="3:21" ht="23.1" hidden="1" customHeight="1" thickBot="1">
      <c r="C25" s="238"/>
      <c r="D25" s="239" t="str">
        <f>IF(ISERROR(VLOOKUP(C25,'Capacidad Financiera'!$B$12:$AA$59186,2,0)),"",VLOOKUP(C25,'Capacidad Financiera'!$B$12:$AA$59186,2,0))</f>
        <v/>
      </c>
      <c r="E25" s="240" t="str">
        <f>IF(ISERROR(VLOOKUP(C25,'Capacidad Financiera'!$B$12:$AA$59186,3,0)),"",VLOOKUP(C25,'Capacidad Financiera'!$B$12:$AA$59186,3,0))</f>
        <v/>
      </c>
      <c r="F25" s="245">
        <v>1</v>
      </c>
      <c r="G25" s="241"/>
      <c r="H25" s="241">
        <f>IF(ISERROR(VLOOKUP(F25,POA!$A$8:$D$22,3,0)),"",VLOOKUP(F25,POA!$A$8:$D$22,4,0))</f>
        <v>1E-10</v>
      </c>
      <c r="I25" s="243">
        <f>IF(ISERROR(VLOOKUP(F25,POA!$A$8:$D$8,3,0)),"",VLOOKUP(F25,POA!$A$8:$D$8,3,0))</f>
        <v>1</v>
      </c>
      <c r="J25" s="243">
        <f>IF(I25="","",IF(I25&lt;12,(G25-H25),IF(I25&gt;=12,(((G25-H25)/I25)*12),"")))</f>
        <v>-1E-10</v>
      </c>
      <c r="K25" s="137" t="str">
        <f>IF(IF(ISERROR(VLOOKUP(C25,'Cap Organización'!$C$10:$I$1048576,3,0)),"",VLOOKUP(C25,'Cap Organización'!$C$10:$I$1048576,3,0))=0,"",IF(ISERROR(VLOOKUP(C25,'Cap Organización'!$C$10:$I$1048576,3,0)),"",VLOOKUP(C25,'Cap Organización'!$C$10:$I$1048576,3,0)))</f>
        <v/>
      </c>
      <c r="L25" s="134" t="str">
        <f>IF(ISERROR(VLOOKUP(C25,'Puntaje Exp'!$C$10:$J$1048576,8,0)),"",VLOOKUP(C25,'Puntaje Exp'!$C$10:$J$1048576,8,0))</f>
        <v/>
      </c>
      <c r="M25" s="134" t="e">
        <v>#REF!</v>
      </c>
      <c r="N25" s="134" t="s">
        <v>297</v>
      </c>
      <c r="O25" s="134" t="str">
        <f>IF(ISERROR(VLOOKUP(C25,'Puntaje CT'!$C$10:$I$1048576,4,0)),"",VLOOKUP(C25,'Puntaje CT'!$C$10:$I$1048576,4,0))</f>
        <v/>
      </c>
      <c r="P25" s="134" t="str">
        <f>IF(ISERROR(VLOOKUP(C25,'Puntaje CF'!$C$10:$I$1048576,6,0)),"",VLOOKUP(C25,'Puntaje CF'!$C$10:$I$1048576,6,0))</f>
        <v/>
      </c>
      <c r="Q25" s="137"/>
      <c r="R25" s="87"/>
      <c r="S25" s="141" t="str">
        <f>+IF(OR(R25=0,F25=""),"",IF(R25&gt;=J25,"HABIL","NO HABIL"))</f>
        <v/>
      </c>
      <c r="U25" s="355"/>
    </row>
    <row r="26" spans="3:21" ht="56.25" hidden="1">
      <c r="C26" s="487" t="s">
        <v>158</v>
      </c>
      <c r="D26" s="490" t="s">
        <v>157</v>
      </c>
      <c r="E26" s="69" t="s">
        <v>202</v>
      </c>
      <c r="F26" s="493" t="s">
        <v>163</v>
      </c>
      <c r="G26" s="69" t="s">
        <v>189</v>
      </c>
      <c r="H26" s="69" t="s">
        <v>190</v>
      </c>
      <c r="I26" s="496" t="s">
        <v>1</v>
      </c>
      <c r="J26" s="85" t="s">
        <v>191</v>
      </c>
      <c r="K26" s="69" t="s">
        <v>192</v>
      </c>
      <c r="L26" s="69" t="s">
        <v>193</v>
      </c>
      <c r="M26" s="456" t="s">
        <v>169</v>
      </c>
      <c r="N26" s="435" t="s">
        <v>170</v>
      </c>
      <c r="O26" s="69" t="s">
        <v>207</v>
      </c>
      <c r="P26" s="70" t="s">
        <v>194</v>
      </c>
      <c r="Q26" s="86" t="s">
        <v>228</v>
      </c>
      <c r="R26" s="88" t="s">
        <v>195</v>
      </c>
      <c r="S26" s="139" t="s">
        <v>229</v>
      </c>
    </row>
    <row r="27" spans="3:21" ht="27.75" hidden="1" customHeight="1">
      <c r="C27" s="488"/>
      <c r="D27" s="491"/>
      <c r="E27" s="499" t="s">
        <v>2</v>
      </c>
      <c r="F27" s="494"/>
      <c r="G27" s="499" t="s">
        <v>3</v>
      </c>
      <c r="H27" s="499" t="s">
        <v>3</v>
      </c>
      <c r="I27" s="497"/>
      <c r="J27" s="501" t="s">
        <v>196</v>
      </c>
      <c r="K27" s="503" t="s">
        <v>227</v>
      </c>
      <c r="L27" s="503" t="s">
        <v>204</v>
      </c>
      <c r="M27" s="457"/>
      <c r="N27" s="436"/>
      <c r="O27" s="503" t="s">
        <v>204</v>
      </c>
      <c r="P27" s="503" t="s">
        <v>204</v>
      </c>
      <c r="Q27" s="503" t="s">
        <v>227</v>
      </c>
      <c r="R27" s="501" t="s">
        <v>294</v>
      </c>
      <c r="S27" s="505" t="s">
        <v>177</v>
      </c>
    </row>
    <row r="28" spans="3:21" ht="35.25" hidden="1" customHeight="1" thickBot="1">
      <c r="C28" s="489"/>
      <c r="D28" s="492"/>
      <c r="E28" s="500"/>
      <c r="F28" s="495"/>
      <c r="G28" s="500"/>
      <c r="H28" s="500"/>
      <c r="I28" s="498"/>
      <c r="J28" s="502"/>
      <c r="K28" s="504"/>
      <c r="L28" s="504"/>
      <c r="M28" s="458"/>
      <c r="N28" s="437"/>
      <c r="O28" s="504"/>
      <c r="P28" s="504"/>
      <c r="Q28" s="504"/>
      <c r="R28" s="502"/>
      <c r="S28" s="506"/>
    </row>
    <row r="29" spans="3:21" ht="24.75" hidden="1" customHeight="1" thickBot="1">
      <c r="C29" s="238"/>
      <c r="D29" s="239" t="str">
        <f>IF(ISERROR(VLOOKUP(C29,'Capacidad Financiera'!$B$12:$AA$59186,2,0)),"",VLOOKUP(C29,'Capacidad Financiera'!$B$12:$AA$59186,2,0))</f>
        <v/>
      </c>
      <c r="E29" s="240" t="str">
        <f>IF(ISERROR(VLOOKUP(C29,'Capacidad Financiera'!$B$12:$AA$59186,3,0)),"",VLOOKUP(C29,'Capacidad Financiera'!$B$12:$AA$59186,3,0))</f>
        <v/>
      </c>
      <c r="F29" s="245">
        <v>1</v>
      </c>
      <c r="G29" s="241"/>
      <c r="H29" s="241">
        <f>IF(ISERROR(VLOOKUP(F29,POA!$A$8:$D$22,3,0)),"",VLOOKUP(F29,POA!$A$8:$D$22,4,0))</f>
        <v>1E-10</v>
      </c>
      <c r="I29" s="243">
        <f>IF(ISERROR(VLOOKUP(F29,POA!$A$8:$D$8,3,0)),"",VLOOKUP(F29,POA!$A$8:$D$8,3,0))</f>
        <v>1</v>
      </c>
      <c r="J29" s="243">
        <f>IF(I29="","",IF(I29&lt;12,(G29-H29),IF(I29&gt;=12,(((G29-H29)/I29)*12),"")))</f>
        <v>-1E-10</v>
      </c>
      <c r="K29" s="137" t="str">
        <f>IF(IF(ISERROR(VLOOKUP(C29,'Cap Organización'!$C$10:$I$1048576,3,0)),"",VLOOKUP(C29,'Cap Organización'!$C$10:$I$1048576,3,0))=0,"",IF(ISERROR(VLOOKUP(C29,'Cap Organización'!$C$10:$I$1048576,3,0)),"",VLOOKUP(C29,'Cap Organización'!$C$10:$I$1048576,3,0)))</f>
        <v/>
      </c>
      <c r="L29" s="134" t="str">
        <f>IF(ISERROR(VLOOKUP(C29,'Puntaje Exp'!$C$10:$J$1048576,8,0)),"",VLOOKUP(C29,'Puntaje Exp'!$C$10:$J$1048576,8,0))</f>
        <v/>
      </c>
      <c r="M29" s="134" t="e">
        <v>#REF!</v>
      </c>
      <c r="N29" s="134" t="s">
        <v>297</v>
      </c>
      <c r="O29" s="134" t="str">
        <f>IF(ISERROR(VLOOKUP(C29,'Puntaje CT'!$C$10:$I$1048576,4,0)),"",VLOOKUP(C29,'Puntaje CT'!$C$10:$I$1048576,4,0))</f>
        <v/>
      </c>
      <c r="P29" s="134" t="str">
        <f>IF(ISERROR(VLOOKUP(C29,'Puntaje CF'!$C$10:$I$1048576,6,0)),"",VLOOKUP(C29,'Puntaje CF'!$C$10:$I$1048576,6,0))</f>
        <v/>
      </c>
      <c r="Q29" s="137" t="str">
        <f>IF(IF(ISERROR(VLOOKUP(C29,'Saldo CtosEjecución'!$C$10:$I$1048576,3,0)),"",VLOOKUP(C29,'Saldo CtosEjecución'!$C$10:$I$1048576,3,0))=0,"",IF(ISERROR(VLOOKUP(C29,'Saldo CtosEjecución'!$C$10:$I$1048576,3,0)),"",VLOOKUP(C29,'Saldo CtosEjecución'!$C$10:$I$1048576,3,0)))</f>
        <v/>
      </c>
      <c r="R29" s="87" t="str">
        <f>IF(OR(K29="",L29="",O29="",P29="",Q29=""),"",(K29*((L29+O29+P29)/100))-Q29)</f>
        <v/>
      </c>
      <c r="S29" s="141"/>
      <c r="U29" s="355"/>
    </row>
    <row r="30" spans="3:21" ht="56.25" hidden="1">
      <c r="C30" s="487" t="s">
        <v>158</v>
      </c>
      <c r="D30" s="490" t="s">
        <v>157</v>
      </c>
      <c r="E30" s="69" t="s">
        <v>202</v>
      </c>
      <c r="F30" s="493" t="s">
        <v>163</v>
      </c>
      <c r="G30" s="69" t="s">
        <v>189</v>
      </c>
      <c r="H30" s="69" t="s">
        <v>190</v>
      </c>
      <c r="I30" s="496" t="s">
        <v>1</v>
      </c>
      <c r="J30" s="85" t="s">
        <v>191</v>
      </c>
      <c r="K30" s="69" t="s">
        <v>192</v>
      </c>
      <c r="L30" s="69" t="s">
        <v>193</v>
      </c>
      <c r="M30" s="456" t="s">
        <v>169</v>
      </c>
      <c r="N30" s="435" t="s">
        <v>170</v>
      </c>
      <c r="O30" s="69" t="s">
        <v>207</v>
      </c>
      <c r="P30" s="70" t="s">
        <v>194</v>
      </c>
      <c r="Q30" s="86" t="s">
        <v>228</v>
      </c>
      <c r="R30" s="88" t="s">
        <v>195</v>
      </c>
      <c r="S30" s="139" t="s">
        <v>229</v>
      </c>
    </row>
    <row r="31" spans="3:21" ht="45" hidden="1" customHeight="1">
      <c r="C31" s="488"/>
      <c r="D31" s="491"/>
      <c r="E31" s="499" t="s">
        <v>2</v>
      </c>
      <c r="F31" s="494"/>
      <c r="G31" s="499" t="s">
        <v>3</v>
      </c>
      <c r="H31" s="499" t="s">
        <v>3</v>
      </c>
      <c r="I31" s="497"/>
      <c r="J31" s="501" t="s">
        <v>196</v>
      </c>
      <c r="K31" s="503" t="s">
        <v>227</v>
      </c>
      <c r="L31" s="503" t="s">
        <v>204</v>
      </c>
      <c r="M31" s="457"/>
      <c r="N31" s="436"/>
      <c r="O31" s="503" t="s">
        <v>204</v>
      </c>
      <c r="P31" s="503" t="s">
        <v>204</v>
      </c>
      <c r="Q31" s="503" t="s">
        <v>227</v>
      </c>
      <c r="R31" s="501" t="s">
        <v>294</v>
      </c>
      <c r="S31" s="505" t="s">
        <v>177</v>
      </c>
    </row>
    <row r="32" spans="3:21" ht="21.75" hidden="1" customHeight="1" thickBot="1">
      <c r="C32" s="489"/>
      <c r="D32" s="492"/>
      <c r="E32" s="500"/>
      <c r="F32" s="495"/>
      <c r="G32" s="500"/>
      <c r="H32" s="500"/>
      <c r="I32" s="498"/>
      <c r="J32" s="502"/>
      <c r="K32" s="504"/>
      <c r="L32" s="504"/>
      <c r="M32" s="458"/>
      <c r="N32" s="437"/>
      <c r="O32" s="504"/>
      <c r="P32" s="504"/>
      <c r="Q32" s="504"/>
      <c r="R32" s="502"/>
      <c r="S32" s="506"/>
    </row>
    <row r="33" spans="3:29" ht="24.75" hidden="1" customHeight="1" thickBot="1">
      <c r="C33" s="238"/>
      <c r="D33" s="239" t="str">
        <f>IF(ISERROR(VLOOKUP(C33,'Capacidad Financiera'!$B$12:$AA$59186,2,0)),"",VLOOKUP(C33,'Capacidad Financiera'!$B$12:$AA$59186,2,0))</f>
        <v/>
      </c>
      <c r="E33" s="240" t="str">
        <f>IF(ISERROR(VLOOKUP(C33,'Capacidad Financiera'!$B$12:$AA$59186,3,0)),"",VLOOKUP(C33,'Capacidad Financiera'!$B$12:$AA$59186,3,0))</f>
        <v/>
      </c>
      <c r="F33" s="245">
        <v>1</v>
      </c>
      <c r="G33" s="241"/>
      <c r="H33" s="241">
        <f>IF(ISERROR(VLOOKUP(F33,POA!$A$8:$D$22,3,0)),"",VLOOKUP(F33,POA!$A$8:$D$22,4,0))</f>
        <v>1E-10</v>
      </c>
      <c r="I33" s="243">
        <f>IF(ISERROR(VLOOKUP(F33,POA!$A$8:$D$8,3,0)),"",VLOOKUP(F33,POA!$A$8:$D$8,3,0))</f>
        <v>1</v>
      </c>
      <c r="J33" s="243">
        <f>IF(I33="","",IF(I33&lt;12,(G33-H33),IF(I33&gt;=12,(((G33-H33)/I33)*12),"")))</f>
        <v>-1E-10</v>
      </c>
      <c r="K33" s="137" t="str">
        <f>IF(IF(ISERROR(VLOOKUP(C33,'Cap Organización'!$C$10:$I$1048576,3,0)),"",VLOOKUP(C33,'Cap Organización'!$C$10:$I$1048576,3,0))=0,"",IF(ISERROR(VLOOKUP(C33,'Cap Organización'!$C$10:$I$1048576,3,0)),"",VLOOKUP(C33,'Cap Organización'!$C$10:$I$1048576,3,0)))</f>
        <v/>
      </c>
      <c r="L33" s="134" t="str">
        <f>IF(ISERROR(VLOOKUP(C33,'Puntaje Exp'!$C$10:$J$1048576,8,0)),"",VLOOKUP(C33,'Puntaje Exp'!$C$10:$J$1048576,8,0))</f>
        <v/>
      </c>
      <c r="M33" s="134" t="e">
        <v>#REF!</v>
      </c>
      <c r="N33" s="134" t="s">
        <v>297</v>
      </c>
      <c r="O33" s="134" t="str">
        <f>IF(ISERROR(VLOOKUP(C33,'Puntaje CT'!$C$10:$I$1048576,4,0)),"",VLOOKUP(C33,'Puntaje CT'!$C$10:$I$1048576,4,0))</f>
        <v/>
      </c>
      <c r="P33" s="134" t="str">
        <f>IF(ISERROR(VLOOKUP(C33,'Puntaje CF'!$C$10:$I$1048576,6,0)),"",VLOOKUP(C33,'Puntaje CF'!$C$10:$I$1048576,6,0))</f>
        <v/>
      </c>
      <c r="Q33" s="137" t="str">
        <f>IF(IF(ISERROR(VLOOKUP(C33,'Saldo CtosEjecución'!$C$10:$I$1048576,3,0)),"",VLOOKUP(C33,'Saldo CtosEjecución'!$C$10:$I$1048576,3,0))=0,"",IF(ISERROR(VLOOKUP(C33,'Saldo CtosEjecución'!$C$10:$I$1048576,3,0)),"",VLOOKUP(C33,'Saldo CtosEjecución'!$C$10:$I$1048576,3,0)))</f>
        <v/>
      </c>
      <c r="R33" s="87" t="str">
        <f>IF(OR(K33="",L33="",O33="",P33="",Q33=""),"",(K33*((L33+O33+P33)/100))-Q33)</f>
        <v/>
      </c>
      <c r="S33" s="141"/>
      <c r="U33" s="355"/>
      <c r="AC33" s="112"/>
    </row>
    <row r="34" spans="3:29" ht="56.25" hidden="1">
      <c r="C34" s="487" t="s">
        <v>158</v>
      </c>
      <c r="D34" s="490" t="s">
        <v>157</v>
      </c>
      <c r="E34" s="69" t="s">
        <v>202</v>
      </c>
      <c r="F34" s="493" t="s">
        <v>163</v>
      </c>
      <c r="G34" s="69" t="s">
        <v>189</v>
      </c>
      <c r="H34" s="69" t="s">
        <v>190</v>
      </c>
      <c r="I34" s="496" t="s">
        <v>1</v>
      </c>
      <c r="J34" s="85" t="s">
        <v>191</v>
      </c>
      <c r="K34" s="69" t="s">
        <v>192</v>
      </c>
      <c r="L34" s="69" t="s">
        <v>193</v>
      </c>
      <c r="M34" s="456" t="s">
        <v>169</v>
      </c>
      <c r="N34" s="435" t="s">
        <v>170</v>
      </c>
      <c r="O34" s="69" t="s">
        <v>207</v>
      </c>
      <c r="P34" s="70" t="s">
        <v>194</v>
      </c>
      <c r="Q34" s="86" t="s">
        <v>228</v>
      </c>
      <c r="R34" s="88" t="s">
        <v>195</v>
      </c>
      <c r="S34" s="139" t="s">
        <v>229</v>
      </c>
    </row>
    <row r="35" spans="3:29" ht="31.5" hidden="1" customHeight="1">
      <c r="C35" s="488"/>
      <c r="D35" s="491"/>
      <c r="E35" s="499" t="s">
        <v>2</v>
      </c>
      <c r="F35" s="494"/>
      <c r="G35" s="499" t="s">
        <v>3</v>
      </c>
      <c r="H35" s="499" t="s">
        <v>3</v>
      </c>
      <c r="I35" s="497"/>
      <c r="J35" s="501" t="s">
        <v>196</v>
      </c>
      <c r="K35" s="503" t="s">
        <v>227</v>
      </c>
      <c r="L35" s="503" t="s">
        <v>204</v>
      </c>
      <c r="M35" s="457"/>
      <c r="N35" s="436"/>
      <c r="O35" s="503" t="s">
        <v>204</v>
      </c>
      <c r="P35" s="503" t="s">
        <v>204</v>
      </c>
      <c r="Q35" s="503" t="s">
        <v>227</v>
      </c>
      <c r="R35" s="501" t="s">
        <v>294</v>
      </c>
      <c r="S35" s="505" t="s">
        <v>177</v>
      </c>
    </row>
    <row r="36" spans="3:29" ht="32.25" hidden="1" customHeight="1" thickBot="1">
      <c r="C36" s="489"/>
      <c r="D36" s="492"/>
      <c r="E36" s="500"/>
      <c r="F36" s="495"/>
      <c r="G36" s="500"/>
      <c r="H36" s="500"/>
      <c r="I36" s="498"/>
      <c r="J36" s="502"/>
      <c r="K36" s="504"/>
      <c r="L36" s="504"/>
      <c r="M36" s="458"/>
      <c r="N36" s="437"/>
      <c r="O36" s="504"/>
      <c r="P36" s="504"/>
      <c r="Q36" s="504"/>
      <c r="R36" s="502"/>
      <c r="S36" s="506"/>
    </row>
    <row r="37" spans="3:29" ht="27.75" hidden="1" customHeight="1" thickBot="1">
      <c r="C37" s="238"/>
      <c r="D37" s="239" t="str">
        <f>IF(ISERROR(VLOOKUP(C37,'Capacidad Financiera'!$B$12:$AA$59186,2,0)),"",VLOOKUP(C37,'Capacidad Financiera'!$B$12:$AA$59186,2,0))</f>
        <v/>
      </c>
      <c r="E37" s="240" t="str">
        <f>IF(ISERROR(VLOOKUP(C37,'Capacidad Financiera'!$B$12:$AA$59186,3,0)),"",VLOOKUP(C37,'Capacidad Financiera'!$B$12:$AA$59186,3,0))</f>
        <v/>
      </c>
      <c r="F37" s="245">
        <v>1</v>
      </c>
      <c r="G37" s="241"/>
      <c r="H37" s="241">
        <f>IF(ISERROR(VLOOKUP(F37,POA!$A$8:$D$22,3,0)),"",VLOOKUP(F37,POA!$A$8:$D$22,4,0))</f>
        <v>1E-10</v>
      </c>
      <c r="I37" s="243">
        <f>IF(ISERROR(VLOOKUP(F37,POA!$A$8:$D$8,3,0)),"",VLOOKUP(F37,POA!$A$8:$D$8,3,0))</f>
        <v>1</v>
      </c>
      <c r="J37" s="243">
        <f>IF(I37="","",IF(I37&lt;12,(G37-H37),IF(I37&gt;=12,(((G37-H37)/I37)*12),"")))</f>
        <v>-1E-10</v>
      </c>
      <c r="K37" s="137" t="str">
        <f>IF(IF(ISERROR(VLOOKUP(C37,'Cap Organización'!$C$10:$I$1048576,3,0)),"",VLOOKUP(C37,'Cap Organización'!$C$10:$I$1048576,3,0))=0,"",IF(ISERROR(VLOOKUP(C37,'Cap Organización'!$C$10:$I$1048576,3,0)),"",VLOOKUP(C37,'Cap Organización'!$C$10:$I$1048576,3,0)))</f>
        <v/>
      </c>
      <c r="L37" s="134" t="str">
        <f>IF(ISERROR(VLOOKUP(C37,'Puntaje Exp'!$C$10:$J$1048576,8,0)),"",VLOOKUP(C37,'Puntaje Exp'!$C$10:$J$1048576,8,0))</f>
        <v/>
      </c>
      <c r="M37" s="134" t="e">
        <v>#REF!</v>
      </c>
      <c r="N37" s="134" t="s">
        <v>297</v>
      </c>
      <c r="O37" s="134" t="str">
        <f>IF(ISERROR(VLOOKUP(C37,'Puntaje CT'!$C$10:$I$1048576,4,0)),"",VLOOKUP(C37,'Puntaje CT'!$C$10:$I$1048576,4,0))</f>
        <v/>
      </c>
      <c r="P37" s="134" t="str">
        <f>IF(ISERROR(VLOOKUP(C37,'Puntaje CF'!$C$10:$I$1048576,6,0)),"",VLOOKUP(C37,'Puntaje CF'!$C$10:$I$1048576,6,0))</f>
        <v/>
      </c>
      <c r="Q37" s="137" t="str">
        <f>IF(IF(ISERROR(VLOOKUP(C37,'Saldo CtosEjecución'!$C$10:$I$1048576,3,0)),"",VLOOKUP(C37,'Saldo CtosEjecución'!$C$10:$I$1048576,3,0))=0,"",IF(ISERROR(VLOOKUP(C37,'Saldo CtosEjecución'!$C$10:$I$1048576,3,0)),"",VLOOKUP(C37,'Saldo CtosEjecución'!$C$10:$I$1048576,3,0)))</f>
        <v/>
      </c>
      <c r="R37" s="87" t="str">
        <f>IF(OR(K37="",L37="",O37="",P37="",Q37=""),"",(K37*((L37+O37+P37)/100))-Q37)</f>
        <v/>
      </c>
      <c r="S37" s="141"/>
    </row>
    <row r="38" spans="3:29" ht="56.25" hidden="1">
      <c r="C38" s="487" t="s">
        <v>158</v>
      </c>
      <c r="D38" s="490" t="s">
        <v>157</v>
      </c>
      <c r="E38" s="69" t="s">
        <v>202</v>
      </c>
      <c r="F38" s="493" t="s">
        <v>163</v>
      </c>
      <c r="G38" s="69" t="s">
        <v>189</v>
      </c>
      <c r="H38" s="69" t="s">
        <v>190</v>
      </c>
      <c r="I38" s="496" t="s">
        <v>1</v>
      </c>
      <c r="J38" s="85" t="s">
        <v>191</v>
      </c>
      <c r="K38" s="69" t="s">
        <v>192</v>
      </c>
      <c r="L38" s="69" t="s">
        <v>193</v>
      </c>
      <c r="M38" s="456" t="s">
        <v>169</v>
      </c>
      <c r="N38" s="435" t="s">
        <v>170</v>
      </c>
      <c r="O38" s="69" t="s">
        <v>207</v>
      </c>
      <c r="P38" s="70" t="s">
        <v>194</v>
      </c>
      <c r="Q38" s="86" t="s">
        <v>228</v>
      </c>
      <c r="R38" s="88" t="s">
        <v>195</v>
      </c>
      <c r="S38" s="139" t="s">
        <v>229</v>
      </c>
    </row>
    <row r="39" spans="3:29" ht="34.5" hidden="1" customHeight="1">
      <c r="C39" s="488"/>
      <c r="D39" s="491"/>
      <c r="E39" s="499" t="s">
        <v>2</v>
      </c>
      <c r="F39" s="494"/>
      <c r="G39" s="499" t="s">
        <v>3</v>
      </c>
      <c r="H39" s="499" t="s">
        <v>3</v>
      </c>
      <c r="I39" s="497"/>
      <c r="J39" s="501" t="s">
        <v>196</v>
      </c>
      <c r="K39" s="503" t="s">
        <v>227</v>
      </c>
      <c r="L39" s="503" t="s">
        <v>204</v>
      </c>
      <c r="M39" s="457"/>
      <c r="N39" s="436"/>
      <c r="O39" s="503" t="s">
        <v>204</v>
      </c>
      <c r="P39" s="503" t="s">
        <v>204</v>
      </c>
      <c r="Q39" s="503" t="s">
        <v>227</v>
      </c>
      <c r="R39" s="501" t="s">
        <v>294</v>
      </c>
      <c r="S39" s="505" t="s">
        <v>177</v>
      </c>
    </row>
    <row r="40" spans="3:29" ht="21.75" hidden="1" customHeight="1" thickBot="1">
      <c r="C40" s="489"/>
      <c r="D40" s="492"/>
      <c r="E40" s="500"/>
      <c r="F40" s="495"/>
      <c r="G40" s="500"/>
      <c r="H40" s="500"/>
      <c r="I40" s="498"/>
      <c r="J40" s="502"/>
      <c r="K40" s="504"/>
      <c r="L40" s="504"/>
      <c r="M40" s="458"/>
      <c r="N40" s="437"/>
      <c r="O40" s="504"/>
      <c r="P40" s="504"/>
      <c r="Q40" s="504"/>
      <c r="R40" s="502"/>
      <c r="S40" s="506"/>
    </row>
    <row r="41" spans="3:29" ht="33" hidden="1" customHeight="1" thickBot="1">
      <c r="C41" s="238"/>
      <c r="D41" s="239" t="str">
        <f>IF(ISERROR(VLOOKUP(C41,'Capacidad Financiera'!$B$12:$AA$59186,2,0)),"",VLOOKUP(C41,'Capacidad Financiera'!$B$12:$AA$59186,2,0))</f>
        <v/>
      </c>
      <c r="E41" s="240" t="str">
        <f>IF(ISERROR(VLOOKUP(C41,'Capacidad Financiera'!$B$12:$AA$59186,3,0)),"",VLOOKUP(C41,'Capacidad Financiera'!$B$12:$AA$59186,3,0))</f>
        <v/>
      </c>
      <c r="F41" s="245"/>
      <c r="G41" s="241"/>
      <c r="H41" s="241"/>
      <c r="I41" s="243"/>
      <c r="J41" s="243"/>
      <c r="K41" s="137" t="str">
        <f>IF(IF(ISERROR(VLOOKUP(C41,'Cap Organización'!$C$10:$I$1048576,3,0)),"",VLOOKUP(C41,'Cap Organización'!$C$10:$I$1048576,3,0))=0,"",IF(ISERROR(VLOOKUP(C41,'Cap Organización'!$C$10:$I$1048576,3,0)),"",VLOOKUP(C41,'Cap Organización'!$C$10:$I$1048576,3,0)))</f>
        <v/>
      </c>
      <c r="L41" s="134" t="str">
        <f>IF(ISERROR(VLOOKUP(C41,'Puntaje Exp'!$C$10:$J$1048576,8,0)),"",VLOOKUP(C41,'Puntaje Exp'!$C$10:$J$1048576,8,0))</f>
        <v/>
      </c>
      <c r="M41" s="134" t="e">
        <v>#REF!</v>
      </c>
      <c r="N41" s="134" t="s">
        <v>297</v>
      </c>
      <c r="O41" s="134" t="str">
        <f>IF(ISERROR(VLOOKUP(C41,'Puntaje CT'!$C$10:$I$1048576,4,0)),"",VLOOKUP(C41,'Puntaje CT'!$C$10:$I$1048576,4,0))</f>
        <v/>
      </c>
      <c r="P41" s="134" t="str">
        <f>IF(ISERROR(VLOOKUP(C41,'Puntaje CF'!$C$10:$I$1048576,6,0)),"",VLOOKUP(C41,'Puntaje CF'!$C$10:$I$1048576,6,0))</f>
        <v/>
      </c>
      <c r="Q41" s="137" t="str">
        <f>IF(IF(ISERROR(VLOOKUP(C41,'Saldo CtosEjecución'!$C$10:$I$1048576,3,0)),"",VLOOKUP(C41,'Saldo CtosEjecución'!$C$10:$I$1048576,3,0))=0,"",IF(ISERROR(VLOOKUP(C41,'Saldo CtosEjecución'!$C$10:$I$1048576,3,0)),"",VLOOKUP(C41,'Saldo CtosEjecución'!$C$10:$I$1048576,3,0)))</f>
        <v/>
      </c>
      <c r="R41" s="87" t="str">
        <f>IF(OR(K41="",L41="",O41="",P41="",Q41=""),"",(K41*((L41+O41+P41)/100))-Q41)</f>
        <v/>
      </c>
      <c r="S41" s="141" t="str">
        <f>+IF(OR(R41=0,F41=""),"",IF(R41&gt;=J41,"HABIL","NO HABIL"))</f>
        <v/>
      </c>
    </row>
    <row r="42" spans="3:29" ht="33" hidden="1" customHeight="1">
      <c r="C42" s="487" t="s">
        <v>158</v>
      </c>
      <c r="D42" s="490" t="s">
        <v>157</v>
      </c>
      <c r="E42" s="69" t="s">
        <v>202</v>
      </c>
      <c r="F42" s="493" t="s">
        <v>163</v>
      </c>
      <c r="G42" s="69" t="s">
        <v>189</v>
      </c>
      <c r="H42" s="69" t="s">
        <v>190</v>
      </c>
      <c r="I42" s="496" t="s">
        <v>1</v>
      </c>
      <c r="J42" s="85" t="s">
        <v>191</v>
      </c>
      <c r="K42" s="69" t="s">
        <v>192</v>
      </c>
      <c r="L42" s="69" t="s">
        <v>193</v>
      </c>
      <c r="M42" s="456" t="s">
        <v>169</v>
      </c>
      <c r="N42" s="435" t="s">
        <v>170</v>
      </c>
      <c r="O42" s="69" t="s">
        <v>207</v>
      </c>
      <c r="P42" s="70" t="s">
        <v>194</v>
      </c>
      <c r="Q42" s="86" t="s">
        <v>228</v>
      </c>
      <c r="R42" s="88" t="s">
        <v>195</v>
      </c>
      <c r="S42" s="139" t="s">
        <v>229</v>
      </c>
    </row>
    <row r="43" spans="3:29" ht="31.5" hidden="1" customHeight="1">
      <c r="C43" s="488"/>
      <c r="D43" s="491"/>
      <c r="E43" s="499" t="s">
        <v>2</v>
      </c>
      <c r="F43" s="494"/>
      <c r="G43" s="499" t="s">
        <v>3</v>
      </c>
      <c r="H43" s="499" t="s">
        <v>3</v>
      </c>
      <c r="I43" s="497"/>
      <c r="J43" s="501" t="s">
        <v>196</v>
      </c>
      <c r="K43" s="503" t="s">
        <v>227</v>
      </c>
      <c r="L43" s="503" t="s">
        <v>204</v>
      </c>
      <c r="M43" s="457"/>
      <c r="N43" s="436"/>
      <c r="O43" s="503" t="s">
        <v>204</v>
      </c>
      <c r="P43" s="503" t="s">
        <v>204</v>
      </c>
      <c r="Q43" s="503" t="s">
        <v>227</v>
      </c>
      <c r="R43" s="501" t="s">
        <v>294</v>
      </c>
      <c r="S43" s="505" t="s">
        <v>177</v>
      </c>
    </row>
    <row r="44" spans="3:29" ht="26.25" hidden="1" customHeight="1" thickBot="1">
      <c r="C44" s="489"/>
      <c r="D44" s="492"/>
      <c r="E44" s="500"/>
      <c r="F44" s="495"/>
      <c r="G44" s="500"/>
      <c r="H44" s="500"/>
      <c r="I44" s="498"/>
      <c r="J44" s="502"/>
      <c r="K44" s="504"/>
      <c r="L44" s="504"/>
      <c r="M44" s="458"/>
      <c r="N44" s="437"/>
      <c r="O44" s="504"/>
      <c r="P44" s="504"/>
      <c r="Q44" s="504"/>
      <c r="R44" s="502"/>
      <c r="S44" s="506"/>
    </row>
    <row r="45" spans="3:29" ht="30.75" hidden="1" customHeight="1" thickBot="1">
      <c r="C45" s="238"/>
      <c r="D45" s="239" t="str">
        <f>IF(ISERROR(VLOOKUP(C45,'Capacidad Financiera'!$B$12:$AA$59186,2,0)),"",VLOOKUP(C45,'Capacidad Financiera'!$B$12:$AA$59186,2,0))</f>
        <v/>
      </c>
      <c r="E45" s="240" t="str">
        <f>IF(ISERROR(VLOOKUP(C45,'Capacidad Financiera'!$B$12:$AA$59186,3,0)),"",VLOOKUP(C45,'Capacidad Financiera'!$B$12:$AA$59186,3,0))</f>
        <v/>
      </c>
      <c r="F45" s="245"/>
      <c r="G45" s="241"/>
      <c r="H45" s="241"/>
      <c r="I45" s="243"/>
      <c r="J45" s="243"/>
      <c r="K45" s="137" t="str">
        <f>IF(IF(ISERROR(VLOOKUP(C45,'Cap Organización'!$C$10:$I$1048576,3,0)),"",VLOOKUP(C45,'Cap Organización'!$C$10:$I$1048576,3,0))=0,"",IF(ISERROR(VLOOKUP(C45,'Cap Organización'!$C$10:$I$1048576,3,0)),"",VLOOKUP(C45,'Cap Organización'!$C$10:$I$1048576,3,0)))</f>
        <v/>
      </c>
      <c r="L45" s="134" t="str">
        <f>IF(ISERROR(VLOOKUP(C45,'Puntaje Exp'!$C$10:$J$1048576,8,0)),"",VLOOKUP(C45,'Puntaje Exp'!$C$10:$J$1048576,8,0))</f>
        <v/>
      </c>
      <c r="M45" s="134" t="e">
        <v>#REF!</v>
      </c>
      <c r="N45" s="134" t="s">
        <v>297</v>
      </c>
      <c r="O45" s="134" t="str">
        <f>IF(ISERROR(VLOOKUP(C45,'Puntaje CT'!$C$10:$I$1048576,4,0)),"",VLOOKUP(C45,'Puntaje CT'!$C$10:$I$1048576,4,0))</f>
        <v/>
      </c>
      <c r="P45" s="134" t="str">
        <f>IF(ISERROR(VLOOKUP(C45,'Puntaje CF'!$C$10:$I$1048576,6,0)),"",VLOOKUP(C45,'Puntaje CF'!$C$10:$I$1048576,6,0))</f>
        <v/>
      </c>
      <c r="Q45" s="137" t="str">
        <f>IF(IF(ISERROR(VLOOKUP(C45,'Saldo CtosEjecución'!$C$10:$I$1048576,3,0)),"",VLOOKUP(C45,'Saldo CtosEjecución'!$C$10:$I$1048576,3,0))=0,"",IF(ISERROR(VLOOKUP(C45,'Saldo CtosEjecución'!$C$10:$I$1048576,3,0)),"",VLOOKUP(C45,'Saldo CtosEjecución'!$C$10:$I$1048576,3,0)))</f>
        <v/>
      </c>
      <c r="R45" s="87" t="str">
        <f>IF(OR(K45="",L45="",O45="",P45="",Q45=""),"",(K45*((L45+O45+P45)/100))-Q45)</f>
        <v/>
      </c>
      <c r="S45" s="141" t="str">
        <f>+IF(OR(R45=0,F45=""),"",IF(R45&gt;=J45,"HABIL","NO HABIL"))</f>
        <v/>
      </c>
    </row>
    <row r="46" spans="3:29" ht="56.25" hidden="1" customHeight="1">
      <c r="C46" s="487" t="s">
        <v>158</v>
      </c>
      <c r="D46" s="490" t="s">
        <v>157</v>
      </c>
      <c r="E46" s="69" t="s">
        <v>202</v>
      </c>
      <c r="F46" s="493" t="s">
        <v>163</v>
      </c>
      <c r="G46" s="69" t="s">
        <v>189</v>
      </c>
      <c r="H46" s="69" t="s">
        <v>190</v>
      </c>
      <c r="I46" s="496" t="s">
        <v>1</v>
      </c>
      <c r="J46" s="85" t="s">
        <v>191</v>
      </c>
      <c r="K46" s="69" t="s">
        <v>192</v>
      </c>
      <c r="L46" s="69" t="s">
        <v>193</v>
      </c>
      <c r="M46" s="456" t="s">
        <v>169</v>
      </c>
      <c r="N46" s="435" t="s">
        <v>170</v>
      </c>
      <c r="O46" s="69" t="s">
        <v>207</v>
      </c>
      <c r="P46" s="70" t="s">
        <v>194</v>
      </c>
      <c r="Q46" s="86" t="s">
        <v>228</v>
      </c>
      <c r="R46" s="88" t="s">
        <v>195</v>
      </c>
      <c r="S46" s="139" t="s">
        <v>229</v>
      </c>
    </row>
    <row r="47" spans="3:29" ht="38.25" hidden="1" customHeight="1">
      <c r="C47" s="488"/>
      <c r="D47" s="491"/>
      <c r="E47" s="499" t="s">
        <v>2</v>
      </c>
      <c r="F47" s="494"/>
      <c r="G47" s="499" t="s">
        <v>3</v>
      </c>
      <c r="H47" s="499" t="s">
        <v>3</v>
      </c>
      <c r="I47" s="497"/>
      <c r="J47" s="501" t="s">
        <v>196</v>
      </c>
      <c r="K47" s="503" t="s">
        <v>227</v>
      </c>
      <c r="L47" s="503" t="s">
        <v>204</v>
      </c>
      <c r="M47" s="457"/>
      <c r="N47" s="436"/>
      <c r="O47" s="503" t="s">
        <v>204</v>
      </c>
      <c r="P47" s="503" t="s">
        <v>204</v>
      </c>
      <c r="Q47" s="503" t="s">
        <v>227</v>
      </c>
      <c r="R47" s="501" t="s">
        <v>294</v>
      </c>
      <c r="S47" s="505" t="s">
        <v>177</v>
      </c>
    </row>
    <row r="48" spans="3:29" ht="21.75" hidden="1" customHeight="1" thickBot="1">
      <c r="C48" s="489"/>
      <c r="D48" s="492"/>
      <c r="E48" s="500"/>
      <c r="F48" s="495"/>
      <c r="G48" s="500"/>
      <c r="H48" s="500"/>
      <c r="I48" s="498"/>
      <c r="J48" s="502"/>
      <c r="K48" s="504"/>
      <c r="L48" s="504"/>
      <c r="M48" s="458"/>
      <c r="N48" s="437"/>
      <c r="O48" s="504"/>
      <c r="P48" s="504"/>
      <c r="Q48" s="504"/>
      <c r="R48" s="502"/>
      <c r="S48" s="506"/>
    </row>
    <row r="49" spans="3:21" ht="28.5" hidden="1" customHeight="1" thickBot="1">
      <c r="C49" s="317"/>
      <c r="D49" s="344" t="str">
        <f>IF(ISERROR(VLOOKUP(C49,'Capacidad Financiera'!$B$12:$AA$59186,2,0)),"",VLOOKUP(C49,'Capacidad Financiera'!$B$12:$AA$59186,2,0))</f>
        <v/>
      </c>
      <c r="E49" s="345" t="str">
        <f>IF(ISERROR(VLOOKUP(C49,'Capacidad Financiera'!$B$12:$AA$59186,3,0)),"",VLOOKUP(C49,'Capacidad Financiera'!$B$12:$AA$59186,3,0))</f>
        <v/>
      </c>
      <c r="F49" s="350"/>
      <c r="G49" s="346"/>
      <c r="H49" s="346"/>
      <c r="I49" s="318"/>
      <c r="J49" s="318"/>
      <c r="K49" s="402"/>
      <c r="L49" s="388"/>
      <c r="M49" s="388"/>
      <c r="N49" s="388"/>
      <c r="O49" s="388"/>
      <c r="P49" s="388"/>
      <c r="Q49" s="402"/>
      <c r="R49" s="403"/>
      <c r="S49" s="141" t="str">
        <f>+IF(OR(R49=0,F49=""),"",IF(R49&gt;=J49,"HABIL","NO HABIL"))</f>
        <v/>
      </c>
      <c r="U49" s="355"/>
    </row>
    <row r="50" spans="3:21" ht="56.25" hidden="1" customHeight="1">
      <c r="C50" s="276" t="s">
        <v>158</v>
      </c>
      <c r="D50" s="279" t="s">
        <v>157</v>
      </c>
      <c r="E50" s="69" t="s">
        <v>202</v>
      </c>
      <c r="F50" s="282" t="s">
        <v>163</v>
      </c>
      <c r="G50" s="69" t="s">
        <v>189</v>
      </c>
      <c r="H50" s="69" t="s">
        <v>190</v>
      </c>
      <c r="I50" s="285" t="s">
        <v>1</v>
      </c>
      <c r="J50" s="85" t="s">
        <v>191</v>
      </c>
      <c r="K50" s="69" t="s">
        <v>192</v>
      </c>
      <c r="L50" s="69" t="s">
        <v>193</v>
      </c>
      <c r="M50" s="264" t="s">
        <v>169</v>
      </c>
      <c r="N50" s="261" t="s">
        <v>170</v>
      </c>
      <c r="O50" s="69" t="s">
        <v>207</v>
      </c>
      <c r="P50" s="70" t="s">
        <v>194</v>
      </c>
      <c r="Q50" s="86" t="s">
        <v>228</v>
      </c>
      <c r="R50" s="88" t="s">
        <v>195</v>
      </c>
      <c r="S50" s="139" t="s">
        <v>229</v>
      </c>
    </row>
    <row r="51" spans="3:21" ht="75.95" hidden="1" customHeight="1">
      <c r="C51" s="277"/>
      <c r="D51" s="280"/>
      <c r="E51" s="274" t="s">
        <v>2</v>
      </c>
      <c r="F51" s="283"/>
      <c r="G51" s="274" t="s">
        <v>3</v>
      </c>
      <c r="H51" s="274" t="s">
        <v>3</v>
      </c>
      <c r="I51" s="286"/>
      <c r="J51" s="270" t="s">
        <v>196</v>
      </c>
      <c r="K51" s="268" t="s">
        <v>227</v>
      </c>
      <c r="L51" s="268" t="s">
        <v>204</v>
      </c>
      <c r="M51" s="265"/>
      <c r="N51" s="262"/>
      <c r="O51" s="268" t="s">
        <v>204</v>
      </c>
      <c r="P51" s="268" t="s">
        <v>204</v>
      </c>
      <c r="Q51" s="268" t="s">
        <v>227</v>
      </c>
      <c r="R51" s="501" t="s">
        <v>294</v>
      </c>
      <c r="S51" s="272" t="s">
        <v>177</v>
      </c>
      <c r="U51" s="355"/>
    </row>
    <row r="52" spans="3:21" ht="23.1" hidden="1" customHeight="1" thickBot="1">
      <c r="C52" s="278"/>
      <c r="D52" s="281"/>
      <c r="E52" s="275"/>
      <c r="F52" s="284"/>
      <c r="G52" s="275"/>
      <c r="H52" s="275"/>
      <c r="I52" s="287"/>
      <c r="J52" s="271"/>
      <c r="K52" s="269"/>
      <c r="L52" s="269"/>
      <c r="M52" s="266"/>
      <c r="N52" s="263"/>
      <c r="O52" s="269"/>
      <c r="P52" s="269"/>
      <c r="Q52" s="269"/>
      <c r="R52" s="502"/>
      <c r="S52" s="273"/>
    </row>
    <row r="53" spans="3:21" ht="39.75" hidden="1" customHeight="1" thickBot="1">
      <c r="C53" s="238"/>
      <c r="D53" s="239" t="str">
        <f>IF(ISERROR(VLOOKUP(C53,'Capacidad Financiera'!$B$12:$AA$59186,2,0)),"",VLOOKUP(C53,'Capacidad Financiera'!$B$12:$AA$59186,2,0))</f>
        <v/>
      </c>
      <c r="E53" s="240" t="str">
        <f>IF(ISERROR(VLOOKUP(C53,'Capacidad Financiera'!$B$12:$AA$59186,3,0)),"",VLOOKUP(C53,'Capacidad Financiera'!$B$12:$AA$59186,3,0))</f>
        <v/>
      </c>
      <c r="F53" s="245">
        <v>1</v>
      </c>
      <c r="G53" s="241">
        <f>IF(ISERROR(VLOOKUP(F53,POA!$A$8:$D$22,2,0)),"",VLOOKUP(F53,POA!$A$8:$D$22,2,0))</f>
        <v>120000000</v>
      </c>
      <c r="H53" s="241">
        <f>IF(ISERROR(VLOOKUP(F53,POA!$A$8:$D$22,3,0)),"",VLOOKUP(F53,POA!$A$8:$D$22,4,0))</f>
        <v>1E-10</v>
      </c>
      <c r="I53" s="243">
        <f>IF(ISERROR(VLOOKUP(F53,POA!$A$8:$D$8,3,0)),"",VLOOKUP(F53,POA!$A$8:$D$8,3,0))</f>
        <v>1</v>
      </c>
      <c r="J53" s="243">
        <f>IF(I53="","",IF(I53&lt;12,(G53-H53),IF(I53&gt;=12,(((G53-H53)/I53)*12),"")))</f>
        <v>120000000</v>
      </c>
      <c r="K53" s="137" t="str">
        <f>IF(IF(ISERROR(VLOOKUP(C53,'Cap Organización'!$C$10:$I$1048576,3,0)),"",VLOOKUP(C53,'Cap Organización'!$C$10:$I$1048576,3,0))=0,"",IF(ISERROR(VLOOKUP(C53,'Cap Organización'!$C$10:$I$1048576,3,0)),"",VLOOKUP(C53,'Cap Organización'!$C$10:$I$1048576,3,0)))</f>
        <v/>
      </c>
      <c r="L53" s="134" t="str">
        <f>IF(ISERROR(VLOOKUP(C53,'Puntaje Exp'!$C$10:$J$1048576,8,0)),"",VLOOKUP(C53,'Puntaje Exp'!$C$10:$J$1048576,8,0))</f>
        <v/>
      </c>
      <c r="M53" s="134" t="e">
        <v>#REF!</v>
      </c>
      <c r="N53" s="134" t="s">
        <v>297</v>
      </c>
      <c r="O53" s="134" t="str">
        <f>IF(ISERROR(VLOOKUP(C53,'Puntaje CT'!$C$10:$I$1048576,4,0)),"",VLOOKUP(C53,'Puntaje CT'!$C$10:$I$1048576,4,0))</f>
        <v/>
      </c>
      <c r="P53" s="134" t="str">
        <f>IF(ISERROR(VLOOKUP(C53,'Puntaje CF'!$C$10:$I$1048576,6,0)),"",VLOOKUP(C53,'Puntaje CF'!$C$10:$I$1048576,6,0))</f>
        <v/>
      </c>
      <c r="Q53" s="137" t="str">
        <f>IF(IF(ISERROR(VLOOKUP(C53,'Saldo CtosEjecución'!$C$10:$I$1048576,3,0)),"",VLOOKUP(C53,'Saldo CtosEjecución'!$C$10:$I$1048576,3,0))=0,"",IF(ISERROR(VLOOKUP(C53,'Saldo CtosEjecución'!$C$10:$I$1048576,3,0)),"",VLOOKUP(C53,'Saldo CtosEjecución'!$C$10:$I$1048576,3,0)))</f>
        <v/>
      </c>
      <c r="R53" s="87" t="str">
        <f>IF(OR(K53="",L53="",O53="",P53="",Q53=""),"",(K53*((L53+O53+P53)/100))-Q53)</f>
        <v/>
      </c>
      <c r="S53" s="141" t="str">
        <f>+IF(OR(R53=0,F53=""),"",IF(R53&gt;=J53,"HABIL","NO HABIL"))</f>
        <v>HABIL</v>
      </c>
      <c r="U53" s="355"/>
    </row>
    <row r="54" spans="3:21" ht="56.25" hidden="1" customHeight="1">
      <c r="C54" s="276" t="s">
        <v>158</v>
      </c>
      <c r="D54" s="279" t="s">
        <v>157</v>
      </c>
      <c r="E54" s="69" t="s">
        <v>202</v>
      </c>
      <c r="F54" s="282" t="s">
        <v>163</v>
      </c>
      <c r="G54" s="69" t="s">
        <v>189</v>
      </c>
      <c r="H54" s="69" t="s">
        <v>190</v>
      </c>
      <c r="I54" s="285" t="s">
        <v>1</v>
      </c>
      <c r="J54" s="85" t="s">
        <v>191</v>
      </c>
      <c r="K54" s="69" t="s">
        <v>192</v>
      </c>
      <c r="L54" s="69" t="s">
        <v>193</v>
      </c>
      <c r="M54" s="264" t="s">
        <v>169</v>
      </c>
      <c r="N54" s="261" t="s">
        <v>170</v>
      </c>
      <c r="O54" s="69" t="s">
        <v>207</v>
      </c>
      <c r="P54" s="70" t="s">
        <v>194</v>
      </c>
      <c r="Q54" s="86" t="s">
        <v>228</v>
      </c>
      <c r="R54" s="88" t="s">
        <v>195</v>
      </c>
      <c r="S54" s="139" t="s">
        <v>229</v>
      </c>
    </row>
    <row r="55" spans="3:21" ht="60" hidden="1" customHeight="1">
      <c r="C55" s="277"/>
      <c r="D55" s="280"/>
      <c r="E55" s="274" t="s">
        <v>2</v>
      </c>
      <c r="F55" s="283"/>
      <c r="G55" s="274" t="s">
        <v>3</v>
      </c>
      <c r="H55" s="274" t="s">
        <v>3</v>
      </c>
      <c r="I55" s="286"/>
      <c r="J55" s="270" t="s">
        <v>196</v>
      </c>
      <c r="K55" s="268" t="s">
        <v>227</v>
      </c>
      <c r="L55" s="268" t="s">
        <v>204</v>
      </c>
      <c r="M55" s="265"/>
      <c r="N55" s="262"/>
      <c r="O55" s="268" t="s">
        <v>204</v>
      </c>
      <c r="P55" s="268" t="s">
        <v>204</v>
      </c>
      <c r="Q55" s="268" t="s">
        <v>227</v>
      </c>
      <c r="R55" s="501" t="s">
        <v>294</v>
      </c>
      <c r="S55" s="272" t="s">
        <v>177</v>
      </c>
    </row>
    <row r="56" spans="3:21" ht="9" hidden="1" customHeight="1" thickBot="1">
      <c r="C56" s="278"/>
      <c r="D56" s="281"/>
      <c r="E56" s="275"/>
      <c r="F56" s="284"/>
      <c r="G56" s="275"/>
      <c r="H56" s="275"/>
      <c r="I56" s="287"/>
      <c r="J56" s="271"/>
      <c r="K56" s="269"/>
      <c r="L56" s="269"/>
      <c r="M56" s="266"/>
      <c r="N56" s="263"/>
      <c r="O56" s="269"/>
      <c r="P56" s="269"/>
      <c r="Q56" s="269"/>
      <c r="R56" s="502"/>
      <c r="S56" s="273"/>
    </row>
    <row r="57" spans="3:21" ht="42.95" hidden="1" customHeight="1" thickBot="1">
      <c r="C57" s="317"/>
      <c r="D57" s="344" t="str">
        <f>IF(ISERROR(VLOOKUP(C57,'Capacidad Financiera'!$B$12:$AA$59186,2,0)),"",VLOOKUP(C57,'Capacidad Financiera'!$B$12:$AA$59186,2,0))</f>
        <v/>
      </c>
      <c r="E57" s="345" t="str">
        <f>IF(ISERROR(VLOOKUP(C57,'Capacidad Financiera'!$B$12:$AA$59186,3,0)),"",VLOOKUP(C57,'Capacidad Financiera'!$B$12:$AA$59186,3,0))</f>
        <v/>
      </c>
      <c r="F57" s="350">
        <v>1</v>
      </c>
      <c r="G57" s="346">
        <f>IF(ISERROR(VLOOKUP(F57,POA!$A$8:$D$22,2,0)),"",VLOOKUP(F57,POA!$A$8:$D$22,2,0))</f>
        <v>120000000</v>
      </c>
      <c r="H57" s="346">
        <f>IF(ISERROR(VLOOKUP(F57,POA!$A$8:$D$22,3,0)),"",VLOOKUP(F57,POA!$A$8:$D$22,4,0))</f>
        <v>1E-10</v>
      </c>
      <c r="I57" s="318">
        <f>IF(ISERROR(VLOOKUP(F57,POA!$A$8:$D$8,3,0)),"",VLOOKUP(F57,POA!$A$8:$D$8,3,0))</f>
        <v>1</v>
      </c>
      <c r="J57" s="318">
        <f>IF(I57="","",IF(I57&lt;12,(G57-H57),IF(I57&gt;=12,(((G57-H57)/I57)*12),"")))</f>
        <v>120000000</v>
      </c>
      <c r="K57" s="351" t="str">
        <f>IF(IF(ISERROR(VLOOKUP(C57,'Cap Organización'!$C$10:$I$1048576,3,0)),"",VLOOKUP(C57,'Cap Organización'!$C$10:$I$1048576,3,0))=0,"",IF(ISERROR(VLOOKUP(C57,'Cap Organización'!$C$10:$I$1048576,3,0)),"",VLOOKUP(C57,'Cap Organización'!$C$10:$I$1048576,3,0)))</f>
        <v/>
      </c>
      <c r="L57" s="352" t="str">
        <f>IF(ISERROR(VLOOKUP(C57,'Puntaje Exp'!$C$10:$J$1048576,8,0)),"",VLOOKUP(C57,'Puntaje Exp'!$C$10:$J$1048576,8,0))</f>
        <v/>
      </c>
      <c r="M57" s="352" t="e">
        <v>#REF!</v>
      </c>
      <c r="N57" s="352" t="s">
        <v>297</v>
      </c>
      <c r="O57" s="352" t="str">
        <f>IF(ISERROR(VLOOKUP(C57,'Puntaje CT'!$C$10:$I$1048576,4,0)),"",VLOOKUP(C57,'Puntaje CT'!$C$10:$I$1048576,4,0))</f>
        <v/>
      </c>
      <c r="P57" s="352" t="str">
        <f>IF(ISERROR(VLOOKUP(C57,'Puntaje CF'!$C$10:$I$1048576,6,0)),"",VLOOKUP(C57,'Puntaje CF'!$C$10:$I$1048576,6,0))</f>
        <v/>
      </c>
      <c r="Q57" s="351" t="str">
        <f>IF(IF(ISERROR(VLOOKUP(C57,'Saldo CtosEjecución'!$C$10:$I$1048576,3,0)),"",VLOOKUP(C57,'Saldo CtosEjecución'!$C$10:$I$1048576,3,0))=0,"",IF(ISERROR(VLOOKUP(C57,'Saldo CtosEjecución'!$C$10:$I$1048576,3,0)),"",VLOOKUP(C57,'Saldo CtosEjecución'!$C$10:$I$1048576,3,0)))</f>
        <v/>
      </c>
      <c r="R57" s="353" t="str">
        <f>IF(OR(K57="",L57="",O57="",P57="",Q57=""),"",(K57*((L57+O57+P57)/100))-Q57)</f>
        <v/>
      </c>
      <c r="S57" s="354" t="str">
        <f>+IF(OR(R57=0,F57=""),"",IF(R57&gt;=J57,"HABIL","NO HABIL"))</f>
        <v>HABIL</v>
      </c>
      <c r="U57" s="355"/>
    </row>
    <row r="58" spans="3:21" ht="39.75" hidden="1" customHeight="1">
      <c r="C58" s="276"/>
      <c r="D58" s="279"/>
      <c r="E58" s="291"/>
      <c r="F58" s="282"/>
      <c r="G58" s="291"/>
      <c r="H58" s="291"/>
      <c r="I58" s="285"/>
      <c r="J58" s="292"/>
      <c r="K58" s="291"/>
      <c r="L58" s="291"/>
      <c r="M58" s="264"/>
      <c r="N58" s="261"/>
      <c r="O58" s="291"/>
      <c r="P58" s="293"/>
      <c r="Q58" s="294"/>
      <c r="R58" s="295"/>
      <c r="S58" s="296"/>
    </row>
    <row r="59" spans="3:21">
      <c r="C59" s="297"/>
      <c r="D59" s="298"/>
      <c r="E59" s="299"/>
      <c r="F59" s="300"/>
      <c r="G59" s="299"/>
      <c r="H59" s="299"/>
      <c r="I59" s="301"/>
      <c r="J59" s="302"/>
      <c r="K59" s="302"/>
      <c r="L59" s="302"/>
      <c r="M59" s="303"/>
      <c r="N59" s="304"/>
      <c r="O59" s="302"/>
      <c r="P59" s="302"/>
      <c r="Q59" s="302"/>
      <c r="R59" s="302"/>
      <c r="S59" s="305"/>
    </row>
    <row r="60" spans="3:21">
      <c r="C60" s="297"/>
      <c r="D60" s="298"/>
      <c r="E60" s="299"/>
      <c r="F60" s="300"/>
      <c r="G60" s="299"/>
      <c r="H60" s="299"/>
      <c r="I60" s="301"/>
      <c r="J60" s="302"/>
      <c r="K60" s="302"/>
      <c r="L60" s="302"/>
      <c r="M60" s="303"/>
      <c r="N60" s="304"/>
      <c r="O60" s="302"/>
      <c r="P60" s="302"/>
      <c r="Q60" s="302"/>
      <c r="R60" s="302"/>
      <c r="S60" s="305"/>
    </row>
    <row r="61" spans="3:21">
      <c r="C61" s="306"/>
      <c r="D61" s="307"/>
      <c r="E61" s="308"/>
      <c r="F61" s="309"/>
      <c r="G61" s="310"/>
      <c r="H61" s="310"/>
      <c r="I61" s="309"/>
      <c r="J61" s="311"/>
      <c r="K61" s="312"/>
      <c r="L61" s="313"/>
      <c r="M61" s="313"/>
      <c r="N61" s="313"/>
      <c r="O61" s="313"/>
      <c r="P61" s="313"/>
      <c r="Q61" s="312"/>
      <c r="R61" s="311"/>
      <c r="S61" s="314"/>
    </row>
    <row r="62" spans="3:21">
      <c r="C62" s="297"/>
      <c r="D62" s="298"/>
      <c r="E62" s="299"/>
      <c r="F62" s="300"/>
      <c r="G62" s="299"/>
      <c r="H62" s="299"/>
      <c r="I62" s="301"/>
      <c r="J62" s="302"/>
      <c r="K62" s="299"/>
      <c r="L62" s="299"/>
      <c r="M62" s="303"/>
      <c r="N62" s="304"/>
      <c r="O62" s="299"/>
      <c r="P62" s="302"/>
      <c r="Q62" s="302"/>
      <c r="R62" s="302"/>
      <c r="S62" s="305"/>
    </row>
    <row r="63" spans="3:21">
      <c r="C63" s="297"/>
      <c r="D63" s="298"/>
      <c r="E63" s="299"/>
      <c r="F63" s="300"/>
      <c r="G63" s="299"/>
      <c r="H63" s="299"/>
      <c r="I63" s="301"/>
      <c r="J63" s="302"/>
      <c r="K63" s="302"/>
      <c r="L63" s="302"/>
      <c r="M63" s="303"/>
      <c r="N63" s="304"/>
      <c r="O63" s="302"/>
      <c r="P63" s="302"/>
      <c r="Q63" s="302"/>
      <c r="R63" s="302"/>
      <c r="S63" s="305"/>
    </row>
    <row r="64" spans="3:21">
      <c r="C64" s="297"/>
      <c r="D64" s="298"/>
      <c r="E64" s="299"/>
      <c r="F64" s="300"/>
      <c r="G64" s="299"/>
      <c r="H64" s="299"/>
      <c r="I64" s="301"/>
      <c r="J64" s="302"/>
      <c r="K64" s="302"/>
      <c r="L64" s="302"/>
      <c r="M64" s="303"/>
      <c r="N64" s="304"/>
      <c r="O64" s="302"/>
      <c r="P64" s="302"/>
      <c r="Q64" s="302"/>
      <c r="R64" s="302"/>
      <c r="S64" s="305"/>
    </row>
    <row r="65" spans="3:19">
      <c r="C65" s="306"/>
      <c r="D65" s="307"/>
      <c r="E65" s="308"/>
      <c r="F65" s="309"/>
      <c r="G65" s="310"/>
      <c r="H65" s="310"/>
      <c r="I65" s="309"/>
      <c r="J65" s="311"/>
      <c r="K65" s="312"/>
      <c r="L65" s="313"/>
      <c r="M65" s="313"/>
      <c r="N65" s="313"/>
      <c r="O65" s="313"/>
      <c r="P65" s="313"/>
      <c r="Q65" s="312"/>
      <c r="R65" s="311"/>
      <c r="S65" s="314"/>
    </row>
  </sheetData>
  <sheetProtection algorithmName="SHA-512" hashValue="M1zTGDLwp3p2i+N1B77QBl3hH+jh869YaPD6I+QoETxa49Radc2FUhH78jhYwaCuStOnRifTt9AWwBYln0cLHg==" saltValue="kaLQZfm6u9ufREPzeCyP4g==" spinCount="100000" sheet="1" objects="1" scenarios="1" selectLockedCells="1" selectUnlockedCells="1"/>
  <customSheetViews>
    <customSheetView guid="{7043DB3C-32B3-43B5-9ACE-4B1C78863594}">
      <selection activeCell="D26" sqref="D26"/>
      <pageMargins left="0.75" right="0.75" top="1" bottom="1" header="0" footer="0"/>
      <headerFooter alignWithMargins="0"/>
    </customSheetView>
  </customSheetViews>
  <mergeCells count="176">
    <mergeCell ref="R55:R56"/>
    <mergeCell ref="S39:S40"/>
    <mergeCell ref="N38:N40"/>
    <mergeCell ref="E39:E40"/>
    <mergeCell ref="G39:G40"/>
    <mergeCell ref="H39:H40"/>
    <mergeCell ref="J39:J40"/>
    <mergeCell ref="K39:K40"/>
    <mergeCell ref="L39:L40"/>
    <mergeCell ref="R51:R52"/>
    <mergeCell ref="O47:O48"/>
    <mergeCell ref="P47:P48"/>
    <mergeCell ref="Q47:Q48"/>
    <mergeCell ref="R47:R48"/>
    <mergeCell ref="S47:S48"/>
    <mergeCell ref="C38:C40"/>
    <mergeCell ref="D38:D40"/>
    <mergeCell ref="F38:F40"/>
    <mergeCell ref="I38:I40"/>
    <mergeCell ref="M38:M40"/>
    <mergeCell ref="O35:O36"/>
    <mergeCell ref="P35:P36"/>
    <mergeCell ref="Q35:Q36"/>
    <mergeCell ref="R35:R36"/>
    <mergeCell ref="O39:O40"/>
    <mergeCell ref="P39:P40"/>
    <mergeCell ref="Q39:Q40"/>
    <mergeCell ref="R39:R40"/>
    <mergeCell ref="S35:S36"/>
    <mergeCell ref="N34:N36"/>
    <mergeCell ref="E35:E36"/>
    <mergeCell ref="G35:G36"/>
    <mergeCell ref="H35:H36"/>
    <mergeCell ref="J35:J36"/>
    <mergeCell ref="K35:K36"/>
    <mergeCell ref="L35:L36"/>
    <mergeCell ref="C34:C36"/>
    <mergeCell ref="D34:D36"/>
    <mergeCell ref="F34:F36"/>
    <mergeCell ref="I34:I36"/>
    <mergeCell ref="M34:M36"/>
    <mergeCell ref="O31:O32"/>
    <mergeCell ref="P31:P32"/>
    <mergeCell ref="Q31:Q32"/>
    <mergeCell ref="R31:R32"/>
    <mergeCell ref="S31:S32"/>
    <mergeCell ref="N30:N32"/>
    <mergeCell ref="E31:E32"/>
    <mergeCell ref="G31:G32"/>
    <mergeCell ref="H31:H32"/>
    <mergeCell ref="J31:J32"/>
    <mergeCell ref="K31:K32"/>
    <mergeCell ref="L31:L32"/>
    <mergeCell ref="C26:C28"/>
    <mergeCell ref="D26:D28"/>
    <mergeCell ref="F26:F28"/>
    <mergeCell ref="I26:I28"/>
    <mergeCell ref="M26:M28"/>
    <mergeCell ref="C30:C32"/>
    <mergeCell ref="D30:D32"/>
    <mergeCell ref="F30:F32"/>
    <mergeCell ref="I30:I32"/>
    <mergeCell ref="M30:M32"/>
    <mergeCell ref="S23:S24"/>
    <mergeCell ref="N22:N24"/>
    <mergeCell ref="E23:E24"/>
    <mergeCell ref="G23:G24"/>
    <mergeCell ref="H23:H24"/>
    <mergeCell ref="J23:J24"/>
    <mergeCell ref="K23:K24"/>
    <mergeCell ref="L23:L24"/>
    <mergeCell ref="S27:S28"/>
    <mergeCell ref="N26:N28"/>
    <mergeCell ref="E27:E28"/>
    <mergeCell ref="G27:G28"/>
    <mergeCell ref="H27:H28"/>
    <mergeCell ref="J27:J28"/>
    <mergeCell ref="K27:K28"/>
    <mergeCell ref="L27:L28"/>
    <mergeCell ref="O27:O28"/>
    <mergeCell ref="P27:P28"/>
    <mergeCell ref="Q27:Q28"/>
    <mergeCell ref="R27:R28"/>
    <mergeCell ref="C22:C24"/>
    <mergeCell ref="D22:D24"/>
    <mergeCell ref="F22:F24"/>
    <mergeCell ref="I22:I24"/>
    <mergeCell ref="M22:M24"/>
    <mergeCell ref="O19:O20"/>
    <mergeCell ref="P19:P20"/>
    <mergeCell ref="Q19:Q20"/>
    <mergeCell ref="R19:R20"/>
    <mergeCell ref="O23:O24"/>
    <mergeCell ref="P23:P24"/>
    <mergeCell ref="Q23:Q24"/>
    <mergeCell ref="R23:R24"/>
    <mergeCell ref="S19:S20"/>
    <mergeCell ref="N18:N20"/>
    <mergeCell ref="E19:E20"/>
    <mergeCell ref="G19:G20"/>
    <mergeCell ref="H19:H20"/>
    <mergeCell ref="J19:J20"/>
    <mergeCell ref="K19:K20"/>
    <mergeCell ref="L19:L20"/>
    <mergeCell ref="C18:C20"/>
    <mergeCell ref="D18:D20"/>
    <mergeCell ref="F18:F20"/>
    <mergeCell ref="I18:I20"/>
    <mergeCell ref="M18:M20"/>
    <mergeCell ref="C10:C12"/>
    <mergeCell ref="D10:D12"/>
    <mergeCell ref="E11:E12"/>
    <mergeCell ref="F10:F12"/>
    <mergeCell ref="I10:I12"/>
    <mergeCell ref="C2:S2"/>
    <mergeCell ref="C3:S3"/>
    <mergeCell ref="C4:S4"/>
    <mergeCell ref="C5:S5"/>
    <mergeCell ref="S11:S12"/>
    <mergeCell ref="G11:G12"/>
    <mergeCell ref="M10:M12"/>
    <mergeCell ref="N10:N12"/>
    <mergeCell ref="J11:J12"/>
    <mergeCell ref="K11:K12"/>
    <mergeCell ref="H11:H12"/>
    <mergeCell ref="R11:R12"/>
    <mergeCell ref="L11:L12"/>
    <mergeCell ref="P11:P12"/>
    <mergeCell ref="Q11:Q12"/>
    <mergeCell ref="O11:O12"/>
    <mergeCell ref="F14:F16"/>
    <mergeCell ref="I14:I16"/>
    <mergeCell ref="M14:M16"/>
    <mergeCell ref="N14:N16"/>
    <mergeCell ref="E15:E16"/>
    <mergeCell ref="G15:G16"/>
    <mergeCell ref="H15:H16"/>
    <mergeCell ref="J15:J16"/>
    <mergeCell ref="K15:K16"/>
    <mergeCell ref="L15:L16"/>
    <mergeCell ref="O15:O16"/>
    <mergeCell ref="P15:P16"/>
    <mergeCell ref="Q15:Q16"/>
    <mergeCell ref="R15:R16"/>
    <mergeCell ref="S15:S16"/>
    <mergeCell ref="C42:C44"/>
    <mergeCell ref="D42:D44"/>
    <mergeCell ref="F42:F44"/>
    <mergeCell ref="I42:I44"/>
    <mergeCell ref="M42:M44"/>
    <mergeCell ref="N42:N44"/>
    <mergeCell ref="E43:E44"/>
    <mergeCell ref="G43:G44"/>
    <mergeCell ref="H43:H44"/>
    <mergeCell ref="J43:J44"/>
    <mergeCell ref="K43:K44"/>
    <mergeCell ref="L43:L44"/>
    <mergeCell ref="O43:O44"/>
    <mergeCell ref="P43:P44"/>
    <mergeCell ref="Q43:Q44"/>
    <mergeCell ref="R43:R44"/>
    <mergeCell ref="S43:S44"/>
    <mergeCell ref="C14:C16"/>
    <mergeCell ref="D14:D16"/>
    <mergeCell ref="C46:C48"/>
    <mergeCell ref="D46:D48"/>
    <mergeCell ref="F46:F48"/>
    <mergeCell ref="I46:I48"/>
    <mergeCell ref="M46:M48"/>
    <mergeCell ref="N46:N48"/>
    <mergeCell ref="E47:E48"/>
    <mergeCell ref="G47:G48"/>
    <mergeCell ref="H47:H48"/>
    <mergeCell ref="J47:J48"/>
    <mergeCell ref="K47:K48"/>
    <mergeCell ref="L47:L48"/>
  </mergeCells>
  <phoneticPr fontId="23" type="noConversion"/>
  <conditionalFormatting sqref="S9 E9:J9">
    <cfRule type="expression" dxfId="172" priority="4006" stopIfTrue="1">
      <formula>IF($B9-INT($B9)&gt;0,TRUE,FALSE)</formula>
    </cfRule>
  </conditionalFormatting>
  <conditionalFormatting sqref="D13 D9 L9:R9">
    <cfRule type="cellIs" dxfId="171" priority="4007" stopIfTrue="1" operator="equal">
      <formula>"NO ADMISIBLE"</formula>
    </cfRule>
  </conditionalFormatting>
  <conditionalFormatting sqref="E13 G13:J13">
    <cfRule type="expression" dxfId="170" priority="4011" stopIfTrue="1">
      <formula>IF(#REF!-INT(#REF!)&gt;0,TRUE,FALSE)</formula>
    </cfRule>
  </conditionalFormatting>
  <conditionalFormatting sqref="D17">
    <cfRule type="cellIs" dxfId="169" priority="210" stopIfTrue="1" operator="equal">
      <formula>"NO ADMISIBLE"</formula>
    </cfRule>
  </conditionalFormatting>
  <conditionalFormatting sqref="E17:F17 J17">
    <cfRule type="expression" dxfId="168" priority="211" stopIfTrue="1">
      <formula>IF(#REF!-INT(#REF!)&gt;0,TRUE,FALSE)</formula>
    </cfRule>
  </conditionalFormatting>
  <conditionalFormatting sqref="L13:P13">
    <cfRule type="expression" dxfId="167" priority="197" stopIfTrue="1">
      <formula>IF($B4-INT($B4)&gt;0,TRUE,FALSE)</formula>
    </cfRule>
  </conditionalFormatting>
  <conditionalFormatting sqref="K13">
    <cfRule type="expression" dxfId="166" priority="196" stopIfTrue="1">
      <formula>IF($B4-INT($B4)&gt;0,TRUE,FALSE)</formula>
    </cfRule>
  </conditionalFormatting>
  <conditionalFormatting sqref="Q13">
    <cfRule type="expression" dxfId="165" priority="195" stopIfTrue="1">
      <formula>IF($B4-INT($B4)&gt;0,TRUE,FALSE)</formula>
    </cfRule>
  </conditionalFormatting>
  <conditionalFormatting sqref="L17:P17 R17">
    <cfRule type="expression" dxfId="164" priority="191" stopIfTrue="1">
      <formula>IF($B8-INT($B8)&gt;0,TRUE,FALSE)</formula>
    </cfRule>
  </conditionalFormatting>
  <conditionalFormatting sqref="K17">
    <cfRule type="expression" dxfId="163" priority="190" stopIfTrue="1">
      <formula>IF($B8-INT($B8)&gt;0,TRUE,FALSE)</formula>
    </cfRule>
  </conditionalFormatting>
  <conditionalFormatting sqref="Q17">
    <cfRule type="expression" dxfId="162" priority="189" stopIfTrue="1">
      <formula>IF($B8-INT($B8)&gt;0,TRUE,FALSE)</formula>
    </cfRule>
  </conditionalFormatting>
  <conditionalFormatting sqref="D21">
    <cfRule type="cellIs" dxfId="161" priority="184" stopIfTrue="1" operator="equal">
      <formula>"NO ADMISIBLE"</formula>
    </cfRule>
  </conditionalFormatting>
  <conditionalFormatting sqref="E21:J21">
    <cfRule type="expression" dxfId="160" priority="185" stopIfTrue="1">
      <formula>IF(#REF!-INT(#REF!)&gt;0,TRUE,FALSE)</formula>
    </cfRule>
  </conditionalFormatting>
  <conditionalFormatting sqref="D25">
    <cfRule type="cellIs" dxfId="159" priority="182" stopIfTrue="1" operator="equal">
      <formula>"NO ADMISIBLE"</formula>
    </cfRule>
  </conditionalFormatting>
  <conditionalFormatting sqref="E25:J25">
    <cfRule type="expression" dxfId="158" priority="183" stopIfTrue="1">
      <formula>IF(#REF!-INT(#REF!)&gt;0,TRUE,FALSE)</formula>
    </cfRule>
  </conditionalFormatting>
  <conditionalFormatting sqref="L21:P21 R21">
    <cfRule type="expression" dxfId="157" priority="181" stopIfTrue="1">
      <formula>IF($B12-INT($B12)&gt;0,TRUE,FALSE)</formula>
    </cfRule>
  </conditionalFormatting>
  <conditionalFormatting sqref="K21">
    <cfRule type="expression" dxfId="156" priority="180" stopIfTrue="1">
      <formula>IF($B12-INT($B12)&gt;0,TRUE,FALSE)</formula>
    </cfRule>
  </conditionalFormatting>
  <conditionalFormatting sqref="Q21">
    <cfRule type="expression" dxfId="155" priority="179" stopIfTrue="1">
      <formula>IF($B12-INT($B12)&gt;0,TRUE,FALSE)</formula>
    </cfRule>
  </conditionalFormatting>
  <conditionalFormatting sqref="L25:P25 R25">
    <cfRule type="expression" dxfId="154" priority="175" stopIfTrue="1">
      <formula>IF($B16-INT($B16)&gt;0,TRUE,FALSE)</formula>
    </cfRule>
  </conditionalFormatting>
  <conditionalFormatting sqref="K25">
    <cfRule type="expression" dxfId="153" priority="174" stopIfTrue="1">
      <formula>IF($B16-INT($B16)&gt;0,TRUE,FALSE)</formula>
    </cfRule>
  </conditionalFormatting>
  <conditionalFormatting sqref="Q25">
    <cfRule type="expression" dxfId="152" priority="173" stopIfTrue="1">
      <formula>IF($B16-INT($B16)&gt;0,TRUE,FALSE)</formula>
    </cfRule>
  </conditionalFormatting>
  <conditionalFormatting sqref="D29">
    <cfRule type="cellIs" dxfId="151" priority="168" stopIfTrue="1" operator="equal">
      <formula>"NO ADMISIBLE"</formula>
    </cfRule>
  </conditionalFormatting>
  <conditionalFormatting sqref="E29:J29">
    <cfRule type="expression" dxfId="150" priority="169" stopIfTrue="1">
      <formula>IF(#REF!-INT(#REF!)&gt;0,TRUE,FALSE)</formula>
    </cfRule>
  </conditionalFormatting>
  <conditionalFormatting sqref="D33">
    <cfRule type="cellIs" dxfId="149" priority="166" stopIfTrue="1" operator="equal">
      <formula>"NO ADMISIBLE"</formula>
    </cfRule>
  </conditionalFormatting>
  <conditionalFormatting sqref="E33:J33">
    <cfRule type="expression" dxfId="148" priority="167" stopIfTrue="1">
      <formula>IF(#REF!-INT(#REF!)&gt;0,TRUE,FALSE)</formula>
    </cfRule>
  </conditionalFormatting>
  <conditionalFormatting sqref="L29:P29 R29">
    <cfRule type="expression" dxfId="147" priority="165" stopIfTrue="1">
      <formula>IF($B20-INT($B20)&gt;0,TRUE,FALSE)</formula>
    </cfRule>
  </conditionalFormatting>
  <conditionalFormatting sqref="K29">
    <cfRule type="expression" dxfId="146" priority="164" stopIfTrue="1">
      <formula>IF($B20-INT($B20)&gt;0,TRUE,FALSE)</formula>
    </cfRule>
  </conditionalFormatting>
  <conditionalFormatting sqref="Q29">
    <cfRule type="expression" dxfId="145" priority="163" stopIfTrue="1">
      <formula>IF($B20-INT($B20)&gt;0,TRUE,FALSE)</formula>
    </cfRule>
  </conditionalFormatting>
  <conditionalFormatting sqref="S29">
    <cfRule type="cellIs" dxfId="144" priority="161" stopIfTrue="1" operator="equal">
      <formula>"NO ADMISIBLE"</formula>
    </cfRule>
    <cfRule type="cellIs" dxfId="143" priority="162" stopIfTrue="1" operator="equal">
      <formula>"ADMISIBLE"</formula>
    </cfRule>
  </conditionalFormatting>
  <conditionalFormatting sqref="S29">
    <cfRule type="cellIs" dxfId="142" priority="160" stopIfTrue="1" operator="equal">
      <formula>"PENDIENTE"</formula>
    </cfRule>
  </conditionalFormatting>
  <conditionalFormatting sqref="L33:P33">
    <cfRule type="expression" dxfId="141" priority="159" stopIfTrue="1">
      <formula>IF($B24-INT($B24)&gt;0,TRUE,FALSE)</formula>
    </cfRule>
  </conditionalFormatting>
  <conditionalFormatting sqref="K33">
    <cfRule type="expression" dxfId="140" priority="158" stopIfTrue="1">
      <formula>IF($B24-INT($B24)&gt;0,TRUE,FALSE)</formula>
    </cfRule>
  </conditionalFormatting>
  <conditionalFormatting sqref="Q33">
    <cfRule type="expression" dxfId="139" priority="157" stopIfTrue="1">
      <formula>IF($B24-INT($B24)&gt;0,TRUE,FALSE)</formula>
    </cfRule>
  </conditionalFormatting>
  <conditionalFormatting sqref="S33">
    <cfRule type="cellIs" dxfId="138" priority="155" stopIfTrue="1" operator="equal">
      <formula>"NO ADMISIBLE"</formula>
    </cfRule>
    <cfRule type="cellIs" dxfId="137" priority="156" stopIfTrue="1" operator="equal">
      <formula>"ADMISIBLE"</formula>
    </cfRule>
  </conditionalFormatting>
  <conditionalFormatting sqref="S33">
    <cfRule type="cellIs" dxfId="136" priority="154" stopIfTrue="1" operator="equal">
      <formula>"PENDIENTE"</formula>
    </cfRule>
  </conditionalFormatting>
  <conditionalFormatting sqref="D37">
    <cfRule type="cellIs" dxfId="135" priority="152" stopIfTrue="1" operator="equal">
      <formula>"NO ADMISIBLE"</formula>
    </cfRule>
  </conditionalFormatting>
  <conditionalFormatting sqref="E37:J37">
    <cfRule type="expression" dxfId="134" priority="153" stopIfTrue="1">
      <formula>IF(#REF!-INT(#REF!)&gt;0,TRUE,FALSE)</formula>
    </cfRule>
  </conditionalFormatting>
  <conditionalFormatting sqref="D41">
    <cfRule type="cellIs" dxfId="133" priority="150" stopIfTrue="1" operator="equal">
      <formula>"NO ADMISIBLE"</formula>
    </cfRule>
  </conditionalFormatting>
  <conditionalFormatting sqref="E41:J41">
    <cfRule type="expression" dxfId="132" priority="151" stopIfTrue="1">
      <formula>IF(#REF!-INT(#REF!)&gt;0,TRUE,FALSE)</formula>
    </cfRule>
  </conditionalFormatting>
  <conditionalFormatting sqref="L37:P37 R37">
    <cfRule type="expression" dxfId="131" priority="149" stopIfTrue="1">
      <formula>IF($B28-INT($B28)&gt;0,TRUE,FALSE)</formula>
    </cfRule>
  </conditionalFormatting>
  <conditionalFormatting sqref="K37">
    <cfRule type="expression" dxfId="130" priority="148" stopIfTrue="1">
      <formula>IF($B28-INT($B28)&gt;0,TRUE,FALSE)</formula>
    </cfRule>
  </conditionalFormatting>
  <conditionalFormatting sqref="Q37">
    <cfRule type="expression" dxfId="129" priority="147" stopIfTrue="1">
      <formula>IF($B28-INT($B28)&gt;0,TRUE,FALSE)</formula>
    </cfRule>
  </conditionalFormatting>
  <conditionalFormatting sqref="S37">
    <cfRule type="cellIs" dxfId="128" priority="145" stopIfTrue="1" operator="equal">
      <formula>"NO ADMISIBLE"</formula>
    </cfRule>
    <cfRule type="cellIs" dxfId="127" priority="146" stopIfTrue="1" operator="equal">
      <formula>"ADMISIBLE"</formula>
    </cfRule>
  </conditionalFormatting>
  <conditionalFormatting sqref="S37">
    <cfRule type="cellIs" dxfId="126" priority="144" stopIfTrue="1" operator="equal">
      <formula>"PENDIENTE"</formula>
    </cfRule>
  </conditionalFormatting>
  <conditionalFormatting sqref="L41:P41 R41">
    <cfRule type="expression" dxfId="125" priority="143" stopIfTrue="1">
      <formula>IF($B32-INT($B32)&gt;0,TRUE,FALSE)</formula>
    </cfRule>
  </conditionalFormatting>
  <conditionalFormatting sqref="K41">
    <cfRule type="expression" dxfId="124" priority="142" stopIfTrue="1">
      <formula>IF($B32-INT($B32)&gt;0,TRUE,FALSE)</formula>
    </cfRule>
  </conditionalFormatting>
  <conditionalFormatting sqref="Q41">
    <cfRule type="expression" dxfId="123" priority="141" stopIfTrue="1">
      <formula>IF($B32-INT($B32)&gt;0,TRUE,FALSE)</formula>
    </cfRule>
  </conditionalFormatting>
  <conditionalFormatting sqref="D45">
    <cfRule type="cellIs" dxfId="122" priority="136" stopIfTrue="1" operator="equal">
      <formula>"NO ADMISIBLE"</formula>
    </cfRule>
  </conditionalFormatting>
  <conditionalFormatting sqref="E45:J45">
    <cfRule type="expression" dxfId="121" priority="137" stopIfTrue="1">
      <formula>IF(#REF!-INT(#REF!)&gt;0,TRUE,FALSE)</formula>
    </cfRule>
  </conditionalFormatting>
  <conditionalFormatting sqref="D49">
    <cfRule type="cellIs" dxfId="120" priority="134" stopIfTrue="1" operator="equal">
      <formula>"NO ADMISIBLE"</formula>
    </cfRule>
  </conditionalFormatting>
  <conditionalFormatting sqref="E49:J49">
    <cfRule type="expression" dxfId="119" priority="135" stopIfTrue="1">
      <formula>IF(#REF!-INT(#REF!)&gt;0,TRUE,FALSE)</formula>
    </cfRule>
  </conditionalFormatting>
  <conditionalFormatting sqref="L45:P45 R45">
    <cfRule type="expression" dxfId="118" priority="133" stopIfTrue="1">
      <formula>IF($B36-INT($B36)&gt;0,TRUE,FALSE)</formula>
    </cfRule>
  </conditionalFormatting>
  <conditionalFormatting sqref="K45">
    <cfRule type="expression" dxfId="117" priority="132" stopIfTrue="1">
      <formula>IF($B36-INT($B36)&gt;0,TRUE,FALSE)</formula>
    </cfRule>
  </conditionalFormatting>
  <conditionalFormatting sqref="Q45">
    <cfRule type="expression" dxfId="116" priority="131" stopIfTrue="1">
      <formula>IF($B36-INT($B36)&gt;0,TRUE,FALSE)</formula>
    </cfRule>
  </conditionalFormatting>
  <conditionalFormatting sqref="L49:P49 R49">
    <cfRule type="expression" dxfId="115" priority="127" stopIfTrue="1">
      <formula>IF($B40-INT($B40)&gt;0,TRUE,FALSE)</formula>
    </cfRule>
  </conditionalFormatting>
  <conditionalFormatting sqref="K49">
    <cfRule type="expression" dxfId="114" priority="126" stopIfTrue="1">
      <formula>IF($B40-INT($B40)&gt;0,TRUE,FALSE)</formula>
    </cfRule>
  </conditionalFormatting>
  <conditionalFormatting sqref="Q49">
    <cfRule type="expression" dxfId="113" priority="125" stopIfTrue="1">
      <formula>IF($B40-INT($B40)&gt;0,TRUE,FALSE)</formula>
    </cfRule>
  </conditionalFormatting>
  <conditionalFormatting sqref="D53">
    <cfRule type="cellIs" dxfId="112" priority="120" stopIfTrue="1" operator="equal">
      <formula>"NO ADMISIBLE"</formula>
    </cfRule>
  </conditionalFormatting>
  <conditionalFormatting sqref="E53:J53">
    <cfRule type="expression" dxfId="111" priority="121" stopIfTrue="1">
      <formula>IF(#REF!-INT(#REF!)&gt;0,TRUE,FALSE)</formula>
    </cfRule>
  </conditionalFormatting>
  <conditionalFormatting sqref="D57">
    <cfRule type="cellIs" dxfId="110" priority="118" stopIfTrue="1" operator="equal">
      <formula>"NO ADMISIBLE"</formula>
    </cfRule>
  </conditionalFormatting>
  <conditionalFormatting sqref="E57:J57">
    <cfRule type="expression" dxfId="109" priority="119" stopIfTrue="1">
      <formula>IF(#REF!-INT(#REF!)&gt;0,TRUE,FALSE)</formula>
    </cfRule>
  </conditionalFormatting>
  <conditionalFormatting sqref="L53:P53 R53">
    <cfRule type="expression" dxfId="108" priority="117" stopIfTrue="1">
      <formula>IF($B44-INT($B44)&gt;0,TRUE,FALSE)</formula>
    </cfRule>
  </conditionalFormatting>
  <conditionalFormatting sqref="K53">
    <cfRule type="expression" dxfId="107" priority="116" stopIfTrue="1">
      <formula>IF($B44-INT($B44)&gt;0,TRUE,FALSE)</formula>
    </cfRule>
  </conditionalFormatting>
  <conditionalFormatting sqref="Q53">
    <cfRule type="expression" dxfId="106" priority="115" stopIfTrue="1">
      <formula>IF($B44-INT($B44)&gt;0,TRUE,FALSE)</formula>
    </cfRule>
  </conditionalFormatting>
  <conditionalFormatting sqref="S53">
    <cfRule type="cellIs" dxfId="105" priority="113" stopIfTrue="1" operator="equal">
      <formula>"NO ADMISIBLE"</formula>
    </cfRule>
    <cfRule type="cellIs" dxfId="104" priority="114" stopIfTrue="1" operator="equal">
      <formula>"ADMISIBLE"</formula>
    </cfRule>
  </conditionalFormatting>
  <conditionalFormatting sqref="S53">
    <cfRule type="cellIs" dxfId="103" priority="112" stopIfTrue="1" operator="equal">
      <formula>"PENDIENTE"</formula>
    </cfRule>
  </conditionalFormatting>
  <conditionalFormatting sqref="L57:P57">
    <cfRule type="expression" dxfId="102" priority="111" stopIfTrue="1">
      <formula>IF($B48-INT($B48)&gt;0,TRUE,FALSE)</formula>
    </cfRule>
  </conditionalFormatting>
  <conditionalFormatting sqref="K57">
    <cfRule type="expression" dxfId="101" priority="110" stopIfTrue="1">
      <formula>IF($B48-INT($B48)&gt;0,TRUE,FALSE)</formula>
    </cfRule>
  </conditionalFormatting>
  <conditionalFormatting sqref="Q57">
    <cfRule type="expression" dxfId="100" priority="109" stopIfTrue="1">
      <formula>IF($B48-INT($B48)&gt;0,TRUE,FALSE)</formula>
    </cfRule>
  </conditionalFormatting>
  <conditionalFormatting sqref="S57">
    <cfRule type="cellIs" dxfId="99" priority="107" stopIfTrue="1" operator="equal">
      <formula>"NO ADMISIBLE"</formula>
    </cfRule>
    <cfRule type="cellIs" dxfId="98" priority="108" stopIfTrue="1" operator="equal">
      <formula>"ADMISIBLE"</formula>
    </cfRule>
  </conditionalFormatting>
  <conditionalFormatting sqref="S57">
    <cfRule type="cellIs" dxfId="97" priority="106" stopIfTrue="1" operator="equal">
      <formula>"PENDIENTE"</formula>
    </cfRule>
  </conditionalFormatting>
  <conditionalFormatting sqref="D45">
    <cfRule type="cellIs" dxfId="96" priority="104" stopIfTrue="1" operator="equal">
      <formula>"NO ADMISIBLE"</formula>
    </cfRule>
  </conditionalFormatting>
  <conditionalFormatting sqref="E45:J45">
    <cfRule type="expression" dxfId="95" priority="105" stopIfTrue="1">
      <formula>IF(#REF!-INT(#REF!)&gt;0,TRUE,FALSE)</formula>
    </cfRule>
  </conditionalFormatting>
  <conditionalFormatting sqref="D49">
    <cfRule type="cellIs" dxfId="94" priority="102" stopIfTrue="1" operator="equal">
      <formula>"NO ADMISIBLE"</formula>
    </cfRule>
  </conditionalFormatting>
  <conditionalFormatting sqref="E49:J49">
    <cfRule type="expression" dxfId="93" priority="103" stopIfTrue="1">
      <formula>IF(#REF!-INT(#REF!)&gt;0,TRUE,FALSE)</formula>
    </cfRule>
  </conditionalFormatting>
  <conditionalFormatting sqref="L45:P45 R45">
    <cfRule type="expression" dxfId="92" priority="101" stopIfTrue="1">
      <formula>IF($B36-INT($B36)&gt;0,TRUE,FALSE)</formula>
    </cfRule>
  </conditionalFormatting>
  <conditionalFormatting sqref="K45">
    <cfRule type="expression" dxfId="91" priority="100" stopIfTrue="1">
      <formula>IF($B36-INT($B36)&gt;0,TRUE,FALSE)</formula>
    </cfRule>
  </conditionalFormatting>
  <conditionalFormatting sqref="Q45">
    <cfRule type="expression" dxfId="90" priority="99" stopIfTrue="1">
      <formula>IF($B36-INT($B36)&gt;0,TRUE,FALSE)</formula>
    </cfRule>
  </conditionalFormatting>
  <conditionalFormatting sqref="L49:P49 R49">
    <cfRule type="expression" dxfId="89" priority="95" stopIfTrue="1">
      <formula>IF($B40-INT($B40)&gt;0,TRUE,FALSE)</formula>
    </cfRule>
  </conditionalFormatting>
  <conditionalFormatting sqref="K49">
    <cfRule type="expression" dxfId="88" priority="94" stopIfTrue="1">
      <formula>IF($B40-INT($B40)&gt;0,TRUE,FALSE)</formula>
    </cfRule>
  </conditionalFormatting>
  <conditionalFormatting sqref="Q49">
    <cfRule type="expression" dxfId="87" priority="93" stopIfTrue="1">
      <formula>IF($B40-INT($B40)&gt;0,TRUE,FALSE)</formula>
    </cfRule>
  </conditionalFormatting>
  <conditionalFormatting sqref="D53">
    <cfRule type="cellIs" dxfId="86" priority="88" stopIfTrue="1" operator="equal">
      <formula>"NO ADMISIBLE"</formula>
    </cfRule>
  </conditionalFormatting>
  <conditionalFormatting sqref="E53:J53">
    <cfRule type="expression" dxfId="85" priority="89" stopIfTrue="1">
      <formula>IF(#REF!-INT(#REF!)&gt;0,TRUE,FALSE)</formula>
    </cfRule>
  </conditionalFormatting>
  <conditionalFormatting sqref="D57">
    <cfRule type="cellIs" dxfId="84" priority="86" stopIfTrue="1" operator="equal">
      <formula>"NO ADMISIBLE"</formula>
    </cfRule>
  </conditionalFormatting>
  <conditionalFormatting sqref="E57:J57">
    <cfRule type="expression" dxfId="83" priority="87" stopIfTrue="1">
      <formula>IF(#REF!-INT(#REF!)&gt;0,TRUE,FALSE)</formula>
    </cfRule>
  </conditionalFormatting>
  <conditionalFormatting sqref="L53:P53 R53">
    <cfRule type="expression" dxfId="82" priority="85" stopIfTrue="1">
      <formula>IF($B44-INT($B44)&gt;0,TRUE,FALSE)</formula>
    </cfRule>
  </conditionalFormatting>
  <conditionalFormatting sqref="K53">
    <cfRule type="expression" dxfId="81" priority="84" stopIfTrue="1">
      <formula>IF($B44-INT($B44)&gt;0,TRUE,FALSE)</formula>
    </cfRule>
  </conditionalFormatting>
  <conditionalFormatting sqref="Q53">
    <cfRule type="expression" dxfId="80" priority="83" stopIfTrue="1">
      <formula>IF($B44-INT($B44)&gt;0,TRUE,FALSE)</formula>
    </cfRule>
  </conditionalFormatting>
  <conditionalFormatting sqref="S53">
    <cfRule type="cellIs" dxfId="79" priority="81" stopIfTrue="1" operator="equal">
      <formula>"NO ADMISIBLE"</formula>
    </cfRule>
    <cfRule type="cellIs" dxfId="78" priority="82" stopIfTrue="1" operator="equal">
      <formula>"ADMISIBLE"</formula>
    </cfRule>
  </conditionalFormatting>
  <conditionalFormatting sqref="S53">
    <cfRule type="cellIs" dxfId="77" priority="80" stopIfTrue="1" operator="equal">
      <formula>"PENDIENTE"</formula>
    </cfRule>
  </conditionalFormatting>
  <conditionalFormatting sqref="L57:P57">
    <cfRule type="expression" dxfId="76" priority="79" stopIfTrue="1">
      <formula>IF($B48-INT($B48)&gt;0,TRUE,FALSE)</formula>
    </cfRule>
  </conditionalFormatting>
  <conditionalFormatting sqref="K57">
    <cfRule type="expression" dxfId="75" priority="78" stopIfTrue="1">
      <formula>IF($B48-INT($B48)&gt;0,TRUE,FALSE)</formula>
    </cfRule>
  </conditionalFormatting>
  <conditionalFormatting sqref="Q57">
    <cfRule type="expression" dxfId="74" priority="77" stopIfTrue="1">
      <formula>IF($B48-INT($B48)&gt;0,TRUE,FALSE)</formula>
    </cfRule>
  </conditionalFormatting>
  <conditionalFormatting sqref="S57">
    <cfRule type="cellIs" dxfId="73" priority="75" stopIfTrue="1" operator="equal">
      <formula>"NO ADMISIBLE"</formula>
    </cfRule>
    <cfRule type="cellIs" dxfId="72" priority="76" stopIfTrue="1" operator="equal">
      <formula>"ADMISIBLE"</formula>
    </cfRule>
  </conditionalFormatting>
  <conditionalFormatting sqref="S57">
    <cfRule type="cellIs" dxfId="71" priority="74" stopIfTrue="1" operator="equal">
      <formula>"PENDIENTE"</formula>
    </cfRule>
  </conditionalFormatting>
  <conditionalFormatting sqref="D61">
    <cfRule type="cellIs" dxfId="70" priority="72" stopIfTrue="1" operator="equal">
      <formula>"NO ADMISIBLE"</formula>
    </cfRule>
  </conditionalFormatting>
  <conditionalFormatting sqref="E61:J61">
    <cfRule type="expression" dxfId="69" priority="73" stopIfTrue="1">
      <formula>IF(#REF!-INT(#REF!)&gt;0,TRUE,FALSE)</formula>
    </cfRule>
  </conditionalFormatting>
  <conditionalFormatting sqref="D65">
    <cfRule type="cellIs" dxfId="68" priority="70" stopIfTrue="1" operator="equal">
      <formula>"NO ADMISIBLE"</formula>
    </cfRule>
  </conditionalFormatting>
  <conditionalFormatting sqref="E65:J65">
    <cfRule type="expression" dxfId="67" priority="71" stopIfTrue="1">
      <formula>IF(#REF!-INT(#REF!)&gt;0,TRUE,FALSE)</formula>
    </cfRule>
  </conditionalFormatting>
  <conditionalFormatting sqref="L61:P61 R61">
    <cfRule type="expression" dxfId="66" priority="69" stopIfTrue="1">
      <formula>IF($B52-INT($B52)&gt;0,TRUE,FALSE)</formula>
    </cfRule>
  </conditionalFormatting>
  <conditionalFormatting sqref="K61">
    <cfRule type="expression" dxfId="65" priority="68" stopIfTrue="1">
      <formula>IF($B52-INT($B52)&gt;0,TRUE,FALSE)</formula>
    </cfRule>
  </conditionalFormatting>
  <conditionalFormatting sqref="Q61">
    <cfRule type="expression" dxfId="64" priority="67" stopIfTrue="1">
      <formula>IF($B52-INT($B52)&gt;0,TRUE,FALSE)</formula>
    </cfRule>
  </conditionalFormatting>
  <conditionalFormatting sqref="S61">
    <cfRule type="cellIs" dxfId="63" priority="65" stopIfTrue="1" operator="equal">
      <formula>"NO ADMISIBLE"</formula>
    </cfRule>
    <cfRule type="cellIs" dxfId="62" priority="66" stopIfTrue="1" operator="equal">
      <formula>"ADMISIBLE"</formula>
    </cfRule>
  </conditionalFormatting>
  <conditionalFormatting sqref="S61">
    <cfRule type="cellIs" dxfId="61" priority="64" stopIfTrue="1" operator="equal">
      <formula>"PENDIENTE"</formula>
    </cfRule>
  </conditionalFormatting>
  <conditionalFormatting sqref="L65:P65 R65">
    <cfRule type="expression" dxfId="60" priority="63" stopIfTrue="1">
      <formula>IF($B56-INT($B56)&gt;0,TRUE,FALSE)</formula>
    </cfRule>
  </conditionalFormatting>
  <conditionalFormatting sqref="K65">
    <cfRule type="expression" dxfId="59" priority="62" stopIfTrue="1">
      <formula>IF($B56-INT($B56)&gt;0,TRUE,FALSE)</formula>
    </cfRule>
  </conditionalFormatting>
  <conditionalFormatting sqref="Q65">
    <cfRule type="expression" dxfId="58" priority="61" stopIfTrue="1">
      <formula>IF($B56-INT($B56)&gt;0,TRUE,FALSE)</formula>
    </cfRule>
  </conditionalFormatting>
  <conditionalFormatting sqref="S65">
    <cfRule type="cellIs" dxfId="57" priority="59" stopIfTrue="1" operator="equal">
      <formula>"NO ADMISIBLE"</formula>
    </cfRule>
    <cfRule type="cellIs" dxfId="56" priority="60" stopIfTrue="1" operator="equal">
      <formula>"ADMISIBLE"</formula>
    </cfRule>
  </conditionalFormatting>
  <conditionalFormatting sqref="S65">
    <cfRule type="cellIs" dxfId="55" priority="58" stopIfTrue="1" operator="equal">
      <formula>"PENDIENTE"</formula>
    </cfRule>
  </conditionalFormatting>
  <conditionalFormatting sqref="R33">
    <cfRule type="expression" dxfId="54" priority="57" stopIfTrue="1">
      <formula>IF($B24-INT($B24)&gt;0,TRUE,FALSE)</formula>
    </cfRule>
  </conditionalFormatting>
  <conditionalFormatting sqref="R57">
    <cfRule type="expression" dxfId="53" priority="56" stopIfTrue="1">
      <formula>IF($B48-INT($B48)&gt;0,TRUE,FALSE)</formula>
    </cfRule>
  </conditionalFormatting>
  <conditionalFormatting sqref="R57">
    <cfRule type="expression" dxfId="52" priority="55" stopIfTrue="1">
      <formula>IF($B48-INT($B48)&gt;0,TRUE,FALSE)</formula>
    </cfRule>
  </conditionalFormatting>
  <conditionalFormatting sqref="R13">
    <cfRule type="expression" dxfId="51" priority="54" stopIfTrue="1">
      <formula>IF($B4-INT($B4)&gt;0,TRUE,FALSE)</formula>
    </cfRule>
  </conditionalFormatting>
  <conditionalFormatting sqref="S49">
    <cfRule type="cellIs" dxfId="44" priority="43" stopIfTrue="1" operator="equal">
      <formula>"NO ADMISIBLE"</formula>
    </cfRule>
    <cfRule type="cellIs" dxfId="43" priority="44" stopIfTrue="1" operator="equal">
      <formula>"ADMISIBLE"</formula>
    </cfRule>
  </conditionalFormatting>
  <conditionalFormatting sqref="S49">
    <cfRule type="cellIs" dxfId="42" priority="42" stopIfTrue="1" operator="equal">
      <formula>"PENDIENTE"</formula>
    </cfRule>
  </conditionalFormatting>
  <conditionalFormatting sqref="S49">
    <cfRule type="cellIs" dxfId="41" priority="40" stopIfTrue="1" operator="equal">
      <formula>"NO ADMISIBLE"</formula>
    </cfRule>
    <cfRule type="cellIs" dxfId="40" priority="41" stopIfTrue="1" operator="equal">
      <formula>"ADMISIBLE"</formula>
    </cfRule>
  </conditionalFormatting>
  <conditionalFormatting sqref="S49">
    <cfRule type="cellIs" dxfId="39" priority="39" stopIfTrue="1" operator="equal">
      <formula>"PENDIENTE"</formula>
    </cfRule>
  </conditionalFormatting>
  <conditionalFormatting sqref="S41">
    <cfRule type="cellIs" dxfId="38" priority="37" stopIfTrue="1" operator="equal">
      <formula>"NO ADMISIBLE"</formula>
    </cfRule>
    <cfRule type="cellIs" dxfId="37" priority="38" stopIfTrue="1" operator="equal">
      <formula>"ADMISIBLE"</formula>
    </cfRule>
  </conditionalFormatting>
  <conditionalFormatting sqref="S41">
    <cfRule type="cellIs" dxfId="36" priority="36" stopIfTrue="1" operator="equal">
      <formula>"PENDIENTE"</formula>
    </cfRule>
  </conditionalFormatting>
  <conditionalFormatting sqref="S41">
    <cfRule type="cellIs" dxfId="35" priority="34" stopIfTrue="1" operator="equal">
      <formula>"NO ADMISIBLE"</formula>
    </cfRule>
    <cfRule type="cellIs" dxfId="34" priority="35" stopIfTrue="1" operator="equal">
      <formula>"ADMISIBLE"</formula>
    </cfRule>
  </conditionalFormatting>
  <conditionalFormatting sqref="S41">
    <cfRule type="cellIs" dxfId="33" priority="33" stopIfTrue="1" operator="equal">
      <formula>"PENDIENTE"</formula>
    </cfRule>
  </conditionalFormatting>
  <conditionalFormatting sqref="S45">
    <cfRule type="cellIs" dxfId="32" priority="31" stopIfTrue="1" operator="equal">
      <formula>"NO ADMISIBLE"</formula>
    </cfRule>
    <cfRule type="cellIs" dxfId="31" priority="32" stopIfTrue="1" operator="equal">
      <formula>"ADMISIBLE"</formula>
    </cfRule>
  </conditionalFormatting>
  <conditionalFormatting sqref="S45">
    <cfRule type="cellIs" dxfId="30" priority="30" stopIfTrue="1" operator="equal">
      <formula>"PENDIENTE"</formula>
    </cfRule>
  </conditionalFormatting>
  <conditionalFormatting sqref="S45">
    <cfRule type="cellIs" dxfId="29" priority="28" stopIfTrue="1" operator="equal">
      <formula>"NO ADMISIBLE"</formula>
    </cfRule>
    <cfRule type="cellIs" dxfId="28" priority="29" stopIfTrue="1" operator="equal">
      <formula>"ADMISIBLE"</formula>
    </cfRule>
  </conditionalFormatting>
  <conditionalFormatting sqref="S45">
    <cfRule type="cellIs" dxfId="27" priority="27" stopIfTrue="1" operator="equal">
      <formula>"PENDIENTE"</formula>
    </cfRule>
  </conditionalFormatting>
  <conditionalFormatting sqref="S17">
    <cfRule type="cellIs" dxfId="26" priority="25" stopIfTrue="1" operator="equal">
      <formula>"NO ADMISIBLE"</formula>
    </cfRule>
    <cfRule type="cellIs" dxfId="25" priority="26" stopIfTrue="1" operator="equal">
      <formula>"ADMISIBLE"</formula>
    </cfRule>
  </conditionalFormatting>
  <conditionalFormatting sqref="S17">
    <cfRule type="cellIs" dxfId="24" priority="24" stopIfTrue="1" operator="equal">
      <formula>"PENDIENTE"</formula>
    </cfRule>
  </conditionalFormatting>
  <conditionalFormatting sqref="S17">
    <cfRule type="cellIs" dxfId="23" priority="22" stopIfTrue="1" operator="equal">
      <formula>"NO ADMISIBLE"</formula>
    </cfRule>
    <cfRule type="cellIs" dxfId="22" priority="23" stopIfTrue="1" operator="equal">
      <formula>"ADMISIBLE"</formula>
    </cfRule>
  </conditionalFormatting>
  <conditionalFormatting sqref="S17">
    <cfRule type="cellIs" dxfId="21" priority="21" stopIfTrue="1" operator="equal">
      <formula>"PENDIENTE"</formula>
    </cfRule>
  </conditionalFormatting>
  <conditionalFormatting sqref="S21">
    <cfRule type="cellIs" dxfId="20" priority="19" stopIfTrue="1" operator="equal">
      <formula>"NO ADMISIBLE"</formula>
    </cfRule>
    <cfRule type="cellIs" dxfId="19" priority="20" stopIfTrue="1" operator="equal">
      <formula>"ADMISIBLE"</formula>
    </cfRule>
  </conditionalFormatting>
  <conditionalFormatting sqref="S21">
    <cfRule type="cellIs" dxfId="18" priority="18" stopIfTrue="1" operator="equal">
      <formula>"PENDIENTE"</formula>
    </cfRule>
  </conditionalFormatting>
  <conditionalFormatting sqref="S21">
    <cfRule type="cellIs" dxfId="17" priority="16" stopIfTrue="1" operator="equal">
      <formula>"NO ADMISIBLE"</formula>
    </cfRule>
    <cfRule type="cellIs" dxfId="16" priority="17" stopIfTrue="1" operator="equal">
      <formula>"ADMISIBLE"</formula>
    </cfRule>
  </conditionalFormatting>
  <conditionalFormatting sqref="S21">
    <cfRule type="cellIs" dxfId="15" priority="15" stopIfTrue="1" operator="equal">
      <formula>"PENDIENTE"</formula>
    </cfRule>
  </conditionalFormatting>
  <conditionalFormatting sqref="S25">
    <cfRule type="cellIs" dxfId="14" priority="13" stopIfTrue="1" operator="equal">
      <formula>"NO ADMISIBLE"</formula>
    </cfRule>
    <cfRule type="cellIs" dxfId="13" priority="14" stopIfTrue="1" operator="equal">
      <formula>"ADMISIBLE"</formula>
    </cfRule>
  </conditionalFormatting>
  <conditionalFormatting sqref="S25">
    <cfRule type="cellIs" dxfId="12" priority="12" stopIfTrue="1" operator="equal">
      <formula>"PENDIENTE"</formula>
    </cfRule>
  </conditionalFormatting>
  <conditionalFormatting sqref="S25">
    <cfRule type="cellIs" dxfId="11" priority="10" stopIfTrue="1" operator="equal">
      <formula>"NO ADMISIBLE"</formula>
    </cfRule>
    <cfRule type="cellIs" dxfId="10" priority="11" stopIfTrue="1" operator="equal">
      <formula>"ADMISIBLE"</formula>
    </cfRule>
  </conditionalFormatting>
  <conditionalFormatting sqref="S25">
    <cfRule type="cellIs" dxfId="9" priority="9" stopIfTrue="1" operator="equal">
      <formula>"PENDIENTE"</formula>
    </cfRule>
  </conditionalFormatting>
  <conditionalFormatting sqref="G17:I17">
    <cfRule type="expression" dxfId="8" priority="8" stopIfTrue="1">
      <formula>IF(#REF!-INT(#REF!)&gt;0,TRUE,FALSE)</formula>
    </cfRule>
  </conditionalFormatting>
  <conditionalFormatting sqref="F13">
    <cfRule type="expression" dxfId="6" priority="7" stopIfTrue="1">
      <formula>IF(#REF!-INT(#REF!)&gt;0,TRUE,FALSE)</formula>
    </cfRule>
  </conditionalFormatting>
  <conditionalFormatting sqref="S13">
    <cfRule type="cellIs" dxfId="5" priority="5" stopIfTrue="1" operator="equal">
      <formula>"NO ADMISIBLE"</formula>
    </cfRule>
    <cfRule type="cellIs" dxfId="4" priority="6" stopIfTrue="1" operator="equal">
      <formula>"ADMISIBLE"</formula>
    </cfRule>
  </conditionalFormatting>
  <conditionalFormatting sqref="S13">
    <cfRule type="cellIs" dxfId="3" priority="4" stopIfTrue="1" operator="equal">
      <formula>"PENDIENTE"</formula>
    </cfRule>
  </conditionalFormatting>
  <conditionalFormatting sqref="S13">
    <cfRule type="cellIs" dxfId="2" priority="2" stopIfTrue="1" operator="equal">
      <formula>"NO ADMISIBLE"</formula>
    </cfRule>
    <cfRule type="cellIs" dxfId="1" priority="3" stopIfTrue="1" operator="equal">
      <formula>"ADMISIBLE"</formula>
    </cfRule>
  </conditionalFormatting>
  <conditionalFormatting sqref="S13">
    <cfRule type="cellIs" dxfId="0" priority="1" stopIfTrue="1" operator="equal">
      <formula>"PENDIENTE"</formula>
    </cfRule>
  </conditionalFormatting>
  <dataValidations count="1">
    <dataValidation type="list" allowBlank="1" showInputMessage="1" showErrorMessage="1" sqref="D9 D13 D17 D21 D25 D29 D33 D37 D41 D45 D49 D53 D57 D61 D65" xr:uid="{00000000-0002-0000-0900-000000000000}">
      <formula1>prueba</formula1>
    </dataValidation>
  </dataValidations>
  <pageMargins left="0.75" right="0.75" top="1" bottom="1" header="0" footer="0"/>
  <pageSetup paperSize="9" scale="2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202" r:id="rId4" name="Button 10">
              <controlPr defaultSize="0" print="0" autoFill="0" autoPict="0" macro="[0]!_xludf.copy">
                <anchor moveWithCells="1" sizeWithCells="1">
                  <from>
                    <xdr:col>0</xdr:col>
                    <xdr:colOff>219075</xdr:colOff>
                    <xdr:row>2</xdr:row>
                    <xdr:rowOff>114300</xdr:rowOff>
                  </from>
                  <to>
                    <xdr:col>1</xdr:col>
                    <xdr:colOff>638175</xdr:colOff>
                    <xdr:row>4</xdr:row>
                    <xdr:rowOff>28575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5"/>
  <dimension ref="A1:F31"/>
  <sheetViews>
    <sheetView view="pageBreakPreview" zoomScale="91" zoomScaleNormal="100" zoomScaleSheetLayoutView="91" workbookViewId="0">
      <selection activeCell="N39" sqref="N39"/>
    </sheetView>
  </sheetViews>
  <sheetFormatPr baseColWidth="10" defaultRowHeight="12.75"/>
  <cols>
    <col min="1" max="1" width="17.42578125" customWidth="1"/>
    <col min="2" max="2" width="18.42578125" customWidth="1"/>
    <col min="3" max="3" width="15.7109375" customWidth="1"/>
    <col min="4" max="4" width="13.85546875" customWidth="1"/>
    <col min="6" max="6" width="14.7109375" customWidth="1"/>
  </cols>
  <sheetData>
    <row r="1" spans="1:6">
      <c r="A1" s="212" t="s">
        <v>287</v>
      </c>
    </row>
    <row r="2" spans="1:6">
      <c r="A2" s="212" t="s">
        <v>288</v>
      </c>
    </row>
    <row r="4" spans="1:6" ht="25.5">
      <c r="A4" s="157" t="s">
        <v>243</v>
      </c>
      <c r="B4" s="158"/>
      <c r="C4" s="158"/>
      <c r="D4" s="158"/>
      <c r="E4" s="158"/>
      <c r="F4" s="158"/>
    </row>
    <row r="5" spans="1:6">
      <c r="A5" s="158"/>
      <c r="B5" s="158"/>
      <c r="C5" s="158"/>
      <c r="D5" s="158"/>
      <c r="E5" s="158"/>
      <c r="F5" s="158"/>
    </row>
    <row r="6" spans="1:6">
      <c r="A6" s="161" t="s">
        <v>251</v>
      </c>
      <c r="B6" s="162"/>
      <c r="C6" s="163"/>
      <c r="D6" s="164"/>
      <c r="E6" s="164"/>
    </row>
    <row r="7" spans="1:6">
      <c r="A7" s="142"/>
      <c r="C7" s="165"/>
    </row>
    <row r="8" spans="1:6">
      <c r="A8" s="166" t="e">
        <f>'Capacidad Financiera'!#REF!</f>
        <v>#REF!</v>
      </c>
      <c r="C8" s="165"/>
    </row>
    <row r="9" spans="1:6" ht="25.5">
      <c r="A9" s="167" t="s">
        <v>244</v>
      </c>
      <c r="B9" s="167" t="s">
        <v>245</v>
      </c>
      <c r="C9" s="168" t="s">
        <v>246</v>
      </c>
      <c r="D9" s="167" t="s">
        <v>291</v>
      </c>
      <c r="E9" s="169" t="s">
        <v>247</v>
      </c>
      <c r="F9" s="170" t="s">
        <v>248</v>
      </c>
    </row>
    <row r="10" spans="1:6">
      <c r="A10" s="171">
        <v>1</v>
      </c>
      <c r="B10" s="172"/>
      <c r="C10" s="173"/>
      <c r="D10" s="174">
        <v>877803</v>
      </c>
      <c r="E10" s="175">
        <f>+B10*C10*D10</f>
        <v>0</v>
      </c>
      <c r="F10" s="176">
        <f>+B10*C10</f>
        <v>0</v>
      </c>
    </row>
    <row r="11" spans="1:6">
      <c r="A11" s="171">
        <v>2</v>
      </c>
      <c r="B11" s="172"/>
      <c r="C11" s="173"/>
      <c r="D11" s="174">
        <f>+D10</f>
        <v>877803</v>
      </c>
      <c r="E11" s="175">
        <f t="shared" ref="E11:E28" si="0">+B11*C11*D11</f>
        <v>0</v>
      </c>
      <c r="F11" s="176">
        <f t="shared" ref="F11:F28" si="1">+B11*C11</f>
        <v>0</v>
      </c>
    </row>
    <row r="12" spans="1:6">
      <c r="A12" s="171">
        <v>3</v>
      </c>
      <c r="B12" s="172"/>
      <c r="C12" s="173"/>
      <c r="D12" s="174">
        <f t="shared" ref="D12:D28" si="2">+D11</f>
        <v>877803</v>
      </c>
      <c r="E12" s="175">
        <f t="shared" si="0"/>
        <v>0</v>
      </c>
      <c r="F12" s="176">
        <f t="shared" si="1"/>
        <v>0</v>
      </c>
    </row>
    <row r="13" spans="1:6">
      <c r="A13" s="171">
        <v>4</v>
      </c>
      <c r="B13" s="172"/>
      <c r="C13" s="173"/>
      <c r="D13" s="174">
        <f t="shared" si="2"/>
        <v>877803</v>
      </c>
      <c r="E13" s="175">
        <f t="shared" si="0"/>
        <v>0</v>
      </c>
      <c r="F13" s="176">
        <f t="shared" si="1"/>
        <v>0</v>
      </c>
    </row>
    <row r="14" spans="1:6">
      <c r="A14" s="171">
        <v>5</v>
      </c>
      <c r="B14" s="172"/>
      <c r="C14" s="173"/>
      <c r="D14" s="174">
        <f t="shared" si="2"/>
        <v>877803</v>
      </c>
      <c r="E14" s="175">
        <f t="shared" si="0"/>
        <v>0</v>
      </c>
      <c r="F14" s="176">
        <f t="shared" si="1"/>
        <v>0</v>
      </c>
    </row>
    <row r="15" spans="1:6">
      <c r="A15" s="171">
        <v>6</v>
      </c>
      <c r="B15" s="172"/>
      <c r="C15" s="173"/>
      <c r="D15" s="174">
        <f t="shared" si="2"/>
        <v>877803</v>
      </c>
      <c r="E15" s="175">
        <f t="shared" si="0"/>
        <v>0</v>
      </c>
      <c r="F15" s="176">
        <f t="shared" si="1"/>
        <v>0</v>
      </c>
    </row>
    <row r="16" spans="1:6">
      <c r="A16" s="171">
        <v>7</v>
      </c>
      <c r="B16" s="172"/>
      <c r="C16" s="173"/>
      <c r="D16" s="174">
        <f t="shared" si="2"/>
        <v>877803</v>
      </c>
      <c r="E16" s="175">
        <f t="shared" si="0"/>
        <v>0</v>
      </c>
      <c r="F16" s="176">
        <f t="shared" si="1"/>
        <v>0</v>
      </c>
    </row>
    <row r="17" spans="1:6">
      <c r="A17" s="171">
        <v>8</v>
      </c>
      <c r="B17" s="172"/>
      <c r="C17" s="173"/>
      <c r="D17" s="174">
        <f t="shared" si="2"/>
        <v>877803</v>
      </c>
      <c r="E17" s="175">
        <f t="shared" si="0"/>
        <v>0</v>
      </c>
      <c r="F17" s="176">
        <f t="shared" si="1"/>
        <v>0</v>
      </c>
    </row>
    <row r="18" spans="1:6">
      <c r="A18" s="171">
        <v>9</v>
      </c>
      <c r="B18" s="172"/>
      <c r="C18" s="173"/>
      <c r="D18" s="174">
        <f t="shared" si="2"/>
        <v>877803</v>
      </c>
      <c r="E18" s="175">
        <f t="shared" si="0"/>
        <v>0</v>
      </c>
      <c r="F18" s="176">
        <f t="shared" si="1"/>
        <v>0</v>
      </c>
    </row>
    <row r="19" spans="1:6">
      <c r="A19" s="171">
        <v>10</v>
      </c>
      <c r="B19" s="172"/>
      <c r="C19" s="173"/>
      <c r="D19" s="174">
        <f t="shared" si="2"/>
        <v>877803</v>
      </c>
      <c r="E19" s="175">
        <f t="shared" si="0"/>
        <v>0</v>
      </c>
      <c r="F19" s="176">
        <f t="shared" si="1"/>
        <v>0</v>
      </c>
    </row>
    <row r="20" spans="1:6">
      <c r="A20" s="171">
        <v>11</v>
      </c>
      <c r="B20" s="172"/>
      <c r="C20" s="173"/>
      <c r="D20" s="174">
        <f t="shared" si="2"/>
        <v>877803</v>
      </c>
      <c r="E20" s="175">
        <f t="shared" si="0"/>
        <v>0</v>
      </c>
      <c r="F20" s="176">
        <f t="shared" si="1"/>
        <v>0</v>
      </c>
    </row>
    <row r="21" spans="1:6">
      <c r="A21" s="171">
        <v>12</v>
      </c>
      <c r="B21" s="172"/>
      <c r="C21" s="173"/>
      <c r="D21" s="174">
        <f t="shared" si="2"/>
        <v>877803</v>
      </c>
      <c r="E21" s="175">
        <f t="shared" si="0"/>
        <v>0</v>
      </c>
      <c r="F21" s="176">
        <f t="shared" si="1"/>
        <v>0</v>
      </c>
    </row>
    <row r="22" spans="1:6">
      <c r="A22" s="171">
        <v>13</v>
      </c>
      <c r="B22" s="172"/>
      <c r="C22" s="173"/>
      <c r="D22" s="174">
        <f t="shared" si="2"/>
        <v>877803</v>
      </c>
      <c r="E22" s="175">
        <f t="shared" si="0"/>
        <v>0</v>
      </c>
      <c r="F22" s="176">
        <f t="shared" si="1"/>
        <v>0</v>
      </c>
    </row>
    <row r="23" spans="1:6">
      <c r="A23" s="171">
        <v>14</v>
      </c>
      <c r="B23" s="172"/>
      <c r="C23" s="173"/>
      <c r="D23" s="174">
        <f t="shared" si="2"/>
        <v>877803</v>
      </c>
      <c r="E23" s="175">
        <f t="shared" si="0"/>
        <v>0</v>
      </c>
      <c r="F23" s="176">
        <f t="shared" si="1"/>
        <v>0</v>
      </c>
    </row>
    <row r="24" spans="1:6">
      <c r="A24" s="171">
        <v>15</v>
      </c>
      <c r="B24" s="172"/>
      <c r="C24" s="173"/>
      <c r="D24" s="174">
        <f t="shared" si="2"/>
        <v>877803</v>
      </c>
      <c r="E24" s="175">
        <f t="shared" si="0"/>
        <v>0</v>
      </c>
      <c r="F24" s="176">
        <f t="shared" si="1"/>
        <v>0</v>
      </c>
    </row>
    <row r="25" spans="1:6">
      <c r="A25" s="171">
        <v>16</v>
      </c>
      <c r="B25" s="172"/>
      <c r="C25" s="173"/>
      <c r="D25" s="174">
        <f t="shared" si="2"/>
        <v>877803</v>
      </c>
      <c r="E25" s="175">
        <f t="shared" si="0"/>
        <v>0</v>
      </c>
      <c r="F25" s="176">
        <f t="shared" si="1"/>
        <v>0</v>
      </c>
    </row>
    <row r="26" spans="1:6">
      <c r="A26" s="171">
        <v>17</v>
      </c>
      <c r="B26" s="172"/>
      <c r="C26" s="173"/>
      <c r="D26" s="174">
        <f t="shared" si="2"/>
        <v>877803</v>
      </c>
      <c r="E26" s="175">
        <f t="shared" si="0"/>
        <v>0</v>
      </c>
      <c r="F26" s="176">
        <f t="shared" si="1"/>
        <v>0</v>
      </c>
    </row>
    <row r="27" spans="1:6">
      <c r="A27" s="171">
        <v>18</v>
      </c>
      <c r="B27" s="172"/>
      <c r="C27" s="173"/>
      <c r="D27" s="174">
        <f t="shared" si="2"/>
        <v>877803</v>
      </c>
      <c r="E27" s="175">
        <f t="shared" si="0"/>
        <v>0</v>
      </c>
      <c r="F27" s="176">
        <f t="shared" si="1"/>
        <v>0</v>
      </c>
    </row>
    <row r="28" spans="1:6">
      <c r="A28" s="171">
        <v>19</v>
      </c>
      <c r="B28" s="172"/>
      <c r="C28" s="173"/>
      <c r="D28" s="174">
        <f t="shared" si="2"/>
        <v>877803</v>
      </c>
      <c r="E28" s="175">
        <f t="shared" si="0"/>
        <v>0</v>
      </c>
      <c r="F28" s="176">
        <f t="shared" si="1"/>
        <v>0</v>
      </c>
    </row>
    <row r="29" spans="1:6">
      <c r="A29" s="171"/>
      <c r="B29" s="175"/>
      <c r="C29" s="177"/>
      <c r="D29" s="174"/>
      <c r="E29" s="175"/>
      <c r="F29" s="176"/>
    </row>
    <row r="30" spans="1:6">
      <c r="A30" s="178" t="s">
        <v>249</v>
      </c>
      <c r="B30" s="174"/>
      <c r="C30" s="179"/>
      <c r="D30" s="174"/>
      <c r="E30" s="180">
        <f>SUM(E10:E29)</f>
        <v>0</v>
      </c>
      <c r="F30" s="181">
        <f>SUM(F10:F29)</f>
        <v>0</v>
      </c>
    </row>
    <row r="31" spans="1:6">
      <c r="E31" s="182"/>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6"/>
  <dimension ref="B2:L44"/>
  <sheetViews>
    <sheetView view="pageBreakPreview" topLeftCell="A2" zoomScale="60" zoomScaleNormal="100" workbookViewId="0">
      <selection activeCell="Q27" sqref="Q27"/>
    </sheetView>
  </sheetViews>
  <sheetFormatPr baseColWidth="10" defaultRowHeight="12.75"/>
  <cols>
    <col min="3" max="3" width="16.42578125" customWidth="1"/>
  </cols>
  <sheetData>
    <row r="2" spans="2:12">
      <c r="B2" s="212" t="s">
        <v>287</v>
      </c>
    </row>
    <row r="3" spans="2:12">
      <c r="B3" s="212" t="s">
        <v>288</v>
      </c>
      <c r="C3" s="159"/>
      <c r="D3" s="159"/>
      <c r="E3" s="159"/>
      <c r="F3" s="159"/>
      <c r="G3" s="159"/>
      <c r="H3" s="159"/>
      <c r="I3" s="159"/>
      <c r="J3" s="159"/>
      <c r="K3" s="159"/>
      <c r="L3" s="160"/>
    </row>
    <row r="4" spans="2:12" ht="25.5">
      <c r="B4" s="157" t="s">
        <v>240</v>
      </c>
      <c r="C4" s="158"/>
      <c r="D4" s="158"/>
      <c r="E4" s="158"/>
      <c r="F4" s="158"/>
    </row>
    <row r="5" spans="2:12">
      <c r="B5" s="159"/>
      <c r="C5" s="159"/>
      <c r="D5" s="159"/>
      <c r="E5" s="159"/>
      <c r="F5" s="159"/>
      <c r="G5" s="159"/>
      <c r="H5" s="159"/>
      <c r="I5" s="159"/>
      <c r="J5" s="159"/>
      <c r="K5" s="159"/>
      <c r="L5" s="160"/>
    </row>
    <row r="6" spans="2:12">
      <c r="K6" s="185"/>
      <c r="L6" s="185"/>
    </row>
    <row r="7" spans="2:12" ht="18">
      <c r="B7" s="186" t="s">
        <v>252</v>
      </c>
      <c r="C7" s="186"/>
      <c r="D7" s="186"/>
      <c r="E7" s="186"/>
      <c r="F7" s="186"/>
      <c r="G7" s="186"/>
      <c r="H7" s="187" t="s">
        <v>253</v>
      </c>
      <c r="I7" s="186"/>
      <c r="J7" s="186"/>
      <c r="K7" s="188"/>
      <c r="L7" s="188"/>
    </row>
    <row r="8" spans="2:12" ht="18">
      <c r="B8" s="189" t="s">
        <v>254</v>
      </c>
      <c r="C8" s="186"/>
      <c r="D8" s="186"/>
      <c r="E8" s="186"/>
      <c r="F8" s="186"/>
      <c r="G8" s="190"/>
      <c r="H8" s="187" t="s">
        <v>255</v>
      </c>
      <c r="I8" s="186"/>
      <c r="J8" s="186"/>
      <c r="K8" s="188"/>
      <c r="L8" s="188"/>
    </row>
    <row r="9" spans="2:12">
      <c r="B9" s="189"/>
      <c r="C9" s="186"/>
      <c r="D9" s="186"/>
      <c r="E9" s="186"/>
      <c r="F9" s="186"/>
      <c r="J9" s="186"/>
      <c r="K9" s="188"/>
      <c r="L9" s="188"/>
    </row>
    <row r="10" spans="2:12">
      <c r="B10" s="507" t="s">
        <v>256</v>
      </c>
      <c r="C10" s="507"/>
      <c r="D10" s="186"/>
      <c r="E10" s="186"/>
      <c r="F10" s="186"/>
      <c r="G10" s="186"/>
      <c r="H10" s="189"/>
      <c r="I10" s="186"/>
      <c r="J10" s="186"/>
      <c r="K10" s="188"/>
      <c r="L10" s="188"/>
    </row>
    <row r="11" spans="2:12">
      <c r="B11" s="507" t="s">
        <v>257</v>
      </c>
      <c r="C11" s="507"/>
      <c r="D11" s="186"/>
      <c r="E11" s="186"/>
      <c r="F11" s="186"/>
      <c r="G11" s="186"/>
      <c r="H11" s="186"/>
      <c r="I11" s="186"/>
      <c r="J11" s="186"/>
      <c r="K11" s="188"/>
      <c r="L11" s="188"/>
    </row>
    <row r="12" spans="2:12">
      <c r="B12" s="191" t="s">
        <v>258</v>
      </c>
      <c r="C12" s="191"/>
      <c r="D12" s="186"/>
      <c r="E12" s="186"/>
      <c r="F12" s="186"/>
      <c r="G12" s="186"/>
      <c r="H12" s="186"/>
      <c r="I12" s="186"/>
      <c r="J12" s="186"/>
      <c r="K12" s="188"/>
      <c r="L12" s="188"/>
    </row>
    <row r="13" spans="2:12">
      <c r="B13" s="507" t="s">
        <v>259</v>
      </c>
      <c r="C13" s="507"/>
      <c r="D13" s="192" t="s">
        <v>260</v>
      </c>
      <c r="E13" s="192"/>
      <c r="F13" s="186"/>
      <c r="G13" s="186"/>
      <c r="H13" s="186"/>
      <c r="I13" s="186"/>
      <c r="J13" s="186"/>
      <c r="K13" s="188"/>
      <c r="L13" s="188"/>
    </row>
    <row r="14" spans="2:12">
      <c r="B14" s="186"/>
      <c r="C14" s="186"/>
      <c r="D14" s="186"/>
      <c r="E14" s="186"/>
      <c r="F14" s="186"/>
      <c r="G14" s="186"/>
      <c r="H14" s="186"/>
      <c r="I14" s="186"/>
      <c r="J14" s="186"/>
      <c r="K14" s="188"/>
      <c r="L14" s="188"/>
    </row>
    <row r="15" spans="2:12">
      <c r="B15" s="508" t="s">
        <v>261</v>
      </c>
      <c r="C15" s="508"/>
      <c r="D15" s="508"/>
      <c r="E15" s="508"/>
      <c r="F15" s="508"/>
      <c r="G15" s="508"/>
      <c r="H15" s="508"/>
      <c r="I15" s="508"/>
      <c r="J15" s="508"/>
      <c r="K15" s="508"/>
      <c r="L15" s="508"/>
    </row>
    <row r="16" spans="2:12" ht="13.5" thickBot="1">
      <c r="B16" s="186"/>
      <c r="C16" s="186"/>
      <c r="D16" s="186"/>
      <c r="E16" s="186"/>
      <c r="F16" s="186"/>
      <c r="G16" s="186"/>
      <c r="H16" s="186"/>
      <c r="I16" s="186"/>
      <c r="J16" s="186"/>
      <c r="K16" s="188"/>
      <c r="L16" s="188"/>
    </row>
    <row r="17" spans="2:12">
      <c r="B17" s="509" t="s">
        <v>262</v>
      </c>
      <c r="C17" s="511" t="s">
        <v>263</v>
      </c>
      <c r="D17" s="511" t="s">
        <v>264</v>
      </c>
      <c r="E17" s="511" t="s">
        <v>265</v>
      </c>
      <c r="F17" s="511" t="s">
        <v>266</v>
      </c>
      <c r="G17" s="511" t="s">
        <v>267</v>
      </c>
      <c r="H17" s="511" t="s">
        <v>268</v>
      </c>
      <c r="I17" s="511" t="s">
        <v>269</v>
      </c>
      <c r="J17" s="511" t="s">
        <v>270</v>
      </c>
      <c r="K17" s="513" t="s">
        <v>271</v>
      </c>
      <c r="L17" s="515" t="s">
        <v>272</v>
      </c>
    </row>
    <row r="18" spans="2:12" ht="130.5" customHeight="1" thickBot="1">
      <c r="B18" s="510"/>
      <c r="C18" s="512"/>
      <c r="D18" s="512" t="s">
        <v>241</v>
      </c>
      <c r="E18" s="512" t="s">
        <v>241</v>
      </c>
      <c r="F18" s="512"/>
      <c r="G18" s="512" t="s">
        <v>2</v>
      </c>
      <c r="H18" s="512"/>
      <c r="I18" s="512"/>
      <c r="J18" s="512"/>
      <c r="K18" s="514"/>
      <c r="L18" s="516"/>
    </row>
    <row r="19" spans="2:12">
      <c r="B19" s="193"/>
      <c r="C19" s="213"/>
      <c r="D19" s="214"/>
      <c r="E19" s="214"/>
      <c r="F19" s="215"/>
      <c r="G19" s="216"/>
      <c r="H19" s="215"/>
      <c r="I19" s="194">
        <f>+H19-F19</f>
        <v>0</v>
      </c>
      <c r="J19" s="194">
        <f>+MIN(C19*30-I19,360)</f>
        <v>0</v>
      </c>
      <c r="K19" s="195" t="e">
        <f>D19/(C19*30)</f>
        <v>#DIV/0!</v>
      </c>
      <c r="L19" s="196" t="e">
        <f t="shared" ref="L19:L23" si="0">(+K19*J19*G19)</f>
        <v>#DIV/0!</v>
      </c>
    </row>
    <row r="20" spans="2:12">
      <c r="B20" s="197"/>
      <c r="C20" s="217"/>
      <c r="D20" s="218"/>
      <c r="E20" s="218"/>
      <c r="F20" s="219"/>
      <c r="G20" s="220"/>
      <c r="H20" s="215"/>
      <c r="I20" s="194">
        <f t="shared" ref="I20:I23" si="1">+H20-F20</f>
        <v>0</v>
      </c>
      <c r="J20" s="194">
        <f t="shared" ref="J20:J23" si="2">+MIN(C20*30-I20,360)</f>
        <v>0</v>
      </c>
      <c r="K20" s="195" t="e">
        <f>D20/(C20*30)</f>
        <v>#DIV/0!</v>
      </c>
      <c r="L20" s="196" t="e">
        <f t="shared" si="0"/>
        <v>#DIV/0!</v>
      </c>
    </row>
    <row r="21" spans="2:12">
      <c r="B21" s="197"/>
      <c r="C21" s="217"/>
      <c r="D21" s="218"/>
      <c r="E21" s="218"/>
      <c r="F21" s="219"/>
      <c r="G21" s="220"/>
      <c r="H21" s="215"/>
      <c r="I21" s="194">
        <f t="shared" si="1"/>
        <v>0</v>
      </c>
      <c r="J21" s="194">
        <f t="shared" si="2"/>
        <v>0</v>
      </c>
      <c r="K21" s="195" t="e">
        <f t="shared" ref="K21:K23" si="3">D21/(C21*30)</f>
        <v>#DIV/0!</v>
      </c>
      <c r="L21" s="196" t="e">
        <f t="shared" si="0"/>
        <v>#DIV/0!</v>
      </c>
    </row>
    <row r="22" spans="2:12">
      <c r="B22" s="197"/>
      <c r="C22" s="217"/>
      <c r="D22" s="218"/>
      <c r="E22" s="218"/>
      <c r="F22" s="219"/>
      <c r="G22" s="220"/>
      <c r="H22" s="215"/>
      <c r="I22" s="194">
        <f t="shared" si="1"/>
        <v>0</v>
      </c>
      <c r="J22" s="194">
        <f t="shared" si="2"/>
        <v>0</v>
      </c>
      <c r="K22" s="195" t="e">
        <f t="shared" si="3"/>
        <v>#DIV/0!</v>
      </c>
      <c r="L22" s="196" t="e">
        <f t="shared" si="0"/>
        <v>#DIV/0!</v>
      </c>
    </row>
    <row r="23" spans="2:12" ht="13.5" thickBot="1">
      <c r="B23" s="198"/>
      <c r="C23" s="221"/>
      <c r="D23" s="222"/>
      <c r="E23" s="222"/>
      <c r="F23" s="223"/>
      <c r="G23" s="224"/>
      <c r="H23" s="225"/>
      <c r="I23" s="199">
        <f t="shared" si="1"/>
        <v>0</v>
      </c>
      <c r="J23" s="199">
        <f t="shared" si="2"/>
        <v>0</v>
      </c>
      <c r="K23" s="200" t="e">
        <f t="shared" si="3"/>
        <v>#DIV/0!</v>
      </c>
      <c r="L23" s="201" t="e">
        <f t="shared" si="0"/>
        <v>#DIV/0!</v>
      </c>
    </row>
    <row r="24" spans="2:12" ht="13.5" thickBot="1">
      <c r="B24" s="517" t="s">
        <v>242</v>
      </c>
      <c r="C24" s="518"/>
      <c r="D24" s="518"/>
      <c r="E24" s="518"/>
      <c r="F24" s="518"/>
      <c r="G24" s="518"/>
      <c r="H24" s="518"/>
      <c r="I24" s="518"/>
      <c r="J24" s="518"/>
      <c r="K24" s="518"/>
      <c r="L24" s="202" t="e">
        <f>+L19+L20+L21+L22+L23</f>
        <v>#DIV/0!</v>
      </c>
    </row>
    <row r="25" spans="2:12" ht="13.5" thickBot="1">
      <c r="B25" s="203"/>
      <c r="C25" s="203"/>
      <c r="D25" s="203"/>
      <c r="E25" s="203"/>
      <c r="F25" s="203"/>
      <c r="G25" s="203"/>
      <c r="H25" s="203"/>
      <c r="I25" s="203"/>
      <c r="J25" s="203"/>
      <c r="K25" s="203"/>
      <c r="L25" s="204"/>
    </row>
    <row r="26" spans="2:12" ht="47.25" customHeight="1" thickBot="1">
      <c r="B26" s="519" t="s">
        <v>273</v>
      </c>
      <c r="C26" s="520"/>
      <c r="D26" s="520"/>
      <c r="E26" s="520"/>
      <c r="F26" s="520"/>
      <c r="G26" s="520"/>
      <c r="H26" s="520"/>
      <c r="I26" s="520"/>
      <c r="J26" s="520"/>
      <c r="K26" s="520"/>
      <c r="L26" s="521"/>
    </row>
    <row r="27" spans="2:12" ht="59.25" customHeight="1" thickBot="1">
      <c r="B27" s="522" t="s">
        <v>274</v>
      </c>
      <c r="C27" s="523"/>
      <c r="D27" s="523"/>
      <c r="E27" s="523"/>
      <c r="F27" s="523"/>
      <c r="G27" s="523"/>
      <c r="H27" s="523"/>
      <c r="I27" s="523"/>
      <c r="J27" s="523"/>
      <c r="K27" s="523"/>
      <c r="L27" s="524"/>
    </row>
    <row r="28" spans="2:12" ht="28.5" customHeight="1" thickBot="1">
      <c r="B28" s="522" t="s">
        <v>275</v>
      </c>
      <c r="C28" s="523"/>
      <c r="D28" s="523"/>
      <c r="E28" s="523"/>
      <c r="F28" s="523"/>
      <c r="G28" s="523"/>
      <c r="H28" s="523"/>
      <c r="I28" s="523"/>
      <c r="J28" s="523"/>
      <c r="K28" s="523"/>
      <c r="L28" s="524"/>
    </row>
    <row r="29" spans="2:12" ht="27" customHeight="1" thickBot="1">
      <c r="B29" s="522" t="s">
        <v>276</v>
      </c>
      <c r="C29" s="523"/>
      <c r="D29" s="523"/>
      <c r="E29" s="523"/>
      <c r="F29" s="523"/>
      <c r="G29" s="523"/>
      <c r="H29" s="523"/>
      <c r="I29" s="523"/>
      <c r="J29" s="523"/>
      <c r="K29" s="523"/>
      <c r="L29" s="524"/>
    </row>
    <row r="30" spans="2:12" ht="55.5" customHeight="1" thickBot="1">
      <c r="B30" s="525" t="s">
        <v>277</v>
      </c>
      <c r="C30" s="526"/>
      <c r="D30" s="526"/>
      <c r="E30" s="526"/>
      <c r="F30" s="526"/>
      <c r="G30" s="526"/>
      <c r="H30" s="526"/>
      <c r="I30" s="526"/>
      <c r="J30" s="526"/>
      <c r="K30" s="526"/>
      <c r="L30" s="527"/>
    </row>
    <row r="31" spans="2:12" ht="51" customHeight="1" thickBot="1">
      <c r="B31" s="528" t="s">
        <v>278</v>
      </c>
      <c r="C31" s="529"/>
      <c r="D31" s="529"/>
      <c r="E31" s="529"/>
      <c r="F31" s="529"/>
      <c r="G31" s="529"/>
      <c r="H31" s="529"/>
      <c r="I31" s="529"/>
      <c r="J31" s="529"/>
      <c r="K31" s="529"/>
      <c r="L31" s="530"/>
    </row>
    <row r="32" spans="2:12" ht="60.75" customHeight="1" thickBot="1">
      <c r="B32" s="528" t="s">
        <v>279</v>
      </c>
      <c r="C32" s="529"/>
      <c r="D32" s="529"/>
      <c r="E32" s="529"/>
      <c r="F32" s="529"/>
      <c r="G32" s="529"/>
      <c r="H32" s="529"/>
      <c r="I32" s="529"/>
      <c r="J32" s="529"/>
      <c r="K32" s="529"/>
      <c r="L32" s="530"/>
    </row>
    <row r="35" spans="2:12">
      <c r="B35" s="161" t="s">
        <v>251</v>
      </c>
      <c r="C35" s="162"/>
      <c r="D35" s="163"/>
      <c r="E35" s="164"/>
      <c r="F35" s="164"/>
    </row>
    <row r="36" spans="2:12" ht="13.5" thickBot="1"/>
    <row r="37" spans="2:12">
      <c r="B37" s="509" t="s">
        <v>262</v>
      </c>
      <c r="C37" s="511" t="s">
        <v>263</v>
      </c>
      <c r="D37" s="511" t="s">
        <v>264</v>
      </c>
      <c r="E37" s="511" t="s">
        <v>265</v>
      </c>
      <c r="F37" s="511" t="s">
        <v>266</v>
      </c>
      <c r="G37" s="511" t="s">
        <v>267</v>
      </c>
      <c r="H37" s="511" t="s">
        <v>268</v>
      </c>
      <c r="I37" s="511" t="s">
        <v>269</v>
      </c>
      <c r="J37" s="511" t="s">
        <v>270</v>
      </c>
      <c r="K37" s="513" t="s">
        <v>271</v>
      </c>
      <c r="L37" s="515" t="s">
        <v>272</v>
      </c>
    </row>
    <row r="38" spans="2:12" ht="61.5" customHeight="1" thickBot="1">
      <c r="B38" s="510"/>
      <c r="C38" s="512"/>
      <c r="D38" s="512" t="s">
        <v>241</v>
      </c>
      <c r="E38" s="512" t="s">
        <v>241</v>
      </c>
      <c r="F38" s="512"/>
      <c r="G38" s="512" t="s">
        <v>2</v>
      </c>
      <c r="H38" s="512"/>
      <c r="I38" s="512"/>
      <c r="J38" s="512"/>
      <c r="K38" s="514"/>
      <c r="L38" s="516"/>
    </row>
    <row r="39" spans="2:12">
      <c r="B39" s="193"/>
      <c r="C39" s="213"/>
      <c r="D39" s="214"/>
      <c r="E39" s="214"/>
      <c r="F39" s="215"/>
      <c r="G39" s="216"/>
      <c r="H39" s="215"/>
      <c r="I39" s="194">
        <f>+H39-F39</f>
        <v>0</v>
      </c>
      <c r="J39" s="194">
        <f>+MIN(C39*30-I39,360)</f>
        <v>0</v>
      </c>
      <c r="K39" s="195" t="e">
        <f>D39/(C39*30)</f>
        <v>#DIV/0!</v>
      </c>
      <c r="L39" s="196" t="e">
        <f t="shared" ref="L39:L43" si="4">(+K39*J39*G39)</f>
        <v>#DIV/0!</v>
      </c>
    </row>
    <row r="40" spans="2:12">
      <c r="B40" s="197"/>
      <c r="C40" s="217"/>
      <c r="D40" s="218"/>
      <c r="E40" s="218"/>
      <c r="F40" s="219"/>
      <c r="G40" s="220"/>
      <c r="H40" s="215"/>
      <c r="I40" s="194">
        <f t="shared" ref="I40:I43" si="5">+H40-F40</f>
        <v>0</v>
      </c>
      <c r="J40" s="194">
        <f t="shared" ref="J40:J43" si="6">+MIN(C40*30-I40,360)</f>
        <v>0</v>
      </c>
      <c r="K40" s="195" t="e">
        <f>D40/(C40*30)</f>
        <v>#DIV/0!</v>
      </c>
      <c r="L40" s="196" t="e">
        <f t="shared" si="4"/>
        <v>#DIV/0!</v>
      </c>
    </row>
    <row r="41" spans="2:12">
      <c r="B41" s="197"/>
      <c r="C41" s="217"/>
      <c r="D41" s="218"/>
      <c r="E41" s="218"/>
      <c r="F41" s="219"/>
      <c r="G41" s="220"/>
      <c r="H41" s="215"/>
      <c r="I41" s="194">
        <f t="shared" si="5"/>
        <v>0</v>
      </c>
      <c r="J41" s="194">
        <f t="shared" si="6"/>
        <v>0</v>
      </c>
      <c r="K41" s="195" t="e">
        <f t="shared" ref="K41:K43" si="7">D41/(C41*30)</f>
        <v>#DIV/0!</v>
      </c>
      <c r="L41" s="196" t="e">
        <f t="shared" si="4"/>
        <v>#DIV/0!</v>
      </c>
    </row>
    <row r="42" spans="2:12">
      <c r="B42" s="197"/>
      <c r="C42" s="217"/>
      <c r="D42" s="218"/>
      <c r="E42" s="218"/>
      <c r="F42" s="219"/>
      <c r="G42" s="220"/>
      <c r="H42" s="215"/>
      <c r="I42" s="194">
        <f t="shared" si="5"/>
        <v>0</v>
      </c>
      <c r="J42" s="194">
        <f t="shared" si="6"/>
        <v>0</v>
      </c>
      <c r="K42" s="195" t="e">
        <f t="shared" si="7"/>
        <v>#DIV/0!</v>
      </c>
      <c r="L42" s="196" t="e">
        <f t="shared" si="4"/>
        <v>#DIV/0!</v>
      </c>
    </row>
    <row r="43" spans="2:12" ht="13.5" thickBot="1">
      <c r="B43" s="198"/>
      <c r="C43" s="221"/>
      <c r="D43" s="222"/>
      <c r="E43" s="222"/>
      <c r="F43" s="223"/>
      <c r="G43" s="224"/>
      <c r="H43" s="225"/>
      <c r="I43" s="199">
        <f t="shared" si="5"/>
        <v>0</v>
      </c>
      <c r="J43" s="199">
        <f t="shared" si="6"/>
        <v>0</v>
      </c>
      <c r="K43" s="200" t="e">
        <f t="shared" si="7"/>
        <v>#DIV/0!</v>
      </c>
      <c r="L43" s="201" t="e">
        <f t="shared" si="4"/>
        <v>#DIV/0!</v>
      </c>
    </row>
    <row r="44" spans="2:12" ht="13.5" thickBot="1">
      <c r="B44" s="517" t="s">
        <v>242</v>
      </c>
      <c r="C44" s="518"/>
      <c r="D44" s="518"/>
      <c r="E44" s="518"/>
      <c r="F44" s="518"/>
      <c r="G44" s="518"/>
      <c r="H44" s="518"/>
      <c r="I44" s="518"/>
      <c r="J44" s="518"/>
      <c r="K44" s="518"/>
      <c r="L44" s="202" t="e">
        <f>+L39+L40+L41+L42+L43</f>
        <v>#DIV/0!</v>
      </c>
    </row>
  </sheetData>
  <mergeCells count="35">
    <mergeCell ref="B44:K44"/>
    <mergeCell ref="B30:L30"/>
    <mergeCell ref="B31:L31"/>
    <mergeCell ref="B32:L32"/>
    <mergeCell ref="B37:B38"/>
    <mergeCell ref="C37:C38"/>
    <mergeCell ref="D37:D38"/>
    <mergeCell ref="E37:E38"/>
    <mergeCell ref="F37:F38"/>
    <mergeCell ref="G37:G38"/>
    <mergeCell ref="H37:H38"/>
    <mergeCell ref="I37:I38"/>
    <mergeCell ref="J37:J38"/>
    <mergeCell ref="K37:K38"/>
    <mergeCell ref="L37:L38"/>
    <mergeCell ref="B24:K24"/>
    <mergeCell ref="B26:L26"/>
    <mergeCell ref="B27:L27"/>
    <mergeCell ref="B28:L28"/>
    <mergeCell ref="B29:L29"/>
    <mergeCell ref="B10:C10"/>
    <mergeCell ref="B11:C11"/>
    <mergeCell ref="B13:C13"/>
    <mergeCell ref="B15:L15"/>
    <mergeCell ref="B17:B18"/>
    <mergeCell ref="C17:C18"/>
    <mergeCell ref="D17:D18"/>
    <mergeCell ref="E17:E18"/>
    <mergeCell ref="F17:F18"/>
    <mergeCell ref="G17:G18"/>
    <mergeCell ref="H17:H18"/>
    <mergeCell ref="I17:I18"/>
    <mergeCell ref="J17:J18"/>
    <mergeCell ref="K17:K18"/>
    <mergeCell ref="L17:L18"/>
  </mergeCells>
  <pageMargins left="0.7" right="0.7" top="0.75" bottom="0.75" header="0.3" footer="0.3"/>
  <pageSetup scale="64"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4"/>
  <dimension ref="A1:B103"/>
  <sheetViews>
    <sheetView zoomScale="75" workbookViewId="0">
      <selection activeCell="A19" sqref="A19"/>
    </sheetView>
  </sheetViews>
  <sheetFormatPr baseColWidth="10" defaultRowHeight="12.75" outlineLevelRow="2"/>
  <cols>
    <col min="1" max="1" width="19" customWidth="1"/>
    <col min="2" max="2" width="21.85546875" customWidth="1"/>
  </cols>
  <sheetData>
    <row r="1" spans="1:2" s="12" customFormat="1" ht="15.75">
      <c r="A1" s="12" t="s">
        <v>7</v>
      </c>
    </row>
    <row r="3" spans="1:2" ht="38.25">
      <c r="A3" s="13" t="s">
        <v>8</v>
      </c>
      <c r="B3" s="14" t="s">
        <v>9</v>
      </c>
    </row>
    <row r="4" spans="1:2" s="16" customFormat="1" outlineLevel="2">
      <c r="A4" s="15"/>
    </row>
    <row r="5" spans="1:2" s="19" customFormat="1" ht="13.5" outlineLevel="1">
      <c r="A5" s="17" t="s">
        <v>114</v>
      </c>
      <c r="B5" s="18">
        <v>16097532669.306931</v>
      </c>
    </row>
    <row r="6" spans="1:2" s="19" customFormat="1" ht="13.5" outlineLevel="1">
      <c r="A6" s="17" t="s">
        <v>115</v>
      </c>
      <c r="B6" s="18">
        <v>18724260670</v>
      </c>
    </row>
    <row r="7" spans="1:2" s="19" customFormat="1" ht="13.5" outlineLevel="1">
      <c r="A7" s="17" t="s">
        <v>116</v>
      </c>
      <c r="B7" s="18">
        <v>15886461489</v>
      </c>
    </row>
    <row r="8" spans="1:2" s="19" customFormat="1" ht="13.5" outlineLevel="1">
      <c r="A8" s="17" t="s">
        <v>117</v>
      </c>
      <c r="B8" s="18">
        <v>18533406621</v>
      </c>
    </row>
    <row r="9" spans="1:2" s="19" customFormat="1" ht="13.5" outlineLevel="1">
      <c r="A9" s="17" t="s">
        <v>118</v>
      </c>
      <c r="B9" s="18">
        <v>14971945628</v>
      </c>
    </row>
    <row r="10" spans="1:2" s="19" customFormat="1" ht="13.5" outlineLevel="1">
      <c r="A10" s="17" t="s">
        <v>119</v>
      </c>
      <c r="B10" s="18">
        <v>16484340849</v>
      </c>
    </row>
    <row r="11" spans="1:2" s="19" customFormat="1" ht="13.5" outlineLevel="1">
      <c r="A11" s="17" t="s">
        <v>120</v>
      </c>
      <c r="B11" s="18">
        <v>16686919713.999998</v>
      </c>
    </row>
    <row r="12" spans="1:2" s="19" customFormat="1" ht="13.5" outlineLevel="1">
      <c r="A12" s="17" t="s">
        <v>121</v>
      </c>
      <c r="B12" s="18">
        <v>11566305868</v>
      </c>
    </row>
    <row r="13" spans="1:2" s="19" customFormat="1" ht="13.5" outlineLevel="1">
      <c r="A13" s="17" t="s">
        <v>122</v>
      </c>
      <c r="B13" s="18">
        <v>6300474910</v>
      </c>
    </row>
    <row r="14" spans="1:2" s="19" customFormat="1" ht="13.5" outlineLevel="1">
      <c r="A14" s="17" t="s">
        <v>10</v>
      </c>
      <c r="B14" s="18">
        <v>1428162158.4158416</v>
      </c>
    </row>
    <row r="15" spans="1:2" s="19" customFormat="1" ht="13.5" outlineLevel="1">
      <c r="A15" s="17" t="s">
        <v>11</v>
      </c>
      <c r="B15" s="18">
        <v>1292851961.3861387</v>
      </c>
    </row>
    <row r="16" spans="1:2" s="19" customFormat="1" ht="13.5" outlineLevel="1">
      <c r="A16" s="17" t="s">
        <v>12</v>
      </c>
      <c r="B16" s="36">
        <v>14200237260</v>
      </c>
    </row>
    <row r="17" spans="1:2" s="19" customFormat="1" ht="13.5" outlineLevel="1">
      <c r="A17" s="17" t="s">
        <v>13</v>
      </c>
      <c r="B17" s="18">
        <v>14388115033</v>
      </c>
    </row>
    <row r="18" spans="1:2" s="19" customFormat="1" ht="13.5" outlineLevel="1">
      <c r="A18" s="17" t="s">
        <v>14</v>
      </c>
      <c r="B18" s="18">
        <v>7076050599</v>
      </c>
    </row>
    <row r="19" spans="1:2" s="19" customFormat="1" ht="13.5" outlineLevel="1">
      <c r="A19" s="17" t="s">
        <v>15</v>
      </c>
      <c r="B19" s="18">
        <v>20893814942</v>
      </c>
    </row>
    <row r="20" spans="1:2" s="19" customFormat="1" ht="13.5" outlineLevel="1">
      <c r="A20" s="17" t="s">
        <v>16</v>
      </c>
      <c r="B20" s="36">
        <v>8810989120</v>
      </c>
    </row>
    <row r="21" spans="1:2" s="19" customFormat="1" ht="13.5" outlineLevel="1">
      <c r="A21" s="17" t="s">
        <v>17</v>
      </c>
      <c r="B21" s="18">
        <v>5818381842</v>
      </c>
    </row>
    <row r="22" spans="1:2" s="19" customFormat="1" ht="13.5" outlineLevel="1">
      <c r="A22" s="17" t="s">
        <v>18</v>
      </c>
      <c r="B22" s="18">
        <v>9650261634</v>
      </c>
    </row>
    <row r="23" spans="1:2" s="19" customFormat="1" ht="13.5" outlineLevel="1">
      <c r="A23" s="17" t="s">
        <v>19</v>
      </c>
      <c r="B23" s="18">
        <v>5385776414</v>
      </c>
    </row>
    <row r="24" spans="1:2" s="19" customFormat="1" ht="13.5" outlineLevel="1">
      <c r="A24" s="17" t="s">
        <v>20</v>
      </c>
      <c r="B24" s="18">
        <v>5759505844</v>
      </c>
    </row>
    <row r="25" spans="1:2" s="19" customFormat="1" ht="13.5" outlineLevel="1">
      <c r="A25" s="17" t="s">
        <v>21</v>
      </c>
      <c r="B25" s="18">
        <v>11365045650</v>
      </c>
    </row>
    <row r="26" spans="1:2" s="19" customFormat="1" ht="13.5" outlineLevel="1">
      <c r="A26" s="17" t="s">
        <v>22</v>
      </c>
      <c r="B26" s="18">
        <v>15652530637</v>
      </c>
    </row>
    <row r="27" spans="1:2" s="19" customFormat="1" ht="13.5" outlineLevel="1">
      <c r="A27" s="17" t="s">
        <v>23</v>
      </c>
      <c r="B27" s="18">
        <v>5772808797</v>
      </c>
    </row>
    <row r="28" spans="1:2" s="19" customFormat="1" ht="13.5" outlineLevel="1">
      <c r="A28" s="17" t="s">
        <v>24</v>
      </c>
      <c r="B28" s="18">
        <v>7512106130</v>
      </c>
    </row>
    <row r="29" spans="1:2" s="19" customFormat="1" ht="13.5" outlineLevel="1">
      <c r="A29" s="17" t="s">
        <v>25</v>
      </c>
      <c r="B29" s="18">
        <v>9347559589</v>
      </c>
    </row>
    <row r="30" spans="1:2" s="19" customFormat="1" ht="13.5" outlineLevel="1">
      <c r="A30" s="17" t="s">
        <v>26</v>
      </c>
      <c r="B30" s="18">
        <v>19825977010</v>
      </c>
    </row>
    <row r="31" spans="1:2" s="19" customFormat="1" ht="13.5" outlineLevel="1">
      <c r="A31" s="17" t="s">
        <v>27</v>
      </c>
      <c r="B31" s="18">
        <v>9200191515</v>
      </c>
    </row>
    <row r="32" spans="1:2" s="19" customFormat="1" ht="13.5" outlineLevel="1">
      <c r="A32" s="17" t="s">
        <v>28</v>
      </c>
      <c r="B32" s="18">
        <v>18743806542</v>
      </c>
    </row>
    <row r="33" spans="1:2" s="19" customFormat="1" ht="13.5" outlineLevel="1">
      <c r="A33" s="17" t="s">
        <v>29</v>
      </c>
      <c r="B33" s="18">
        <v>12488203547</v>
      </c>
    </row>
    <row r="34" spans="1:2" s="19" customFormat="1" ht="13.5" outlineLevel="1">
      <c r="A34" s="17" t="s">
        <v>30</v>
      </c>
      <c r="B34" s="18">
        <v>12337277639</v>
      </c>
    </row>
    <row r="35" spans="1:2" s="19" customFormat="1" ht="13.5" outlineLevel="1">
      <c r="A35" s="17" t="s">
        <v>31</v>
      </c>
      <c r="B35" s="18">
        <v>16198497482.999998</v>
      </c>
    </row>
    <row r="36" spans="1:2" s="19" customFormat="1" ht="13.5" outlineLevel="1">
      <c r="A36" s="17" t="s">
        <v>32</v>
      </c>
      <c r="B36" s="18">
        <v>17764576319</v>
      </c>
    </row>
    <row r="37" spans="1:2" s="19" customFormat="1" ht="13.5" outlineLevel="1">
      <c r="A37" s="17" t="s">
        <v>33</v>
      </c>
      <c r="B37" s="18">
        <v>22882731815</v>
      </c>
    </row>
    <row r="38" spans="1:2" s="19" customFormat="1" ht="13.5" outlineLevel="1">
      <c r="A38" s="17" t="s">
        <v>34</v>
      </c>
      <c r="B38" s="18">
        <v>7383905477</v>
      </c>
    </row>
    <row r="39" spans="1:2" s="19" customFormat="1" ht="13.5" outlineLevel="1">
      <c r="A39" s="17" t="s">
        <v>35</v>
      </c>
      <c r="B39" s="18">
        <v>12423743774</v>
      </c>
    </row>
    <row r="40" spans="1:2" s="19" customFormat="1" ht="13.5" outlineLevel="1">
      <c r="A40" s="17" t="s">
        <v>36</v>
      </c>
      <c r="B40" s="18">
        <v>14187262851</v>
      </c>
    </row>
    <row r="41" spans="1:2" s="19" customFormat="1" ht="13.5" outlineLevel="1">
      <c r="A41" s="17" t="s">
        <v>37</v>
      </c>
      <c r="B41" s="18">
        <v>9099377756</v>
      </c>
    </row>
    <row r="42" spans="1:2" s="19" customFormat="1" ht="13.5" outlineLevel="1">
      <c r="A42" s="17" t="s">
        <v>38</v>
      </c>
      <c r="B42" s="18">
        <v>7416098511</v>
      </c>
    </row>
    <row r="43" spans="1:2" s="19" customFormat="1" ht="13.5" outlineLevel="1">
      <c r="A43" s="17" t="s">
        <v>39</v>
      </c>
      <c r="B43" s="18">
        <v>16654736652</v>
      </c>
    </row>
    <row r="44" spans="1:2" s="19" customFormat="1" ht="13.5" outlineLevel="1">
      <c r="A44" s="17" t="s">
        <v>40</v>
      </c>
      <c r="B44" s="18">
        <v>12006016561</v>
      </c>
    </row>
    <row r="45" spans="1:2" s="19" customFormat="1" ht="13.5" outlineLevel="1">
      <c r="A45" s="17" t="s">
        <v>41</v>
      </c>
      <c r="B45" s="18">
        <v>14602426835</v>
      </c>
    </row>
    <row r="46" spans="1:2" s="19" customFormat="1" ht="13.5" outlineLevel="1">
      <c r="A46" s="17" t="s">
        <v>42</v>
      </c>
      <c r="B46" s="18">
        <v>16600395825</v>
      </c>
    </row>
    <row r="47" spans="1:2" s="19" customFormat="1" ht="13.5" outlineLevel="1">
      <c r="A47" s="17" t="s">
        <v>43</v>
      </c>
      <c r="B47" s="18">
        <v>9490692823</v>
      </c>
    </row>
    <row r="48" spans="1:2" s="19" customFormat="1" ht="13.5" outlineLevel="1">
      <c r="A48" s="17" t="s">
        <v>44</v>
      </c>
      <c r="B48" s="18">
        <v>14966356774</v>
      </c>
    </row>
    <row r="49" spans="1:2" s="19" customFormat="1" ht="13.5" outlineLevel="1">
      <c r="A49" s="17" t="s">
        <v>45</v>
      </c>
      <c r="B49" s="18">
        <v>16628059484</v>
      </c>
    </row>
    <row r="50" spans="1:2" s="19" customFormat="1" ht="13.5" outlineLevel="1">
      <c r="A50" s="17" t="s">
        <v>46</v>
      </c>
      <c r="B50" s="18">
        <v>11545020876</v>
      </c>
    </row>
    <row r="51" spans="1:2" s="19" customFormat="1" ht="13.5" outlineLevel="1">
      <c r="A51" s="17" t="s">
        <v>47</v>
      </c>
      <c r="B51" s="18">
        <v>11069859631</v>
      </c>
    </row>
    <row r="52" spans="1:2" s="19" customFormat="1" ht="13.5" outlineLevel="1">
      <c r="A52" s="17" t="s">
        <v>48</v>
      </c>
      <c r="B52" s="18">
        <v>16462254401</v>
      </c>
    </row>
    <row r="53" spans="1:2" s="19" customFormat="1" ht="13.5" outlineLevel="1">
      <c r="A53" s="17" t="s">
        <v>49</v>
      </c>
      <c r="B53" s="18">
        <v>29122451003</v>
      </c>
    </row>
    <row r="54" spans="1:2" s="19" customFormat="1" ht="13.5" outlineLevel="1">
      <c r="A54" s="17" t="s">
        <v>50</v>
      </c>
      <c r="B54" s="18">
        <v>19110837484</v>
      </c>
    </row>
    <row r="55" spans="1:2" s="19" customFormat="1" ht="13.5" outlineLevel="1">
      <c r="A55" s="17" t="s">
        <v>51</v>
      </c>
      <c r="B55" s="18">
        <v>14355039068</v>
      </c>
    </row>
    <row r="56" spans="1:2" s="19" customFormat="1" ht="13.5" outlineLevel="1">
      <c r="A56" s="17" t="s">
        <v>52</v>
      </c>
      <c r="B56" s="18">
        <v>10742553232</v>
      </c>
    </row>
    <row r="57" spans="1:2" s="19" customFormat="1" ht="13.5" outlineLevel="1">
      <c r="A57" s="17" t="s">
        <v>53</v>
      </c>
      <c r="B57" s="18">
        <v>12944688820</v>
      </c>
    </row>
    <row r="58" spans="1:2" s="19" customFormat="1" ht="13.5" outlineLevel="1">
      <c r="A58" s="17" t="s">
        <v>54</v>
      </c>
      <c r="B58" s="18">
        <v>11689433662</v>
      </c>
    </row>
    <row r="59" spans="1:2" s="19" customFormat="1" ht="13.5" outlineLevel="1">
      <c r="A59" s="17" t="s">
        <v>55</v>
      </c>
      <c r="B59" s="18">
        <v>11397659254</v>
      </c>
    </row>
    <row r="60" spans="1:2" s="19" customFormat="1" ht="13.5" outlineLevel="1">
      <c r="A60" s="17" t="s">
        <v>56</v>
      </c>
      <c r="B60" s="18">
        <v>16236395384</v>
      </c>
    </row>
    <row r="61" spans="1:2" s="19" customFormat="1" ht="13.5" outlineLevel="1">
      <c r="A61" s="17" t="s">
        <v>57</v>
      </c>
      <c r="B61" s="18">
        <v>6151462908.9075203</v>
      </c>
    </row>
    <row r="62" spans="1:2" s="19" customFormat="1" ht="13.5" outlineLevel="1">
      <c r="A62" s="17" t="s">
        <v>58</v>
      </c>
      <c r="B62" s="18">
        <v>24188206629</v>
      </c>
    </row>
    <row r="63" spans="1:2" s="19" customFormat="1" ht="13.5" outlineLevel="1">
      <c r="A63" s="17" t="s">
        <v>59</v>
      </c>
      <c r="B63" s="18">
        <v>22229863427</v>
      </c>
    </row>
    <row r="64" spans="1:2" s="19" customFormat="1" ht="13.5" outlineLevel="1">
      <c r="A64" s="17" t="s">
        <v>60</v>
      </c>
      <c r="B64" s="18">
        <v>23200278421</v>
      </c>
    </row>
    <row r="65" spans="1:2" s="19" customFormat="1" ht="13.5" outlineLevel="1">
      <c r="A65" s="17" t="s">
        <v>61</v>
      </c>
      <c r="B65" s="18">
        <v>33729146012</v>
      </c>
    </row>
    <row r="66" spans="1:2" s="19" customFormat="1" ht="13.5" outlineLevel="1">
      <c r="A66" s="17" t="s">
        <v>62</v>
      </c>
      <c r="B66" s="18">
        <v>25741331764</v>
      </c>
    </row>
    <row r="67" spans="1:2" s="19" customFormat="1" ht="13.5" outlineLevel="1">
      <c r="A67" s="17" t="s">
        <v>63</v>
      </c>
      <c r="B67" s="18">
        <v>10895316694.06304</v>
      </c>
    </row>
    <row r="68" spans="1:2" s="19" customFormat="1" ht="13.5" outlineLevel="1">
      <c r="A68" s="17" t="s">
        <v>64</v>
      </c>
      <c r="B68" s="18">
        <v>15574902572</v>
      </c>
    </row>
    <row r="69" spans="1:2" s="16" customFormat="1" ht="13.5" outlineLevel="1">
      <c r="A69" s="17" t="s">
        <v>65</v>
      </c>
      <c r="B69" s="18">
        <v>11085498362</v>
      </c>
    </row>
    <row r="70" spans="1:2" s="19" customFormat="1" ht="13.5" outlineLevel="1">
      <c r="A70" s="17" t="s">
        <v>66</v>
      </c>
      <c r="B70" s="18">
        <v>15569378930</v>
      </c>
    </row>
    <row r="71" spans="1:2" s="19" customFormat="1" ht="13.5" outlineLevel="1">
      <c r="A71" s="17" t="s">
        <v>67</v>
      </c>
      <c r="B71" s="18">
        <v>19872456988.21376</v>
      </c>
    </row>
    <row r="72" spans="1:2" s="19" customFormat="1" ht="13.5" outlineLevel="1">
      <c r="A72" s="17" t="s">
        <v>68</v>
      </c>
      <c r="B72" s="18">
        <v>9279916346</v>
      </c>
    </row>
    <row r="73" spans="1:2" s="19" customFormat="1" ht="13.5" outlineLevel="1">
      <c r="A73" s="17" t="s">
        <v>69</v>
      </c>
      <c r="B73" s="18">
        <v>11879598172</v>
      </c>
    </row>
    <row r="74" spans="1:2" s="19" customFormat="1" ht="13.5" outlineLevel="1">
      <c r="A74" s="17" t="s">
        <v>70</v>
      </c>
      <c r="B74" s="18">
        <v>14944234555</v>
      </c>
    </row>
    <row r="75" spans="1:2" s="19" customFormat="1" ht="13.5" outlineLevel="1">
      <c r="A75" s="17" t="s">
        <v>71</v>
      </c>
      <c r="B75" s="18">
        <v>8486287813</v>
      </c>
    </row>
    <row r="76" spans="1:2" s="19" customFormat="1" ht="13.5" outlineLevel="1">
      <c r="A76" s="17" t="s">
        <v>72</v>
      </c>
      <c r="B76" s="18">
        <v>7048832262</v>
      </c>
    </row>
    <row r="77" spans="1:2" s="19" customFormat="1" ht="13.5" outlineLevel="1">
      <c r="A77" s="17" t="s">
        <v>73</v>
      </c>
      <c r="B77" s="18">
        <v>5348779190</v>
      </c>
    </row>
    <row r="78" spans="1:2" s="19" customFormat="1" ht="13.5" outlineLevel="1">
      <c r="A78" s="17" t="s">
        <v>74</v>
      </c>
      <c r="B78" s="18">
        <v>5466387046</v>
      </c>
    </row>
    <row r="79" spans="1:2" s="19" customFormat="1" ht="13.5" outlineLevel="1">
      <c r="A79" s="17" t="s">
        <v>75</v>
      </c>
      <c r="B79" s="18">
        <v>16518448889</v>
      </c>
    </row>
    <row r="80" spans="1:2" s="19" customFormat="1" ht="13.5" outlineLevel="1">
      <c r="A80" s="17" t="s">
        <v>76</v>
      </c>
      <c r="B80" s="18">
        <v>8675202615</v>
      </c>
    </row>
    <row r="81" spans="1:2" s="19" customFormat="1" ht="13.5" outlineLevel="1">
      <c r="A81" s="17" t="s">
        <v>77</v>
      </c>
      <c r="B81" s="18">
        <v>16760013498</v>
      </c>
    </row>
    <row r="82" spans="1:2" s="19" customFormat="1" ht="13.5" outlineLevel="1">
      <c r="A82" s="17" t="s">
        <v>78</v>
      </c>
      <c r="B82" s="18">
        <v>12438755743</v>
      </c>
    </row>
    <row r="83" spans="1:2" s="19" customFormat="1" ht="13.5" outlineLevel="1">
      <c r="A83" s="17" t="s">
        <v>79</v>
      </c>
      <c r="B83" s="18">
        <v>14593425402</v>
      </c>
    </row>
    <row r="84" spans="1:2" s="19" customFormat="1" ht="13.5" outlineLevel="1">
      <c r="A84" s="17" t="s">
        <v>80</v>
      </c>
      <c r="B84" s="18">
        <v>6689468251</v>
      </c>
    </row>
    <row r="85" spans="1:2" s="19" customFormat="1" ht="13.5" outlineLevel="1">
      <c r="A85" s="17" t="s">
        <v>81</v>
      </c>
      <c r="B85" s="18">
        <v>8186369892</v>
      </c>
    </row>
    <row r="86" spans="1:2" s="19" customFormat="1" ht="13.5" outlineLevel="1">
      <c r="A86" s="17" t="s">
        <v>82</v>
      </c>
      <c r="B86" s="18">
        <v>28561249598</v>
      </c>
    </row>
    <row r="87" spans="1:2" s="19" customFormat="1" ht="13.5" outlineLevel="1">
      <c r="A87" s="17" t="s">
        <v>83</v>
      </c>
      <c r="B87" s="18">
        <v>34980509996</v>
      </c>
    </row>
    <row r="88" spans="1:2" s="19" customFormat="1" ht="13.5" outlineLevel="1">
      <c r="A88" s="17" t="s">
        <v>84</v>
      </c>
      <c r="B88" s="18">
        <v>6950846586</v>
      </c>
    </row>
    <row r="89" spans="1:2" s="19" customFormat="1" ht="13.5" outlineLevel="1">
      <c r="A89" s="17" t="s">
        <v>85</v>
      </c>
      <c r="B89" s="18">
        <v>11116163961</v>
      </c>
    </row>
    <row r="90" spans="1:2" s="19" customFormat="1" ht="13.5" outlineLevel="1">
      <c r="A90" s="17" t="s">
        <v>86</v>
      </c>
      <c r="B90" s="18">
        <v>21274070645</v>
      </c>
    </row>
    <row r="91" spans="1:2" s="19" customFormat="1" ht="13.5" outlineLevel="1">
      <c r="A91" s="17" t="s">
        <v>87</v>
      </c>
      <c r="B91" s="18">
        <v>2826770201</v>
      </c>
    </row>
    <row r="92" spans="1:2" s="19" customFormat="1" ht="13.5" outlineLevel="1">
      <c r="A92" s="17" t="s">
        <v>88</v>
      </c>
      <c r="B92" s="18">
        <v>4775546619</v>
      </c>
    </row>
    <row r="93" spans="1:2" s="19" customFormat="1" ht="13.5" outlineLevel="1">
      <c r="A93" s="17" t="s">
        <v>89</v>
      </c>
      <c r="B93" s="18">
        <v>23755514236</v>
      </c>
    </row>
    <row r="94" spans="1:2" s="19" customFormat="1" ht="13.5" outlineLevel="1">
      <c r="A94" s="17" t="s">
        <v>90</v>
      </c>
      <c r="B94" s="18">
        <v>22463613073</v>
      </c>
    </row>
    <row r="95" spans="1:2" s="19" customFormat="1" ht="13.5" outlineLevel="1">
      <c r="A95" s="17" t="s">
        <v>91</v>
      </c>
      <c r="B95" s="18">
        <v>20949816946</v>
      </c>
    </row>
    <row r="96" spans="1:2" s="19" customFormat="1" ht="13.5" outlineLevel="1">
      <c r="A96" s="17" t="s">
        <v>92</v>
      </c>
      <c r="B96" s="18">
        <v>14104036918</v>
      </c>
    </row>
    <row r="97" spans="1:2" s="19" customFormat="1" ht="13.5" outlineLevel="1">
      <c r="A97" s="17" t="s">
        <v>93</v>
      </c>
      <c r="B97" s="18">
        <v>1396272140.5940592</v>
      </c>
    </row>
    <row r="98" spans="1:2" s="19" customFormat="1" ht="13.5" outlineLevel="1">
      <c r="A98" s="17" t="s">
        <v>94</v>
      </c>
      <c r="B98" s="18">
        <v>1211346171.2871287</v>
      </c>
    </row>
    <row r="99" spans="1:2" s="19" customFormat="1" ht="13.5" outlineLevel="1">
      <c r="A99" s="17" t="s">
        <v>95</v>
      </c>
      <c r="B99" s="18">
        <v>1239693623.7623763</v>
      </c>
    </row>
    <row r="100" spans="1:2" s="19" customFormat="1" ht="13.5" outlineLevel="1">
      <c r="A100" s="17" t="s">
        <v>96</v>
      </c>
      <c r="B100" s="18">
        <v>1625508018.1759996</v>
      </c>
    </row>
    <row r="101" spans="1:2" s="16" customFormat="1" ht="13.5" outlineLevel="1">
      <c r="A101" s="17"/>
      <c r="B101" s="20">
        <f>SUM(B4:B100)</f>
        <v>1276966895152.1125</v>
      </c>
    </row>
    <row r="103" spans="1:2">
      <c r="B103" s="24"/>
    </row>
  </sheetData>
  <sheetProtection password="C9F1" sheet="1" objects="1" scenarios="1"/>
  <customSheetViews>
    <customSheetView guid="{7043DB3C-32B3-43B5-9ACE-4B1C78863594}" scale="75" state="hidden">
      <selection activeCell="A19" sqref="A19"/>
      <pageMargins left="0.75" right="0.75" top="1" bottom="1" header="0" footer="0"/>
      <headerFooter alignWithMargins="0"/>
    </customSheetView>
  </customSheetViews>
  <phoneticPr fontId="0" type="noConversion"/>
  <pageMargins left="0.75" right="0.75" top="1" bottom="1" header="0" footer="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28</vt:i4>
      </vt:variant>
    </vt:vector>
  </HeadingPairs>
  <TitlesOfParts>
    <vt:vector size="41" baseType="lpstr">
      <vt:lpstr>Verificaciones</vt:lpstr>
      <vt:lpstr>POA</vt:lpstr>
      <vt:lpstr>Puntajes</vt:lpstr>
      <vt:lpstr>Capacidad Financiera</vt:lpstr>
      <vt:lpstr>Puntaje Exp</vt:lpstr>
      <vt:lpstr>Puntaje CF</vt:lpstr>
      <vt:lpstr>Saldo CtosEjecución</vt:lpstr>
      <vt:lpstr>Cap Organización</vt:lpstr>
      <vt:lpstr>Puntaje CT</vt:lpstr>
      <vt:lpstr>Capacidad Residual</vt:lpstr>
      <vt:lpstr>Contratos Ejecutados</vt:lpstr>
      <vt:lpstr>Contratos en Ejecucion</vt:lpstr>
      <vt:lpstr>PO</vt:lpstr>
      <vt:lpstr>AnticipoM1</vt:lpstr>
      <vt:lpstr>AnticipoM2</vt:lpstr>
      <vt:lpstr>AnticipoM3</vt:lpstr>
      <vt:lpstr>AnticipoM4</vt:lpstr>
      <vt:lpstr>'Cap Organización'!Área_de_impresión</vt:lpstr>
      <vt:lpstr>'Capacidad Financiera'!Área_de_impresión</vt:lpstr>
      <vt:lpstr>'Capacidad Residual'!Área_de_impresión</vt:lpstr>
      <vt:lpstr>'Contratos Ejecutados'!Área_de_impresión</vt:lpstr>
      <vt:lpstr>POA!Área_de_impresión</vt:lpstr>
      <vt:lpstr>'Puntaje CF'!Área_de_impresión</vt:lpstr>
      <vt:lpstr>'Puntaje CT'!Área_de_impresión</vt:lpstr>
      <vt:lpstr>'Puntaje Exp'!Área_de_impresión</vt:lpstr>
      <vt:lpstr>Puntajes!Área_de_impresión</vt:lpstr>
      <vt:lpstr>'Saldo CtosEjecución'!Área_de_impresión</vt:lpstr>
      <vt:lpstr>CapFinanciera1</vt:lpstr>
      <vt:lpstr>CapFinanciera2</vt:lpstr>
      <vt:lpstr>CapFinanciera3</vt:lpstr>
      <vt:lpstr>CapFinanciera4</vt:lpstr>
      <vt:lpstr>CapTecnica1</vt:lpstr>
      <vt:lpstr>CapTecnica2</vt:lpstr>
      <vt:lpstr>Experiencia1</vt:lpstr>
      <vt:lpstr>Experiencia2</vt:lpstr>
      <vt:lpstr>Experiencia3</vt:lpstr>
      <vt:lpstr>PlazoM1</vt:lpstr>
      <vt:lpstr>PlazoM2</vt:lpstr>
      <vt:lpstr>PlazoM3</vt:lpstr>
      <vt:lpstr>PlazoM4</vt:lpstr>
      <vt:lpstr>SALACTUAL</vt:lpstr>
    </vt:vector>
  </TitlesOfParts>
  <Company>Universidad del Rosario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 2014</dc:creator>
  <cp:lastModifiedBy>Yessica Viviana Téllez Torres</cp:lastModifiedBy>
  <cp:lastPrinted>2014-04-30T17:21:41Z</cp:lastPrinted>
  <dcterms:created xsi:type="dcterms:W3CDTF">2005-03-19T14:11:58Z</dcterms:created>
  <dcterms:modified xsi:type="dcterms:W3CDTF">2024-07-16T03:25:10Z</dcterms:modified>
</cp:coreProperties>
</file>