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1028"/>
  <workbookPr filterPrivacy="1" codeName="ThisWorkbook"/>
  <xr:revisionPtr revIDLastSave="0" documentId="8_{26261922-2C16-024F-BF0A-3886EC59372E}" xr6:coauthVersionLast="47" xr6:coauthVersionMax="47" xr10:uidLastSave="{00000000-0000-0000-0000-000000000000}"/>
  <bookViews>
    <workbookView xWindow="0" yWindow="0" windowWidth="28800" windowHeight="18000" activeTab="3" xr2:uid="{00000000-000D-0000-FFFF-FFFF00000000}"/>
  </bookViews>
  <sheets>
    <sheet name="Estudio de Mercado" sheetId="3" r:id="rId1"/>
    <sheet name="Establec predio publico" sheetId="11" r:id="rId2"/>
    <sheet name="Aisl predio publico" sheetId="10" r:id="rId3"/>
    <sheet name="Mant predios publicos-RP-EF" sheetId="16" r:id="rId4"/>
    <sheet name="CONSOLIDADO" sheetId="37" r:id="rId5"/>
    <sheet name="Mtto  RP Yopo" sheetId="4" state="hidden" r:id="rId6"/>
    <sheet name="Mtto  RP Aliso" sheetId="6" state="hidden" r:id="rId7"/>
    <sheet name="Mtto  RP Cajeto" sheetId="7" state="hidden" r:id="rId8"/>
  </sheets>
  <externalReferences>
    <externalReference r:id="rId9"/>
    <externalReference r:id="rId10"/>
    <externalReference r:id="rId11"/>
    <externalReference r:id="rId12"/>
    <externalReference r:id="rId13"/>
  </externalReferences>
  <definedNames>
    <definedName name="__123Graph_A" localSheetId="6">#REF!</definedName>
    <definedName name="__123Graph_A" localSheetId="7">#REF!</definedName>
    <definedName name="__123Graph_A" localSheetId="5">#REF!</definedName>
    <definedName name="__123Graph_A">#REF!</definedName>
    <definedName name="__123Graph_AGraph2" localSheetId="6">#REF!</definedName>
    <definedName name="__123Graph_AGraph2" localSheetId="7">#REF!</definedName>
    <definedName name="__123Graph_AGraph2" localSheetId="5">#REF!</definedName>
    <definedName name="__123Graph_AGraph2">#REF!</definedName>
    <definedName name="__123Graph_X" localSheetId="6">#REF!</definedName>
    <definedName name="__123Graph_X" localSheetId="7">#REF!</definedName>
    <definedName name="__123Graph_X" localSheetId="5">#REF!</definedName>
    <definedName name="__123Graph_X">#REF!</definedName>
    <definedName name="_Fill" localSheetId="6">#REF!</definedName>
    <definedName name="_Fill" localSheetId="7">#REF!</definedName>
    <definedName name="_Fill" localSheetId="5">#REF!</definedName>
    <definedName name="_Fill">#REF!</definedName>
    <definedName name="_Key1" localSheetId="6">#REF!</definedName>
    <definedName name="_Key1" localSheetId="7">#REF!</definedName>
    <definedName name="_Key1" localSheetId="5">#REF!</definedName>
    <definedName name="_Key1">#REF!</definedName>
    <definedName name="_MttoRp2" localSheetId="7">#REF!</definedName>
    <definedName name="_MttoRp2">#REF!</definedName>
    <definedName name="_scenchg1" localSheetId="6">#REF!</definedName>
    <definedName name="_scenchg1" localSheetId="7">#REF!</definedName>
    <definedName name="_scenchg1" localSheetId="5">#REF!</definedName>
    <definedName name="_scenchg1">#REF!</definedName>
    <definedName name="_Sort" localSheetId="6">#REF!</definedName>
    <definedName name="_Sort" localSheetId="7">#REF!</definedName>
    <definedName name="_Sort" localSheetId="5">#REF!</definedName>
    <definedName name="_Sort">#REF!</definedName>
    <definedName name="_X" localSheetId="6">#REF!</definedName>
    <definedName name="_X" localSheetId="7">#REF!</definedName>
    <definedName name="_X" localSheetId="5">#REF!</definedName>
    <definedName name="_X">#REF!</definedName>
    <definedName name="_X_10" localSheetId="6">#REF!</definedName>
    <definedName name="_X_10" localSheetId="7">#REF!</definedName>
    <definedName name="_X_10" localSheetId="5">#REF!</definedName>
    <definedName name="_X_10">#REF!</definedName>
    <definedName name="_X_3" localSheetId="6">#REF!</definedName>
    <definedName name="_X_3" localSheetId="7">#REF!</definedName>
    <definedName name="_X_3" localSheetId="5">#REF!</definedName>
    <definedName name="_X_3">#REF!</definedName>
    <definedName name="_X_4" localSheetId="6">#REF!</definedName>
    <definedName name="_X_4" localSheetId="7">#REF!</definedName>
    <definedName name="_X_4" localSheetId="5">#REF!</definedName>
    <definedName name="_X_4">#REF!</definedName>
    <definedName name="_X_5" localSheetId="6">#REF!</definedName>
    <definedName name="_X_5" localSheetId="7">#REF!</definedName>
    <definedName name="_X_5" localSheetId="5">#REF!</definedName>
    <definedName name="_X_5">#REF!</definedName>
    <definedName name="_X_6" localSheetId="6">#REF!</definedName>
    <definedName name="_X_6" localSheetId="7">#REF!</definedName>
    <definedName name="_X_6" localSheetId="5">#REF!</definedName>
    <definedName name="_X_6">#REF!</definedName>
    <definedName name="_X_7" localSheetId="6">#REF!</definedName>
    <definedName name="_X_7" localSheetId="7">#REF!</definedName>
    <definedName name="_X_7" localSheetId="5">#REF!</definedName>
    <definedName name="_X_7">#REF!</definedName>
    <definedName name="_X_8" localSheetId="6">#REF!</definedName>
    <definedName name="_X_8" localSheetId="7">#REF!</definedName>
    <definedName name="_X_8" localSheetId="5">#REF!</definedName>
    <definedName name="_X_8">#REF!</definedName>
    <definedName name="_X_9" localSheetId="6">#REF!</definedName>
    <definedName name="_X_9" localSheetId="7">#REF!</definedName>
    <definedName name="_X_9" localSheetId="5">#REF!</definedName>
    <definedName name="_X_9">#REF!</definedName>
    <definedName name="_Z" localSheetId="6">#REF!</definedName>
    <definedName name="_Z" localSheetId="7">#REF!</definedName>
    <definedName name="_Z" localSheetId="5">#REF!</definedName>
    <definedName name="_Z">#REF!</definedName>
    <definedName name="_Z_10" localSheetId="6">#REF!</definedName>
    <definedName name="_Z_10" localSheetId="7">#REF!</definedName>
    <definedName name="_Z_10" localSheetId="5">#REF!</definedName>
    <definedName name="_Z_10">#REF!</definedName>
    <definedName name="_Z_3" localSheetId="6">#REF!</definedName>
    <definedName name="_Z_3" localSheetId="7">#REF!</definedName>
    <definedName name="_Z_3" localSheetId="5">#REF!</definedName>
    <definedName name="_Z_3">#REF!</definedName>
    <definedName name="_Z_4" localSheetId="6">#REF!</definedName>
    <definedName name="_Z_4" localSheetId="7">#REF!</definedName>
    <definedName name="_Z_4" localSheetId="5">#REF!</definedName>
    <definedName name="_Z_4">#REF!</definedName>
    <definedName name="_Z_5" localSheetId="6">#REF!</definedName>
    <definedName name="_Z_5" localSheetId="7">#REF!</definedName>
    <definedName name="_Z_5" localSheetId="5">#REF!</definedName>
    <definedName name="_Z_5">#REF!</definedName>
    <definedName name="_Z_6" localSheetId="6">#REF!</definedName>
    <definedName name="_Z_6" localSheetId="7">#REF!</definedName>
    <definedName name="_Z_6" localSheetId="5">#REF!</definedName>
    <definedName name="_Z_6">#REF!</definedName>
    <definedName name="_Z_7" localSheetId="6">#REF!</definedName>
    <definedName name="_Z_7" localSheetId="7">#REF!</definedName>
    <definedName name="_Z_7" localSheetId="5">#REF!</definedName>
    <definedName name="_Z_7">#REF!</definedName>
    <definedName name="_Z_8" localSheetId="6">#REF!</definedName>
    <definedName name="_Z_8" localSheetId="7">#REF!</definedName>
    <definedName name="_Z_8" localSheetId="5">#REF!</definedName>
    <definedName name="_Z_8">#REF!</definedName>
    <definedName name="_Z_9" localSheetId="6">#REF!</definedName>
    <definedName name="_Z_9" localSheetId="7">#REF!</definedName>
    <definedName name="_Z_9" localSheetId="5">#REF!</definedName>
    <definedName name="_Z_9">#REF!</definedName>
    <definedName name="a" localSheetId="7">#REF!</definedName>
    <definedName name="a">#REF!</definedName>
    <definedName name="A_ARCINIEGAS" localSheetId="6">#REF!</definedName>
    <definedName name="A_ARCINIEGAS" localSheetId="7">#REF!</definedName>
    <definedName name="A_ARCINIEGAS" localSheetId="5">#REF!</definedName>
    <definedName name="A_ARCINIEGAS">#REF!</definedName>
    <definedName name="A_impresión_IM" localSheetId="6">#REF!</definedName>
    <definedName name="A_impresión_IM" localSheetId="7">#REF!</definedName>
    <definedName name="A_impresión_IM" localSheetId="5">#REF!</definedName>
    <definedName name="A_impresión_IM">#REF!</definedName>
    <definedName name="AAA_10" localSheetId="6">#REF!</definedName>
    <definedName name="AAA_10" localSheetId="7">#REF!</definedName>
    <definedName name="AAA_10" localSheetId="5">#REF!</definedName>
    <definedName name="AAA_10">#REF!</definedName>
    <definedName name="AAA_3" localSheetId="6">#REF!</definedName>
    <definedName name="AAA_3" localSheetId="7">#REF!</definedName>
    <definedName name="AAA_3" localSheetId="5">#REF!</definedName>
    <definedName name="AAA_3">#REF!</definedName>
    <definedName name="AAA_4" localSheetId="6">#REF!</definedName>
    <definedName name="AAA_4" localSheetId="7">#REF!</definedName>
    <definedName name="AAA_4" localSheetId="5">#REF!</definedName>
    <definedName name="AAA_4">#REF!</definedName>
    <definedName name="AAA_5" localSheetId="6">#REF!</definedName>
    <definedName name="AAA_5" localSheetId="7">#REF!</definedName>
    <definedName name="AAA_5" localSheetId="5">#REF!</definedName>
    <definedName name="AAA_5">#REF!</definedName>
    <definedName name="AAA_6" localSheetId="6">#REF!</definedName>
    <definedName name="AAA_6" localSheetId="7">#REF!</definedName>
    <definedName name="AAA_6" localSheetId="5">#REF!</definedName>
    <definedName name="AAA_6">#REF!</definedName>
    <definedName name="AAA_7" localSheetId="6">#REF!</definedName>
    <definedName name="AAA_7" localSheetId="7">#REF!</definedName>
    <definedName name="AAA_7" localSheetId="5">#REF!</definedName>
    <definedName name="AAA_7">#REF!</definedName>
    <definedName name="AAA_8" localSheetId="6">#REF!</definedName>
    <definedName name="AAA_8" localSheetId="7">#REF!</definedName>
    <definedName name="AAA_8" localSheetId="5">#REF!</definedName>
    <definedName name="AAA_8">#REF!</definedName>
    <definedName name="AAA_9" localSheetId="6">#REF!</definedName>
    <definedName name="AAA_9" localSheetId="7">#REF!</definedName>
    <definedName name="AAA_9" localSheetId="5">#REF!</definedName>
    <definedName name="AAA_9">#REF!</definedName>
    <definedName name="aas" localSheetId="6">#REF!</definedName>
    <definedName name="aas" localSheetId="7">#REF!</definedName>
    <definedName name="aas" localSheetId="5">#REF!</definedName>
    <definedName name="aas">#REF!</definedName>
    <definedName name="ACTA1" localSheetId="6">#REF!</definedName>
    <definedName name="ACTA1" localSheetId="7">#REF!</definedName>
    <definedName name="ACTA1" localSheetId="5">#REF!</definedName>
    <definedName name="ACTA1">#REF!</definedName>
    <definedName name="ACTA2" localSheetId="6">#REF!</definedName>
    <definedName name="ACTA2" localSheetId="7">#REF!</definedName>
    <definedName name="ACTA2" localSheetId="5">#REF!</definedName>
    <definedName name="ACTA2">#REF!</definedName>
    <definedName name="ads" localSheetId="6">#REF!</definedName>
    <definedName name="ads" localSheetId="7">#REF!</definedName>
    <definedName name="ads" localSheetId="5">#REF!</definedName>
    <definedName name="ads">#REF!</definedName>
    <definedName name="AIU" localSheetId="6">#REF!</definedName>
    <definedName name="AIU" localSheetId="7">#REF!</definedName>
    <definedName name="AIU" localSheetId="5">#REF!</definedName>
    <definedName name="AIU">#REF!</definedName>
    <definedName name="_xlnm.Print_Area" localSheetId="6">'Mtto  RP Aliso'!$B$3:$G$67</definedName>
    <definedName name="_xlnm.Print_Area" localSheetId="7">'Mtto  RP Cajeto'!$B$3:$G$67</definedName>
    <definedName name="_xlnm.Print_Area" localSheetId="5">'Mtto  RP Yopo'!$B$3:$G$67</definedName>
    <definedName name="asdda" localSheetId="6">#REF!</definedName>
    <definedName name="asdda" localSheetId="7">#REF!</definedName>
    <definedName name="asdda" localSheetId="5">#REF!</definedName>
    <definedName name="asdda">#REF!</definedName>
    <definedName name="asdf" localSheetId="6">#REF!</definedName>
    <definedName name="asdf" localSheetId="7">#REF!</definedName>
    <definedName name="asdf" localSheetId="5">#REF!</definedName>
    <definedName name="asdf">#REF!</definedName>
    <definedName name="asdfds" localSheetId="6">#REF!</definedName>
    <definedName name="asdfds" localSheetId="7">#REF!</definedName>
    <definedName name="asdfds" localSheetId="5">#REF!</definedName>
    <definedName name="asdfds">#REF!</definedName>
    <definedName name="asdflkjh" localSheetId="6">#REF!</definedName>
    <definedName name="asdflkjh" localSheetId="7">#REF!</definedName>
    <definedName name="asdflkjh" localSheetId="5">#REF!</definedName>
    <definedName name="asdflkjh">#REF!</definedName>
    <definedName name="Base_datos_IM" localSheetId="6">#REF!</definedName>
    <definedName name="Base_datos_IM" localSheetId="7">#REF!</definedName>
    <definedName name="Base_datos_IM" localSheetId="5">#REF!</definedName>
    <definedName name="Base_datos_IM">#REF!</definedName>
    <definedName name="BOX__" localSheetId="6">#REF!</definedName>
    <definedName name="BOX__" localSheetId="7">#REF!</definedName>
    <definedName name="BOX__" localSheetId="5">#REF!</definedName>
    <definedName name="BOX__">#REF!</definedName>
    <definedName name="Buscar" localSheetId="6">#REF!</definedName>
    <definedName name="Buscar" localSheetId="7">#REF!</definedName>
    <definedName name="Buscar" localSheetId="5">#REF!</definedName>
    <definedName name="Buscar">#REF!</definedName>
    <definedName name="CANTIDAD" localSheetId="6">#REF!</definedName>
    <definedName name="CANTIDAD" localSheetId="7">#REF!</definedName>
    <definedName name="CANTIDAD" localSheetId="5">#REF!</definedName>
    <definedName name="CANTIDAD">#REF!</definedName>
    <definedName name="CARRO" localSheetId="6">#REF!</definedName>
    <definedName name="CARRO" localSheetId="7">#REF!</definedName>
    <definedName name="CARRO" localSheetId="5">#REF!</definedName>
    <definedName name="CARRO">#REF!</definedName>
    <definedName name="CINCUENTA" localSheetId="6">#REF!</definedName>
    <definedName name="CINCUENTA" localSheetId="7">#REF!</definedName>
    <definedName name="CINCUENTA" localSheetId="5">#REF!</definedName>
    <definedName name="CINCUENTA">#REF!</definedName>
    <definedName name="COSTODIRECTO" localSheetId="6">#REF!</definedName>
    <definedName name="COSTODIRECTO" localSheetId="7">#REF!</definedName>
    <definedName name="COSTODIRECTO" localSheetId="5">#REF!</definedName>
    <definedName name="COSTODIRECTO">#REF!</definedName>
    <definedName name="Criterios_IM" localSheetId="6">#REF!</definedName>
    <definedName name="Criterios_IM" localSheetId="7">#REF!</definedName>
    <definedName name="Criterios_IM" localSheetId="5">#REF!</definedName>
    <definedName name="Criterios_IM">#REF!</definedName>
    <definedName name="CUAL_10" localSheetId="6">#REF!</definedName>
    <definedName name="CUAL_10" localSheetId="7">#REF!</definedName>
    <definedName name="CUAL_10" localSheetId="5">#REF!</definedName>
    <definedName name="CUAL_10">#REF!</definedName>
    <definedName name="CUAL_3" localSheetId="6">#REF!</definedName>
    <definedName name="CUAL_3" localSheetId="7">#REF!</definedName>
    <definedName name="CUAL_3" localSheetId="5">#REF!</definedName>
    <definedName name="CUAL_3">#REF!</definedName>
    <definedName name="CUAL_4" localSheetId="6">#REF!</definedName>
    <definedName name="CUAL_4" localSheetId="7">#REF!</definedName>
    <definedName name="CUAL_4" localSheetId="5">#REF!</definedName>
    <definedName name="CUAL_4">#REF!</definedName>
    <definedName name="CUAL_5" localSheetId="6">#REF!</definedName>
    <definedName name="CUAL_5" localSheetId="7">#REF!</definedName>
    <definedName name="CUAL_5" localSheetId="5">#REF!</definedName>
    <definedName name="CUAL_5">#REF!</definedName>
    <definedName name="CUAL_6" localSheetId="6">#REF!</definedName>
    <definedName name="CUAL_6" localSheetId="7">#REF!</definedName>
    <definedName name="CUAL_6" localSheetId="5">#REF!</definedName>
    <definedName name="CUAL_6">#REF!</definedName>
    <definedName name="CUAL_7" localSheetId="6">#REF!</definedName>
    <definedName name="CUAL_7" localSheetId="7">#REF!</definedName>
    <definedName name="CUAL_7" localSheetId="5">#REF!</definedName>
    <definedName name="CUAL_7">#REF!</definedName>
    <definedName name="CUAL_8" localSheetId="6">#REF!</definedName>
    <definedName name="CUAL_8" localSheetId="7">#REF!</definedName>
    <definedName name="CUAL_8" localSheetId="5">#REF!</definedName>
    <definedName name="CUAL_8">#REF!</definedName>
    <definedName name="CUAL_9" localSheetId="6">#REF!</definedName>
    <definedName name="CUAL_9" localSheetId="7">#REF!</definedName>
    <definedName name="CUAL_9" localSheetId="5">#REF!</definedName>
    <definedName name="CUAL_9">#REF!</definedName>
    <definedName name="dd_10" localSheetId="6">#REF!</definedName>
    <definedName name="dd_10" localSheetId="7">#REF!</definedName>
    <definedName name="dd_10" localSheetId="5">#REF!</definedName>
    <definedName name="dd_10">#REF!</definedName>
    <definedName name="dd_3" localSheetId="6">#REF!</definedName>
    <definedName name="dd_3" localSheetId="7">#REF!</definedName>
    <definedName name="dd_3" localSheetId="5">#REF!</definedName>
    <definedName name="dd_3">#REF!</definedName>
    <definedName name="dd_4" localSheetId="6">#REF!</definedName>
    <definedName name="dd_4" localSheetId="7">#REF!</definedName>
    <definedName name="dd_4" localSheetId="5">#REF!</definedName>
    <definedName name="dd_4">#REF!</definedName>
    <definedName name="dd_5" localSheetId="6">#REF!</definedName>
    <definedName name="dd_5" localSheetId="7">#REF!</definedName>
    <definedName name="dd_5" localSheetId="5">#REF!</definedName>
    <definedName name="dd_5">#REF!</definedName>
    <definedName name="dd_6" localSheetId="6">#REF!</definedName>
    <definedName name="dd_6" localSheetId="7">#REF!</definedName>
    <definedName name="dd_6" localSheetId="5">#REF!</definedName>
    <definedName name="dd_6">#REF!</definedName>
    <definedName name="dd_7" localSheetId="6">#REF!</definedName>
    <definedName name="dd_7" localSheetId="7">#REF!</definedName>
    <definedName name="dd_7" localSheetId="5">#REF!</definedName>
    <definedName name="dd_7">#REF!</definedName>
    <definedName name="dd_8" localSheetId="6">#REF!</definedName>
    <definedName name="dd_8" localSheetId="7">#REF!</definedName>
    <definedName name="dd_8" localSheetId="5">#REF!</definedName>
    <definedName name="dd_8">#REF!</definedName>
    <definedName name="dd_9" localSheetId="6">#REF!</definedName>
    <definedName name="dd_9" localSheetId="7">#REF!</definedName>
    <definedName name="dd_9" localSheetId="5">#REF!</definedName>
    <definedName name="dd_9">#REF!</definedName>
    <definedName name="dedicacion" localSheetId="6">#REF!</definedName>
    <definedName name="dedicacion" localSheetId="7">#REF!</definedName>
    <definedName name="dedicacion" localSheetId="5">#REF!</definedName>
    <definedName name="dedicacion">#REF!</definedName>
    <definedName name="dfasd" localSheetId="6">#REF!</definedName>
    <definedName name="dfasd" localSheetId="7">#REF!</definedName>
    <definedName name="dfasd" localSheetId="5">#REF!</definedName>
    <definedName name="dfasd">#REF!</definedName>
    <definedName name="DFGDFG" localSheetId="6">#REF!</definedName>
    <definedName name="DFGDFG" localSheetId="7">#REF!</definedName>
    <definedName name="DFGDFG" localSheetId="5">#REF!</definedName>
    <definedName name="DFGDFG">#REF!</definedName>
    <definedName name="dfsds" localSheetId="6">#REF!</definedName>
    <definedName name="dfsds" localSheetId="7">#REF!</definedName>
    <definedName name="dfsds" localSheetId="5">#REF!</definedName>
    <definedName name="dfsds">#REF!</definedName>
    <definedName name="drg" localSheetId="6">#REF!</definedName>
    <definedName name="drg" localSheetId="7">#REF!</definedName>
    <definedName name="drg" localSheetId="5">#REF!</definedName>
    <definedName name="drg">#REF!</definedName>
    <definedName name="dzfc" localSheetId="6">#REF!</definedName>
    <definedName name="dzfc" localSheetId="7">#REF!</definedName>
    <definedName name="dzfc" localSheetId="5">#REF!</definedName>
    <definedName name="dzfc">#REF!</definedName>
    <definedName name="EDICAR" localSheetId="6">#REF!</definedName>
    <definedName name="EDICAR" localSheetId="7">#REF!</definedName>
    <definedName name="EDICAR" localSheetId="5">#REF!</definedName>
    <definedName name="EDICAR">#REF!</definedName>
    <definedName name="EEE" localSheetId="6">#REF!</definedName>
    <definedName name="EEE" localSheetId="7">#REF!</definedName>
    <definedName name="EEE" localSheetId="5">#REF!</definedName>
    <definedName name="EEE">#REF!</definedName>
    <definedName name="EMPRESA" localSheetId="6">#REF!</definedName>
    <definedName name="EMPRESA" localSheetId="7">#REF!</definedName>
    <definedName name="EMPRESA" localSheetId="5">#REF!</definedName>
    <definedName name="EMPRESA">#REF!</definedName>
    <definedName name="ERTERT" localSheetId="6">#REF!</definedName>
    <definedName name="ERTERT" localSheetId="7">#REF!</definedName>
    <definedName name="ERTERT" localSheetId="5">#REF!</definedName>
    <definedName name="ERTERT">#REF!</definedName>
    <definedName name="Excel_BuiltIn_Print_Titles_2" localSheetId="6">#REF!</definedName>
    <definedName name="Excel_BuiltIn_Print_Titles_2" localSheetId="7">#REF!</definedName>
    <definedName name="Excel_BuiltIn_Print_Titles_2" localSheetId="5">#REF!</definedName>
    <definedName name="Excel_BuiltIn_Print_Titles_2">#REF!</definedName>
    <definedName name="Extracción_IM" localSheetId="6">#REF!</definedName>
    <definedName name="Extracción_IM" localSheetId="7">#REF!</definedName>
    <definedName name="Extracción_IM" localSheetId="5">#REF!</definedName>
    <definedName name="Extracción_IM">#REF!</definedName>
    <definedName name="f.s" localSheetId="6">#REF!</definedName>
    <definedName name="f.s" localSheetId="7">#REF!</definedName>
    <definedName name="f.s" localSheetId="5">#REF!</definedName>
    <definedName name="f.s">#REF!</definedName>
    <definedName name="factor" localSheetId="6">#REF!</definedName>
    <definedName name="factor" localSheetId="7">#REF!</definedName>
    <definedName name="factor" localSheetId="5">#REF!</definedName>
    <definedName name="factor">#REF!</definedName>
    <definedName name="FAHESA" localSheetId="6">#REF!</definedName>
    <definedName name="FAHESA" localSheetId="7">#REF!</definedName>
    <definedName name="FAHESA" localSheetId="5">#REF!</definedName>
    <definedName name="FAHESA">#REF!</definedName>
    <definedName name="FD" localSheetId="6">#REF!</definedName>
    <definedName name="FD" localSheetId="7">#REF!</definedName>
    <definedName name="FD" localSheetId="5">#REF!</definedName>
    <definedName name="FD">#REF!</definedName>
    <definedName name="fsdfdf" localSheetId="6">#REF!</definedName>
    <definedName name="fsdfdf" localSheetId="7">#REF!</definedName>
    <definedName name="fsdfdf" localSheetId="5">#REF!</definedName>
    <definedName name="fsdfdf">#REF!</definedName>
    <definedName name="fsdsad" localSheetId="6">#REF!</definedName>
    <definedName name="fsdsad" localSheetId="7">#REF!</definedName>
    <definedName name="fsdsad" localSheetId="5">#REF!</definedName>
    <definedName name="fsdsad">#REF!</definedName>
    <definedName name="G_MURILLO" localSheetId="6">#REF!</definedName>
    <definedName name="G_MURILLO" localSheetId="7">#REF!</definedName>
    <definedName name="G_MURILLO" localSheetId="5">#REF!</definedName>
    <definedName name="G_MURILLO">#REF!</definedName>
    <definedName name="GLOBAL" localSheetId="6">#REF!</definedName>
    <definedName name="GLOBAL" localSheetId="7">#REF!</definedName>
    <definedName name="GLOBAL" localSheetId="5">#REF!</definedName>
    <definedName name="GLOBAL">#REF!</definedName>
    <definedName name="H_DELGADO" localSheetId="6">#REF!</definedName>
    <definedName name="H_DELGADO" localSheetId="7">#REF!</definedName>
    <definedName name="H_DELGADO" localSheetId="5">#REF!</definedName>
    <definedName name="H_DELGADO">#REF!</definedName>
    <definedName name="HERNAN_DUARTE" localSheetId="6">#REF!</definedName>
    <definedName name="HERNAN_DUARTE" localSheetId="7">#REF!</definedName>
    <definedName name="HERNAN_DUARTE" localSheetId="5">#REF!</definedName>
    <definedName name="HERNAN_DUARTE">#REF!</definedName>
    <definedName name="HJKHJ" localSheetId="6">#REF!</definedName>
    <definedName name="HJKHJ" localSheetId="7">#REF!</definedName>
    <definedName name="HJKHJ" localSheetId="5">#REF!</definedName>
    <definedName name="HJKHJ">#REF!</definedName>
    <definedName name="HONORARIOS" localSheetId="6">#REF!</definedName>
    <definedName name="HONORARIOS" localSheetId="7">#REF!</definedName>
    <definedName name="HONORARIOS" localSheetId="5">#REF!</definedName>
    <definedName name="HONORARIOS">#REF!</definedName>
    <definedName name="inf" localSheetId="6">#REF!</definedName>
    <definedName name="inf" localSheetId="7">#REF!</definedName>
    <definedName name="inf" localSheetId="5">#REF!</definedName>
    <definedName name="inf">#REF!</definedName>
    <definedName name="Israel" localSheetId="6">#REF!</definedName>
    <definedName name="Israel" localSheetId="7">#REF!</definedName>
    <definedName name="Israel" localSheetId="5">#REF!</definedName>
    <definedName name="Israel">#REF!</definedName>
    <definedName name="J_GARCIA_P" localSheetId="6">#REF!</definedName>
    <definedName name="J_GARCIA_P" localSheetId="7">#REF!</definedName>
    <definedName name="J_GARCIA_P" localSheetId="5">#REF!</definedName>
    <definedName name="J_GARCIA_P">#REF!</definedName>
    <definedName name="K" localSheetId="6">#REF!</definedName>
    <definedName name="K" localSheetId="7">#REF!</definedName>
    <definedName name="K" localSheetId="5">#REF!</definedName>
    <definedName name="K">#REF!</definedName>
    <definedName name="KBKL" localSheetId="6">#REF!</definedName>
    <definedName name="KBKL" localSheetId="7">#REF!</definedName>
    <definedName name="KBKL" localSheetId="5">#REF!</definedName>
    <definedName name="KBKL">#REF!</definedName>
    <definedName name="lidsa" localSheetId="6">#REF!</definedName>
    <definedName name="lidsa" localSheetId="7">#REF!</definedName>
    <definedName name="lidsa" localSheetId="5">#REF!</definedName>
    <definedName name="lidsa">#REF!</definedName>
    <definedName name="M.R.SOLARTE" localSheetId="6">#REF!</definedName>
    <definedName name="M.R.SOLARTE" localSheetId="7">#REF!</definedName>
    <definedName name="M.R.SOLARTE" localSheetId="5">#REF!</definedName>
    <definedName name="M.R.SOLARTE">#REF!</definedName>
    <definedName name="MACO" localSheetId="6">#REF!</definedName>
    <definedName name="MACO" localSheetId="7">#REF!</definedName>
    <definedName name="MACO" localSheetId="5">#REF!</definedName>
    <definedName name="MACO">#REF!</definedName>
    <definedName name="MES" localSheetId="6">#REF!</definedName>
    <definedName name="MES" localSheetId="7">#REF!</definedName>
    <definedName name="MES" localSheetId="5">#REF!</definedName>
    <definedName name="MES">#REF!</definedName>
    <definedName name="NANCY_POLO" localSheetId="6">#REF!</definedName>
    <definedName name="NANCY_POLO" localSheetId="7">#REF!</definedName>
    <definedName name="NANCY_POLO" localSheetId="5">#REF!</definedName>
    <definedName name="NANCY_POLO">#REF!</definedName>
    <definedName name="Nocal2m" localSheetId="6">#REF!</definedName>
    <definedName name="Nocal2m" localSheetId="7">#REF!</definedName>
    <definedName name="Nocal2m" localSheetId="5">#REF!</definedName>
    <definedName name="Nocal2m">#REF!</definedName>
    <definedName name="nocall2n" localSheetId="6">#REF!</definedName>
    <definedName name="nocall2n" localSheetId="7">#REF!</definedName>
    <definedName name="nocall2n" localSheetId="5">#REF!</definedName>
    <definedName name="nocall2n">#REF!</definedName>
    <definedName name="NORTE" localSheetId="6">#REF!</definedName>
    <definedName name="NORTE" localSheetId="7">#REF!</definedName>
    <definedName name="NORTE" localSheetId="5">#REF!</definedName>
    <definedName name="NORTE">#REF!</definedName>
    <definedName name="NOVENTA" localSheetId="6">#REF!</definedName>
    <definedName name="NOVENTA" localSheetId="7">#REF!</definedName>
    <definedName name="NOVENTA" localSheetId="5">#REF!</definedName>
    <definedName name="NOVENTA">#REF!</definedName>
    <definedName name="ñpl" localSheetId="6">#REF!</definedName>
    <definedName name="ñpl" localSheetId="7">#REF!</definedName>
    <definedName name="ñpl" localSheetId="5">#REF!</definedName>
    <definedName name="ñpl">#REF!</definedName>
    <definedName name="OCHENTA" localSheetId="6">#REF!</definedName>
    <definedName name="OCHENTA" localSheetId="7">#REF!</definedName>
    <definedName name="OCHENTA" localSheetId="5">#REF!</definedName>
    <definedName name="OCHENTA">#REF!</definedName>
    <definedName name="OLE_LINK1_6" localSheetId="6">#REF!</definedName>
    <definedName name="OLE_LINK1_6" localSheetId="7">#REF!</definedName>
    <definedName name="OLE_LINK1_6" localSheetId="5">#REF!</definedName>
    <definedName name="OLE_LINK1_6">#REF!</definedName>
    <definedName name="OLE_LINK2_6" localSheetId="6">#REF!</definedName>
    <definedName name="OLE_LINK2_6" localSheetId="7">#REF!</definedName>
    <definedName name="OLE_LINK2_6" localSheetId="5">#REF!</definedName>
    <definedName name="OLE_LINK2_6">#REF!</definedName>
    <definedName name="ORDENAR" localSheetId="6">#REF!</definedName>
    <definedName name="ORDENAR" localSheetId="7">#REF!</definedName>
    <definedName name="ORDENAR" localSheetId="5">#REF!</definedName>
    <definedName name="ORDENAR">#REF!</definedName>
    <definedName name="PAPEL" localSheetId="6">#REF!</definedName>
    <definedName name="PAPEL" localSheetId="7">#REF!</definedName>
    <definedName name="PAPEL" localSheetId="5">#REF!</definedName>
    <definedName name="PAPEL">#REF!</definedName>
    <definedName name="personal" localSheetId="6">#REF!</definedName>
    <definedName name="personal" localSheetId="7">#REF!</definedName>
    <definedName name="personal" localSheetId="5">#REF!</definedName>
    <definedName name="personal">#REF!</definedName>
    <definedName name="POZOS" localSheetId="6">#REF!</definedName>
    <definedName name="POZOS" localSheetId="7">#REF!</definedName>
    <definedName name="POZOS" localSheetId="5">#REF!</definedName>
    <definedName name="POZOS">#REF!</definedName>
    <definedName name="PR" localSheetId="6">#REF!</definedName>
    <definedName name="PR" localSheetId="7">#REF!</definedName>
    <definedName name="PR" localSheetId="5">#REF!</definedName>
    <definedName name="PR">#REF!</definedName>
    <definedName name="PRESUPUESTO" localSheetId="6">#REF!</definedName>
    <definedName name="PRESUPUESTO" localSheetId="7">#REF!</definedName>
    <definedName name="PRESUPUESTO" localSheetId="5">#REF!</definedName>
    <definedName name="PRESUPUESTO">#REF!</definedName>
    <definedName name="PROY" localSheetId="6">#REF!</definedName>
    <definedName name="PROY" localSheetId="7">#REF!</definedName>
    <definedName name="PROY" localSheetId="5">#REF!</definedName>
    <definedName name="PROY">#REF!</definedName>
    <definedName name="q" localSheetId="6">#REF!</definedName>
    <definedName name="q" localSheetId="7">#REF!</definedName>
    <definedName name="q" localSheetId="5">#REF!</definedName>
    <definedName name="q">#REF!</definedName>
    <definedName name="RICARDO" localSheetId="6">#REF!</definedName>
    <definedName name="RICARDO" localSheetId="7">#REF!</definedName>
    <definedName name="RICARDO" localSheetId="5">#REF!</definedName>
    <definedName name="RICARDO">#REF!</definedName>
    <definedName name="rpld" localSheetId="6">#REF!</definedName>
    <definedName name="rpld" localSheetId="7">#REF!</definedName>
    <definedName name="rpld" localSheetId="5">#REF!</definedName>
    <definedName name="rpld">#REF!</definedName>
    <definedName name="SADFSDFTGDS" localSheetId="6">#REF!</definedName>
    <definedName name="SADFSDFTGDS" localSheetId="7">#REF!</definedName>
    <definedName name="SADFSDFTGDS" localSheetId="5">#REF!</definedName>
    <definedName name="SADFSDFTGDS">#REF!</definedName>
    <definedName name="SbtPpto" localSheetId="6">#REF!</definedName>
    <definedName name="SbtPpto" localSheetId="7">#REF!</definedName>
    <definedName name="SbtPpto" localSheetId="5">#REF!</definedName>
    <definedName name="SbtPpto">#REF!</definedName>
    <definedName name="scen_change" localSheetId="6">#REF!</definedName>
    <definedName name="scen_change" localSheetId="7">#REF!</definedName>
    <definedName name="scen_change" localSheetId="5">#REF!</definedName>
    <definedName name="scen_change">#REF!</definedName>
    <definedName name="SDFGD" localSheetId="6">#REF!</definedName>
    <definedName name="SDFGD" localSheetId="7">#REF!</definedName>
    <definedName name="SDFGD" localSheetId="5">#REF!</definedName>
    <definedName name="SDFGD">#REF!</definedName>
    <definedName name="SDFGDG" localSheetId="6">#REF!</definedName>
    <definedName name="SDFGDG" localSheetId="7">#REF!</definedName>
    <definedName name="SDFGDG" localSheetId="5">#REF!</definedName>
    <definedName name="SDFGDG">#REF!</definedName>
    <definedName name="SDFGHFDH" localSheetId="6">#REF!</definedName>
    <definedName name="SDFGHFDH" localSheetId="7">#REF!</definedName>
    <definedName name="SDFGHFDH" localSheetId="5">#REF!</definedName>
    <definedName name="SDFGHFDH">#REF!</definedName>
    <definedName name="SESENTA" localSheetId="6">#REF!</definedName>
    <definedName name="SESENTA" localSheetId="7">#REF!</definedName>
    <definedName name="SESENTA" localSheetId="5">#REF!</definedName>
    <definedName name="SESENTA">#REF!</definedName>
    <definedName name="SETENTA" localSheetId="6">#REF!</definedName>
    <definedName name="SETENTA" localSheetId="7">#REF!</definedName>
    <definedName name="SETENTA" localSheetId="5">#REF!</definedName>
    <definedName name="SETENTA">#REF!</definedName>
    <definedName name="SHARED_FORMULA_0" localSheetId="6">#REF!</definedName>
    <definedName name="SHARED_FORMULA_0" localSheetId="7">#REF!</definedName>
    <definedName name="SHARED_FORMULA_0" localSheetId="5">#REF!</definedName>
    <definedName name="SHARED_FORMULA_0">#REF!</definedName>
    <definedName name="SHARED_FORMULA_1" localSheetId="6">#REF!</definedName>
    <definedName name="SHARED_FORMULA_1" localSheetId="7">#REF!</definedName>
    <definedName name="SHARED_FORMULA_1" localSheetId="5">#REF!</definedName>
    <definedName name="SHARED_FORMULA_1">#REF!</definedName>
    <definedName name="SHARED_FORMULA_2" localSheetId="6">#REF!</definedName>
    <definedName name="SHARED_FORMULA_2" localSheetId="7">#REF!</definedName>
    <definedName name="SHARED_FORMULA_2" localSheetId="5">#REF!</definedName>
    <definedName name="SHARED_FORMULA_2">#REF!</definedName>
    <definedName name="SHARED_FORMULA_3" localSheetId="6">#REF!</definedName>
    <definedName name="SHARED_FORMULA_3" localSheetId="7">#REF!</definedName>
    <definedName name="SHARED_FORMULA_3" localSheetId="5">#REF!</definedName>
    <definedName name="SHARED_FORMULA_3">#REF!</definedName>
    <definedName name="SHARED_FORMULA_4" localSheetId="6">#REF!</definedName>
    <definedName name="SHARED_FORMULA_4" localSheetId="7">#REF!</definedName>
    <definedName name="SHARED_FORMULA_4" localSheetId="5">#REF!</definedName>
    <definedName name="SHARED_FORMULA_4">#REF!</definedName>
    <definedName name="SHARED_FORMULA_5" localSheetId="6">#REF!</definedName>
    <definedName name="SHARED_FORMULA_5" localSheetId="7">#REF!</definedName>
    <definedName name="SHARED_FORMULA_5" localSheetId="5">#REF!</definedName>
    <definedName name="SHARED_FORMULA_5">#REF!</definedName>
    <definedName name="SHARED_FORMULA_6" localSheetId="6">#REF!</definedName>
    <definedName name="SHARED_FORMULA_6" localSheetId="7">#REF!</definedName>
    <definedName name="SHARED_FORMULA_6" localSheetId="5">#REF!</definedName>
    <definedName name="SHARED_FORMULA_6">#REF!</definedName>
    <definedName name="TOTAL" localSheetId="6">#REF!</definedName>
    <definedName name="TOTAL" localSheetId="7">#REF!</definedName>
    <definedName name="TOTAL" localSheetId="5">#REF!</definedName>
    <definedName name="TOTAL">#REF!</definedName>
    <definedName name="TREINTA" localSheetId="6">#REF!</definedName>
    <definedName name="TREINTA" localSheetId="7">#REF!</definedName>
    <definedName name="TREINTA" localSheetId="5">#REF!</definedName>
    <definedName name="TREINTA">#REF!</definedName>
    <definedName name="u_TEMPORAL_VILLAREAL" localSheetId="6">#REF!</definedName>
    <definedName name="u_TEMPORAL_VILLAREAL" localSheetId="7">#REF!</definedName>
    <definedName name="u_TEMPORAL_VILLAREAL" localSheetId="5">#REF!</definedName>
    <definedName name="u_TEMPORAL_VILLAREAL">#REF!</definedName>
    <definedName name="UNION_TEMPORAL" localSheetId="6">#REF!</definedName>
    <definedName name="UNION_TEMPORAL" localSheetId="7">#REF!</definedName>
    <definedName name="UNION_TEMPORAL" localSheetId="5">#REF!</definedName>
    <definedName name="UNION_TEMPORAL">#REF!</definedName>
    <definedName name="vect.raster.1000" localSheetId="6">#REF!</definedName>
    <definedName name="vect.raster.1000" localSheetId="7">#REF!</definedName>
    <definedName name="vect.raster.1000" localSheetId="5">#REF!</definedName>
    <definedName name="vect.raster.1000">#REF!</definedName>
    <definedName name="vect.raster.10001" localSheetId="6">#REF!</definedName>
    <definedName name="vect.raster.10001" localSheetId="7">#REF!</definedName>
    <definedName name="vect.raster.10001" localSheetId="5">#REF!</definedName>
    <definedName name="vect.raster.10001">#REF!</definedName>
    <definedName name="vect.raster.2000" localSheetId="6">#REF!</definedName>
    <definedName name="vect.raster.2000" localSheetId="7">#REF!</definedName>
    <definedName name="vect.raster.2000" localSheetId="5">#REF!</definedName>
    <definedName name="vect.raster.2000">#REF!</definedName>
    <definedName name="VEINTE" localSheetId="6">#REF!</definedName>
    <definedName name="VEINTE" localSheetId="7">#REF!</definedName>
    <definedName name="VEINTE" localSheetId="5">#REF!</definedName>
    <definedName name="VEINTE">#REF!</definedName>
    <definedName name="VIA" localSheetId="6">#REF!</definedName>
    <definedName name="VIA" localSheetId="7">#REF!</definedName>
    <definedName name="VIA" localSheetId="5">#REF!</definedName>
    <definedName name="VIA">#REF!</definedName>
    <definedName name="w" localSheetId="6">#REF!</definedName>
    <definedName name="w" localSheetId="7">#REF!</definedName>
    <definedName name="w" localSheetId="5">#REF!</definedName>
    <definedName name="w">#REF!</definedName>
    <definedName name="W.A.C.C." localSheetId="6">#REF!</definedName>
    <definedName name="W.A.C.C." localSheetId="7">#REF!</definedName>
    <definedName name="W.A.C.C." localSheetId="5">#REF!</definedName>
    <definedName name="W.A.C.C.">#REF!</definedName>
    <definedName name="wrn.HyCal._.I._.Mixing." localSheetId="6">#REF!</definedName>
    <definedName name="wrn.HyCal._.I._.Mixing." localSheetId="7">#REF!</definedName>
    <definedName name="wrn.HyCal._.I._.Mixing." localSheetId="5">#REF!</definedName>
    <definedName name="wrn.HyCal._.I._.Mixing.">#REF!</definedName>
    <definedName name="wrn.Hycal._.II." localSheetId="6">#REF!</definedName>
    <definedName name="wrn.Hycal._.II." localSheetId="7">#REF!</definedName>
    <definedName name="wrn.Hycal._.II." localSheetId="5">#REF!</definedName>
    <definedName name="wrn.Hycal._.II.">#REF!</definedName>
    <definedName name="wrn.HyCal._.II._.Blending." localSheetId="6">#REF!</definedName>
    <definedName name="wrn.HyCal._.II._.Blending." localSheetId="7">#REF!</definedName>
    <definedName name="wrn.HyCal._.II._.Blending." localSheetId="5">#REF!</definedName>
    <definedName name="wrn.HyCal._.II._.Blending.">#REF!</definedName>
    <definedName name="wrn.HyCal._.III." localSheetId="6">#REF!</definedName>
    <definedName name="wrn.HyCal._.III." localSheetId="7">#REF!</definedName>
    <definedName name="wrn.HyCal._.III." localSheetId="5">#REF!</definedName>
    <definedName name="wrn.HyCal._.III.">#REF!</definedName>
    <definedName name="wrn.NoCal._.I._.Mixing." localSheetId="6">#REF!</definedName>
    <definedName name="wrn.NoCal._.I._.Mixing." localSheetId="7">#REF!</definedName>
    <definedName name="wrn.NoCal._.I._.Mixing." localSheetId="5">#REF!</definedName>
    <definedName name="wrn.NoCal._.I._.Mixing.">#REF!</definedName>
    <definedName name="wrn.NoCal._.II._.Mixing." localSheetId="6">#REF!</definedName>
    <definedName name="wrn.NoCal._.II._.Mixing." localSheetId="7">#REF!</definedName>
    <definedName name="wrn.NoCal._.II._.Mixing." localSheetId="5">#REF!</definedName>
    <definedName name="wrn.NoCal._.II._.Mixing.">#REF!</definedName>
    <definedName name="wrn.Resumen." localSheetId="6">#REF!</definedName>
    <definedName name="wrn.Resumen." localSheetId="7">#REF!</definedName>
    <definedName name="wrn.Resumen." localSheetId="5">#REF!</definedName>
    <definedName name="wrn.Resumen.">#REF!</definedName>
    <definedName name="YUIYUI" localSheetId="6">#REF!</definedName>
    <definedName name="YUIYUI" localSheetId="7">#REF!</definedName>
    <definedName name="YUIYUI" localSheetId="5">#REF!</definedName>
    <definedName name="YUIYUI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L4" i="37" l="1"/>
  <c r="L6" i="37"/>
  <c r="K6" i="37"/>
  <c r="J6" i="37"/>
  <c r="K5" i="37"/>
  <c r="J5" i="37"/>
  <c r="K4" i="37"/>
  <c r="J4" i="37"/>
  <c r="G84" i="16"/>
  <c r="G83" i="16"/>
  <c r="G82" i="16"/>
  <c r="G81" i="16"/>
  <c r="G80" i="16"/>
  <c r="G79" i="16"/>
  <c r="G77" i="16"/>
  <c r="G76" i="16"/>
  <c r="G75" i="16"/>
  <c r="G68" i="16"/>
  <c r="F68" i="16"/>
  <c r="G66" i="16"/>
  <c r="G57" i="16"/>
  <c r="F57" i="16"/>
  <c r="G54" i="16"/>
  <c r="G53" i="16"/>
  <c r="G45" i="16"/>
  <c r="F45" i="16"/>
  <c r="G43" i="16"/>
  <c r="G34" i="16"/>
  <c r="F34" i="16"/>
  <c r="G60" i="10"/>
  <c r="G59" i="10"/>
  <c r="G58" i="10"/>
  <c r="G57" i="10"/>
  <c r="G56" i="10"/>
  <c r="G54" i="10"/>
  <c r="G53" i="10"/>
  <c r="G45" i="10"/>
  <c r="F45" i="10"/>
  <c r="G43" i="10"/>
  <c r="G36" i="10"/>
  <c r="F36" i="10"/>
  <c r="G120" i="11"/>
  <c r="G119" i="11"/>
  <c r="G118" i="11"/>
  <c r="G117" i="11"/>
  <c r="G116" i="11"/>
  <c r="G114" i="11"/>
  <c r="G113" i="11"/>
  <c r="G112" i="11"/>
  <c r="G103" i="11"/>
  <c r="F103" i="11"/>
  <c r="G101" i="11"/>
  <c r="G100" i="11"/>
  <c r="G88" i="11"/>
  <c r="F88" i="11"/>
  <c r="G85" i="11"/>
  <c r="G84" i="11"/>
  <c r="G75" i="11"/>
  <c r="F75" i="11"/>
  <c r="G73" i="11"/>
  <c r="G72" i="11"/>
  <c r="G60" i="11"/>
  <c r="F60" i="11"/>
  <c r="G56" i="11"/>
  <c r="G47" i="11"/>
  <c r="F47" i="11"/>
  <c r="G45" i="11"/>
  <c r="G32" i="11"/>
  <c r="F32" i="11"/>
  <c r="J60" i="10"/>
  <c r="J114" i="11"/>
  <c r="D4" i="37"/>
  <c r="D83" i="11" l="1"/>
  <c r="D55" i="11"/>
  <c r="D111" i="11"/>
  <c r="D110" i="11"/>
  <c r="D109" i="11" l="1"/>
  <c r="R131" i="11" l="1"/>
  <c r="S131" i="11" s="1"/>
  <c r="T131" i="11" s="1"/>
  <c r="E94" i="11"/>
  <c r="H163" i="11"/>
  <c r="I163" i="11" s="1"/>
  <c r="J163" i="11" s="1"/>
  <c r="E164" i="11"/>
  <c r="C163" i="11"/>
  <c r="D163" i="11" s="1"/>
  <c r="E163" i="11" s="1"/>
  <c r="C162" i="11"/>
  <c r="D162" i="11" s="1"/>
  <c r="E162" i="11" s="1"/>
  <c r="C161" i="11"/>
  <c r="D161" i="11" s="1"/>
  <c r="E161" i="11" s="1"/>
  <c r="C160" i="11"/>
  <c r="D160" i="11" s="1"/>
  <c r="E160" i="11" s="1"/>
  <c r="C159" i="11"/>
  <c r="D159" i="11" s="1"/>
  <c r="H161" i="11"/>
  <c r="I161" i="11" s="1"/>
  <c r="J161" i="11" s="1"/>
  <c r="D108" i="11"/>
  <c r="D107" i="11"/>
  <c r="R129" i="11" s="1"/>
  <c r="S129" i="11" s="1"/>
  <c r="T129" i="11" s="1"/>
  <c r="D106" i="11"/>
  <c r="R128" i="11" s="1"/>
  <c r="S128" i="11" s="1"/>
  <c r="T128" i="11" s="1"/>
  <c r="D105" i="11"/>
  <c r="R127" i="11" s="1"/>
  <c r="S127" i="11" s="1"/>
  <c r="D103" i="11"/>
  <c r="D104" i="11" s="1"/>
  <c r="R130" i="11" s="1"/>
  <c r="S130" i="11" s="1"/>
  <c r="T130" i="11" s="1"/>
  <c r="D75" i="11"/>
  <c r="O132" i="11" s="1"/>
  <c r="D47" i="11"/>
  <c r="T132" i="11" l="1"/>
  <c r="S133" i="11"/>
  <c r="T127" i="11"/>
  <c r="T133" i="11" s="1"/>
  <c r="F133" i="11" s="1"/>
  <c r="D94" i="11" s="1"/>
  <c r="E159" i="11"/>
  <c r="E165" i="11" s="1"/>
  <c r="D165" i="11"/>
  <c r="F140" i="11"/>
  <c r="D97" i="11"/>
  <c r="D69" i="11"/>
  <c r="D96" i="11"/>
  <c r="D95" i="11"/>
  <c r="D93" i="11"/>
  <c r="D92" i="11"/>
  <c r="D91" i="11"/>
  <c r="D90" i="11"/>
  <c r="D89" i="11"/>
  <c r="D82" i="11"/>
  <c r="D81" i="11"/>
  <c r="H159" i="11" s="1"/>
  <c r="I159" i="11" s="1"/>
  <c r="J159" i="11" s="1"/>
  <c r="D80" i="11"/>
  <c r="H162" i="11" s="1"/>
  <c r="I162" i="11" s="1"/>
  <c r="J162" i="11" s="1"/>
  <c r="D79" i="11"/>
  <c r="D51" i="11"/>
  <c r="D78" i="11"/>
  <c r="M128" i="11" s="1"/>
  <c r="N128" i="11" s="1"/>
  <c r="O128" i="11" s="1"/>
  <c r="D77" i="11"/>
  <c r="M127" i="11" s="1"/>
  <c r="N127" i="11" s="1"/>
  <c r="E66" i="11"/>
  <c r="M129" i="11" l="1"/>
  <c r="N129" i="11" s="1"/>
  <c r="O129" i="11" s="1"/>
  <c r="J164" i="11"/>
  <c r="O127" i="11"/>
  <c r="H160" i="11"/>
  <c r="I160" i="11" s="1"/>
  <c r="M131" i="11"/>
  <c r="N131" i="11" s="1"/>
  <c r="O131" i="11" s="1"/>
  <c r="J160" i="11" l="1"/>
  <c r="J165" i="11" s="1"/>
  <c r="I165" i="11"/>
  <c r="D76" i="11" l="1"/>
  <c r="M130" i="11" s="1"/>
  <c r="N130" i="11" s="1"/>
  <c r="D68" i="11"/>
  <c r="D67" i="11"/>
  <c r="D65" i="11"/>
  <c r="D64" i="11"/>
  <c r="D63" i="11"/>
  <c r="D62" i="11"/>
  <c r="D61" i="11"/>
  <c r="O130" i="11" l="1"/>
  <c r="O133" i="11" s="1"/>
  <c r="E133" i="11" s="1"/>
  <c r="N133" i="11"/>
  <c r="H129" i="11"/>
  <c r="I129" i="11" s="1"/>
  <c r="J129" i="11" s="1"/>
  <c r="D66" i="11" l="1"/>
  <c r="F94" i="11"/>
  <c r="G94" i="11" s="1"/>
  <c r="E140" i="11"/>
  <c r="F10" i="37" l="1"/>
  <c r="D6" i="37"/>
  <c r="D5" i="37" l="1"/>
  <c r="F9" i="37"/>
  <c r="F8" i="37"/>
  <c r="H6" i="37"/>
  <c r="D60" i="16" l="1"/>
  <c r="D45" i="16"/>
  <c r="D51" i="16" s="1"/>
  <c r="D37" i="16"/>
  <c r="F69" i="10"/>
  <c r="G68" i="10"/>
  <c r="G66" i="10"/>
  <c r="G65" i="10"/>
  <c r="E66" i="10"/>
  <c r="G69" i="10" l="1"/>
  <c r="D78" i="10" s="1"/>
  <c r="C13" i="10" l="1"/>
  <c r="E108" i="16" l="1"/>
  <c r="D72" i="16" l="1"/>
  <c r="D69" i="16"/>
  <c r="D68" i="16"/>
  <c r="D73" i="16" s="1"/>
  <c r="D62" i="16"/>
  <c r="D61" i="16"/>
  <c r="D59" i="16"/>
  <c r="E58" i="16"/>
  <c r="D57" i="16"/>
  <c r="D50" i="16"/>
  <c r="D49" i="16"/>
  <c r="D47" i="16"/>
  <c r="C106" i="16" s="1"/>
  <c r="D39" i="16"/>
  <c r="D38" i="16"/>
  <c r="D36" i="16"/>
  <c r="E35" i="16"/>
  <c r="D34" i="16"/>
  <c r="F108" i="16" l="1"/>
  <c r="D106" i="16"/>
  <c r="D71" i="16"/>
  <c r="D48" i="16"/>
  <c r="C107" i="16" s="1"/>
  <c r="D70" i="16"/>
  <c r="D74" i="16"/>
  <c r="D46" i="16"/>
  <c r="D52" i="16"/>
  <c r="D107" i="16" l="1"/>
  <c r="D105" i="16"/>
  <c r="C105" i="16"/>
  <c r="C109" i="16" s="1"/>
  <c r="N22" i="3"/>
  <c r="N19" i="3"/>
  <c r="N18" i="3"/>
  <c r="N14" i="3"/>
  <c r="N13" i="3"/>
  <c r="N12" i="3"/>
  <c r="N9" i="3"/>
  <c r="N8" i="3"/>
  <c r="N7" i="3"/>
  <c r="N6" i="3"/>
  <c r="N5" i="3"/>
  <c r="N4" i="3"/>
  <c r="N53" i="3"/>
  <c r="D109" i="16" l="1"/>
  <c r="F109" i="16" s="1"/>
  <c r="F110" i="16" s="1"/>
  <c r="E92" i="16" s="1"/>
  <c r="E99" i="16" s="1"/>
  <c r="E109" i="16"/>
  <c r="E110" i="16" s="1"/>
  <c r="D92" i="16" s="1"/>
  <c r="D99" i="16" s="1"/>
  <c r="E21" i="16"/>
  <c r="E50" i="16" s="1"/>
  <c r="F50" i="16" s="1"/>
  <c r="G50" i="16" s="1"/>
  <c r="E20" i="16"/>
  <c r="D47" i="10"/>
  <c r="D35" i="16" l="1"/>
  <c r="F35" i="16" s="1"/>
  <c r="D58" i="16"/>
  <c r="F58" i="16" s="1"/>
  <c r="G58" i="16" s="1"/>
  <c r="E72" i="16"/>
  <c r="F72" i="16" s="1"/>
  <c r="G72" i="16" s="1"/>
  <c r="E49" i="16"/>
  <c r="F49" i="16" s="1"/>
  <c r="G49" i="16" s="1"/>
  <c r="G35" i="16" l="1"/>
  <c r="D50" i="10" l="1"/>
  <c r="D17" i="10" l="1"/>
  <c r="E50" i="10" s="1"/>
  <c r="F50" i="10" s="1"/>
  <c r="G50" i="10" s="1"/>
  <c r="N29" i="3" l="1"/>
  <c r="N28" i="3"/>
  <c r="O28" i="3" s="1"/>
  <c r="D46" i="10"/>
  <c r="E39" i="10"/>
  <c r="E68" i="10"/>
  <c r="E67" i="10"/>
  <c r="E65" i="10"/>
  <c r="D15" i="10" l="1"/>
  <c r="E46" i="10" s="1"/>
  <c r="F46" i="10" s="1"/>
  <c r="G46" i="10" s="1"/>
  <c r="D82" i="10"/>
  <c r="J132" i="11" l="1"/>
  <c r="D48" i="11"/>
  <c r="D48" i="10"/>
  <c r="D39" i="10"/>
  <c r="H130" i="11" l="1"/>
  <c r="I130" i="11" s="1"/>
  <c r="J130" i="11" s="1"/>
  <c r="D52" i="10"/>
  <c r="D51" i="10"/>
  <c r="D49" i="10"/>
  <c r="D45" i="10"/>
  <c r="C43" i="10"/>
  <c r="F39" i="10"/>
  <c r="G39" i="10" s="1"/>
  <c r="D41" i="11"/>
  <c r="E38" i="11"/>
  <c r="D54" i="11" l="1"/>
  <c r="H131" i="11" l="1"/>
  <c r="I131" i="11" s="1"/>
  <c r="J131" i="11" s="1"/>
  <c r="D53" i="11"/>
  <c r="F66" i="11" s="1"/>
  <c r="G66" i="11" s="1"/>
  <c r="D52" i="11"/>
  <c r="D50" i="11"/>
  <c r="D49" i="11"/>
  <c r="H128" i="11" l="1"/>
  <c r="I128" i="11" s="1"/>
  <c r="J128" i="11" s="1"/>
  <c r="H127" i="11"/>
  <c r="I127" i="11" s="1"/>
  <c r="I133" i="11"/>
  <c r="J127" i="11"/>
  <c r="J133" i="11" s="1"/>
  <c r="D133" i="11" s="1"/>
  <c r="D140" i="11" s="1"/>
  <c r="D39" i="11"/>
  <c r="D36" i="11"/>
  <c r="D40" i="11"/>
  <c r="D37" i="11"/>
  <c r="D33" i="11"/>
  <c r="D34" i="11"/>
  <c r="D35" i="11"/>
  <c r="D38" i="11" l="1"/>
  <c r="F38" i="11" l="1"/>
  <c r="G38" i="11" l="1"/>
  <c r="N51" i="3"/>
  <c r="N50" i="3"/>
  <c r="N47" i="3"/>
  <c r="N46" i="3"/>
  <c r="N43" i="3"/>
  <c r="N42" i="3"/>
  <c r="N41" i="3"/>
  <c r="N40" i="3"/>
  <c r="N39" i="3"/>
  <c r="N38" i="3"/>
  <c r="N37" i="3"/>
  <c r="N35" i="3"/>
  <c r="N34" i="3"/>
  <c r="N33" i="3"/>
  <c r="N32" i="3"/>
  <c r="N31" i="3"/>
  <c r="N30" i="3"/>
  <c r="N27" i="3"/>
  <c r="N25" i="3"/>
  <c r="N24" i="3"/>
  <c r="N23" i="3"/>
  <c r="D19" i="10"/>
  <c r="E52" i="10" s="1"/>
  <c r="F52" i="10" s="1"/>
  <c r="G52" i="10" s="1"/>
  <c r="D18" i="10"/>
  <c r="E51" i="10" s="1"/>
  <c r="F51" i="10" s="1"/>
  <c r="G51" i="10" s="1"/>
  <c r="N17" i="3"/>
  <c r="N16" i="3"/>
  <c r="O16" i="3" s="1"/>
  <c r="N15" i="3"/>
  <c r="N11" i="3"/>
  <c r="N10" i="3"/>
  <c r="O10" i="3" s="1"/>
  <c r="O9" i="3"/>
  <c r="O8" i="3"/>
  <c r="O7" i="3"/>
  <c r="O6" i="3"/>
  <c r="O4" i="3"/>
  <c r="E10" i="11" l="1"/>
  <c r="E10" i="16"/>
  <c r="E17" i="16"/>
  <c r="D14" i="10"/>
  <c r="E45" i="10" s="1"/>
  <c r="E15" i="16"/>
  <c r="D16" i="10"/>
  <c r="E49" i="10" s="1"/>
  <c r="F49" i="10" s="1"/>
  <c r="G49" i="10" s="1"/>
  <c r="E19" i="16"/>
  <c r="E18" i="16"/>
  <c r="D13" i="10"/>
  <c r="E16" i="16"/>
  <c r="E14" i="16"/>
  <c r="D11" i="10"/>
  <c r="E47" i="10" s="1"/>
  <c r="F47" i="10" s="1"/>
  <c r="G47" i="10" s="1"/>
  <c r="E16" i="11"/>
  <c r="E105" i="11" s="1"/>
  <c r="F105" i="11" s="1"/>
  <c r="G105" i="11" s="1"/>
  <c r="E22" i="11"/>
  <c r="E109" i="11" s="1"/>
  <c r="F109" i="11" s="1"/>
  <c r="G109" i="11" s="1"/>
  <c r="E21" i="11"/>
  <c r="E108" i="11" s="1"/>
  <c r="F108" i="11" s="1"/>
  <c r="G108" i="11" s="1"/>
  <c r="E20" i="11"/>
  <c r="E110" i="11" s="1"/>
  <c r="F110" i="11" s="1"/>
  <c r="G110" i="11" s="1"/>
  <c r="D12" i="10"/>
  <c r="E48" i="10" s="1"/>
  <c r="E47" i="11"/>
  <c r="E17" i="11"/>
  <c r="E106" i="11" s="1"/>
  <c r="F106" i="11" s="1"/>
  <c r="G106" i="11" s="1"/>
  <c r="E19" i="11"/>
  <c r="E111" i="11" s="1"/>
  <c r="F111" i="11" s="1"/>
  <c r="G111" i="11" s="1"/>
  <c r="E18" i="11"/>
  <c r="E107" i="11" s="1"/>
  <c r="F107" i="11" s="1"/>
  <c r="G107" i="11" s="1"/>
  <c r="E15" i="11"/>
  <c r="E104" i="11" s="1"/>
  <c r="F104" i="11" s="1"/>
  <c r="G104" i="11" s="1"/>
  <c r="C8" i="3"/>
  <c r="C10" i="3" s="1"/>
  <c r="C9" i="3"/>
  <c r="H26" i="3"/>
  <c r="N26" i="3" s="1"/>
  <c r="E75" i="11" l="1"/>
  <c r="E103" i="11"/>
  <c r="F112" i="11" s="1"/>
  <c r="E50" i="11"/>
  <c r="E78" i="11"/>
  <c r="F78" i="11" s="1"/>
  <c r="G78" i="11" s="1"/>
  <c r="E52" i="11"/>
  <c r="F52" i="11" s="1"/>
  <c r="G52" i="11" s="1"/>
  <c r="E80" i="11"/>
  <c r="E51" i="11"/>
  <c r="E79" i="11"/>
  <c r="F79" i="11" s="1"/>
  <c r="G79" i="11" s="1"/>
  <c r="E53" i="11"/>
  <c r="F53" i="11" s="1"/>
  <c r="G53" i="11" s="1"/>
  <c r="E81" i="11"/>
  <c r="F81" i="11" s="1"/>
  <c r="G81" i="11" s="1"/>
  <c r="E48" i="11"/>
  <c r="F80" i="11" s="1"/>
  <c r="G80" i="11" s="1"/>
  <c r="E76" i="11"/>
  <c r="E55" i="11"/>
  <c r="F55" i="11" s="1"/>
  <c r="G55" i="11" s="1"/>
  <c r="E83" i="11"/>
  <c r="F83" i="11" s="1"/>
  <c r="G83" i="11" s="1"/>
  <c r="E54" i="11"/>
  <c r="F54" i="11" s="1"/>
  <c r="G54" i="11" s="1"/>
  <c r="E82" i="11"/>
  <c r="E49" i="11"/>
  <c r="E77" i="11"/>
  <c r="F50" i="11"/>
  <c r="G50" i="11" s="1"/>
  <c r="F82" i="11"/>
  <c r="G82" i="11" s="1"/>
  <c r="F49" i="11"/>
  <c r="G49" i="11" s="1"/>
  <c r="E51" i="16"/>
  <c r="F51" i="16" s="1"/>
  <c r="G51" i="16" s="1"/>
  <c r="E73" i="16"/>
  <c r="F73" i="16" s="1"/>
  <c r="G73" i="16" s="1"/>
  <c r="E45" i="16"/>
  <c r="E68" i="16"/>
  <c r="E48" i="16"/>
  <c r="F48" i="16" s="1"/>
  <c r="G48" i="16" s="1"/>
  <c r="E71" i="16"/>
  <c r="F71" i="16" s="1"/>
  <c r="G71" i="16" s="1"/>
  <c r="E46" i="16"/>
  <c r="F46" i="16" s="1"/>
  <c r="G46" i="16" s="1"/>
  <c r="E70" i="16"/>
  <c r="F70" i="16" s="1"/>
  <c r="G70" i="16" s="1"/>
  <c r="E74" i="16"/>
  <c r="F74" i="16" s="1"/>
  <c r="G74" i="16" s="1"/>
  <c r="E52" i="16"/>
  <c r="F52" i="16" s="1"/>
  <c r="G52" i="16" s="1"/>
  <c r="E69" i="16"/>
  <c r="F69" i="16" s="1"/>
  <c r="G69" i="16" s="1"/>
  <c r="E47" i="16"/>
  <c r="F47" i="16" s="1"/>
  <c r="G47" i="16" s="1"/>
  <c r="F48" i="10"/>
  <c r="F53" i="10" s="1"/>
  <c r="B68" i="3"/>
  <c r="B62" i="3"/>
  <c r="B61" i="3"/>
  <c r="B60" i="3"/>
  <c r="B59" i="3"/>
  <c r="B58" i="3"/>
  <c r="B66" i="3" s="1"/>
  <c r="B67" i="3" s="1"/>
  <c r="F48" i="11" l="1"/>
  <c r="G48" i="11" s="1"/>
  <c r="F51" i="11"/>
  <c r="G51" i="11" s="1"/>
  <c r="F75" i="16"/>
  <c r="F53" i="16"/>
  <c r="F82" i="16"/>
  <c r="F81" i="16"/>
  <c r="G48" i="10"/>
  <c r="F58" i="10"/>
  <c r="B63" i="3"/>
  <c r="B71" i="3" s="1"/>
  <c r="B65" i="3"/>
  <c r="B69" i="3" s="1"/>
  <c r="F56" i="11" l="1"/>
  <c r="B70" i="3"/>
  <c r="B72" i="3" s="1"/>
  <c r="E22" i="16" l="1"/>
  <c r="D21" i="10"/>
  <c r="E23" i="11"/>
  <c r="D79" i="4"/>
  <c r="E24" i="4"/>
  <c r="E24" i="6" s="1"/>
  <c r="E24" i="7" s="1"/>
  <c r="E90" i="11" l="1"/>
  <c r="E88" i="11"/>
  <c r="E99" i="11"/>
  <c r="F99" i="11" s="1"/>
  <c r="G99" i="11" s="1"/>
  <c r="E98" i="11"/>
  <c r="E95" i="11"/>
  <c r="E93" i="11"/>
  <c r="F93" i="11" s="1"/>
  <c r="G93" i="11" s="1"/>
  <c r="E89" i="11"/>
  <c r="F89" i="11" s="1"/>
  <c r="G89" i="11" s="1"/>
  <c r="E97" i="11"/>
  <c r="F97" i="11" s="1"/>
  <c r="G97" i="11" s="1"/>
  <c r="E92" i="11"/>
  <c r="F92" i="11" s="1"/>
  <c r="G92" i="11" s="1"/>
  <c r="E96" i="11"/>
  <c r="F96" i="11" s="1"/>
  <c r="G96" i="11" s="1"/>
  <c r="E91" i="11"/>
  <c r="E69" i="11"/>
  <c r="F90" i="11"/>
  <c r="G90" i="11" s="1"/>
  <c r="E68" i="11"/>
  <c r="F98" i="11"/>
  <c r="G98" i="11" s="1"/>
  <c r="E65" i="11"/>
  <c r="F65" i="11" s="1"/>
  <c r="G65" i="11" s="1"/>
  <c r="E64" i="11"/>
  <c r="F64" i="11" s="1"/>
  <c r="G64" i="11" s="1"/>
  <c r="E67" i="11"/>
  <c r="F67" i="11" s="1"/>
  <c r="G67" i="11" s="1"/>
  <c r="E63" i="11"/>
  <c r="F63" i="11" s="1"/>
  <c r="G63" i="11" s="1"/>
  <c r="E35" i="11"/>
  <c r="F35" i="11" s="1"/>
  <c r="G35" i="11" s="1"/>
  <c r="E34" i="11"/>
  <c r="F34" i="11" s="1"/>
  <c r="E33" i="11"/>
  <c r="E32" i="11"/>
  <c r="E70" i="11"/>
  <c r="F70" i="11" s="1"/>
  <c r="G70" i="11" s="1"/>
  <c r="E71" i="11"/>
  <c r="F71" i="11" s="1"/>
  <c r="G71" i="11" s="1"/>
  <c r="F91" i="11"/>
  <c r="G91" i="11" s="1"/>
  <c r="F95" i="11"/>
  <c r="G95" i="11" s="1"/>
  <c r="E62" i="11"/>
  <c r="F62" i="11" s="1"/>
  <c r="G62" i="11" s="1"/>
  <c r="E61" i="11"/>
  <c r="E60" i="11"/>
  <c r="F61" i="11"/>
  <c r="G61" i="11" s="1"/>
  <c r="F68" i="11"/>
  <c r="G68" i="11" s="1"/>
  <c r="F69" i="11"/>
  <c r="G69" i="11" s="1"/>
  <c r="G44" i="11"/>
  <c r="E39" i="11"/>
  <c r="F39" i="11" s="1"/>
  <c r="G39" i="11" s="1"/>
  <c r="E37" i="16"/>
  <c r="F37" i="16" s="1"/>
  <c r="G37" i="16" s="1"/>
  <c r="E38" i="16"/>
  <c r="F38" i="16" s="1"/>
  <c r="G38" i="16" s="1"/>
  <c r="E60" i="16"/>
  <c r="F60" i="16" s="1"/>
  <c r="G60" i="16" s="1"/>
  <c r="G42" i="16"/>
  <c r="F42" i="16" s="1"/>
  <c r="G65" i="16"/>
  <c r="F65" i="16" s="1"/>
  <c r="E36" i="10"/>
  <c r="E42" i="10"/>
  <c r="F42" i="10" s="1"/>
  <c r="G42" i="10" s="1"/>
  <c r="E64" i="16"/>
  <c r="F64" i="16" s="1"/>
  <c r="G64" i="16" s="1"/>
  <c r="E34" i="16"/>
  <c r="E57" i="16"/>
  <c r="E62" i="16"/>
  <c r="F62" i="16" s="1"/>
  <c r="G62" i="16" s="1"/>
  <c r="E39" i="16"/>
  <c r="F39" i="16" s="1"/>
  <c r="G39" i="16" s="1"/>
  <c r="E61" i="16"/>
  <c r="F61" i="16" s="1"/>
  <c r="G61" i="16" s="1"/>
  <c r="E41" i="16"/>
  <c r="F41" i="16" s="1"/>
  <c r="G41" i="16" s="1"/>
  <c r="E59" i="16"/>
  <c r="F59" i="16" s="1"/>
  <c r="G59" i="16" s="1"/>
  <c r="E36" i="16"/>
  <c r="F36" i="16" s="1"/>
  <c r="G36" i="16" s="1"/>
  <c r="E40" i="16"/>
  <c r="F40" i="16" s="1"/>
  <c r="G40" i="16" s="1"/>
  <c r="E63" i="16"/>
  <c r="F63" i="16" s="1"/>
  <c r="G63" i="16" s="1"/>
  <c r="E43" i="11"/>
  <c r="E42" i="11"/>
  <c r="E41" i="11"/>
  <c r="F41" i="11" s="1"/>
  <c r="G41" i="11" s="1"/>
  <c r="E37" i="11"/>
  <c r="E40" i="11"/>
  <c r="F40" i="11" s="1"/>
  <c r="G40" i="11" s="1"/>
  <c r="E36" i="11"/>
  <c r="F36" i="11" s="1"/>
  <c r="G36" i="11" s="1"/>
  <c r="F33" i="11"/>
  <c r="G33" i="11" s="1"/>
  <c r="E40" i="10"/>
  <c r="F40" i="10" s="1"/>
  <c r="G40" i="10" s="1"/>
  <c r="E37" i="10"/>
  <c r="F37" i="10" s="1"/>
  <c r="E38" i="10"/>
  <c r="F38" i="10" s="1"/>
  <c r="G38" i="10" s="1"/>
  <c r="E41" i="10"/>
  <c r="F41" i="10" s="1"/>
  <c r="G41" i="10" s="1"/>
  <c r="D27" i="6"/>
  <c r="D27" i="7" s="1"/>
  <c r="F101" i="11" l="1"/>
  <c r="F113" i="11" s="1"/>
  <c r="F73" i="11"/>
  <c r="F43" i="11"/>
  <c r="G43" i="11" s="1"/>
  <c r="F77" i="11"/>
  <c r="G77" i="11" s="1"/>
  <c r="F37" i="11"/>
  <c r="F42" i="11"/>
  <c r="G42" i="11" s="1"/>
  <c r="F76" i="11"/>
  <c r="G76" i="11" s="1"/>
  <c r="F66" i="16"/>
  <c r="F76" i="16" s="1"/>
  <c r="F43" i="16"/>
  <c r="F54" i="16" s="1"/>
  <c r="F77" i="16" s="1"/>
  <c r="F43" i="10"/>
  <c r="F54" i="10" s="1"/>
  <c r="G37" i="10"/>
  <c r="G34" i="11"/>
  <c r="E10" i="7"/>
  <c r="E46" i="7" s="1"/>
  <c r="D79" i="7"/>
  <c r="I70" i="7"/>
  <c r="I71" i="7" s="1"/>
  <c r="I62" i="7"/>
  <c r="F60" i="7"/>
  <c r="G60" i="7" s="1"/>
  <c r="G61" i="7" s="1"/>
  <c r="D49" i="7"/>
  <c r="B49" i="7"/>
  <c r="I48" i="7"/>
  <c r="H48" i="7"/>
  <c r="D48" i="7"/>
  <c r="I47" i="7"/>
  <c r="H47" i="7"/>
  <c r="D47" i="7"/>
  <c r="I46" i="7"/>
  <c r="H46" i="7"/>
  <c r="D46" i="7"/>
  <c r="I43" i="7"/>
  <c r="I42" i="7"/>
  <c r="I41" i="7"/>
  <c r="D41" i="7"/>
  <c r="I40" i="7"/>
  <c r="D40" i="7"/>
  <c r="I39" i="7"/>
  <c r="I38" i="7"/>
  <c r="I37" i="7"/>
  <c r="I31" i="7"/>
  <c r="J28" i="7"/>
  <c r="I28" i="7"/>
  <c r="V27" i="7"/>
  <c r="E38" i="7"/>
  <c r="F38" i="7" s="1"/>
  <c r="G38" i="7" s="1"/>
  <c r="W24" i="7"/>
  <c r="V24" i="7"/>
  <c r="E42" i="7"/>
  <c r="F42" i="7" s="1"/>
  <c r="G42" i="7" s="1"/>
  <c r="E23" i="7"/>
  <c r="E22" i="7"/>
  <c r="E21" i="7"/>
  <c r="E20" i="7"/>
  <c r="V16" i="7"/>
  <c r="E15" i="7"/>
  <c r="E14" i="7"/>
  <c r="B12" i="7"/>
  <c r="B10" i="7"/>
  <c r="E10" i="6"/>
  <c r="E46" i="6" s="1"/>
  <c r="D79" i="6"/>
  <c r="I70" i="6"/>
  <c r="I71" i="6" s="1"/>
  <c r="I62" i="6"/>
  <c r="F60" i="6"/>
  <c r="G60" i="6" s="1"/>
  <c r="G61" i="6" s="1"/>
  <c r="D49" i="6"/>
  <c r="B49" i="6"/>
  <c r="I48" i="6"/>
  <c r="H48" i="6"/>
  <c r="D48" i="6"/>
  <c r="I47" i="6"/>
  <c r="H47" i="6"/>
  <c r="D47" i="6"/>
  <c r="I46" i="6"/>
  <c r="H46" i="6"/>
  <c r="D46" i="6"/>
  <c r="I43" i="6"/>
  <c r="I42" i="6"/>
  <c r="I41" i="6"/>
  <c r="D41" i="6"/>
  <c r="I40" i="6"/>
  <c r="D40" i="6"/>
  <c r="I39" i="6"/>
  <c r="I38" i="6"/>
  <c r="I37" i="6"/>
  <c r="I31" i="6"/>
  <c r="J28" i="6"/>
  <c r="I28" i="6"/>
  <c r="V27" i="6"/>
  <c r="E38" i="6"/>
  <c r="F38" i="6" s="1"/>
  <c r="G38" i="6" s="1"/>
  <c r="W24" i="6"/>
  <c r="V24" i="6"/>
  <c r="E23" i="6"/>
  <c r="E22" i="6"/>
  <c r="E21" i="6"/>
  <c r="E20" i="6"/>
  <c r="V16" i="6"/>
  <c r="E15" i="6"/>
  <c r="E14" i="6"/>
  <c r="B12" i="6"/>
  <c r="B10" i="6"/>
  <c r="D48" i="4"/>
  <c r="V16" i="4"/>
  <c r="F45" i="11" l="1"/>
  <c r="F117" i="11"/>
  <c r="F116" i="11"/>
  <c r="F57" i="11"/>
  <c r="G37" i="11"/>
  <c r="I85" i="11"/>
  <c r="J85" i="11" s="1"/>
  <c r="F84" i="11"/>
  <c r="F85" i="11" s="1"/>
  <c r="F114" i="11" s="1"/>
  <c r="I113" i="11"/>
  <c r="J113" i="11" s="1"/>
  <c r="F80" i="16"/>
  <c r="F79" i="16"/>
  <c r="F57" i="10"/>
  <c r="F56" i="10"/>
  <c r="E41" i="6"/>
  <c r="F41" i="6" s="1"/>
  <c r="G41" i="6" s="1"/>
  <c r="W25" i="6"/>
  <c r="I50" i="6"/>
  <c r="F61" i="6"/>
  <c r="E40" i="6"/>
  <c r="F40" i="6" s="1"/>
  <c r="G40" i="6" s="1"/>
  <c r="E37" i="6"/>
  <c r="F37" i="6" s="1"/>
  <c r="G37" i="6" s="1"/>
  <c r="I44" i="6"/>
  <c r="E42" i="6"/>
  <c r="F42" i="6" s="1"/>
  <c r="G42" i="6" s="1"/>
  <c r="E39" i="6"/>
  <c r="F39" i="6" s="1"/>
  <c r="G39" i="6" s="1"/>
  <c r="F46" i="6"/>
  <c r="G46" i="6" s="1"/>
  <c r="W25" i="7"/>
  <c r="I44" i="7"/>
  <c r="E39" i="7"/>
  <c r="F39" i="7" s="1"/>
  <c r="G39" i="7" s="1"/>
  <c r="F61" i="7"/>
  <c r="E40" i="7"/>
  <c r="F40" i="7" s="1"/>
  <c r="G40" i="7" s="1"/>
  <c r="I50" i="7"/>
  <c r="E37" i="7"/>
  <c r="F37" i="7" s="1"/>
  <c r="G37" i="7" s="1"/>
  <c r="E41" i="7"/>
  <c r="F41" i="7" s="1"/>
  <c r="G41" i="7" s="1"/>
  <c r="F46" i="7"/>
  <c r="G46" i="7" s="1"/>
  <c r="F59" i="10" l="1"/>
  <c r="F60" i="10" s="1"/>
  <c r="F83" i="16"/>
  <c r="F84" i="16" s="1"/>
  <c r="F118" i="11"/>
  <c r="F119" i="11"/>
  <c r="F120" i="11" s="1"/>
  <c r="G57" i="11"/>
  <c r="F6" i="37"/>
  <c r="G44" i="6"/>
  <c r="F44" i="7"/>
  <c r="F44" i="6"/>
  <c r="F53" i="6" s="1"/>
  <c r="G44" i="7"/>
  <c r="I57" i="11" l="1"/>
  <c r="J57" i="11" s="1"/>
  <c r="F54" i="6"/>
  <c r="G54" i="6" s="1"/>
  <c r="F53" i="7"/>
  <c r="G53" i="7" s="1"/>
  <c r="F54" i="7"/>
  <c r="G54" i="7" s="1"/>
  <c r="G53" i="6"/>
  <c r="F4" i="37" l="1"/>
  <c r="F5" i="37"/>
  <c r="D49" i="4"/>
  <c r="W24" i="4"/>
  <c r="V24" i="4"/>
  <c r="V27" i="4"/>
  <c r="B49" i="4"/>
  <c r="F11" i="37" l="1"/>
  <c r="F14" i="37" s="1"/>
  <c r="F15" i="37" s="1"/>
  <c r="W25" i="4"/>
  <c r="F13" i="37" l="1"/>
  <c r="F12" i="37"/>
  <c r="E17" i="7"/>
  <c r="E47" i="7" s="1"/>
  <c r="F47" i="7" s="1"/>
  <c r="E17" i="6"/>
  <c r="E47" i="6" s="1"/>
  <c r="F47" i="6" s="1"/>
  <c r="E17" i="4"/>
  <c r="E47" i="4" s="1"/>
  <c r="E19" i="7"/>
  <c r="E49" i="7" s="1"/>
  <c r="F49" i="7" s="1"/>
  <c r="G49" i="7" s="1"/>
  <c r="E19" i="6"/>
  <c r="E49" i="6" s="1"/>
  <c r="F49" i="6" s="1"/>
  <c r="G49" i="6" s="1"/>
  <c r="E19" i="4"/>
  <c r="E49" i="4" s="1"/>
  <c r="F49" i="4" s="1"/>
  <c r="G49" i="4" s="1"/>
  <c r="E16" i="4"/>
  <c r="E48" i="4" s="1"/>
  <c r="E16" i="7"/>
  <c r="E48" i="7" s="1"/>
  <c r="F48" i="7" s="1"/>
  <c r="G48" i="7" s="1"/>
  <c r="E16" i="6"/>
  <c r="E48" i="6" s="1"/>
  <c r="F48" i="6" s="1"/>
  <c r="G48" i="6" s="1"/>
  <c r="I70" i="4"/>
  <c r="I71" i="4" s="1"/>
  <c r="I62" i="4"/>
  <c r="F60" i="4"/>
  <c r="F61" i="4" s="1"/>
  <c r="I48" i="4"/>
  <c r="H48" i="4"/>
  <c r="I47" i="4"/>
  <c r="H47" i="4"/>
  <c r="D47" i="4"/>
  <c r="I46" i="4"/>
  <c r="H46" i="4"/>
  <c r="D46" i="4"/>
  <c r="I43" i="4"/>
  <c r="I42" i="4"/>
  <c r="I41" i="4"/>
  <c r="D41" i="4"/>
  <c r="I40" i="4"/>
  <c r="D40" i="4"/>
  <c r="I39" i="4"/>
  <c r="I38" i="4"/>
  <c r="E38" i="4"/>
  <c r="F38" i="4" s="1"/>
  <c r="G38" i="4" s="1"/>
  <c r="I37" i="4"/>
  <c r="I31" i="4"/>
  <c r="J28" i="4"/>
  <c r="I28" i="4"/>
  <c r="E42" i="4"/>
  <c r="F42" i="4" s="1"/>
  <c r="G42" i="4" s="1"/>
  <c r="E23" i="4"/>
  <c r="E22" i="4"/>
  <c r="E21" i="4"/>
  <c r="E20" i="4"/>
  <c r="E15" i="4"/>
  <c r="E14" i="4"/>
  <c r="B12" i="4"/>
  <c r="B10" i="4"/>
  <c r="F16" i="37" l="1"/>
  <c r="G47" i="6"/>
  <c r="G50" i="6" s="1"/>
  <c r="F50" i="6"/>
  <c r="E10" i="4"/>
  <c r="E46" i="4" s="1"/>
  <c r="F46" i="4" s="1"/>
  <c r="G46" i="4" s="1"/>
  <c r="G47" i="7"/>
  <c r="G50" i="7" s="1"/>
  <c r="F50" i="7"/>
  <c r="E37" i="4"/>
  <c r="F37" i="4" s="1"/>
  <c r="I50" i="4"/>
  <c r="I44" i="4"/>
  <c r="F47" i="4"/>
  <c r="G47" i="4" s="1"/>
  <c r="F48" i="4"/>
  <c r="G48" i="4" s="1"/>
  <c r="E40" i="4"/>
  <c r="F40" i="4" s="1"/>
  <c r="G40" i="4" s="1"/>
  <c r="G60" i="4"/>
  <c r="G61" i="4" s="1"/>
  <c r="E41" i="4"/>
  <c r="F41" i="4" s="1"/>
  <c r="G41" i="4" s="1"/>
  <c r="E39" i="4"/>
  <c r="F39" i="4" s="1"/>
  <c r="G39" i="4" s="1"/>
  <c r="F55" i="6" l="1"/>
  <c r="F51" i="6"/>
  <c r="G51" i="6" s="1"/>
  <c r="F55" i="7"/>
  <c r="F51" i="7"/>
  <c r="G51" i="7" s="1"/>
  <c r="F50" i="4"/>
  <c r="F55" i="4" s="1"/>
  <c r="G55" i="4" s="1"/>
  <c r="G50" i="4"/>
  <c r="G37" i="4"/>
  <c r="G44" i="4" s="1"/>
  <c r="F44" i="4"/>
  <c r="G55" i="6" l="1"/>
  <c r="G56" i="6" s="1"/>
  <c r="G57" i="6" s="1"/>
  <c r="G62" i="6" s="1"/>
  <c r="F56" i="6"/>
  <c r="F57" i="6" s="1"/>
  <c r="F62" i="6" s="1"/>
  <c r="G55" i="7"/>
  <c r="G56" i="7" s="1"/>
  <c r="G57" i="7" s="1"/>
  <c r="G62" i="7" s="1"/>
  <c r="F56" i="7"/>
  <c r="F57" i="7" s="1"/>
  <c r="F62" i="7" s="1"/>
  <c r="F51" i="4"/>
  <c r="F54" i="4"/>
  <c r="G54" i="4" s="1"/>
  <c r="F53" i="4"/>
  <c r="F63" i="7" l="1"/>
  <c r="G63" i="7" s="1"/>
  <c r="F65" i="7"/>
  <c r="F64" i="7"/>
  <c r="G64" i="7" s="1"/>
  <c r="F63" i="6"/>
  <c r="G63" i="6" s="1"/>
  <c r="F64" i="6"/>
  <c r="G64" i="6" s="1"/>
  <c r="F65" i="6"/>
  <c r="F56" i="4"/>
  <c r="F57" i="4" s="1"/>
  <c r="F62" i="4" s="1"/>
  <c r="G53" i="4"/>
  <c r="G56" i="4" s="1"/>
  <c r="G51" i="4"/>
  <c r="F66" i="6" l="1"/>
  <c r="G65" i="6"/>
  <c r="F66" i="7"/>
  <c r="G65" i="7"/>
  <c r="G57" i="4"/>
  <c r="G62" i="4" s="1"/>
  <c r="F64" i="4"/>
  <c r="G64" i="4" s="1"/>
  <c r="F63" i="4"/>
  <c r="G63" i="4" s="1"/>
  <c r="F65" i="4"/>
  <c r="G66" i="7" l="1"/>
  <c r="F67" i="7"/>
  <c r="G66" i="6"/>
  <c r="F67" i="6"/>
  <c r="F66" i="4"/>
  <c r="G66" i="4" s="1"/>
  <c r="G65" i="4"/>
  <c r="G67" i="7" l="1"/>
  <c r="T66" i="7"/>
  <c r="J62" i="6"/>
  <c r="H67" i="6"/>
  <c r="J64" i="6"/>
  <c r="J65" i="6"/>
  <c r="J63" i="6"/>
  <c r="G67" i="6"/>
  <c r="T66" i="6"/>
  <c r="J65" i="7"/>
  <c r="H67" i="7"/>
  <c r="J62" i="7"/>
  <c r="J64" i="7"/>
  <c r="J63" i="7"/>
  <c r="F67" i="4"/>
  <c r="J62" i="4" s="1"/>
  <c r="G67" i="4"/>
  <c r="T66" i="4"/>
  <c r="G68" i="7" l="1"/>
  <c r="G69" i="7" s="1"/>
  <c r="H67" i="4"/>
  <c r="J65" i="4"/>
  <c r="J63" i="4"/>
  <c r="J64" i="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E30" authorId="0" shapeId="0" xr:uid="{00000000-0006-0000-0200-000001000000}">
      <text>
        <r>
          <rPr>
            <sz val="8"/>
            <color indexed="81"/>
            <rFont val="Tahoma"/>
            <family val="2"/>
          </rPr>
          <t>Escriba el número de hectáreas totales a aislar (es la suma de las metas totales de todos los sistemas que contemplan aislamiento excepto "conservación de bosque natural" y "cercas vivas").</t>
        </r>
        <r>
          <rPr>
            <sz val="8"/>
            <color indexed="81"/>
            <rFont val="Tahoma"/>
            <family val="2"/>
          </rPr>
          <t xml:space="preserve">
</t>
        </r>
      </text>
    </comment>
    <comment ref="B39" authorId="0" shapeId="0" xr:uid="{00000000-0006-0000-0200-000002000000}">
      <text>
        <r>
          <rPr>
            <b/>
            <sz val="9"/>
            <color indexed="81"/>
            <rFont val="Tahoma"/>
            <family val="2"/>
          </rPr>
          <t>Autor:</t>
        </r>
        <r>
          <rPr>
            <sz val="9"/>
            <color indexed="81"/>
            <rFont val="Tahoma"/>
            <family val="2"/>
          </rPr>
          <t xml:space="preserve">
Predio localizados en promedio a 5-7 Km de la via tercieria mas proxima. Se contempla apoyar a la comunidad en el 70% aproximadamente del Vr Total del Transporte Menor de Insumos.
Vr. Total Transporte Menor / Km = $868000</t>
        </r>
      </text>
    </comment>
  </commentList>
</comments>
</file>

<file path=xl/sharedStrings.xml><?xml version="1.0" encoding="utf-8"?>
<sst xmlns="http://schemas.openxmlformats.org/spreadsheetml/2006/main" count="1256" uniqueCount="468">
  <si>
    <t>COTIZACIONES HERRAMIENTAS E INSUMOS</t>
  </si>
  <si>
    <t>ELEMENTO</t>
  </si>
  <si>
    <t>Descripcion</t>
  </si>
  <si>
    <t>Unidad</t>
  </si>
  <si>
    <t>INSUMOS AGRICOLAS</t>
  </si>
  <si>
    <t>Lombriabono</t>
  </si>
  <si>
    <t>Humus</t>
  </si>
  <si>
    <t>Bulto</t>
  </si>
  <si>
    <t>Abonaza (Gr./Arb.)</t>
  </si>
  <si>
    <t>Gallinaza - Compost</t>
  </si>
  <si>
    <t>Kilo</t>
  </si>
  <si>
    <t>Pintura (Color Amarillo)</t>
  </si>
  <si>
    <t>Aceite</t>
  </si>
  <si>
    <t>Galon</t>
  </si>
  <si>
    <t>Disolvente</t>
  </si>
  <si>
    <t>Tiner</t>
  </si>
  <si>
    <t>HERRAMIENTAS AGRICOLAS</t>
  </si>
  <si>
    <t>Lima</t>
  </si>
  <si>
    <t>Triangular 6"</t>
  </si>
  <si>
    <t>Machete</t>
  </si>
  <si>
    <t>Tres Canales 20"</t>
  </si>
  <si>
    <t>Azadon</t>
  </si>
  <si>
    <t>Pachuno con Cabo</t>
  </si>
  <si>
    <t>Paladraga</t>
  </si>
  <si>
    <t>Con Mango</t>
  </si>
  <si>
    <t>Palin</t>
  </si>
  <si>
    <t>Ahoyador con Cabo</t>
  </si>
  <si>
    <t>Alambre</t>
  </si>
  <si>
    <t xml:space="preserve">Pua 12.5 x 350 Mts. </t>
  </si>
  <si>
    <t>Rollo</t>
  </si>
  <si>
    <t>Grapa</t>
  </si>
  <si>
    <t>Galvanizada 1 1/4"</t>
  </si>
  <si>
    <t>Barra Acero</t>
  </si>
  <si>
    <t>Martillo</t>
  </si>
  <si>
    <t>Acero 27"</t>
  </si>
  <si>
    <t xml:space="preserve">Alicate </t>
  </si>
  <si>
    <t xml:space="preserve">Tipo Diablo </t>
  </si>
  <si>
    <t xml:space="preserve">Brocha </t>
  </si>
  <si>
    <t>Punta Verde 3"</t>
  </si>
  <si>
    <t>Fumigadora</t>
  </si>
  <si>
    <t>Bomba espalda 20 Lts</t>
  </si>
  <si>
    <t>ELEMENTOS DE PROTECCION PERSONAL</t>
  </si>
  <si>
    <t>Bota</t>
  </si>
  <si>
    <t>Caucho Caña Alta</t>
  </si>
  <si>
    <t>Par</t>
  </si>
  <si>
    <t>Guantes</t>
  </si>
  <si>
    <t>Carnaza</t>
  </si>
  <si>
    <t>nitrilo</t>
  </si>
  <si>
    <t>par</t>
  </si>
  <si>
    <t>Tapabocas</t>
  </si>
  <si>
    <t>Gafas</t>
  </si>
  <si>
    <t>Seguridad</t>
  </si>
  <si>
    <t>Sombrero</t>
  </si>
  <si>
    <t>Tipo Pava</t>
  </si>
  <si>
    <t>Camiseta</t>
  </si>
  <si>
    <t>POSTERIA GENERAL</t>
  </si>
  <si>
    <t>Poste (Cualquier color)</t>
  </si>
  <si>
    <t xml:space="preserve">Poste </t>
  </si>
  <si>
    <t>MATERIAL VEGETAL</t>
  </si>
  <si>
    <t>UNNIDAD</t>
  </si>
  <si>
    <t>Plantula Forestal</t>
  </si>
  <si>
    <t>Arboles</t>
  </si>
  <si>
    <t>VALLAS GENERAL</t>
  </si>
  <si>
    <t>Valla 1x2</t>
  </si>
  <si>
    <t>Bulto
50 Kg</t>
  </si>
  <si>
    <t>Fertilizante quimico compuesto N-P-K: Nitrógeno Total 15% (con mayor contenido de Nitrógeno Amoniacal)
Fósforo asimilable como (P2O5) ………… 15%
Potasio Soluble en Agua (K2O) 15%
Apariencia sólida granulado de color beige. Inoloro o débil olor. Ph (solución 5%) 5,5-6,0. 
Con REGISTRO ICA.</t>
  </si>
  <si>
    <t>Lombroabono: polvo granular color café oscuro con olor caracteristico a tierra húmeda, obtenido por medio de la transformacion de la materia orgánica con lombriz roja californiana. Con Registro ICA y etiquetado cada bulto indicando las caracteristicas fisicoquimicas y biologicas del lombriabono.</t>
  </si>
  <si>
    <t>Libra 
500 gr</t>
  </si>
  <si>
    <t>Cebo toxico control hormiga cortadora de hoja (Ingrediente Activo: Abamectina: Avermectina B1a, mezcla de avermectinas)</t>
  </si>
  <si>
    <t>COSTOS  MANTENIMIENTO CORTOLIMA</t>
  </si>
  <si>
    <t xml:space="preserve">SISTEMA A IMPLEMENTAR: </t>
  </si>
  <si>
    <t>REFORESTACION PROTECTORA CON ESPECIES NATIVAS</t>
  </si>
  <si>
    <t xml:space="preserve">CORPORACIÓN / AAU: </t>
  </si>
  <si>
    <t>CORTOLIMA</t>
  </si>
  <si>
    <t>NOMBRE DEL PROYECTO :</t>
  </si>
  <si>
    <t>RESTAURACIÓN ECOLÓGICA EN LAS ZONAS PROTECTORAS DE FUENTES HÍDRICAS Y ESTRATÉGICAS DEL DEPARTAMENTO DEL TOLIMA</t>
  </si>
  <si>
    <t>DISEÑO DE LA PLANTACIÓN</t>
  </si>
  <si>
    <t>ALEATORIO</t>
  </si>
  <si>
    <t>Costo Unitario ($)</t>
  </si>
  <si>
    <t>1. Número de Plántulas Arbustivas por Ha</t>
  </si>
  <si>
    <t>4. Insumos Agricolas.</t>
  </si>
  <si>
    <t>Cantidad Aplicación</t>
  </si>
  <si>
    <t>Costo $ / kg ó Lt</t>
  </si>
  <si>
    <t>Fertilizante Quimico Compuesto (Gr./Arb.)</t>
  </si>
  <si>
    <t>Agrimins (NPK.Em)</t>
  </si>
  <si>
    <t>Fertilizante Quimico Simple (Gr./Arb.)</t>
  </si>
  <si>
    <t>UREA</t>
  </si>
  <si>
    <t>Lombriabono (Gr./Arb.)</t>
  </si>
  <si>
    <t>Triple 15</t>
  </si>
  <si>
    <t>Insecicida Liquido (Lts/Ha.)</t>
  </si>
  <si>
    <t>Clorpirifos</t>
  </si>
  <si>
    <t>Insecticida líquido (Lts/Ha.)</t>
  </si>
  <si>
    <t>Ragen</t>
  </si>
  <si>
    <t>Insecicida Granular (Kg./Ha.)</t>
  </si>
  <si>
    <t>Attakill</t>
  </si>
  <si>
    <t>Correctivo (Bulto./Ha.)</t>
  </si>
  <si>
    <t>Caldolomita</t>
  </si>
  <si>
    <t>Correctivo (Gr./Arb.)</t>
  </si>
  <si>
    <t>Hidroretenedor</t>
  </si>
  <si>
    <t>5. Costo Jornal Promedio Region (seguridad social, aportes parafiscales, prestaciones sociales)</t>
  </si>
  <si>
    <t>Jornal</t>
  </si>
  <si>
    <t>Global</t>
  </si>
  <si>
    <t>6. Herramientas (5% de la MAO)</t>
  </si>
  <si>
    <t>7. Elementos de Proteccion Personal (5% de la MO)</t>
  </si>
  <si>
    <t xml:space="preserve">8. Costo Flete Promedio Mula (Trans Interno) </t>
  </si>
  <si>
    <t>Flete</t>
  </si>
  <si>
    <t>8. Transporte Mayor Insumos (% de Insumos)</t>
  </si>
  <si>
    <t>COSTOS DE MANTENIMIENTO VIGENCIA 2022</t>
  </si>
  <si>
    <t>MANTENIMIENTO METAS TOTALES/Has</t>
  </si>
  <si>
    <t>Costos Proyectados a 2016</t>
  </si>
  <si>
    <t>Duración meses</t>
  </si>
  <si>
    <t>CATEGORIA DE INVERSIÓN</t>
  </si>
  <si>
    <t>Cantidad / Ha</t>
  </si>
  <si>
    <t>Valor  Unitario                          ($)</t>
  </si>
  <si>
    <t>Valor Total/Ha                               ($)</t>
  </si>
  <si>
    <t>Valor Total Proyecto                               ($)</t>
  </si>
  <si>
    <t>1. COSTOS DIRECTOS</t>
  </si>
  <si>
    <t>1.1. MANO DE OBRA</t>
  </si>
  <si>
    <t>RENDIMIENTO</t>
  </si>
  <si>
    <t>Plateo (2)</t>
  </si>
  <si>
    <t>Plateo</t>
  </si>
  <si>
    <t>Transporte interno de insumos</t>
  </si>
  <si>
    <t>Reposición (Replante)</t>
  </si>
  <si>
    <t>Aplicación de Correctivos</t>
  </si>
  <si>
    <t>Aplicación  de Fertilizantes (2)</t>
  </si>
  <si>
    <t xml:space="preserve">Control fitosanitario </t>
  </si>
  <si>
    <t>una vez por ha con el cebo</t>
  </si>
  <si>
    <t>Limpias (2)</t>
  </si>
  <si>
    <t>Mts Cuadrados</t>
  </si>
  <si>
    <t>Adecuacion de Barreras Cortafuego</t>
  </si>
  <si>
    <t>SUBTOTAL MANO DE OBRA</t>
  </si>
  <si>
    <t xml:space="preserve"> 1.2. INSUMOS </t>
  </si>
  <si>
    <t>Plántulas 20% repos.</t>
  </si>
  <si>
    <t>Plantulas</t>
  </si>
  <si>
    <t>ESTABAN TOMANDO MAL EL PORCENTAJE</t>
  </si>
  <si>
    <t>Kg.</t>
  </si>
  <si>
    <t>HAY GRAN DIFERENCIA EN LA APLICABILIDAD</t>
  </si>
  <si>
    <t>DIFERENCIA EN LA APLICABILIDAD ESTA MAL AMARRADA LA FORMULA EL MANTENIMIENTO SE LE HACE A TODAS LAS 1221 PLANTULAS</t>
  </si>
  <si>
    <t xml:space="preserve">Litro </t>
  </si>
  <si>
    <t>SUBTOTAL INSUMOS</t>
  </si>
  <si>
    <t>TOTAL COSTOS DIRECTOS ( MAO+INSUMOS)</t>
  </si>
  <si>
    <t>2. COSTOS INDIRECTOS</t>
  </si>
  <si>
    <t>Herramientas  (5% MANO DE OBRA NO CALIFICADA)</t>
  </si>
  <si>
    <t>Elementos de Proteccion Personal (5% MANO DE OBRA NO CALIFICADA)</t>
  </si>
  <si>
    <t>TOTAL  COSTOS INDIRECTOS</t>
  </si>
  <si>
    <t>SUBTOTAL COSTO DIRECTOS + COSTOS INDIRECTOS</t>
  </si>
  <si>
    <t>Unidades</t>
  </si>
  <si>
    <t>Tiempo</t>
  </si>
  <si>
    <t>Duración</t>
  </si>
  <si>
    <t>Unitario</t>
  </si>
  <si>
    <t>Total Asistencia</t>
  </si>
  <si>
    <t>ASISTENCIA TECNICA</t>
  </si>
  <si>
    <t>Ingeniero Forestal</t>
  </si>
  <si>
    <t>Meses</t>
  </si>
  <si>
    <t>SUBTOTAL</t>
  </si>
  <si>
    <t>TOTAL COSTOS (COSTOS DIRECTOS+COSTOS INDIRECTOS+ASISTENCIA TECNICA)</t>
  </si>
  <si>
    <t>ADMINISTRACION</t>
  </si>
  <si>
    <t>IMPREVISTOS</t>
  </si>
  <si>
    <t>UTILIDAD</t>
  </si>
  <si>
    <t>IVA/UTILIDAD</t>
  </si>
  <si>
    <t>TOTAL COSTO MANTENIMIENTO RP</t>
  </si>
  <si>
    <t>RENDIMIENTO POR HECTAREA</t>
  </si>
  <si>
    <t>DESCRIPCION ACTIVIDAD</t>
  </si>
  <si>
    <t>UNIDAD</t>
  </si>
  <si>
    <t>CANTIDAD</t>
  </si>
  <si>
    <t xml:space="preserve">Aplicación  de Fertilizantes </t>
  </si>
  <si>
    <t>Limpias</t>
  </si>
  <si>
    <t>36 jornaleles</t>
  </si>
  <si>
    <t xml:space="preserve">Estructurador Jorge Serafin Sechague Cortes </t>
  </si>
  <si>
    <t>C.C. 1010203872</t>
  </si>
  <si>
    <t xml:space="preserve">Estructurador Robinson Ochoa Moreno </t>
  </si>
  <si>
    <t>C.C. 1110513862</t>
  </si>
  <si>
    <t>15 15 15</t>
  </si>
  <si>
    <t>cebo</t>
  </si>
  <si>
    <t>Cebo Toxico</t>
  </si>
  <si>
    <t>Insecicida  (Lb/Ha.)</t>
  </si>
  <si>
    <t>Transp. Insumos (10% insumos)</t>
  </si>
  <si>
    <t>COSTO MANO DE OBRA</t>
  </si>
  <si>
    <t>&gt; 10 SMMLV</t>
  </si>
  <si>
    <t>SMLVM</t>
  </si>
  <si>
    <t>Aux. trasnporte</t>
  </si>
  <si>
    <t>DEVENGADO MENSUAL</t>
  </si>
  <si>
    <t>Salud 8.5%</t>
  </si>
  <si>
    <t>PENSION 12%</t>
  </si>
  <si>
    <t>ARL 2.436%</t>
  </si>
  <si>
    <t>Parafiscales 9%</t>
  </si>
  <si>
    <t>PRESTACIONES SOCIALES</t>
  </si>
  <si>
    <t>Primas 8.33%</t>
  </si>
  <si>
    <t>Cesantías 8.33%</t>
  </si>
  <si>
    <t>Intes/cesantías 12%</t>
  </si>
  <si>
    <t>Vacaciones 4.17%</t>
  </si>
  <si>
    <t>TOTAL PRESTACIONES</t>
  </si>
  <si>
    <t>TOTAL COSTO POR MES</t>
  </si>
  <si>
    <t>JORNALES TRABAJADOR MES</t>
  </si>
  <si>
    <t>VR. JORNAL INCLUIDA CARGA PREST.</t>
  </si>
  <si>
    <t>Agrimins (NPK. Em)</t>
  </si>
  <si>
    <t>Correctivo</t>
  </si>
  <si>
    <t>Fertilizante Quimico Compuesto (Tripe 15)</t>
  </si>
  <si>
    <t>Fertilizante Quimico Compuesto (Triple 18)</t>
  </si>
  <si>
    <t>Fertilizante quimico compuesto N-P-K: Nitrógeno Total 18,4% (con mayor contenido de Nitrógeno organico)
Fósforo asimilable como (P2O5) ………… 18%
Potasio Soluble en Agua (K2O) 18%
Totalmente soluble en agua, 100 % asimilable diseñado para preparar soluciones nutritivas para uso foliar y radicular en todo tipo de cultivos.
Con REGISTRO ICA.</t>
  </si>
  <si>
    <t xml:space="preserve">Fertilizante Quimico Compuesto </t>
  </si>
  <si>
    <t xml:space="preserve">Fertilizante </t>
  </si>
  <si>
    <t>Fosfato Diamonico DAP</t>
  </si>
  <si>
    <t>Urea</t>
  </si>
  <si>
    <t>GRAMINICIDA Lt</t>
  </si>
  <si>
    <t>CAMPERO</t>
  </si>
  <si>
    <t>Herbicida graminicida (Galón/Ha)</t>
  </si>
  <si>
    <t>SOCIO</t>
  </si>
  <si>
    <t>Cal dolomita</t>
  </si>
  <si>
    <t>Plantula Frutal Limon</t>
  </si>
  <si>
    <t>Insecticida Liquido</t>
  </si>
  <si>
    <t>Postes Plásticos fabricados con Polietileno de Alta Densidad (HDPE), de 8x8 X 210 cm. (macizos, no huecos), punta piramidal</t>
  </si>
  <si>
    <t>Fertilizante Quimico Simple</t>
  </si>
  <si>
    <t>Abono orgánico compostado -Lombriabono</t>
  </si>
  <si>
    <t>Hidroretenedor (Debe ser con copolimero de acrilamida y crilato de potasio.</t>
  </si>
  <si>
    <t>Desechable, De tres pliegues, Con cordón elástico, Empaque individual</t>
  </si>
  <si>
    <t>Camibuso tipo polo, manga Larga, 100% algodón, gramaje de 18 con logo institucional bordado.</t>
  </si>
  <si>
    <t>Insecticida granular (hormiga)</t>
  </si>
  <si>
    <t>DESCRIPCION</t>
  </si>
  <si>
    <t>DOTACIONES DEL TOLIMA</t>
  </si>
  <si>
    <t>DISTRIDOTACIONES</t>
  </si>
  <si>
    <t>DORA EXPRESS DEL TOLIMA</t>
  </si>
  <si>
    <t>PROMEDIOS</t>
  </si>
  <si>
    <t xml:space="preserve">Cipermitrina </t>
  </si>
  <si>
    <t>Amulet</t>
  </si>
  <si>
    <t>Bulto
46 Kg</t>
  </si>
  <si>
    <t>CEMPROFOREST</t>
  </si>
  <si>
    <t>COLFRUTALES</t>
  </si>
  <si>
    <t xml:space="preserve">Bolsa de 18 x 46 Calibre 3 de 70 cm de Altura despues de bolsa. </t>
  </si>
  <si>
    <t>Madera 10*10 Escuadra X 2.20 Mts. Inmunizado</t>
  </si>
  <si>
    <t>SEV COLOMBIA</t>
  </si>
  <si>
    <t>CENTRAL PECUARIA</t>
  </si>
  <si>
    <t>FERREFLEJES</t>
  </si>
  <si>
    <t>16 Lbs.</t>
  </si>
  <si>
    <t>ACEROS P&amp;G</t>
  </si>
  <si>
    <t xml:space="preserve">Conformada por dos columnas en madera rolliza de pino patula inmunizado de 5mt de alto con una base de 1mt, cubierta de impermeabilizante y dos travesaños de 4mt de ancho de la misma madera, las cuales llevaran talladas las estrías donde irán ancladas las tablas de las letras , estas tablas con un espesor de 2cm y con un ancho de 16.5 cm, serán en madera dura e inmunizada y a su vez machi-embradas para darle un mejor ajuste entre las mismas, las letras y logos irán tallados (vaciados) a una profundidad de 4 mm  y pintados con esmalte tipo 1, para darle mayor durabilidad, la madera se le aplicara 3 manos de barnex exterior para protegerlo del sol y la lluvia, estos avisos será anclados  a los dos huecos que tendrán un profundidad de 80 cm X 35 cm de ancho X 35 cm de largo, una vez parada la valla se le aplicara concreto de2500 psi, Para aislar la madera de la tierra y darle una mayor firmeza y durabilidad en su anclaje y buenas condiciones de la madera, en la parte inferior del hueco se instalara un piedra plana para evitar el hundimiento de la valla. </t>
  </si>
  <si>
    <t xml:space="preserve">KILO </t>
  </si>
  <si>
    <t>GRAMO</t>
  </si>
  <si>
    <t>Litro</t>
  </si>
  <si>
    <t>1. Numero de plantulas arboreas por Ha (RP)</t>
  </si>
  <si>
    <t>3. Número de Plántulas Arboreas por Ha (EF)</t>
  </si>
  <si>
    <t>6. Insumos Agricolas.</t>
  </si>
  <si>
    <t>7. Costo Jornal Promedio Region (seguridad social, aportes parafiscales, prestaciones sociales)</t>
  </si>
  <si>
    <t xml:space="preserve">10. Costo Flete Promedio Mula (Trans Interno) </t>
  </si>
  <si>
    <t>11. Transporte Mayor Insumos (% de Insumos)</t>
  </si>
  <si>
    <t>hectareas</t>
  </si>
  <si>
    <t>Control fitosanitario (2)</t>
  </si>
  <si>
    <t>TOTAL COSTOS DIRECTOS</t>
  </si>
  <si>
    <t>Cantidad</t>
  </si>
  <si>
    <t>RENDIMIENTO POR HECTAREA PARA DOS MANTENIMIENTOS</t>
  </si>
  <si>
    <t>RP</t>
  </si>
  <si>
    <t>Costos Proyectados a 2024</t>
  </si>
  <si>
    <t>Cipermetryna</t>
  </si>
  <si>
    <t>Insecicida  líquido (Lts/Ha.)</t>
  </si>
  <si>
    <t>Correctivo (Kg./Ha.)</t>
  </si>
  <si>
    <t>Preparación del terreno</t>
  </si>
  <si>
    <t>Ahoyado y Repique</t>
  </si>
  <si>
    <t>Aplicación de fertilizantes</t>
  </si>
  <si>
    <t>Siembra</t>
  </si>
  <si>
    <t>Limpia</t>
  </si>
  <si>
    <t>Adecuación de barreras cortafuego</t>
  </si>
  <si>
    <t xml:space="preserve">Trazado </t>
  </si>
  <si>
    <t>Trazado</t>
  </si>
  <si>
    <t>Adecuación de Barreras Cortafuego</t>
  </si>
  <si>
    <t>Mts Lineales</t>
  </si>
  <si>
    <t>Cal Dolomita</t>
  </si>
  <si>
    <t>4. Porcentaje de reposición %</t>
  </si>
  <si>
    <t>CATEGORIA DE INVERSION</t>
  </si>
  <si>
    <t>1, COSTOS DIRECTOS</t>
  </si>
  <si>
    <t xml:space="preserve">Estructurador </t>
  </si>
  <si>
    <t xml:space="preserve">C.C. </t>
  </si>
  <si>
    <t>Reposición (Replante) (2)</t>
  </si>
  <si>
    <t>Elementos menores (8-5-6)</t>
  </si>
  <si>
    <t>COSTOS AISLAMIENTO</t>
  </si>
  <si>
    <t>META RESTAURACIÓN PASIVA (Has)</t>
  </si>
  <si>
    <t>Metros/Has</t>
  </si>
  <si>
    <t>DISEÑO DE AISLAMIENTO</t>
  </si>
  <si>
    <t>Costo Unitario $</t>
  </si>
  <si>
    <t>META AISLAMIENTO</t>
  </si>
  <si>
    <t>KM</t>
  </si>
  <si>
    <t>ITEM</t>
  </si>
  <si>
    <t>COSTOS / KM  (1000 ML)</t>
  </si>
  <si>
    <t>COSTO TOTAL AISLAMIENTO</t>
  </si>
  <si>
    <t>Valor Unitario                $</t>
  </si>
  <si>
    <t>Valor total/Km</t>
  </si>
  <si>
    <t>1.COSTOS DIRECTOS</t>
  </si>
  <si>
    <t>1.1  Mano de obra</t>
  </si>
  <si>
    <t>ML</t>
  </si>
  <si>
    <t>Ahoyado</t>
  </si>
  <si>
    <t>Transporte menor</t>
  </si>
  <si>
    <t>Hincado</t>
  </si>
  <si>
    <t>Templado y grapado</t>
  </si>
  <si>
    <t>Pintado y Señalizado</t>
  </si>
  <si>
    <t>Subtotal mano de obra</t>
  </si>
  <si>
    <t>1.2 Insumos</t>
  </si>
  <si>
    <t>Alambre de pua (Rollo)</t>
  </si>
  <si>
    <t>Poste</t>
  </si>
  <si>
    <t>Grapa (Kgr.)</t>
  </si>
  <si>
    <t>Kg</t>
  </si>
  <si>
    <t>Pintura Aceite (Gal)</t>
  </si>
  <si>
    <t>Thinner</t>
  </si>
  <si>
    <t>Subtotal Insumos</t>
  </si>
  <si>
    <t>TOTAL COSTOS INDIRECTOS</t>
  </si>
  <si>
    <t>Distancia entre hilos (cm)</t>
  </si>
  <si>
    <t>25 cm</t>
  </si>
  <si>
    <t>Distancia entre postes (m)</t>
  </si>
  <si>
    <t>Dimensión del hoyo cms. (prof. x  lados)</t>
  </si>
  <si>
    <t>50x40x40</t>
  </si>
  <si>
    <t>Distancia entre pie de amigos (m)</t>
  </si>
  <si>
    <t>Número de grapas por Poste</t>
  </si>
  <si>
    <t>Calibre alambre de púa</t>
  </si>
  <si>
    <t>Ahoyado y repique</t>
  </si>
  <si>
    <t>Pintado</t>
  </si>
  <si>
    <t>TOTAL</t>
  </si>
  <si>
    <t xml:space="preserve">Postes plasticos </t>
  </si>
  <si>
    <t>Postes de madera</t>
  </si>
  <si>
    <t>ACTIVIDAD</t>
  </si>
  <si>
    <t>Elementos menores (NPK. Em)</t>
  </si>
  <si>
    <t>ESPECIFICACIONES TECNICAS</t>
  </si>
  <si>
    <t>Calibre alambre dulce</t>
  </si>
  <si>
    <t>Metros de alambre dulce x kilo</t>
  </si>
  <si>
    <t xml:space="preserve"> Hilos alambre pua</t>
  </si>
  <si>
    <t xml:space="preserve">Hilos de alambre dulce </t>
  </si>
  <si>
    <t># Postes Piedeamigo/KM</t>
  </si>
  <si>
    <t>Grapas/km en kg. (180 Grapas/Kg)</t>
  </si>
  <si>
    <t>Galon Pintura (Galon) (Señalizacion) / Km</t>
  </si>
  <si>
    <t>Disolvente THINER (Galon) (Señalizacion) / Km</t>
  </si>
  <si>
    <t>Costo Flete zona promedio</t>
  </si>
  <si>
    <t xml:space="preserve">Costo por Jornal  </t>
  </si>
  <si>
    <t xml:space="preserve">Costo Transp. mayor (% de insumos) </t>
  </si>
  <si>
    <t>Herramientas  (%M.O.)</t>
  </si>
  <si>
    <t>Elementos de Proteccion Personal  (%M.O.)</t>
  </si>
  <si>
    <t xml:space="preserve">Dimensión del poste </t>
  </si>
  <si>
    <t>(8x8x210cm)</t>
  </si>
  <si>
    <t xml:space="preserve"> (10x10x220 cm)</t>
  </si>
  <si>
    <t>Peso poste plastico Aprox. (Kg)</t>
  </si>
  <si>
    <t>Peso poste madera Aprox. (Kg)</t>
  </si>
  <si>
    <t>Dimension poste madera (Inmunizado)</t>
  </si>
  <si>
    <t>Metros de alambre de pua/rolllo</t>
  </si>
  <si>
    <t xml:space="preserve"># Postes plasticos/KM </t>
  </si>
  <si>
    <t>Peso rollo alambre de pua (Kg)</t>
  </si>
  <si>
    <t>Postes plasticos</t>
  </si>
  <si>
    <t>Capacidad de Carga Transporte Mular.(Und.) KG</t>
  </si>
  <si>
    <t>Total Fletes</t>
  </si>
  <si>
    <t>Postes madera</t>
  </si>
  <si>
    <t>PESO (Kg)</t>
  </si>
  <si>
    <t>Peso grapas (Kg)</t>
  </si>
  <si>
    <t xml:space="preserve">Pintura/Galon </t>
  </si>
  <si>
    <t>Thinner/Galon</t>
  </si>
  <si>
    <t>CALCULO No DE FLETES</t>
  </si>
  <si>
    <t>DESCRIPCIÓN</t>
  </si>
  <si>
    <t>Capacidad/Mular</t>
  </si>
  <si>
    <t>Rollos de alambre de pua</t>
  </si>
  <si>
    <t>Kilos de alambre dulce</t>
  </si>
  <si>
    <t>Alambre dulce</t>
  </si>
  <si>
    <t xml:space="preserve">Alambre dulce </t>
  </si>
  <si>
    <t>Pivotes</t>
  </si>
  <si>
    <t>Galvanizado 12.5 x 25 Kilos</t>
  </si>
  <si>
    <t>Aislador Pivote Amarillo x 100 unidades (con puntilla)</t>
  </si>
  <si>
    <t xml:space="preserve">Alambre galvanizado Kg/Km </t>
  </si>
  <si>
    <t>Alambre de pua/Rollos alambre/KM</t>
  </si>
  <si>
    <t>Bolsa</t>
  </si>
  <si>
    <t>Aislador pivote x100 unidades(Bolsa) (con puntilla)</t>
  </si>
  <si>
    <t>Numero de pivotes por poste</t>
  </si>
  <si>
    <t>Aislador pivote (bolsa 100 Unid)</t>
  </si>
  <si>
    <t>Elementos menores</t>
  </si>
  <si>
    <t>Calo dolomita</t>
  </si>
  <si>
    <t>Capacidad de carga Transporte mular (en bultos)</t>
  </si>
  <si>
    <t>No de Bultos</t>
  </si>
  <si>
    <t>1 bulto = 50 kg</t>
  </si>
  <si>
    <t>Capacidad de carga Transporte mular (No. Plantulas)</t>
  </si>
  <si>
    <t xml:space="preserve">TOTAL </t>
  </si>
  <si>
    <t>Adecuación de caminos</t>
  </si>
  <si>
    <t>TOTAL FLETES BULTOS+ PLANTULAS</t>
  </si>
  <si>
    <t>A. MANTENIMIENTO REFORESTACIÓN PROTECTORA</t>
  </si>
  <si>
    <t>TOTAL COSTOS MANTENIMIENTO RP</t>
  </si>
  <si>
    <t>B. MANTENIMIENTO ENRIQUECIMIENTO FORESTAL</t>
  </si>
  <si>
    <t>Hectareas</t>
  </si>
  <si>
    <t>Agrimins</t>
  </si>
  <si>
    <t>TOTAL COSTOS ENRIQUECIMIENTO FORESTAL</t>
  </si>
  <si>
    <t>Herramientas  (3% MANO DE OBRA NO CALIFICADA)</t>
  </si>
  <si>
    <t>Elementos de Proteccion Personal (3% MANO DE OBRA NO CALIFICADA)</t>
  </si>
  <si>
    <t>Aplicación de correctivos</t>
  </si>
  <si>
    <t>Aplicación de fertilizantes (2)</t>
  </si>
  <si>
    <t>Fletes</t>
  </si>
  <si>
    <t>Ms Lineales</t>
  </si>
  <si>
    <t>Adecuacion de barreras cortafuego (2)</t>
  </si>
  <si>
    <t>EF</t>
  </si>
  <si>
    <t>Fertiizante quimico compuesto (15-5-15)</t>
  </si>
  <si>
    <t>Insecticida liquido (Amulet)</t>
  </si>
  <si>
    <t>Insecticida líquido (Cipermetryna)</t>
  </si>
  <si>
    <t>Fertilizante Quimico compuesto (15-15-15)</t>
  </si>
  <si>
    <t>Insecticida líquido (Amulet)</t>
  </si>
  <si>
    <t>Transp. Insumos (15% insumos) MANTENIMIENTO RP</t>
  </si>
  <si>
    <t>Transp. Insumos (15% insumos) MANTENIMIENTO EF</t>
  </si>
  <si>
    <t>Has</t>
  </si>
  <si>
    <t>Transp. Insumos (15% insumos)</t>
  </si>
  <si>
    <t>Aplicación de correctivos (2)</t>
  </si>
  <si>
    <t>Transporte de Insumos (15% Insumos)</t>
  </si>
  <si>
    <t>Total unidad/mula</t>
  </si>
  <si>
    <t xml:space="preserve">ALVARO RODRIGUEZ S. </t>
  </si>
  <si>
    <t>AISLAMIENTO PARA RESTAURACION ACTIVA</t>
  </si>
  <si>
    <t>8. Herramientas (4% de la MAO)</t>
  </si>
  <si>
    <t>9. Elementos de Proteccion Personal (4% de la MO)</t>
  </si>
  <si>
    <t>Mes</t>
  </si>
  <si>
    <t>Valor Total Proyecto ($)</t>
  </si>
  <si>
    <t>Valor Total/Ha   ($)</t>
  </si>
  <si>
    <t>Valor  Unitario ($)</t>
  </si>
  <si>
    <t>Control fitosanitario</t>
  </si>
  <si>
    <t># Postes de reemplazo/ KM (Mantenimiento) (2%)</t>
  </si>
  <si>
    <t xml:space="preserve">No Bultos </t>
  </si>
  <si>
    <t xml:space="preserve">Total Fletes </t>
  </si>
  <si>
    <t xml:space="preserve">1 bulto: </t>
  </si>
  <si>
    <t>*</t>
  </si>
  <si>
    <t>Valor Total/Ha ($)</t>
  </si>
  <si>
    <t>Globlal</t>
  </si>
  <si>
    <t>jornal</t>
  </si>
  <si>
    <t>TOTAL JORNALES</t>
  </si>
  <si>
    <t xml:space="preserve">Reposición (Replante) </t>
  </si>
  <si>
    <t>total</t>
  </si>
  <si>
    <t>Peso Poste de madera Aprox. (Kg)</t>
  </si>
  <si>
    <t>Peso Poste plastico Aprox.  (Kg)</t>
  </si>
  <si>
    <t>Peso rollo alambre dulce (Kg)</t>
  </si>
  <si>
    <t>Herramientas (4% M.O)</t>
  </si>
  <si>
    <t>Elementos de Proteccion Personal (4% M.O)</t>
  </si>
  <si>
    <t>VALOR UNITARIO</t>
  </si>
  <si>
    <t>presupuesto</t>
  </si>
  <si>
    <t>Km</t>
  </si>
  <si>
    <t>Mantenimiento</t>
  </si>
  <si>
    <t>Coordinador del Proyecto (Ingeniero forestal)</t>
  </si>
  <si>
    <t>TOTAL COSTOS</t>
  </si>
  <si>
    <t>TOTAL COSTOS (COSTOS DIRECTOS+COSTOS INDIRECTOS)</t>
  </si>
  <si>
    <t xml:space="preserve">1. Numero plantulas arboreas por Ha (RP) </t>
  </si>
  <si>
    <t xml:space="preserve">Plántulas repos. </t>
  </si>
  <si>
    <t>Tecnico forestal</t>
  </si>
  <si>
    <t xml:space="preserve">Bolsa de 10 x 18 Calibre 2;  de 40 a 60 cm de Altura despues de bolsa. </t>
  </si>
  <si>
    <t>3. Porcentaje de reposición %</t>
  </si>
  <si>
    <t>9. Transporte Mayor Insumos (% de Insumos)</t>
  </si>
  <si>
    <t>Plántulas + 10% reposición</t>
  </si>
  <si>
    <t xml:space="preserve">Aislamiento </t>
  </si>
  <si>
    <t>RENDIMIENTO POR KM</t>
  </si>
  <si>
    <t>COSTOS  ESTABLECIMIENTO CORTOLIMA</t>
  </si>
  <si>
    <t>Fertilizante QuÍmico Compuesto (Gr./Arb.)</t>
  </si>
  <si>
    <t>Insecticida  líquido (Lts/Ha.)</t>
  </si>
  <si>
    <t>Plateo  (2)</t>
  </si>
  <si>
    <t>Adecuación de Barreras Cortafuego (2)</t>
  </si>
  <si>
    <t>Adecuación de caminos (2)</t>
  </si>
  <si>
    <t xml:space="preserve">2. Número de Plántulas Nucleación (50%)por Ha </t>
  </si>
  <si>
    <t xml:space="preserve">2. Número de Plántulas Nucleación (25%)por Ha </t>
  </si>
  <si>
    <t>TOTAL COSTOS SISTEMA TRADICIONAL</t>
  </si>
  <si>
    <t>1.1 MANO DE OBRA</t>
  </si>
  <si>
    <t>A. ESTABLECIMIENTO REFORESTACION PROTECTORA SISTEMA TRADICIONAL</t>
  </si>
  <si>
    <t>B. ESTABLECIMIENTO POR NUCLEACIÓN AL 50%</t>
  </si>
  <si>
    <t>NUCLEACION 50%</t>
  </si>
  <si>
    <t>NUCLEACION 25%</t>
  </si>
  <si>
    <t>TOTAL COSTOS NUCLEACION 50%</t>
  </si>
  <si>
    <t>C. ESTABLECIMIENTO POR NUCLEACION AL 25%</t>
  </si>
  <si>
    <t>TOTAL COSTOS NUCLEACION 25%</t>
  </si>
  <si>
    <t>Platancion tradicional</t>
  </si>
  <si>
    <t>Nucleacion 50%</t>
  </si>
  <si>
    <t>Nucleación 25%</t>
  </si>
  <si>
    <t>TOTAL COSTOS DIRECTOS (MAO+INSUMOS)(SISTEMA TRADICIONAL+NUCLEACION 50%+NUCLEACION 25%)</t>
  </si>
  <si>
    <t xml:space="preserve">Establecimiento </t>
  </si>
  <si>
    <t>ESTABLECIMIENTO DE 44 HAS DE REFORESTACIÓN PROTECTORA EN EL DEPARTAMENTO DEL TOLIMA</t>
  </si>
  <si>
    <t>INSTALACION DE 1785 METROS LINEALES DE AISLAMIENTO EN PREDIOS PUBLICOS DEL DEPARTAMENTO DEL TOLIMA</t>
  </si>
  <si>
    <t>RENDIMIENTO POR HECTAREA PARA ESTABLECIMIENTO Y UN PRIMER MANTENIMIENTO</t>
  </si>
  <si>
    <t>MANTENIMIENTO DE  165,5  HAS DE REFORESTACIÓN PROTECTORA Y 86 HAS DE ENRIQUECIMIENTO FORESTAL  EN EL DEPARTAMENTO DEL TOLIMA</t>
  </si>
  <si>
    <t>PRESUPUESTO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</si>
</sst>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6" formatCode="&quot;$&quot;#,##0;[Red]\-&quot;$&quot;#,##0"/>
    <numFmt numFmtId="42" formatCode="_-&quot;$&quot;* #,##0_-;\-&quot;$&quot;* #,##0_-;_-&quot;$&quot;* &quot;-&quot;_-;_-@_-"/>
    <numFmt numFmtId="41" formatCode="_-* #,##0_-;\-* #,##0_-;_-* &quot;-&quot;_-;_-@_-"/>
    <numFmt numFmtId="44" formatCode="_-&quot;$&quot;* #,##0.00_-;\-&quot;$&quot;* #,##0.00_-;_-&quot;$&quot;* &quot;-&quot;??_-;_-@_-"/>
    <numFmt numFmtId="43" formatCode="_-* #,##0.00_-;\-* #,##0.00_-;_-* &quot;-&quot;??_-;_-@_-"/>
    <numFmt numFmtId="164" formatCode="_-&quot;$&quot;\ * #,##0_-;\-&quot;$&quot;\ * #,##0_-;_-&quot;$&quot;\ * &quot;-&quot;_-;_-@_-"/>
    <numFmt numFmtId="165" formatCode="_-&quot;$&quot;\ * #,##0.00_-;\-&quot;$&quot;\ * #,##0.00_-;_-&quot;$&quot;\ * &quot;-&quot;??_-;_-@_-"/>
    <numFmt numFmtId="166" formatCode="_-&quot;$&quot;* #,##0.00_-;\-&quot;$&quot;* #,##0.00_-;_-&quot;$&quot;* &quot;-&quot;_-;_-@_-"/>
    <numFmt numFmtId="167" formatCode="_(* #,##0.00_);_(* \(#,##0.00\);_(* &quot;-&quot;??_);_(@_)"/>
    <numFmt numFmtId="168" formatCode="0.0%"/>
    <numFmt numFmtId="169" formatCode="#,##0.0"/>
    <numFmt numFmtId="170" formatCode="_-* #,##0.00_-;\-* #,##0.00_-;_-* &quot;-&quot;_-;_-@_-"/>
    <numFmt numFmtId="171" formatCode="_(* #,##0.000_);_(* \(#,##0.000\);_(* &quot;-&quot;??_);_(@_)"/>
    <numFmt numFmtId="172" formatCode="_ * #,##0.00_ ;_ * \-#,##0.00_ ;_ * &quot;-&quot;??_ ;_ @_ "/>
    <numFmt numFmtId="173" formatCode="_(&quot;$&quot;\ * #,##0.00_);_(&quot;$&quot;\ * \(#,##0.00\);_(&quot;$&quot;\ * &quot;-&quot;??_);_(@_)"/>
    <numFmt numFmtId="174" formatCode="[$$-240A]\ #,##0.00"/>
    <numFmt numFmtId="175" formatCode="[$$-240A]\ #,##0"/>
    <numFmt numFmtId="176" formatCode="&quot;$&quot;\ #,##0.00"/>
    <numFmt numFmtId="177" formatCode="0.0"/>
    <numFmt numFmtId="178" formatCode="_-* #,##0.0_-;\-* #,##0.0_-;_-* &quot;-&quot;??_-;_-@_-"/>
    <numFmt numFmtId="179" formatCode="#,##0.000"/>
    <numFmt numFmtId="180" formatCode="&quot;$&quot;#,##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b/>
      <sz val="8"/>
      <color theme="1"/>
      <name val="Arial"/>
      <family val="2"/>
    </font>
    <font>
      <sz val="10"/>
      <name val="Arial"/>
      <family val="2"/>
    </font>
    <font>
      <b/>
      <sz val="8"/>
      <name val="Arial"/>
      <family val="2"/>
    </font>
    <font>
      <sz val="8"/>
      <name val="Arial"/>
      <family val="2"/>
    </font>
    <font>
      <sz val="8"/>
      <color theme="1"/>
      <name val="Arial"/>
      <family val="2"/>
    </font>
    <font>
      <b/>
      <sz val="10"/>
      <name val="Arial"/>
      <family val="2"/>
    </font>
    <font>
      <i/>
      <sz val="8"/>
      <color theme="1"/>
      <name val="Arial"/>
      <family val="2"/>
    </font>
    <font>
      <b/>
      <sz val="9"/>
      <name val="Arial"/>
      <family val="2"/>
    </font>
    <font>
      <sz val="9"/>
      <color theme="1"/>
      <name val="Arial"/>
      <family val="2"/>
    </font>
    <font>
      <b/>
      <sz val="9"/>
      <color theme="1"/>
      <name val="Arial"/>
      <family val="2"/>
    </font>
    <font>
      <sz val="11"/>
      <color indexed="8"/>
      <name val="Calibri"/>
      <family val="2"/>
    </font>
    <font>
      <sz val="10"/>
      <color rgb="FF000000"/>
      <name val="Arial"/>
      <family val="2"/>
    </font>
    <font>
      <b/>
      <i/>
      <sz val="10"/>
      <color theme="1"/>
      <name val="Arial"/>
      <family val="2"/>
    </font>
    <font>
      <b/>
      <sz val="10"/>
      <color indexed="10"/>
      <name val="Arial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name val="Arial"/>
      <family val="2"/>
    </font>
  </fonts>
  <fills count="2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7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8"/>
      </left>
      <right style="medium">
        <color indexed="8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</borders>
  <cellStyleXfs count="24">
    <xf numFmtId="0" fontId="0" fillId="0" borderId="0"/>
    <xf numFmtId="16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167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5" fillId="0" borderId="0"/>
    <xf numFmtId="167" fontId="14" fillId="0" borderId="0" applyFont="0" applyFill="0" applyBorder="0" applyAlignment="0" applyProtection="0"/>
    <xf numFmtId="0" fontId="5" fillId="0" borderId="0" applyFont="0" applyFill="0" applyBorder="0" applyAlignment="0" applyProtection="0"/>
    <xf numFmtId="173" fontId="14" fillId="0" borderId="0" applyFont="0" applyFill="0" applyBorder="0" applyAlignment="0" applyProtection="0"/>
    <xf numFmtId="9" fontId="14" fillId="0" borderId="0" applyFont="0" applyFill="0" applyBorder="0" applyAlignment="0" applyProtection="0"/>
    <xf numFmtId="173" fontId="14" fillId="0" borderId="0" applyFont="0" applyFill="0" applyBorder="0" applyAlignment="0" applyProtection="0"/>
    <xf numFmtId="167" fontId="1" fillId="0" borderId="0" applyFont="0" applyFill="0" applyBorder="0" applyAlignment="0" applyProtection="0"/>
    <xf numFmtId="173" fontId="14" fillId="0" borderId="0" applyFont="0" applyFill="0" applyBorder="0" applyAlignment="0" applyProtection="0"/>
    <xf numFmtId="173" fontId="1" fillId="0" borderId="0" applyFont="0" applyFill="0" applyBorder="0" applyAlignment="0" applyProtection="0"/>
    <xf numFmtId="0" fontId="5" fillId="0" borderId="0"/>
    <xf numFmtId="9" fontId="5" fillId="0" borderId="0" applyFont="0" applyFill="0" applyBorder="0" applyAlignment="0" applyProtection="0"/>
    <xf numFmtId="172" fontId="5" fillId="0" borderId="0" applyFont="0" applyFill="0" applyBorder="0" applyAlignment="0" applyProtection="0"/>
    <xf numFmtId="0" fontId="5" fillId="0" borderId="0" applyAlignment="0"/>
    <xf numFmtId="173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725">
    <xf numFmtId="0" fontId="0" fillId="0" borderId="0" xfId="0"/>
    <xf numFmtId="0" fontId="2" fillId="3" borderId="1" xfId="0" applyFont="1" applyFill="1" applyBorder="1" applyAlignment="1">
      <alignment horizontal="center"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165" fontId="2" fillId="3" borderId="1" xfId="3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3" fillId="0" borderId="0" xfId="0" applyFont="1"/>
    <xf numFmtId="0" fontId="2" fillId="8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/>
    </xf>
    <xf numFmtId="0" fontId="2" fillId="8" borderId="1" xfId="0" applyFont="1" applyFill="1" applyBorder="1" applyAlignment="1">
      <alignment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vertical="center"/>
    </xf>
    <xf numFmtId="0" fontId="6" fillId="10" borderId="13" xfId="5" applyFont="1" applyFill="1" applyBorder="1" applyAlignment="1">
      <alignment vertical="center" wrapText="1"/>
    </xf>
    <xf numFmtId="0" fontId="6" fillId="10" borderId="14" xfId="5" applyFont="1" applyFill="1" applyBorder="1" applyAlignment="1">
      <alignment vertical="center" wrapText="1"/>
    </xf>
    <xf numFmtId="3" fontId="7" fillId="0" borderId="1" xfId="5" applyNumberFormat="1" applyFont="1" applyBorder="1" applyAlignment="1" applyProtection="1">
      <alignment horizontal="center" vertical="center" wrapText="1"/>
      <protection locked="0"/>
    </xf>
    <xf numFmtId="44" fontId="7" fillId="0" borderId="14" xfId="5" applyNumberFormat="1" applyFont="1" applyBorder="1" applyAlignment="1" applyProtection="1">
      <alignment horizontal="center" vertical="center" wrapText="1"/>
      <protection locked="0"/>
    </xf>
    <xf numFmtId="0" fontId="8" fillId="0" borderId="15" xfId="0" applyFont="1" applyBorder="1" applyAlignment="1">
      <alignment wrapText="1"/>
    </xf>
    <xf numFmtId="0" fontId="8" fillId="0" borderId="0" xfId="0" applyFont="1" applyAlignment="1">
      <alignment wrapText="1"/>
    </xf>
    <xf numFmtId="9" fontId="7" fillId="0" borderId="1" xfId="6" applyFont="1" applyFill="1" applyBorder="1" applyAlignment="1" applyProtection="1">
      <alignment horizontal="center" vertical="center" wrapText="1"/>
    </xf>
    <xf numFmtId="0" fontId="6" fillId="10" borderId="1" xfId="5" applyFont="1" applyFill="1" applyBorder="1" applyAlignment="1">
      <alignment horizontal="center" vertical="center" wrapText="1"/>
    </xf>
    <xf numFmtId="9" fontId="6" fillId="10" borderId="1" xfId="6" applyFont="1" applyFill="1" applyBorder="1" applyAlignment="1" applyProtection="1">
      <alignment horizontal="center" vertical="center" wrapText="1"/>
    </xf>
    <xf numFmtId="3" fontId="6" fillId="10" borderId="14" xfId="5" applyNumberFormat="1" applyFont="1" applyFill="1" applyBorder="1" applyAlignment="1">
      <alignment horizontal="center" vertical="center" wrapText="1"/>
    </xf>
    <xf numFmtId="0" fontId="7" fillId="0" borderId="1" xfId="5" applyFont="1" applyBorder="1" applyAlignment="1">
      <alignment horizontal="center" vertical="center" wrapText="1"/>
    </xf>
    <xf numFmtId="4" fontId="7" fillId="0" borderId="1" xfId="5" applyNumberFormat="1" applyFont="1" applyBorder="1" applyAlignment="1" applyProtection="1">
      <alignment horizontal="center" vertical="center" wrapText="1"/>
      <protection locked="0"/>
    </xf>
    <xf numFmtId="44" fontId="7" fillId="0" borderId="14" xfId="7" applyNumberFormat="1" applyFont="1" applyBorder="1" applyAlignment="1" applyProtection="1">
      <alignment horizontal="center" vertical="center" wrapText="1"/>
      <protection locked="0"/>
    </xf>
    <xf numFmtId="0" fontId="6" fillId="0" borderId="13" xfId="5" applyFont="1" applyBorder="1" applyAlignment="1">
      <alignment vertical="center" wrapText="1"/>
    </xf>
    <xf numFmtId="44" fontId="7" fillId="0" borderId="14" xfId="7" applyNumberFormat="1" applyFont="1" applyFill="1" applyBorder="1" applyAlignment="1" applyProtection="1">
      <alignment horizontal="center" vertical="center" wrapText="1"/>
      <protection locked="0"/>
    </xf>
    <xf numFmtId="3" fontId="3" fillId="0" borderId="0" xfId="0" applyNumberFormat="1" applyFont="1"/>
    <xf numFmtId="167" fontId="3" fillId="0" borderId="0" xfId="7" applyFont="1"/>
    <xf numFmtId="43" fontId="3" fillId="0" borderId="0" xfId="0" applyNumberFormat="1" applyFont="1"/>
    <xf numFmtId="168" fontId="7" fillId="0" borderId="1" xfId="6" applyNumberFormat="1" applyFont="1" applyFill="1" applyBorder="1" applyAlignment="1" applyProtection="1">
      <alignment horizontal="center" vertical="center" wrapText="1"/>
    </xf>
    <xf numFmtId="3" fontId="7" fillId="0" borderId="0" xfId="5" applyNumberFormat="1" applyFont="1" applyAlignment="1">
      <alignment vertical="center" wrapText="1"/>
    </xf>
    <xf numFmtId="44" fontId="7" fillId="0" borderId="1" xfId="7" applyNumberFormat="1" applyFont="1" applyFill="1" applyBorder="1" applyAlignment="1" applyProtection="1">
      <alignment horizontal="center" vertical="center" wrapText="1"/>
      <protection locked="0"/>
    </xf>
    <xf numFmtId="9" fontId="7" fillId="0" borderId="1" xfId="6" applyFont="1" applyFill="1" applyBorder="1" applyAlignment="1" applyProtection="1">
      <alignment horizontal="center" vertical="center" wrapText="1"/>
      <protection locked="0"/>
    </xf>
    <xf numFmtId="0" fontId="6" fillId="0" borderId="0" xfId="5" applyFont="1" applyAlignment="1">
      <alignment vertical="center" wrapText="1"/>
    </xf>
    <xf numFmtId="9" fontId="3" fillId="0" borderId="0" xfId="0" applyNumberFormat="1" applyFont="1"/>
    <xf numFmtId="0" fontId="9" fillId="0" borderId="0" xfId="0" applyFont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10" fillId="0" borderId="7" xfId="0" applyFont="1" applyBorder="1"/>
    <xf numFmtId="0" fontId="3" fillId="0" borderId="17" xfId="0" applyFont="1" applyBorder="1"/>
    <xf numFmtId="0" fontId="6" fillId="11" borderId="7" xfId="5" applyFont="1" applyFill="1" applyBorder="1" applyAlignment="1">
      <alignment horizontal="center" vertical="center" wrapText="1"/>
    </xf>
    <xf numFmtId="0" fontId="6" fillId="11" borderId="1" xfId="5" applyFont="1" applyFill="1" applyBorder="1" applyAlignment="1">
      <alignment horizontal="center" vertical="center" wrapText="1"/>
    </xf>
    <xf numFmtId="3" fontId="6" fillId="11" borderId="1" xfId="5" applyNumberFormat="1" applyFont="1" applyFill="1" applyBorder="1" applyAlignment="1">
      <alignment horizontal="center" vertical="center" wrapText="1"/>
    </xf>
    <xf numFmtId="3" fontId="6" fillId="11" borderId="17" xfId="5" applyNumberFormat="1" applyFont="1" applyFill="1" applyBorder="1" applyAlignment="1">
      <alignment horizontal="center" vertical="center" wrapText="1"/>
    </xf>
    <xf numFmtId="3" fontId="6" fillId="0" borderId="0" xfId="5" applyNumberFormat="1" applyFont="1" applyAlignment="1">
      <alignment horizontal="center" vertical="center" wrapText="1"/>
    </xf>
    <xf numFmtId="0" fontId="6" fillId="7" borderId="7" xfId="0" applyFont="1" applyFill="1" applyBorder="1" applyAlignment="1">
      <alignment vertical="center"/>
    </xf>
    <xf numFmtId="0" fontId="6" fillId="7" borderId="1" xfId="0" applyFont="1" applyFill="1" applyBorder="1" applyAlignment="1">
      <alignment vertical="center"/>
    </xf>
    <xf numFmtId="0" fontId="6" fillId="7" borderId="17" xfId="0" applyFont="1" applyFill="1" applyBorder="1" applyAlignment="1">
      <alignment vertical="center"/>
    </xf>
    <xf numFmtId="0" fontId="6" fillId="0" borderId="0" xfId="0" applyFont="1" applyAlignment="1">
      <alignment vertical="center"/>
    </xf>
    <xf numFmtId="0" fontId="6" fillId="12" borderId="7" xfId="0" applyFont="1" applyFill="1" applyBorder="1" applyAlignment="1">
      <alignment vertical="center"/>
    </xf>
    <xf numFmtId="0" fontId="6" fillId="12" borderId="1" xfId="0" applyFont="1" applyFill="1" applyBorder="1" applyAlignment="1">
      <alignment vertical="center"/>
    </xf>
    <xf numFmtId="0" fontId="6" fillId="12" borderId="17" xfId="0" applyFont="1" applyFill="1" applyBorder="1" applyAlignment="1">
      <alignment vertical="center"/>
    </xf>
    <xf numFmtId="0" fontId="7" fillId="0" borderId="7" xfId="5" applyFont="1" applyBorder="1" applyAlignment="1">
      <alignment vertical="center" wrapText="1"/>
    </xf>
    <xf numFmtId="3" fontId="7" fillId="0" borderId="1" xfId="5" applyNumberFormat="1" applyFont="1" applyBorder="1" applyAlignment="1">
      <alignment horizontal="center" vertical="center" wrapText="1"/>
    </xf>
    <xf numFmtId="44" fontId="7" fillId="0" borderId="1" xfId="7" applyNumberFormat="1" applyFont="1" applyBorder="1" applyAlignment="1" applyProtection="1">
      <alignment vertical="center" wrapText="1"/>
    </xf>
    <xf numFmtId="44" fontId="7" fillId="0" borderId="17" xfId="7" applyNumberFormat="1" applyFont="1" applyBorder="1" applyAlignment="1" applyProtection="1">
      <alignment vertical="center" wrapText="1"/>
    </xf>
    <xf numFmtId="44" fontId="7" fillId="0" borderId="0" xfId="7" applyNumberFormat="1" applyFont="1" applyFill="1" applyBorder="1" applyAlignment="1" applyProtection="1">
      <alignment vertical="center" wrapText="1"/>
    </xf>
    <xf numFmtId="0" fontId="7" fillId="0" borderId="7" xfId="5" applyFont="1" applyBorder="1" applyAlignment="1">
      <alignment horizontal="left" vertical="center" wrapText="1"/>
    </xf>
    <xf numFmtId="0" fontId="7" fillId="0" borderId="18" xfId="5" applyFont="1" applyBorder="1" applyAlignment="1">
      <alignment horizontal="left" vertical="center" wrapText="1"/>
    </xf>
    <xf numFmtId="1" fontId="6" fillId="12" borderId="1" xfId="0" applyNumberFormat="1" applyFont="1" applyFill="1" applyBorder="1" applyAlignment="1">
      <alignment horizontal="center" vertical="center"/>
    </xf>
    <xf numFmtId="3" fontId="6" fillId="12" borderId="1" xfId="0" applyNumberFormat="1" applyFont="1" applyFill="1" applyBorder="1" applyAlignment="1">
      <alignment horizontal="center" vertical="center"/>
    </xf>
    <xf numFmtId="167" fontId="6" fillId="12" borderId="1" xfId="7" applyFont="1" applyFill="1" applyBorder="1" applyAlignment="1" applyProtection="1">
      <alignment horizontal="center" vertical="center"/>
    </xf>
    <xf numFmtId="44" fontId="6" fillId="12" borderId="1" xfId="7" applyNumberFormat="1" applyFont="1" applyFill="1" applyBorder="1" applyAlignment="1" applyProtection="1">
      <alignment horizontal="center" vertical="center"/>
    </xf>
    <xf numFmtId="44" fontId="6" fillId="12" borderId="17" xfId="7" applyNumberFormat="1" applyFont="1" applyFill="1" applyBorder="1" applyAlignment="1" applyProtection="1">
      <alignment vertical="center"/>
    </xf>
    <xf numFmtId="44" fontId="6" fillId="0" borderId="0" xfId="7" applyNumberFormat="1" applyFont="1" applyFill="1" applyBorder="1" applyAlignment="1" applyProtection="1">
      <alignment vertical="center"/>
    </xf>
    <xf numFmtId="3" fontId="7" fillId="9" borderId="17" xfId="5" applyNumberFormat="1" applyFont="1" applyFill="1" applyBorder="1" applyAlignment="1">
      <alignment vertical="center" wrapText="1"/>
    </xf>
    <xf numFmtId="169" fontId="7" fillId="0" borderId="1" xfId="5" applyNumberFormat="1" applyFont="1" applyBorder="1" applyAlignment="1">
      <alignment horizontal="center" vertical="center" wrapText="1"/>
    </xf>
    <xf numFmtId="0" fontId="7" fillId="0" borderId="0" xfId="7" applyNumberFormat="1" applyFont="1" applyFill="1" applyBorder="1" applyAlignment="1" applyProtection="1">
      <alignment vertical="center" wrapText="1"/>
    </xf>
    <xf numFmtId="44" fontId="6" fillId="9" borderId="1" xfId="7" applyNumberFormat="1" applyFont="1" applyFill="1" applyBorder="1" applyAlignment="1" applyProtection="1">
      <alignment vertical="center" wrapText="1"/>
    </xf>
    <xf numFmtId="44" fontId="6" fillId="9" borderId="17" xfId="7" applyNumberFormat="1" applyFont="1" applyFill="1" applyBorder="1" applyAlignment="1" applyProtection="1">
      <alignment vertical="center" wrapText="1"/>
    </xf>
    <xf numFmtId="44" fontId="6" fillId="0" borderId="0" xfId="7" applyNumberFormat="1" applyFont="1" applyFill="1" applyBorder="1" applyAlignment="1" applyProtection="1">
      <alignment vertical="center" wrapText="1"/>
    </xf>
    <xf numFmtId="0" fontId="7" fillId="2" borderId="0" xfId="5" applyFont="1" applyFill="1" applyAlignment="1">
      <alignment horizontal="left" vertical="center" wrapText="1"/>
    </xf>
    <xf numFmtId="0" fontId="7" fillId="2" borderId="0" xfId="5" applyFont="1" applyFill="1" applyAlignment="1">
      <alignment horizontal="center" vertical="center" wrapText="1"/>
    </xf>
    <xf numFmtId="44" fontId="7" fillId="2" borderId="0" xfId="5" applyNumberFormat="1" applyFont="1" applyFill="1" applyAlignment="1">
      <alignment horizontal="left" vertical="center" wrapText="1"/>
    </xf>
    <xf numFmtId="167" fontId="7" fillId="2" borderId="0" xfId="7" applyFont="1" applyFill="1" applyBorder="1" applyAlignment="1" applyProtection="1">
      <alignment vertical="center" wrapText="1"/>
    </xf>
    <xf numFmtId="167" fontId="6" fillId="13" borderId="1" xfId="7" applyFont="1" applyFill="1" applyBorder="1" applyAlignment="1" applyProtection="1">
      <alignment vertical="center" wrapText="1"/>
    </xf>
    <xf numFmtId="167" fontId="6" fillId="13" borderId="17" xfId="7" applyFont="1" applyFill="1" applyBorder="1" applyAlignment="1" applyProtection="1">
      <alignment vertical="center" wrapText="1"/>
    </xf>
    <xf numFmtId="167" fontId="6" fillId="0" borderId="0" xfId="7" applyFont="1" applyFill="1" applyBorder="1" applyAlignment="1" applyProtection="1">
      <alignment vertical="center" wrapText="1"/>
    </xf>
    <xf numFmtId="167" fontId="3" fillId="0" borderId="0" xfId="7" applyFont="1" applyBorder="1"/>
    <xf numFmtId="3" fontId="6" fillId="14" borderId="1" xfId="5" applyNumberFormat="1" applyFont="1" applyFill="1" applyBorder="1" applyAlignment="1">
      <alignment horizontal="center" vertical="center" wrapText="1"/>
    </xf>
    <xf numFmtId="3" fontId="7" fillId="14" borderId="17" xfId="5" applyNumberFormat="1" applyFont="1" applyFill="1" applyBorder="1" applyAlignment="1">
      <alignment vertical="center" wrapText="1"/>
    </xf>
    <xf numFmtId="167" fontId="7" fillId="0" borderId="1" xfId="7" quotePrefix="1" applyFont="1" applyFill="1" applyBorder="1" applyAlignment="1" applyProtection="1">
      <alignment vertical="center" wrapText="1"/>
    </xf>
    <xf numFmtId="167" fontId="7" fillId="0" borderId="17" xfId="7" quotePrefix="1" applyFont="1" applyFill="1" applyBorder="1" applyAlignment="1" applyProtection="1">
      <alignment vertical="center" wrapText="1"/>
    </xf>
    <xf numFmtId="167" fontId="6" fillId="0" borderId="0" xfId="7" quotePrefix="1" applyFont="1" applyFill="1" applyBorder="1" applyAlignment="1" applyProtection="1">
      <alignment vertical="center" wrapText="1"/>
    </xf>
    <xf numFmtId="167" fontId="7" fillId="0" borderId="1" xfId="7" applyFont="1" applyFill="1" applyBorder="1" applyAlignment="1" applyProtection="1">
      <alignment vertical="center" wrapText="1"/>
    </xf>
    <xf numFmtId="167" fontId="7" fillId="0" borderId="17" xfId="7" applyFont="1" applyFill="1" applyBorder="1" applyAlignment="1" applyProtection="1">
      <alignment vertical="center" wrapText="1"/>
    </xf>
    <xf numFmtId="167" fontId="7" fillId="0" borderId="0" xfId="7" applyFont="1" applyFill="1" applyBorder="1" applyAlignment="1" applyProtection="1">
      <alignment vertical="center" wrapText="1"/>
    </xf>
    <xf numFmtId="167" fontId="6" fillId="12" borderId="1" xfId="7" applyFont="1" applyFill="1" applyBorder="1" applyAlignment="1" applyProtection="1">
      <alignment vertical="center" wrapText="1"/>
    </xf>
    <xf numFmtId="167" fontId="6" fillId="12" borderId="17" xfId="7" applyFont="1" applyFill="1" applyBorder="1" applyAlignment="1" applyProtection="1">
      <alignment vertical="center" wrapText="1"/>
    </xf>
    <xf numFmtId="167" fontId="6" fillId="11" borderId="1" xfId="7" applyFont="1" applyFill="1" applyBorder="1" applyAlignment="1" applyProtection="1">
      <alignment vertical="center" wrapText="1"/>
    </xf>
    <xf numFmtId="167" fontId="6" fillId="11" borderId="17" xfId="7" applyFont="1" applyFill="1" applyBorder="1" applyAlignment="1" applyProtection="1">
      <alignment vertical="center" wrapText="1"/>
    </xf>
    <xf numFmtId="167" fontId="11" fillId="0" borderId="0" xfId="7" applyFont="1" applyFill="1" applyBorder="1" applyAlignment="1" applyProtection="1">
      <alignment vertical="center" wrapText="1"/>
    </xf>
    <xf numFmtId="0" fontId="6" fillId="15" borderId="7" xfId="5" applyFont="1" applyFill="1" applyBorder="1" applyAlignment="1">
      <alignment horizontal="center" vertical="center" wrapText="1"/>
    </xf>
    <xf numFmtId="9" fontId="4" fillId="15" borderId="6" xfId="0" applyNumberFormat="1" applyFont="1" applyFill="1" applyBorder="1" applyAlignment="1">
      <alignment horizontal="center" vertical="center"/>
    </xf>
    <xf numFmtId="0" fontId="4" fillId="15" borderId="6" xfId="0" applyFont="1" applyFill="1" applyBorder="1" applyAlignment="1">
      <alignment horizontal="center" vertical="center"/>
    </xf>
    <xf numFmtId="167" fontId="4" fillId="15" borderId="16" xfId="0" applyNumberFormat="1" applyFont="1" applyFill="1" applyBorder="1" applyAlignment="1">
      <alignment horizontal="center" vertical="center" wrapText="1"/>
    </xf>
    <xf numFmtId="0" fontId="6" fillId="2" borderId="7" xfId="5" applyFont="1" applyFill="1" applyBorder="1" applyAlignment="1">
      <alignment horizontal="left" vertical="center" wrapText="1"/>
    </xf>
    <xf numFmtId="9" fontId="4" fillId="0" borderId="3" xfId="0" applyNumberFormat="1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167" fontId="4" fillId="0" borderId="19" xfId="0" applyNumberFormat="1" applyFont="1" applyBorder="1" applyAlignment="1">
      <alignment horizontal="center"/>
    </xf>
    <xf numFmtId="0" fontId="7" fillId="2" borderId="7" xfId="5" applyFont="1" applyFill="1" applyBorder="1" applyAlignment="1">
      <alignment horizontal="left" vertical="center" wrapText="1"/>
    </xf>
    <xf numFmtId="0" fontId="12" fillId="0" borderId="1" xfId="0" applyFont="1" applyBorder="1" applyAlignment="1">
      <alignment horizontal="center" vertical="center"/>
    </xf>
    <xf numFmtId="0" fontId="7" fillId="2" borderId="1" xfId="5" applyFont="1" applyFill="1" applyBorder="1" applyAlignment="1">
      <alignment horizontal="center" vertical="center" wrapText="1"/>
    </xf>
    <xf numFmtId="44" fontId="7" fillId="2" borderId="1" xfId="5" applyNumberFormat="1" applyFont="1" applyFill="1" applyBorder="1" applyAlignment="1">
      <alignment horizontal="left" vertical="center" wrapText="1"/>
    </xf>
    <xf numFmtId="167" fontId="7" fillId="2" borderId="17" xfId="7" applyFont="1" applyFill="1" applyBorder="1" applyAlignment="1" applyProtection="1">
      <alignment vertical="center" wrapText="1"/>
    </xf>
    <xf numFmtId="0" fontId="4" fillId="0" borderId="20" xfId="0" applyFont="1" applyBorder="1"/>
    <xf numFmtId="9" fontId="2" fillId="0" borderId="21" xfId="0" applyNumberFormat="1" applyFont="1" applyBorder="1"/>
    <xf numFmtId="0" fontId="2" fillId="0" borderId="21" xfId="0" applyFont="1" applyBorder="1"/>
    <xf numFmtId="44" fontId="2" fillId="0" borderId="21" xfId="0" applyNumberFormat="1" applyFont="1" applyBorder="1"/>
    <xf numFmtId="167" fontId="4" fillId="0" borderId="22" xfId="0" applyNumberFormat="1" applyFont="1" applyBorder="1"/>
    <xf numFmtId="0" fontId="4" fillId="16" borderId="7" xfId="0" applyFont="1" applyFill="1" applyBorder="1"/>
    <xf numFmtId="0" fontId="8" fillId="16" borderId="1" xfId="0" applyFont="1" applyFill="1" applyBorder="1"/>
    <xf numFmtId="44" fontId="4" fillId="16" borderId="1" xfId="0" applyNumberFormat="1" applyFont="1" applyFill="1" applyBorder="1"/>
    <xf numFmtId="167" fontId="4" fillId="16" borderId="17" xfId="0" applyNumberFormat="1" applyFont="1" applyFill="1" applyBorder="1"/>
    <xf numFmtId="167" fontId="3" fillId="0" borderId="0" xfId="0" applyNumberFormat="1" applyFont="1"/>
    <xf numFmtId="44" fontId="3" fillId="0" borderId="0" xfId="2" applyFont="1"/>
    <xf numFmtId="0" fontId="8" fillId="0" borderId="23" xfId="0" applyFont="1" applyBorder="1"/>
    <xf numFmtId="9" fontId="8" fillId="0" borderId="3" xfId="0" applyNumberFormat="1" applyFont="1" applyBorder="1"/>
    <xf numFmtId="0" fontId="8" fillId="0" borderId="3" xfId="0" applyFont="1" applyBorder="1"/>
    <xf numFmtId="0" fontId="8" fillId="0" borderId="24" xfId="0" applyFont="1" applyBorder="1"/>
    <xf numFmtId="170" fontId="8" fillId="0" borderId="25" xfId="4" applyNumberFormat="1" applyFont="1" applyBorder="1"/>
    <xf numFmtId="170" fontId="7" fillId="0" borderId="26" xfId="4" applyNumberFormat="1" applyFont="1" applyBorder="1" applyAlignment="1" applyProtection="1">
      <alignment horizontal="right" vertical="center"/>
    </xf>
    <xf numFmtId="167" fontId="8" fillId="0" borderId="0" xfId="0" applyNumberFormat="1" applyFont="1"/>
    <xf numFmtId="0" fontId="8" fillId="0" borderId="7" xfId="0" applyFont="1" applyBorder="1"/>
    <xf numFmtId="9" fontId="8" fillId="0" borderId="1" xfId="0" applyNumberFormat="1" applyFont="1" applyBorder="1"/>
    <xf numFmtId="0" fontId="8" fillId="0" borderId="1" xfId="0" applyFont="1" applyBorder="1"/>
    <xf numFmtId="0" fontId="8" fillId="0" borderId="13" xfId="0" applyFont="1" applyBorder="1"/>
    <xf numFmtId="170" fontId="8" fillId="0" borderId="27" xfId="4" applyNumberFormat="1" applyFont="1" applyBorder="1"/>
    <xf numFmtId="170" fontId="3" fillId="0" borderId="0" xfId="0" applyNumberFormat="1" applyFont="1"/>
    <xf numFmtId="43" fontId="2" fillId="8" borderId="2" xfId="0" applyNumberFormat="1" applyFont="1" applyFill="1" applyBorder="1"/>
    <xf numFmtId="171" fontId="8" fillId="0" borderId="0" xfId="0" applyNumberFormat="1" applyFont="1"/>
    <xf numFmtId="167" fontId="2" fillId="0" borderId="0" xfId="0" applyNumberFormat="1" applyFont="1"/>
    <xf numFmtId="0" fontId="13" fillId="17" borderId="5" xfId="0" applyFont="1" applyFill="1" applyBorder="1" applyAlignment="1">
      <alignment horizontal="center" vertical="center"/>
    </xf>
    <xf numFmtId="0" fontId="13" fillId="17" borderId="6" xfId="0" applyFont="1" applyFill="1" applyBorder="1" applyAlignment="1">
      <alignment horizontal="center" vertical="center"/>
    </xf>
    <xf numFmtId="0" fontId="13" fillId="17" borderId="16" xfId="0" applyFont="1" applyFill="1" applyBorder="1" applyAlignment="1">
      <alignment horizontal="center" vertical="center"/>
    </xf>
    <xf numFmtId="3" fontId="7" fillId="0" borderId="17" xfId="5" applyNumberFormat="1" applyFont="1" applyBorder="1" applyAlignment="1">
      <alignment horizontal="center" vertical="center" wrapText="1"/>
    </xf>
    <xf numFmtId="167" fontId="7" fillId="0" borderId="0" xfId="7" applyFont="1" applyBorder="1" applyAlignment="1" applyProtection="1">
      <alignment vertical="center" wrapText="1"/>
    </xf>
    <xf numFmtId="167" fontId="3" fillId="0" borderId="0" xfId="7" applyFont="1" applyFill="1"/>
    <xf numFmtId="0" fontId="7" fillId="0" borderId="20" xfId="5" applyFont="1" applyBorder="1" applyAlignment="1">
      <alignment horizontal="left" vertical="center" wrapText="1"/>
    </xf>
    <xf numFmtId="0" fontId="7" fillId="0" borderId="21" xfId="5" applyFont="1" applyBorder="1" applyAlignment="1">
      <alignment horizontal="center" vertical="center" wrapText="1"/>
    </xf>
    <xf numFmtId="3" fontId="7" fillId="0" borderId="22" xfId="5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5" fillId="18" borderId="33" xfId="5" applyFill="1" applyBorder="1"/>
    <xf numFmtId="0" fontId="5" fillId="18" borderId="0" xfId="5" applyFill="1"/>
    <xf numFmtId="0" fontId="5" fillId="18" borderId="34" xfId="5" applyFill="1" applyBorder="1"/>
    <xf numFmtId="0" fontId="5" fillId="18" borderId="35" xfId="5" applyFill="1" applyBorder="1"/>
    <xf numFmtId="0" fontId="5" fillId="18" borderId="28" xfId="5" applyFill="1" applyBorder="1"/>
    <xf numFmtId="0" fontId="5" fillId="18" borderId="36" xfId="5" applyFill="1" applyBorder="1"/>
    <xf numFmtId="165" fontId="3" fillId="0" borderId="0" xfId="3" applyFont="1"/>
    <xf numFmtId="44" fontId="7" fillId="0" borderId="1" xfId="7" applyNumberFormat="1" applyFont="1" applyFill="1" applyBorder="1" applyAlignment="1" applyProtection="1">
      <alignment vertical="center" wrapText="1"/>
    </xf>
    <xf numFmtId="44" fontId="7" fillId="0" borderId="17" xfId="7" applyNumberFormat="1" applyFont="1" applyFill="1" applyBorder="1" applyAlignment="1" applyProtection="1">
      <alignment vertical="center" wrapText="1"/>
    </xf>
    <xf numFmtId="0" fontId="7" fillId="6" borderId="1" xfId="5" applyFont="1" applyFill="1" applyBorder="1" applyAlignment="1">
      <alignment horizontal="center" vertical="center" wrapText="1"/>
    </xf>
    <xf numFmtId="43" fontId="3" fillId="0" borderId="0" xfId="8" applyFont="1"/>
    <xf numFmtId="0" fontId="7" fillId="19" borderId="1" xfId="5" applyFont="1" applyFill="1" applyBorder="1" applyAlignment="1">
      <alignment horizontal="center" vertical="center" wrapText="1"/>
    </xf>
    <xf numFmtId="44" fontId="7" fillId="20" borderId="1" xfId="7" applyNumberFormat="1" applyFont="1" applyFill="1" applyBorder="1" applyAlignment="1" applyProtection="1">
      <alignment vertical="center" wrapText="1"/>
    </xf>
    <xf numFmtId="0" fontId="2" fillId="3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44" fontId="3" fillId="2" borderId="1" xfId="0" applyNumberFormat="1" applyFont="1" applyFill="1" applyBorder="1" applyAlignment="1">
      <alignment horizontal="center" vertical="center"/>
    </xf>
    <xf numFmtId="0" fontId="2" fillId="0" borderId="7" xfId="0" applyFont="1" applyBorder="1"/>
    <xf numFmtId="0" fontId="2" fillId="0" borderId="7" xfId="0" applyFont="1" applyBorder="1" applyAlignment="1">
      <alignment horizontal="left" vertical="center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/>
    </xf>
    <xf numFmtId="0" fontId="2" fillId="0" borderId="7" xfId="0" applyFont="1" applyBorder="1" applyAlignment="1">
      <alignment vertical="center"/>
    </xf>
    <xf numFmtId="44" fontId="2" fillId="2" borderId="7" xfId="0" applyNumberFormat="1" applyFont="1" applyFill="1" applyBorder="1" applyAlignment="1">
      <alignment horizontal="left" vertical="center"/>
    </xf>
    <xf numFmtId="44" fontId="2" fillId="0" borderId="7" xfId="0" applyNumberFormat="1" applyFont="1" applyBorder="1" applyAlignment="1">
      <alignment horizontal="left" vertical="center"/>
    </xf>
    <xf numFmtId="0" fontId="2" fillId="0" borderId="20" xfId="0" applyFont="1" applyBorder="1" applyAlignment="1">
      <alignment vertical="center" wrapText="1"/>
    </xf>
    <xf numFmtId="0" fontId="3" fillId="0" borderId="21" xfId="0" applyFont="1" applyBorder="1" applyAlignment="1">
      <alignment horizontal="center" vertical="center"/>
    </xf>
    <xf numFmtId="165" fontId="3" fillId="0" borderId="21" xfId="3" applyFont="1" applyBorder="1" applyAlignment="1">
      <alignment horizontal="center" vertical="center"/>
    </xf>
    <xf numFmtId="174" fontId="3" fillId="0" borderId="1" xfId="3" applyNumberFormat="1" applyFont="1" applyFill="1" applyBorder="1" applyAlignment="1">
      <alignment horizontal="center" vertical="center"/>
    </xf>
    <xf numFmtId="175" fontId="3" fillId="0" borderId="1" xfId="3" applyNumberFormat="1" applyFont="1" applyFill="1" applyBorder="1" applyAlignment="1">
      <alignment horizontal="center" vertical="center" wrapText="1"/>
    </xf>
    <xf numFmtId="174" fontId="3" fillId="0" borderId="1" xfId="3" applyNumberFormat="1" applyFont="1" applyBorder="1" applyAlignment="1">
      <alignment horizontal="center" vertical="center" wrapText="1"/>
    </xf>
    <xf numFmtId="174" fontId="3" fillId="2" borderId="1" xfId="3" applyNumberFormat="1" applyFont="1" applyFill="1" applyBorder="1" applyAlignment="1">
      <alignment horizontal="center" vertical="center" wrapText="1"/>
    </xf>
    <xf numFmtId="175" fontId="3" fillId="0" borderId="1" xfId="3" applyNumberFormat="1" applyFont="1" applyBorder="1" applyAlignment="1">
      <alignment horizontal="center" vertical="center" wrapText="1"/>
    </xf>
    <xf numFmtId="175" fontId="3" fillId="2" borderId="1" xfId="3" applyNumberFormat="1" applyFont="1" applyFill="1" applyBorder="1" applyAlignment="1">
      <alignment horizontal="center" vertical="center" wrapText="1"/>
    </xf>
    <xf numFmtId="175" fontId="3" fillId="0" borderId="0" xfId="3" applyNumberFormat="1" applyFont="1" applyBorder="1" applyAlignment="1">
      <alignment horizontal="center" vertical="center" wrapText="1"/>
    </xf>
    <xf numFmtId="174" fontId="3" fillId="0" borderId="1" xfId="3" applyNumberFormat="1" applyFont="1" applyBorder="1" applyAlignment="1">
      <alignment horizontal="center" vertical="center"/>
    </xf>
    <xf numFmtId="165" fontId="2" fillId="3" borderId="13" xfId="3" applyFont="1" applyFill="1" applyBorder="1" applyAlignment="1">
      <alignment horizontal="center" vertical="center" wrapText="1"/>
    </xf>
    <xf numFmtId="175" fontId="3" fillId="0" borderId="13" xfId="3" applyNumberFormat="1" applyFont="1" applyBorder="1" applyAlignment="1">
      <alignment horizontal="center" vertical="center" wrapText="1"/>
    </xf>
    <xf numFmtId="175" fontId="3" fillId="2" borderId="13" xfId="3" applyNumberFormat="1" applyFont="1" applyFill="1" applyBorder="1" applyAlignment="1">
      <alignment horizontal="center" vertical="center" wrapText="1"/>
    </xf>
    <xf numFmtId="175" fontId="3" fillId="0" borderId="13" xfId="3" applyNumberFormat="1" applyFont="1" applyFill="1" applyBorder="1" applyAlignment="1">
      <alignment horizontal="center" vertical="center" wrapText="1"/>
    </xf>
    <xf numFmtId="165" fontId="3" fillId="0" borderId="40" xfId="3" applyFont="1" applyBorder="1" applyAlignment="1">
      <alignment horizontal="center" vertical="center"/>
    </xf>
    <xf numFmtId="174" fontId="3" fillId="0" borderId="13" xfId="3" applyNumberFormat="1" applyFont="1" applyBorder="1" applyAlignment="1">
      <alignment horizontal="center" vertical="center" wrapText="1"/>
    </xf>
    <xf numFmtId="174" fontId="3" fillId="0" borderId="13" xfId="3" applyNumberFormat="1" applyFont="1" applyFill="1" applyBorder="1" applyAlignment="1">
      <alignment horizontal="center" vertical="center"/>
    </xf>
    <xf numFmtId="0" fontId="2" fillId="0" borderId="7" xfId="0" applyFont="1" applyBorder="1" applyAlignment="1">
      <alignment horizontal="justify" vertical="center" wrapText="1"/>
    </xf>
    <xf numFmtId="0" fontId="2" fillId="3" borderId="7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175" fontId="3" fillId="5" borderId="13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left" vertical="center" wrapText="1"/>
    </xf>
    <xf numFmtId="175" fontId="3" fillId="5" borderId="1" xfId="0" applyNumberFormat="1" applyFont="1" applyFill="1" applyBorder="1" applyAlignment="1">
      <alignment horizontal="center" vertical="center" wrapText="1"/>
    </xf>
    <xf numFmtId="175" fontId="3" fillId="22" borderId="39" xfId="0" applyNumberFormat="1" applyFont="1" applyFill="1" applyBorder="1" applyAlignment="1">
      <alignment horizontal="center" vertical="center" wrapText="1"/>
    </xf>
    <xf numFmtId="175" fontId="3" fillId="2" borderId="1" xfId="2" applyNumberFormat="1" applyFont="1" applyFill="1" applyBorder="1" applyAlignment="1">
      <alignment horizontal="center" vertical="center" wrapText="1"/>
    </xf>
    <xf numFmtId="175" fontId="3" fillId="2" borderId="1" xfId="0" applyNumberFormat="1" applyFont="1" applyFill="1" applyBorder="1" applyAlignment="1">
      <alignment horizontal="center" vertical="center" wrapText="1"/>
    </xf>
    <xf numFmtId="175" fontId="3" fillId="2" borderId="13" xfId="0" applyNumberFormat="1" applyFont="1" applyFill="1" applyBorder="1" applyAlignment="1">
      <alignment horizontal="center" vertical="center" wrapText="1"/>
    </xf>
    <xf numFmtId="175" fontId="3" fillId="22" borderId="13" xfId="0" applyNumberFormat="1" applyFont="1" applyFill="1" applyBorder="1" applyAlignment="1">
      <alignment horizontal="center" vertical="center" wrapText="1"/>
    </xf>
    <xf numFmtId="165" fontId="2" fillId="3" borderId="1" xfId="3" applyFont="1" applyFill="1" applyBorder="1" applyAlignment="1">
      <alignment horizontal="center" vertical="center"/>
    </xf>
    <xf numFmtId="165" fontId="2" fillId="3" borderId="13" xfId="3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174" fontId="3" fillId="0" borderId="13" xfId="0" applyNumberFormat="1" applyFont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 wrapText="1"/>
    </xf>
    <xf numFmtId="174" fontId="3" fillId="2" borderId="1" xfId="0" applyNumberFormat="1" applyFont="1" applyFill="1" applyBorder="1" applyAlignment="1">
      <alignment horizontal="center" vertical="center" wrapText="1"/>
    </xf>
    <xf numFmtId="174" fontId="3" fillId="0" borderId="13" xfId="0" applyNumberFormat="1" applyFont="1" applyBorder="1" applyAlignment="1">
      <alignment horizontal="center" vertical="center" wrapText="1"/>
    </xf>
    <xf numFmtId="166" fontId="3" fillId="0" borderId="40" xfId="1" applyNumberFormat="1" applyFont="1" applyBorder="1"/>
    <xf numFmtId="0" fontId="16" fillId="0" borderId="12" xfId="0" applyFont="1" applyBorder="1" applyAlignment="1">
      <alignment horizontal="center"/>
    </xf>
    <xf numFmtId="0" fontId="3" fillId="0" borderId="25" xfId="0" applyFont="1" applyBorder="1"/>
    <xf numFmtId="170" fontId="5" fillId="0" borderId="12" xfId="4" applyNumberFormat="1" applyFont="1" applyFill="1" applyBorder="1" applyAlignment="1">
      <alignment horizontal="center"/>
    </xf>
    <xf numFmtId="0" fontId="3" fillId="0" borderId="27" xfId="0" applyFont="1" applyBorder="1"/>
    <xf numFmtId="170" fontId="5" fillId="0" borderId="25" xfId="4" applyNumberFormat="1" applyFont="1" applyFill="1" applyBorder="1" applyAlignment="1">
      <alignment horizontal="center"/>
    </xf>
    <xf numFmtId="166" fontId="3" fillId="21" borderId="12" xfId="8" applyNumberFormat="1" applyFont="1" applyFill="1" applyBorder="1"/>
    <xf numFmtId="166" fontId="3" fillId="21" borderId="0" xfId="8" applyNumberFormat="1" applyFont="1" applyFill="1" applyBorder="1"/>
    <xf numFmtId="166" fontId="3" fillId="0" borderId="25" xfId="8" applyNumberFormat="1" applyFont="1" applyBorder="1"/>
    <xf numFmtId="166" fontId="3" fillId="0" borderId="27" xfId="8" applyNumberFormat="1" applyFont="1" applyBorder="1"/>
    <xf numFmtId="166" fontId="3" fillId="0" borderId="38" xfId="8" applyNumberFormat="1" applyFont="1" applyBorder="1"/>
    <xf numFmtId="0" fontId="3" fillId="8" borderId="27" xfId="0" applyFont="1" applyFill="1" applyBorder="1"/>
    <xf numFmtId="166" fontId="2" fillId="0" borderId="12" xfId="8" applyNumberFormat="1" applyFont="1" applyBorder="1"/>
    <xf numFmtId="166" fontId="2" fillId="0" borderId="0" xfId="8" applyNumberFormat="1" applyFont="1" applyBorder="1"/>
    <xf numFmtId="166" fontId="3" fillId="2" borderId="27" xfId="8" applyNumberFormat="1" applyFont="1" applyFill="1" applyBorder="1"/>
    <xf numFmtId="0" fontId="3" fillId="2" borderId="0" xfId="0" applyFont="1" applyFill="1"/>
    <xf numFmtId="166" fontId="3" fillId="2" borderId="38" xfId="8" applyNumberFormat="1" applyFont="1" applyFill="1" applyBorder="1"/>
    <xf numFmtId="166" fontId="2" fillId="2" borderId="12" xfId="8" applyNumberFormat="1" applyFont="1" applyFill="1" applyBorder="1"/>
    <xf numFmtId="44" fontId="3" fillId="0" borderId="0" xfId="0" applyNumberFormat="1" applyFont="1"/>
    <xf numFmtId="166" fontId="3" fillId="2" borderId="25" xfId="8" applyNumberFormat="1" applyFont="1" applyFill="1" applyBorder="1"/>
    <xf numFmtId="0" fontId="3" fillId="0" borderId="37" xfId="0" applyFont="1" applyBorder="1"/>
    <xf numFmtId="166" fontId="3" fillId="2" borderId="37" xfId="8" applyNumberFormat="1" applyFont="1" applyFill="1" applyBorder="1"/>
    <xf numFmtId="165" fontId="3" fillId="10" borderId="31" xfId="3" applyFont="1" applyFill="1" applyBorder="1"/>
    <xf numFmtId="0" fontId="2" fillId="10" borderId="13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justify" vertical="justify" wrapText="1"/>
    </xf>
    <xf numFmtId="44" fontId="15" fillId="2" borderId="21" xfId="0" applyNumberFormat="1" applyFont="1" applyFill="1" applyBorder="1" applyAlignment="1">
      <alignment horizontal="justify" vertical="justify" wrapText="1"/>
    </xf>
    <xf numFmtId="0" fontId="3" fillId="0" borderId="1" xfId="0" applyFont="1" applyBorder="1" applyAlignment="1">
      <alignment horizontal="justify" vertical="justify" wrapText="1"/>
    </xf>
    <xf numFmtId="0" fontId="5" fillId="2" borderId="1" xfId="5" applyFill="1" applyBorder="1" applyAlignment="1">
      <alignment horizontal="justify" vertical="justify" wrapText="1"/>
    </xf>
    <xf numFmtId="0" fontId="3" fillId="0" borderId="1" xfId="0" applyFont="1" applyBorder="1" applyAlignment="1">
      <alignment horizontal="justify" vertical="justify"/>
    </xf>
    <xf numFmtId="0" fontId="3" fillId="0" borderId="0" xfId="0" applyFont="1" applyAlignment="1">
      <alignment horizontal="justify" vertical="justify"/>
    </xf>
    <xf numFmtId="0" fontId="15" fillId="0" borderId="21" xfId="0" applyFont="1" applyBorder="1" applyAlignment="1">
      <alignment horizontal="justify" vertical="justify" wrapText="1"/>
    </xf>
    <xf numFmtId="0" fontId="3" fillId="0" borderId="1" xfId="0" applyFont="1" applyBorder="1" applyAlignment="1">
      <alignment horizontal="left" vertical="center" wrapText="1"/>
    </xf>
    <xf numFmtId="165" fontId="2" fillId="10" borderId="13" xfId="3" applyFont="1" applyFill="1" applyBorder="1" applyAlignment="1">
      <alignment horizontal="center" vertical="center"/>
    </xf>
    <xf numFmtId="165" fontId="3" fillId="10" borderId="13" xfId="3" applyFont="1" applyFill="1" applyBorder="1"/>
    <xf numFmtId="176" fontId="3" fillId="0" borderId="1" xfId="0" applyNumberFormat="1" applyFont="1" applyBorder="1" applyAlignment="1">
      <alignment vertical="center"/>
    </xf>
    <xf numFmtId="0" fontId="6" fillId="4" borderId="13" xfId="5" applyFont="1" applyFill="1" applyBorder="1" applyAlignment="1">
      <alignment vertical="center" wrapText="1"/>
    </xf>
    <xf numFmtId="0" fontId="10" fillId="8" borderId="7" xfId="0" applyFont="1" applyFill="1" applyBorder="1"/>
    <xf numFmtId="0" fontId="3" fillId="8" borderId="1" xfId="0" applyFont="1" applyFill="1" applyBorder="1"/>
    <xf numFmtId="0" fontId="3" fillId="8" borderId="17" xfId="0" applyFont="1" applyFill="1" applyBorder="1"/>
    <xf numFmtId="0" fontId="6" fillId="8" borderId="7" xfId="0" applyFont="1" applyFill="1" applyBorder="1" applyAlignment="1">
      <alignment vertical="center"/>
    </xf>
    <xf numFmtId="0" fontId="6" fillId="8" borderId="1" xfId="5" applyFont="1" applyFill="1" applyBorder="1" applyAlignment="1">
      <alignment horizontal="center" vertical="center" wrapText="1"/>
    </xf>
    <xf numFmtId="3" fontId="6" fillId="8" borderId="1" xfId="5" applyNumberFormat="1" applyFont="1" applyFill="1" applyBorder="1" applyAlignment="1">
      <alignment horizontal="center" vertical="center" wrapText="1"/>
    </xf>
    <xf numFmtId="3" fontId="6" fillId="8" borderId="17" xfId="5" applyNumberFormat="1" applyFont="1" applyFill="1" applyBorder="1" applyAlignment="1">
      <alignment horizontal="center" vertical="center" wrapText="1"/>
    </xf>
    <xf numFmtId="0" fontId="7" fillId="2" borderId="7" xfId="5" applyFont="1" applyFill="1" applyBorder="1" applyAlignment="1">
      <alignment vertical="center" wrapText="1"/>
    </xf>
    <xf numFmtId="0" fontId="6" fillId="24" borderId="7" xfId="0" applyFont="1" applyFill="1" applyBorder="1" applyAlignment="1">
      <alignment vertical="center"/>
    </xf>
    <xf numFmtId="1" fontId="6" fillId="24" borderId="1" xfId="0" applyNumberFormat="1" applyFont="1" applyFill="1" applyBorder="1" applyAlignment="1">
      <alignment horizontal="center" vertical="center"/>
    </xf>
    <xf numFmtId="3" fontId="6" fillId="24" borderId="1" xfId="0" applyNumberFormat="1" applyFont="1" applyFill="1" applyBorder="1" applyAlignment="1">
      <alignment horizontal="center" vertical="center"/>
    </xf>
    <xf numFmtId="167" fontId="6" fillId="24" borderId="1" xfId="7" applyFont="1" applyFill="1" applyBorder="1" applyAlignment="1" applyProtection="1">
      <alignment horizontal="center" vertical="center"/>
    </xf>
    <xf numFmtId="44" fontId="6" fillId="24" borderId="1" xfId="7" applyNumberFormat="1" applyFont="1" applyFill="1" applyBorder="1" applyAlignment="1" applyProtection="1">
      <alignment horizontal="center" vertical="center"/>
    </xf>
    <xf numFmtId="44" fontId="6" fillId="24" borderId="17" xfId="7" applyNumberFormat="1" applyFont="1" applyFill="1" applyBorder="1" applyAlignment="1" applyProtection="1">
      <alignment vertical="center"/>
    </xf>
    <xf numFmtId="3" fontId="7" fillId="24" borderId="17" xfId="5" applyNumberFormat="1" applyFont="1" applyFill="1" applyBorder="1" applyAlignment="1">
      <alignment vertical="center" wrapText="1"/>
    </xf>
    <xf numFmtId="44" fontId="7" fillId="2" borderId="1" xfId="7" applyNumberFormat="1" applyFont="1" applyFill="1" applyBorder="1" applyAlignment="1" applyProtection="1">
      <alignment vertical="center" wrapText="1"/>
    </xf>
    <xf numFmtId="44" fontId="6" fillId="24" borderId="1" xfId="7" applyNumberFormat="1" applyFont="1" applyFill="1" applyBorder="1" applyAlignment="1" applyProtection="1">
      <alignment vertical="center" wrapText="1"/>
    </xf>
    <xf numFmtId="44" fontId="6" fillId="24" borderId="17" xfId="7" applyNumberFormat="1" applyFont="1" applyFill="1" applyBorder="1" applyAlignment="1" applyProtection="1">
      <alignment vertical="center" wrapText="1"/>
    </xf>
    <xf numFmtId="167" fontId="6" fillId="24" borderId="1" xfId="7" applyFont="1" applyFill="1" applyBorder="1" applyAlignment="1" applyProtection="1">
      <alignment vertical="center" wrapText="1"/>
    </xf>
    <xf numFmtId="167" fontId="6" fillId="24" borderId="17" xfId="7" applyFont="1" applyFill="1" applyBorder="1" applyAlignment="1" applyProtection="1">
      <alignment vertical="center" wrapText="1"/>
    </xf>
    <xf numFmtId="0" fontId="6" fillId="16" borderId="7" xfId="5" applyFont="1" applyFill="1" applyBorder="1" applyAlignment="1">
      <alignment horizontal="left" vertical="center" wrapText="1"/>
    </xf>
    <xf numFmtId="0" fontId="6" fillId="16" borderId="1" xfId="5" applyFont="1" applyFill="1" applyBorder="1" applyAlignment="1">
      <alignment horizontal="left" vertical="center" wrapText="1"/>
    </xf>
    <xf numFmtId="3" fontId="6" fillId="16" borderId="1" xfId="5" applyNumberFormat="1" applyFont="1" applyFill="1" applyBorder="1" applyAlignment="1">
      <alignment horizontal="center" vertical="center" wrapText="1"/>
    </xf>
    <xf numFmtId="3" fontId="7" fillId="16" borderId="17" xfId="5" applyNumberFormat="1" applyFont="1" applyFill="1" applyBorder="1" applyAlignment="1">
      <alignment vertical="center" wrapText="1"/>
    </xf>
    <xf numFmtId="167" fontId="6" fillId="15" borderId="17" xfId="7" applyFont="1" applyFill="1" applyBorder="1" applyAlignment="1" applyProtection="1">
      <alignment vertical="center" wrapText="1"/>
    </xf>
    <xf numFmtId="175" fontId="3" fillId="4" borderId="13" xfId="3" applyNumberFormat="1" applyFont="1" applyFill="1" applyBorder="1" applyAlignment="1">
      <alignment horizontal="center" vertical="center" wrapText="1"/>
    </xf>
    <xf numFmtId="165" fontId="3" fillId="4" borderId="13" xfId="3" applyFont="1" applyFill="1" applyBorder="1"/>
    <xf numFmtId="174" fontId="3" fillId="4" borderId="13" xfId="3" applyNumberFormat="1" applyFont="1" applyFill="1" applyBorder="1" applyAlignment="1">
      <alignment horizontal="center" vertical="center" wrapText="1"/>
    </xf>
    <xf numFmtId="174" fontId="3" fillId="4" borderId="40" xfId="3" applyNumberFormat="1" applyFont="1" applyFill="1" applyBorder="1" applyAlignment="1">
      <alignment horizontal="center" vertical="center" wrapText="1"/>
    </xf>
    <xf numFmtId="0" fontId="8" fillId="2" borderId="23" xfId="0" applyFont="1" applyFill="1" applyBorder="1" applyAlignment="1">
      <alignment horizontal="left" vertical="center"/>
    </xf>
    <xf numFmtId="0" fontId="8" fillId="2" borderId="3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vertical="center"/>
    </xf>
    <xf numFmtId="3" fontId="7" fillId="2" borderId="1" xfId="5" applyNumberFormat="1" applyFont="1" applyFill="1" applyBorder="1" applyAlignment="1">
      <alignment horizontal="center" vertical="center" wrapText="1"/>
    </xf>
    <xf numFmtId="44" fontId="7" fillId="2" borderId="1" xfId="7" applyNumberFormat="1" applyFont="1" applyFill="1" applyBorder="1" applyAlignment="1" applyProtection="1">
      <alignment horizontal="center" vertical="center" wrapText="1"/>
      <protection locked="0"/>
    </xf>
    <xf numFmtId="0" fontId="6" fillId="7" borderId="1" xfId="5" applyFont="1" applyFill="1" applyBorder="1" applyAlignment="1">
      <alignment horizontal="center" vertical="center" wrapText="1"/>
    </xf>
    <xf numFmtId="3" fontId="6" fillId="7" borderId="1" xfId="5" applyNumberFormat="1" applyFont="1" applyFill="1" applyBorder="1" applyAlignment="1">
      <alignment horizontal="center" vertical="center" wrapText="1"/>
    </xf>
    <xf numFmtId="3" fontId="6" fillId="7" borderId="17" xfId="5" applyNumberFormat="1" applyFont="1" applyFill="1" applyBorder="1" applyAlignment="1">
      <alignment horizontal="center" vertical="center" wrapText="1"/>
    </xf>
    <xf numFmtId="0" fontId="7" fillId="0" borderId="20" xfId="5" applyFont="1" applyBorder="1" applyAlignment="1">
      <alignment vertical="center" wrapText="1"/>
    </xf>
    <xf numFmtId="167" fontId="6" fillId="15" borderId="1" xfId="7" applyFont="1" applyFill="1" applyBorder="1" applyAlignment="1" applyProtection="1">
      <alignment vertical="center" wrapText="1"/>
    </xf>
    <xf numFmtId="0" fontId="13" fillId="23" borderId="50" xfId="0" applyFont="1" applyFill="1" applyBorder="1" applyAlignment="1">
      <alignment vertical="center" wrapText="1"/>
    </xf>
    <xf numFmtId="0" fontId="11" fillId="23" borderId="55" xfId="0" applyFont="1" applyFill="1" applyBorder="1" applyAlignment="1">
      <alignment horizontal="center" vertical="center"/>
    </xf>
    <xf numFmtId="0" fontId="10" fillId="8" borderId="5" xfId="0" applyFont="1" applyFill="1" applyBorder="1"/>
    <xf numFmtId="0" fontId="3" fillId="8" borderId="6" xfId="0" applyFont="1" applyFill="1" applyBorder="1"/>
    <xf numFmtId="0" fontId="3" fillId="8" borderId="16" xfId="0" applyFont="1" applyFill="1" applyBorder="1"/>
    <xf numFmtId="0" fontId="9" fillId="11" borderId="1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177" fontId="7" fillId="0" borderId="1" xfId="0" applyNumberFormat="1" applyFont="1" applyBorder="1" applyAlignment="1">
      <alignment vertical="center"/>
    </xf>
    <xf numFmtId="2" fontId="7" fillId="0" borderId="1" xfId="0" applyNumberFormat="1" applyFont="1" applyBorder="1" applyAlignment="1">
      <alignment vertical="center"/>
    </xf>
    <xf numFmtId="9" fontId="7" fillId="0" borderId="1" xfId="0" applyNumberFormat="1" applyFont="1" applyBorder="1" applyAlignment="1" applyProtection="1">
      <alignment vertical="center"/>
      <protection locked="0"/>
    </xf>
    <xf numFmtId="9" fontId="7" fillId="0" borderId="1" xfId="0" applyNumberFormat="1" applyFont="1" applyBorder="1" applyAlignment="1">
      <alignment vertical="center"/>
    </xf>
    <xf numFmtId="3" fontId="17" fillId="0" borderId="0" xfId="0" applyNumberFormat="1" applyFont="1" applyAlignment="1" applyProtection="1">
      <alignment horizontal="center" vertical="center" wrapText="1"/>
      <protection locked="0"/>
    </xf>
    <xf numFmtId="0" fontId="9" fillId="11" borderId="59" xfId="0" applyFont="1" applyFill="1" applyBorder="1" applyAlignment="1">
      <alignment horizontal="center" vertical="center" wrapText="1"/>
    </xf>
    <xf numFmtId="1" fontId="6" fillId="11" borderId="1" xfId="0" applyNumberFormat="1" applyFont="1" applyFill="1" applyBorder="1" applyAlignment="1">
      <alignment horizontal="center" vertical="center" wrapText="1"/>
    </xf>
    <xf numFmtId="1" fontId="6" fillId="11" borderId="1" xfId="0" applyNumberFormat="1" applyFont="1" applyFill="1" applyBorder="1" applyAlignment="1">
      <alignment horizontal="centerContinuous" vertical="center" wrapText="1"/>
    </xf>
    <xf numFmtId="0" fontId="6" fillId="11" borderId="1" xfId="0" applyFont="1" applyFill="1" applyBorder="1" applyAlignment="1">
      <alignment horizontal="centerContinuous" vertical="center" wrapText="1"/>
    </xf>
    <xf numFmtId="4" fontId="6" fillId="12" borderId="1" xfId="0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vertical="center"/>
    </xf>
    <xf numFmtId="177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center" vertical="center" wrapText="1"/>
    </xf>
    <xf numFmtId="44" fontId="7" fillId="0" borderId="1" xfId="8" applyNumberFormat="1" applyFont="1" applyBorder="1" applyAlignment="1" applyProtection="1">
      <alignment vertical="center" wrapText="1"/>
    </xf>
    <xf numFmtId="44" fontId="7" fillId="0" borderId="17" xfId="8" applyNumberFormat="1" applyFont="1" applyBorder="1" applyAlignment="1" applyProtection="1">
      <alignment vertical="center" wrapText="1"/>
    </xf>
    <xf numFmtId="43" fontId="7" fillId="0" borderId="1" xfId="8" applyFont="1" applyBorder="1" applyAlignment="1" applyProtection="1">
      <alignment horizontal="right" vertical="center"/>
    </xf>
    <xf numFmtId="6" fontId="7" fillId="0" borderId="1" xfId="8" applyNumberFormat="1" applyFont="1" applyBorder="1" applyAlignment="1" applyProtection="1">
      <alignment vertical="center" wrapText="1"/>
    </xf>
    <xf numFmtId="177" fontId="6" fillId="7" borderId="1" xfId="0" applyNumberFormat="1" applyFont="1" applyFill="1" applyBorder="1" applyAlignment="1">
      <alignment horizontal="center" vertical="center"/>
    </xf>
    <xf numFmtId="3" fontId="6" fillId="7" borderId="1" xfId="0" applyNumberFormat="1" applyFont="1" applyFill="1" applyBorder="1" applyAlignment="1">
      <alignment horizontal="center" vertical="center" wrapText="1"/>
    </xf>
    <xf numFmtId="43" fontId="6" fillId="7" borderId="1" xfId="8" applyFont="1" applyFill="1" applyBorder="1" applyAlignment="1" applyProtection="1">
      <alignment horizontal="right" vertical="center"/>
    </xf>
    <xf numFmtId="44" fontId="6" fillId="7" borderId="1" xfId="8" applyNumberFormat="1" applyFont="1" applyFill="1" applyBorder="1" applyAlignment="1" applyProtection="1">
      <alignment horizontal="center" vertical="center"/>
    </xf>
    <xf numFmtId="1" fontId="7" fillId="12" borderId="1" xfId="0" applyNumberFormat="1" applyFont="1" applyFill="1" applyBorder="1" applyAlignment="1">
      <alignment horizontal="center" vertical="center"/>
    </xf>
    <xf numFmtId="3" fontId="7" fillId="12" borderId="1" xfId="0" applyNumberFormat="1" applyFont="1" applyFill="1" applyBorder="1" applyAlignment="1">
      <alignment horizontal="center" vertical="center" wrapText="1"/>
    </xf>
    <xf numFmtId="43" fontId="7" fillId="12" borderId="1" xfId="8" applyFont="1" applyFill="1" applyBorder="1" applyAlignment="1" applyProtection="1">
      <alignment horizontal="right" vertical="center"/>
    </xf>
    <xf numFmtId="43" fontId="6" fillId="12" borderId="1" xfId="8" applyFont="1" applyFill="1" applyBorder="1" applyAlignment="1" applyProtection="1">
      <alignment horizontal="right" vertical="center"/>
    </xf>
    <xf numFmtId="0" fontId="7" fillId="0" borderId="1" xfId="0" quotePrefix="1" applyFont="1" applyBorder="1" applyAlignment="1">
      <alignment horizontal="left" vertical="center"/>
    </xf>
    <xf numFmtId="3" fontId="7" fillId="0" borderId="1" xfId="0" applyNumberFormat="1" applyFont="1" applyBorder="1" applyAlignment="1">
      <alignment horizontal="center" vertical="center"/>
    </xf>
    <xf numFmtId="3" fontId="7" fillId="0" borderId="1" xfId="0" applyNumberFormat="1" applyFont="1" applyBorder="1" applyAlignment="1">
      <alignment horizontal="right" vertical="center" wrapText="1"/>
    </xf>
    <xf numFmtId="3" fontId="7" fillId="18" borderId="1" xfId="0" applyNumberFormat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center"/>
    </xf>
    <xf numFmtId="169" fontId="6" fillId="7" borderId="1" xfId="0" applyNumberFormat="1" applyFont="1" applyFill="1" applyBorder="1" applyAlignment="1">
      <alignment horizontal="center" vertical="center"/>
    </xf>
    <xf numFmtId="43" fontId="6" fillId="7" borderId="1" xfId="8" applyFont="1" applyFill="1" applyBorder="1" applyAlignment="1" applyProtection="1">
      <alignment horizontal="right" vertical="center" wrapText="1"/>
    </xf>
    <xf numFmtId="44" fontId="6" fillId="7" borderId="1" xfId="8" applyNumberFormat="1" applyFont="1" applyFill="1" applyBorder="1" applyAlignment="1" applyProtection="1">
      <alignment vertical="center" wrapText="1"/>
    </xf>
    <xf numFmtId="169" fontId="6" fillId="12" borderId="1" xfId="0" applyNumberFormat="1" applyFont="1" applyFill="1" applyBorder="1" applyAlignment="1">
      <alignment horizontal="center" vertical="center"/>
    </xf>
    <xf numFmtId="3" fontId="6" fillId="12" borderId="1" xfId="0" applyNumberFormat="1" applyFont="1" applyFill="1" applyBorder="1" applyAlignment="1">
      <alignment horizontal="center" vertical="center" wrapText="1"/>
    </xf>
    <xf numFmtId="43" fontId="6" fillId="12" borderId="1" xfId="8" applyFont="1" applyFill="1" applyBorder="1" applyAlignment="1" applyProtection="1">
      <alignment horizontal="right" vertical="center" wrapText="1"/>
    </xf>
    <xf numFmtId="0" fontId="6" fillId="2" borderId="1" xfId="0" quotePrefix="1" applyFont="1" applyFill="1" applyBorder="1" applyAlignment="1">
      <alignment horizontal="left" vertical="center"/>
    </xf>
    <xf numFmtId="169" fontId="7" fillId="2" borderId="1" xfId="0" applyNumberFormat="1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horizontal="center" vertical="center" wrapText="1"/>
    </xf>
    <xf numFmtId="43" fontId="7" fillId="2" borderId="1" xfId="8" applyFont="1" applyFill="1" applyBorder="1" applyAlignment="1" applyProtection="1">
      <alignment horizontal="right" vertical="center"/>
    </xf>
    <xf numFmtId="0" fontId="6" fillId="0" borderId="1" xfId="0" quotePrefix="1" applyFont="1" applyBorder="1" applyAlignment="1">
      <alignment horizontal="left" vertical="center"/>
    </xf>
    <xf numFmtId="169" fontId="7" fillId="0" borderId="1" xfId="0" applyNumberFormat="1" applyFont="1" applyBorder="1" applyAlignment="1">
      <alignment horizontal="center" vertical="center"/>
    </xf>
    <xf numFmtId="0" fontId="6" fillId="7" borderId="1" xfId="0" quotePrefix="1" applyFont="1" applyFill="1" applyBorder="1" applyAlignment="1">
      <alignment horizontal="left" vertical="center"/>
    </xf>
    <xf numFmtId="169" fontId="7" fillId="7" borderId="1" xfId="0" applyNumberFormat="1" applyFont="1" applyFill="1" applyBorder="1" applyAlignment="1">
      <alignment horizontal="center" vertical="center"/>
    </xf>
    <xf numFmtId="3" fontId="7" fillId="7" borderId="1" xfId="0" applyNumberFormat="1" applyFont="1" applyFill="1" applyBorder="1" applyAlignment="1">
      <alignment horizontal="right" vertical="center" wrapText="1"/>
    </xf>
    <xf numFmtId="43" fontId="6" fillId="7" borderId="1" xfId="8" applyFont="1" applyFill="1" applyBorder="1" applyAlignment="1" applyProtection="1">
      <alignment vertical="center" wrapText="1"/>
    </xf>
    <xf numFmtId="43" fontId="6" fillId="7" borderId="17" xfId="8" applyFont="1" applyFill="1" applyBorder="1" applyAlignment="1" applyProtection="1">
      <alignment vertical="center" wrapText="1"/>
    </xf>
    <xf numFmtId="0" fontId="9" fillId="0" borderId="0" xfId="0" applyFont="1" applyAlignment="1">
      <alignment vertical="center"/>
    </xf>
    <xf numFmtId="1" fontId="9" fillId="0" borderId="0" xfId="0" applyNumberFormat="1" applyFont="1" applyAlignment="1">
      <alignment horizontal="center" vertical="center"/>
    </xf>
    <xf numFmtId="3" fontId="9" fillId="0" borderId="0" xfId="0" applyNumberFormat="1" applyFont="1" applyAlignment="1">
      <alignment vertical="center" wrapText="1"/>
    </xf>
    <xf numFmtId="0" fontId="9" fillId="0" borderId="0" xfId="0" applyFont="1" applyAlignment="1">
      <alignment vertical="center" wrapText="1"/>
    </xf>
    <xf numFmtId="1" fontId="5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vertical="center" wrapText="1"/>
    </xf>
    <xf numFmtId="1" fontId="7" fillId="0" borderId="1" xfId="0" applyNumberFormat="1" applyFont="1" applyBorder="1" applyAlignment="1">
      <alignment horizontal="center" vertical="center" wrapText="1"/>
    </xf>
    <xf numFmtId="0" fontId="8" fillId="2" borderId="19" xfId="0" applyFont="1" applyFill="1" applyBorder="1" applyAlignment="1">
      <alignment horizontal="center" vertical="center"/>
    </xf>
    <xf numFmtId="169" fontId="7" fillId="2" borderId="1" xfId="0" applyNumberFormat="1" applyFont="1" applyFill="1" applyBorder="1" applyAlignment="1">
      <alignment vertical="center" wrapText="1"/>
    </xf>
    <xf numFmtId="3" fontId="7" fillId="2" borderId="17" xfId="5" applyNumberFormat="1" applyFont="1" applyFill="1" applyBorder="1" applyAlignment="1">
      <alignment horizontal="center" vertical="center" wrapText="1"/>
    </xf>
    <xf numFmtId="3" fontId="7" fillId="2" borderId="1" xfId="0" applyNumberFormat="1" applyFont="1" applyFill="1" applyBorder="1" applyAlignment="1">
      <alignment horizontal="right" vertical="center" wrapText="1"/>
    </xf>
    <xf numFmtId="3" fontId="7" fillId="0" borderId="13" xfId="0" applyNumberFormat="1" applyFont="1" applyBorder="1" applyAlignment="1" applyProtection="1">
      <alignment vertical="center" wrapText="1"/>
      <protection locked="0"/>
    </xf>
    <xf numFmtId="4" fontId="7" fillId="0" borderId="13" xfId="0" applyNumberFormat="1" applyFont="1" applyBorder="1" applyAlignment="1" applyProtection="1">
      <alignment vertical="center" wrapText="1"/>
      <protection locked="0"/>
    </xf>
    <xf numFmtId="169" fontId="7" fillId="18" borderId="3" xfId="0" applyNumberFormat="1" applyFont="1" applyFill="1" applyBorder="1" applyAlignment="1">
      <alignment vertical="center" wrapText="1"/>
    </xf>
    <xf numFmtId="3" fontId="7" fillId="0" borderId="24" xfId="0" applyNumberFormat="1" applyFont="1" applyBorder="1" applyAlignment="1" applyProtection="1">
      <alignment vertical="center" wrapText="1"/>
      <protection locked="0"/>
    </xf>
    <xf numFmtId="0" fontId="9" fillId="11" borderId="10" xfId="0" applyFont="1" applyFill="1" applyBorder="1" applyAlignment="1">
      <alignment horizontal="left" vertical="center" wrapText="1"/>
    </xf>
    <xf numFmtId="0" fontId="9" fillId="11" borderId="32" xfId="0" applyFont="1" applyFill="1" applyBorder="1" applyAlignment="1">
      <alignment horizontal="left" vertical="center" wrapText="1"/>
    </xf>
    <xf numFmtId="9" fontId="7" fillId="0" borderId="0" xfId="0" applyNumberFormat="1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1" fontId="7" fillId="0" borderId="0" xfId="0" applyNumberFormat="1" applyFont="1" applyAlignment="1" applyProtection="1">
      <alignment horizontal="center" vertical="center" wrapText="1"/>
      <protection locked="0"/>
    </xf>
    <xf numFmtId="0" fontId="6" fillId="11" borderId="45" xfId="0" applyFont="1" applyFill="1" applyBorder="1" applyAlignment="1">
      <alignment horizontal="center" vertical="center" wrapText="1"/>
    </xf>
    <xf numFmtId="0" fontId="6" fillId="11" borderId="60" xfId="0" applyFont="1" applyFill="1" applyBorder="1" applyAlignment="1">
      <alignment horizontal="left" vertical="center"/>
    </xf>
    <xf numFmtId="0" fontId="6" fillId="11" borderId="8" xfId="0" applyFont="1" applyFill="1" applyBorder="1" applyAlignment="1">
      <alignment horizontal="left" vertical="center"/>
    </xf>
    <xf numFmtId="0" fontId="6" fillId="11" borderId="61" xfId="0" applyFont="1" applyFill="1" applyBorder="1" applyAlignment="1">
      <alignment horizontal="left" vertical="center"/>
    </xf>
    <xf numFmtId="9" fontId="7" fillId="0" borderId="21" xfId="0" applyNumberFormat="1" applyFont="1" applyBorder="1" applyAlignment="1">
      <alignment vertical="center"/>
    </xf>
    <xf numFmtId="1" fontId="7" fillId="0" borderId="14" xfId="0" applyNumberFormat="1" applyFont="1" applyBorder="1" applyAlignment="1" applyProtection="1">
      <alignment horizontal="center" vertical="center" wrapText="1"/>
      <protection locked="0"/>
    </xf>
    <xf numFmtId="1" fontId="7" fillId="0" borderId="16" xfId="0" applyNumberFormat="1" applyFont="1" applyBorder="1" applyAlignment="1" applyProtection="1">
      <alignment horizontal="center" vertical="center" wrapText="1"/>
      <protection locked="0"/>
    </xf>
    <xf numFmtId="1" fontId="7" fillId="0" borderId="17" xfId="0" applyNumberFormat="1" applyFont="1" applyBorder="1" applyAlignment="1" applyProtection="1">
      <alignment horizontal="center" vertical="center" wrapText="1"/>
      <protection locked="0"/>
    </xf>
    <xf numFmtId="177" fontId="7" fillId="0" borderId="17" xfId="0" applyNumberFormat="1" applyFont="1" applyBorder="1" applyAlignment="1">
      <alignment horizontal="center" vertical="center" wrapText="1"/>
    </xf>
    <xf numFmtId="177" fontId="7" fillId="0" borderId="17" xfId="0" applyNumberFormat="1" applyFont="1" applyBorder="1" applyAlignment="1" applyProtection="1">
      <alignment horizontal="center" vertical="center" wrapText="1"/>
      <protection locked="0"/>
    </xf>
    <xf numFmtId="177" fontId="7" fillId="0" borderId="0" xfId="0" applyNumberFormat="1" applyFont="1" applyAlignment="1" applyProtection="1">
      <alignment horizontal="center" vertical="center" wrapText="1"/>
      <protection locked="0"/>
    </xf>
    <xf numFmtId="0" fontId="0" fillId="0" borderId="28" xfId="0" applyBorder="1"/>
    <xf numFmtId="177" fontId="7" fillId="2" borderId="15" xfId="0" applyNumberFormat="1" applyFont="1" applyFill="1" applyBorder="1" applyAlignment="1">
      <alignment horizontal="center" vertical="center" wrapText="1"/>
    </xf>
    <xf numFmtId="177" fontId="7" fillId="2" borderId="13" xfId="0" applyNumberFormat="1" applyFont="1" applyFill="1" applyBorder="1" applyAlignment="1">
      <alignment horizontal="center" vertical="center" wrapText="1"/>
    </xf>
    <xf numFmtId="0" fontId="7" fillId="2" borderId="63" xfId="0" applyFont="1" applyFill="1" applyBorder="1" applyAlignment="1">
      <alignment vertical="center" wrapText="1"/>
    </xf>
    <xf numFmtId="0" fontId="7" fillId="2" borderId="7" xfId="0" applyFont="1" applyFill="1" applyBorder="1" applyAlignment="1">
      <alignment vertical="center" wrapText="1"/>
    </xf>
    <xf numFmtId="0" fontId="7" fillId="2" borderId="20" xfId="0" applyFont="1" applyFill="1" applyBorder="1" applyAlignment="1">
      <alignment vertical="center" wrapText="1"/>
    </xf>
    <xf numFmtId="177" fontId="7" fillId="2" borderId="1" xfId="0" applyNumberFormat="1" applyFont="1" applyFill="1" applyBorder="1" applyAlignment="1">
      <alignment vertical="center"/>
    </xf>
    <xf numFmtId="0" fontId="7" fillId="2" borderId="18" xfId="0" applyFont="1" applyFill="1" applyBorder="1" applyAlignment="1">
      <alignment vertical="center" wrapText="1"/>
    </xf>
    <xf numFmtId="0" fontId="6" fillId="0" borderId="4" xfId="0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6" fillId="0" borderId="45" xfId="0" applyFont="1" applyBorder="1" applyAlignment="1" applyProtection="1">
      <alignment horizontal="center" vertical="center"/>
      <protection locked="0"/>
    </xf>
    <xf numFmtId="1" fontId="7" fillId="0" borderId="3" xfId="0" applyNumberFormat="1" applyFont="1" applyBorder="1" applyAlignment="1">
      <alignment horizontal="center" vertical="center" wrapText="1"/>
    </xf>
    <xf numFmtId="1" fontId="7" fillId="0" borderId="19" xfId="0" applyNumberFormat="1" applyFont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>
      <alignment horizontal="left" vertical="center" wrapText="1"/>
    </xf>
    <xf numFmtId="0" fontId="7" fillId="0" borderId="18" xfId="5" applyFont="1" applyBorder="1" applyAlignment="1">
      <alignment vertical="center" wrapText="1"/>
    </xf>
    <xf numFmtId="0" fontId="7" fillId="0" borderId="42" xfId="5" applyFont="1" applyBorder="1" applyAlignment="1">
      <alignment horizontal="center" vertical="center" wrapText="1"/>
    </xf>
    <xf numFmtId="3" fontId="7" fillId="0" borderId="62" xfId="5" applyNumberFormat="1" applyFont="1" applyBorder="1" applyAlignment="1">
      <alignment horizontal="center" vertical="center" wrapText="1"/>
    </xf>
    <xf numFmtId="0" fontId="6" fillId="4" borderId="4" xfId="0" applyFont="1" applyFill="1" applyBorder="1" applyAlignment="1">
      <alignment horizontal="center" vertical="center"/>
    </xf>
    <xf numFmtId="0" fontId="13" fillId="4" borderId="4" xfId="0" applyFont="1" applyFill="1" applyBorder="1" applyAlignment="1">
      <alignment horizontal="center" vertical="center"/>
    </xf>
    <xf numFmtId="0" fontId="13" fillId="4" borderId="2" xfId="0" applyFont="1" applyFill="1" applyBorder="1" applyAlignment="1">
      <alignment horizontal="center" vertical="center"/>
    </xf>
    <xf numFmtId="0" fontId="13" fillId="4" borderId="45" xfId="0" applyFont="1" applyFill="1" applyBorder="1" applyAlignment="1">
      <alignment horizontal="center" vertical="center"/>
    </xf>
    <xf numFmtId="1" fontId="6" fillId="4" borderId="45" xfId="0" applyNumberFormat="1" applyFont="1" applyFill="1" applyBorder="1" applyAlignment="1" applyProtection="1">
      <alignment horizontal="center" vertical="center" wrapText="1"/>
      <protection locked="0"/>
    </xf>
    <xf numFmtId="0" fontId="7" fillId="2" borderId="1" xfId="0" applyFont="1" applyFill="1" applyBorder="1" applyAlignment="1">
      <alignment vertical="center"/>
    </xf>
    <xf numFmtId="1" fontId="7" fillId="2" borderId="1" xfId="0" applyNumberFormat="1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3" fontId="7" fillId="2" borderId="13" xfId="0" applyNumberFormat="1" applyFont="1" applyFill="1" applyBorder="1" applyAlignment="1" applyProtection="1">
      <alignment vertical="center" wrapText="1"/>
      <protection locked="0"/>
    </xf>
    <xf numFmtId="0" fontId="6" fillId="11" borderId="8" xfId="0" applyFont="1" applyFill="1" applyBorder="1" applyAlignment="1">
      <alignment horizontal="left" vertical="center" wrapText="1"/>
    </xf>
    <xf numFmtId="177" fontId="7" fillId="2" borderId="62" xfId="0" applyNumberFormat="1" applyFont="1" applyFill="1" applyBorder="1" applyAlignment="1" applyProtection="1">
      <alignment horizontal="center" vertical="center" wrapText="1"/>
      <protection locked="0"/>
    </xf>
    <xf numFmtId="177" fontId="7" fillId="2" borderId="22" xfId="0" applyNumberFormat="1" applyFont="1" applyFill="1" applyBorder="1" applyAlignment="1" applyProtection="1">
      <alignment horizontal="center" vertical="center" wrapText="1"/>
      <protection locked="0"/>
    </xf>
    <xf numFmtId="169" fontId="7" fillId="18" borderId="1" xfId="0" applyNumberFormat="1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1" fontId="7" fillId="0" borderId="24" xfId="0" applyNumberFormat="1" applyFont="1" applyBorder="1" applyAlignment="1" applyProtection="1">
      <alignment horizontal="center" vertical="center"/>
      <protection locked="0"/>
    </xf>
    <xf numFmtId="1" fontId="7" fillId="0" borderId="13" xfId="0" applyNumberFormat="1" applyFont="1" applyBorder="1" applyAlignment="1" applyProtection="1">
      <alignment horizontal="center" vertical="center"/>
      <protection locked="0"/>
    </xf>
    <xf numFmtId="1" fontId="6" fillId="26" borderId="45" xfId="0" applyNumberFormat="1" applyFont="1" applyFill="1" applyBorder="1" applyAlignment="1" applyProtection="1">
      <alignment horizontal="center" vertical="center" wrapText="1"/>
      <protection locked="0"/>
    </xf>
    <xf numFmtId="0" fontId="6" fillId="4" borderId="12" xfId="0" applyFont="1" applyFill="1" applyBorder="1" applyAlignment="1">
      <alignment horizontal="center" vertical="center" wrapText="1"/>
    </xf>
    <xf numFmtId="0" fontId="0" fillId="4" borderId="12" xfId="0" applyFill="1" applyBorder="1" applyAlignment="1">
      <alignment horizontal="center" vertical="center"/>
    </xf>
    <xf numFmtId="177" fontId="6" fillId="4" borderId="43" xfId="0" applyNumberFormat="1" applyFont="1" applyFill="1" applyBorder="1" applyAlignment="1">
      <alignment horizontal="center" vertical="center" wrapText="1"/>
    </xf>
    <xf numFmtId="1" fontId="6" fillId="4" borderId="2" xfId="0" applyNumberFormat="1" applyFont="1" applyFill="1" applyBorder="1" applyAlignment="1">
      <alignment horizontal="center" vertical="center" wrapText="1"/>
    </xf>
    <xf numFmtId="1" fontId="6" fillId="4" borderId="45" xfId="0" applyNumberFormat="1" applyFont="1" applyFill="1" applyBorder="1" applyAlignment="1" applyProtection="1">
      <alignment horizontal="center" vertical="center"/>
      <protection locked="0"/>
    </xf>
    <xf numFmtId="0" fontId="6" fillId="0" borderId="43" xfId="0" applyFont="1" applyBorder="1" applyAlignment="1">
      <alignment vertical="center" wrapText="1"/>
    </xf>
    <xf numFmtId="0" fontId="6" fillId="0" borderId="11" xfId="0" applyFont="1" applyBorder="1" applyAlignment="1" applyProtection="1">
      <alignment horizontal="center" vertical="center" wrapText="1"/>
      <protection locked="0"/>
    </xf>
    <xf numFmtId="177" fontId="7" fillId="2" borderId="66" xfId="0" applyNumberFormat="1" applyFont="1" applyFill="1" applyBorder="1" applyAlignment="1">
      <alignment horizontal="center" vertical="center" wrapText="1"/>
    </xf>
    <xf numFmtId="1" fontId="7" fillId="0" borderId="53" xfId="0" applyNumberFormat="1" applyFont="1" applyBorder="1" applyAlignment="1">
      <alignment horizontal="center" vertical="center" wrapText="1"/>
    </xf>
    <xf numFmtId="177" fontId="7" fillId="0" borderId="3" xfId="0" applyNumberFormat="1" applyFont="1" applyBorder="1" applyAlignment="1">
      <alignment horizontal="center" vertical="center" wrapText="1"/>
    </xf>
    <xf numFmtId="178" fontId="7" fillId="0" borderId="17" xfId="8" applyNumberFormat="1" applyFont="1" applyBorder="1" applyAlignment="1" applyProtection="1">
      <alignment horizontal="center"/>
      <protection locked="0"/>
    </xf>
    <xf numFmtId="0" fontId="8" fillId="2" borderId="5" xfId="0" applyFont="1" applyFill="1" applyBorder="1" applyAlignment="1">
      <alignment horizontal="left" vertical="center"/>
    </xf>
    <xf numFmtId="0" fontId="4" fillId="8" borderId="1" xfId="0" applyFont="1" applyFill="1" applyBorder="1" applyAlignment="1">
      <alignment vertical="center" wrapText="1"/>
    </xf>
    <xf numFmtId="0" fontId="6" fillId="0" borderId="12" xfId="0" applyFont="1" applyBorder="1" applyAlignment="1" applyProtection="1">
      <alignment horizontal="center" vertical="center" wrapText="1"/>
      <protection locked="0"/>
    </xf>
    <xf numFmtId="0" fontId="6" fillId="4" borderId="52" xfId="0" applyFont="1" applyFill="1" applyBorder="1" applyAlignment="1">
      <alignment vertical="center" wrapText="1"/>
    </xf>
    <xf numFmtId="177" fontId="6" fillId="2" borderId="1" xfId="0" applyNumberFormat="1" applyFont="1" applyFill="1" applyBorder="1" applyAlignment="1">
      <alignment horizontal="center" vertical="center" wrapText="1"/>
    </xf>
    <xf numFmtId="1" fontId="6" fillId="2" borderId="1" xfId="0" applyNumberFormat="1" applyFont="1" applyFill="1" applyBorder="1" applyAlignment="1">
      <alignment horizontal="center" vertical="center" wrapText="1"/>
    </xf>
    <xf numFmtId="1" fontId="0" fillId="0" borderId="0" xfId="0" applyNumberFormat="1"/>
    <xf numFmtId="0" fontId="4" fillId="23" borderId="6" xfId="0" applyFont="1" applyFill="1" applyBorder="1" applyAlignment="1">
      <alignment vertical="center" wrapText="1"/>
    </xf>
    <xf numFmtId="169" fontId="7" fillId="2" borderId="1" xfId="5" applyNumberFormat="1" applyFont="1" applyFill="1" applyBorder="1" applyAlignment="1">
      <alignment horizontal="center" vertical="center" wrapText="1"/>
    </xf>
    <xf numFmtId="0" fontId="6" fillId="8" borderId="7" xfId="5" applyFont="1" applyFill="1" applyBorder="1" applyAlignment="1">
      <alignment horizontal="left" vertical="center" wrapText="1"/>
    </xf>
    <xf numFmtId="0" fontId="6" fillId="8" borderId="1" xfId="5" applyFont="1" applyFill="1" applyBorder="1" applyAlignment="1">
      <alignment horizontal="left" vertical="center" wrapText="1"/>
    </xf>
    <xf numFmtId="167" fontId="6" fillId="15" borderId="62" xfId="7" applyFont="1" applyFill="1" applyBorder="1" applyAlignment="1" applyProtection="1">
      <alignment vertical="center" wrapText="1"/>
    </xf>
    <xf numFmtId="3" fontId="7" fillId="0" borderId="6" xfId="5" applyNumberFormat="1" applyFont="1" applyBorder="1" applyAlignment="1">
      <alignment horizontal="center" vertical="center" wrapText="1"/>
    </xf>
    <xf numFmtId="0" fontId="13" fillId="10" borderId="21" xfId="0" applyFont="1" applyFill="1" applyBorder="1" applyAlignment="1">
      <alignment horizontal="center" vertical="center"/>
    </xf>
    <xf numFmtId="177" fontId="7" fillId="2" borderId="24" xfId="0" applyNumberFormat="1" applyFont="1" applyFill="1" applyBorder="1" applyAlignment="1">
      <alignment horizontal="center" vertical="center" wrapText="1"/>
    </xf>
    <xf numFmtId="0" fontId="7" fillId="0" borderId="8" xfId="5" applyFont="1" applyBorder="1" applyAlignment="1">
      <alignment vertical="center" wrapText="1"/>
    </xf>
    <xf numFmtId="1" fontId="6" fillId="4" borderId="66" xfId="0" applyNumberFormat="1" applyFont="1" applyFill="1" applyBorder="1" applyAlignment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6" fillId="0" borderId="32" xfId="0" applyFont="1" applyBorder="1" applyAlignment="1">
      <alignment horizontal="center" vertical="center" wrapText="1"/>
    </xf>
    <xf numFmtId="3" fontId="6" fillId="8" borderId="0" xfId="5" applyNumberFormat="1" applyFont="1" applyFill="1" applyAlignment="1">
      <alignment horizontal="center" vertical="center" wrapText="1"/>
    </xf>
    <xf numFmtId="42" fontId="0" fillId="0" borderId="0" xfId="0" applyNumberFormat="1"/>
    <xf numFmtId="167" fontId="6" fillId="27" borderId="1" xfId="7" applyFont="1" applyFill="1" applyBorder="1" applyAlignment="1" applyProtection="1">
      <alignment vertical="center" wrapText="1"/>
    </xf>
    <xf numFmtId="167" fontId="6" fillId="27" borderId="17" xfId="7" applyFont="1" applyFill="1" applyBorder="1" applyAlignment="1" applyProtection="1">
      <alignment vertical="center" wrapText="1"/>
    </xf>
    <xf numFmtId="0" fontId="6" fillId="23" borderId="16" xfId="0" applyFont="1" applyFill="1" applyBorder="1" applyAlignment="1">
      <alignment horizontal="center" vertical="center"/>
    </xf>
    <xf numFmtId="0" fontId="0" fillId="2" borderId="0" xfId="0" applyFill="1"/>
    <xf numFmtId="43" fontId="0" fillId="0" borderId="0" xfId="0" applyNumberFormat="1"/>
    <xf numFmtId="4" fontId="6" fillId="8" borderId="1" xfId="5" applyNumberFormat="1" applyFont="1" applyFill="1" applyBorder="1" applyAlignment="1">
      <alignment horizontal="right" vertical="center" wrapText="1"/>
    </xf>
    <xf numFmtId="167" fontId="6" fillId="15" borderId="42" xfId="7" applyFont="1" applyFill="1" applyBorder="1" applyAlignment="1" applyProtection="1">
      <alignment vertical="center" wrapText="1"/>
    </xf>
    <xf numFmtId="0" fontId="2" fillId="3" borderId="9" xfId="0" applyFont="1" applyFill="1" applyBorder="1" applyAlignment="1">
      <alignment horizontal="center" vertical="center"/>
    </xf>
    <xf numFmtId="3" fontId="7" fillId="2" borderId="1" xfId="0" applyNumberFormat="1" applyFont="1" applyFill="1" applyBorder="1" applyAlignment="1">
      <alignment vertical="center" wrapText="1"/>
    </xf>
    <xf numFmtId="0" fontId="2" fillId="3" borderId="30" xfId="0" applyFont="1" applyFill="1" applyBorder="1" applyAlignment="1">
      <alignment horizontal="center" vertical="center"/>
    </xf>
    <xf numFmtId="166" fontId="3" fillId="0" borderId="40" xfId="1" applyNumberFormat="1" applyFont="1" applyBorder="1" applyAlignment="1">
      <alignment vertical="center"/>
    </xf>
    <xf numFmtId="0" fontId="13" fillId="10" borderId="48" xfId="0" applyFont="1" applyFill="1" applyBorder="1" applyAlignment="1">
      <alignment horizontal="center" vertical="center"/>
    </xf>
    <xf numFmtId="167" fontId="6" fillId="16" borderId="1" xfId="7" applyFont="1" applyFill="1" applyBorder="1" applyAlignment="1" applyProtection="1">
      <alignment vertical="center" wrapText="1"/>
    </xf>
    <xf numFmtId="0" fontId="8" fillId="8" borderId="1" xfId="0" applyFont="1" applyFill="1" applyBorder="1"/>
    <xf numFmtId="0" fontId="6" fillId="10" borderId="1" xfId="5" applyFont="1" applyFill="1" applyBorder="1" applyAlignment="1">
      <alignment horizontal="left" vertical="center" wrapText="1"/>
    </xf>
    <xf numFmtId="0" fontId="6" fillId="4" borderId="13" xfId="5" applyFont="1" applyFill="1" applyBorder="1" applyAlignment="1">
      <alignment horizontal="left" vertical="center" wrapText="1"/>
    </xf>
    <xf numFmtId="9" fontId="7" fillId="4" borderId="1" xfId="6" applyFont="1" applyFill="1" applyBorder="1" applyAlignment="1" applyProtection="1">
      <alignment horizontal="center" vertical="center" wrapText="1"/>
    </xf>
    <xf numFmtId="179" fontId="9" fillId="0" borderId="58" xfId="0" applyNumberFormat="1" applyFont="1" applyBorder="1" applyAlignment="1" applyProtection="1">
      <alignment horizontal="center" vertical="center" wrapText="1"/>
      <protection locked="0"/>
    </xf>
    <xf numFmtId="9" fontId="6" fillId="10" borderId="1" xfId="5" applyNumberFormat="1" applyFont="1" applyFill="1" applyBorder="1" applyAlignment="1">
      <alignment horizontal="center" vertical="center" wrapText="1"/>
    </xf>
    <xf numFmtId="3" fontId="7" fillId="0" borderId="47" xfId="5" applyNumberFormat="1" applyFont="1" applyBorder="1" applyAlignment="1">
      <alignment horizontal="center" vertical="center" wrapText="1"/>
    </xf>
    <xf numFmtId="3" fontId="7" fillId="2" borderId="47" xfId="5" applyNumberFormat="1" applyFont="1" applyFill="1" applyBorder="1" applyAlignment="1">
      <alignment horizontal="center" vertical="center" wrapText="1"/>
    </xf>
    <xf numFmtId="0" fontId="6" fillId="25" borderId="10" xfId="0" applyFont="1" applyFill="1" applyBorder="1" applyAlignment="1">
      <alignment horizontal="left" vertical="center" wrapText="1"/>
    </xf>
    <xf numFmtId="0" fontId="6" fillId="25" borderId="32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center" vertical="center" wrapText="1"/>
    </xf>
    <xf numFmtId="0" fontId="7" fillId="2" borderId="23" xfId="0" applyFont="1" applyFill="1" applyBorder="1" applyAlignment="1">
      <alignment vertical="center" wrapText="1"/>
    </xf>
    <xf numFmtId="0" fontId="6" fillId="0" borderId="2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1" fontId="6" fillId="4" borderId="56" xfId="0" applyNumberFormat="1" applyFont="1" applyFill="1" applyBorder="1" applyAlignment="1">
      <alignment horizontal="center" vertical="center" wrapText="1"/>
    </xf>
    <xf numFmtId="1" fontId="6" fillId="25" borderId="4" xfId="0" applyNumberFormat="1" applyFont="1" applyFill="1" applyBorder="1" applyAlignment="1">
      <alignment horizontal="center" vertical="center" wrapText="1"/>
    </xf>
    <xf numFmtId="1" fontId="6" fillId="25" borderId="11" xfId="0" applyNumberFormat="1" applyFont="1" applyFill="1" applyBorder="1" applyAlignment="1">
      <alignment horizontal="center" vertical="center" wrapText="1"/>
    </xf>
    <xf numFmtId="0" fontId="6" fillId="4" borderId="6" xfId="0" applyFont="1" applyFill="1" applyBorder="1" applyAlignment="1">
      <alignment horizontal="center" wrapText="1"/>
    </xf>
    <xf numFmtId="0" fontId="6" fillId="4" borderId="34" xfId="0" applyFont="1" applyFill="1" applyBorder="1" applyAlignment="1">
      <alignment horizontal="center" vertical="center" wrapText="1"/>
    </xf>
    <xf numFmtId="177" fontId="7" fillId="0" borderId="19" xfId="0" applyNumberFormat="1" applyFont="1" applyBorder="1" applyAlignment="1">
      <alignment horizontal="center" vertical="center" wrapText="1"/>
    </xf>
    <xf numFmtId="1" fontId="6" fillId="2" borderId="17" xfId="0" applyNumberFormat="1" applyFont="1" applyFill="1" applyBorder="1" applyAlignment="1">
      <alignment horizontal="center" vertical="center" wrapText="1"/>
    </xf>
    <xf numFmtId="1" fontId="6" fillId="4" borderId="57" xfId="0" applyNumberFormat="1" applyFont="1" applyFill="1" applyBorder="1" applyAlignment="1">
      <alignment horizontal="center" vertical="center" wrapText="1"/>
    </xf>
    <xf numFmtId="0" fontId="7" fillId="0" borderId="0" xfId="5" applyFont="1" applyAlignment="1">
      <alignment vertical="center" wrapText="1"/>
    </xf>
    <xf numFmtId="0" fontId="7" fillId="0" borderId="0" xfId="5" applyFont="1" applyAlignment="1">
      <alignment horizontal="center" vertical="center" wrapText="1"/>
    </xf>
    <xf numFmtId="0" fontId="6" fillId="0" borderId="10" xfId="5" applyFont="1" applyBorder="1" applyAlignment="1">
      <alignment vertical="center" wrapText="1"/>
    </xf>
    <xf numFmtId="0" fontId="7" fillId="0" borderId="2" xfId="5" applyFont="1" applyBorder="1" applyAlignment="1">
      <alignment horizontal="center" vertical="center" wrapText="1"/>
    </xf>
    <xf numFmtId="3" fontId="7" fillId="2" borderId="0" xfId="5" applyNumberFormat="1" applyFont="1" applyFill="1" applyAlignment="1">
      <alignment horizontal="center" vertical="center" wrapText="1"/>
    </xf>
    <xf numFmtId="0" fontId="8" fillId="0" borderId="1" xfId="0" applyFont="1" applyBorder="1" applyAlignment="1">
      <alignment horizontal="center"/>
    </xf>
    <xf numFmtId="0" fontId="7" fillId="0" borderId="5" xfId="5" applyFont="1" applyBorder="1" applyAlignment="1">
      <alignment vertical="center" wrapText="1"/>
    </xf>
    <xf numFmtId="0" fontId="7" fillId="0" borderId="6" xfId="5" applyFont="1" applyBorder="1" applyAlignment="1">
      <alignment horizontal="center" vertical="center" wrapText="1"/>
    </xf>
    <xf numFmtId="3" fontId="7" fillId="0" borderId="46" xfId="5" applyNumberFormat="1" applyFont="1" applyBorder="1" applyAlignment="1">
      <alignment horizontal="center" vertical="center" wrapText="1"/>
    </xf>
    <xf numFmtId="3" fontId="8" fillId="0" borderId="17" xfId="0" applyNumberFormat="1" applyFont="1" applyBorder="1" applyAlignment="1">
      <alignment horizontal="center"/>
    </xf>
    <xf numFmtId="3" fontId="6" fillId="2" borderId="2" xfId="5" applyNumberFormat="1" applyFont="1" applyFill="1" applyBorder="1" applyAlignment="1">
      <alignment horizontal="center" vertical="center" wrapText="1"/>
    </xf>
    <xf numFmtId="3" fontId="6" fillId="2" borderId="45" xfId="5" applyNumberFormat="1" applyFont="1" applyFill="1" applyBorder="1" applyAlignment="1">
      <alignment horizontal="center" vertical="center" wrapText="1"/>
    </xf>
    <xf numFmtId="0" fontId="6" fillId="10" borderId="13" xfId="5" applyFont="1" applyFill="1" applyBorder="1" applyAlignment="1">
      <alignment horizontal="left" vertical="center" wrapText="1"/>
    </xf>
    <xf numFmtId="0" fontId="4" fillId="16" borderId="1" xfId="0" applyFont="1" applyFill="1" applyBorder="1" applyAlignment="1">
      <alignment horizontal="left" vertical="center"/>
    </xf>
    <xf numFmtId="1" fontId="7" fillId="0" borderId="57" xfId="0" applyNumberFormat="1" applyFont="1" applyBorder="1" applyAlignment="1" applyProtection="1">
      <alignment horizontal="center" vertical="center"/>
      <protection locked="0"/>
    </xf>
    <xf numFmtId="180" fontId="0" fillId="0" borderId="0" xfId="0" applyNumberFormat="1"/>
    <xf numFmtId="0" fontId="4" fillId="4" borderId="4" xfId="0" applyFont="1" applyFill="1" applyBorder="1"/>
    <xf numFmtId="0" fontId="4" fillId="4" borderId="2" xfId="0" applyFont="1" applyFill="1" applyBorder="1"/>
    <xf numFmtId="1" fontId="4" fillId="4" borderId="45" xfId="0" applyNumberFormat="1" applyFont="1" applyFill="1" applyBorder="1" applyAlignment="1">
      <alignment horizontal="center"/>
    </xf>
    <xf numFmtId="43" fontId="7" fillId="0" borderId="1" xfId="8" quotePrefix="1" applyFont="1" applyFill="1" applyBorder="1" applyAlignment="1" applyProtection="1">
      <alignment vertical="center" wrapText="1"/>
    </xf>
    <xf numFmtId="43" fontId="4" fillId="16" borderId="1" xfId="0" applyNumberFormat="1" applyFont="1" applyFill="1" applyBorder="1" applyAlignment="1">
      <alignment horizontal="left" vertical="center"/>
    </xf>
    <xf numFmtId="0" fontId="7" fillId="0" borderId="72" xfId="0" applyFont="1" applyBorder="1" applyAlignment="1">
      <alignment vertical="center" wrapText="1"/>
    </xf>
    <xf numFmtId="1" fontId="6" fillId="2" borderId="55" xfId="0" applyNumberFormat="1" applyFont="1" applyFill="1" applyBorder="1" applyAlignment="1" applyProtection="1">
      <alignment horizontal="center" vertical="center" wrapText="1"/>
      <protection locked="0"/>
    </xf>
    <xf numFmtId="1" fontId="7" fillId="0" borderId="42" xfId="0" applyNumberFormat="1" applyFont="1" applyBorder="1" applyAlignment="1">
      <alignment horizontal="center" vertical="center" wrapText="1"/>
    </xf>
    <xf numFmtId="1" fontId="7" fillId="0" borderId="64" xfId="0" applyNumberFormat="1" applyFont="1" applyBorder="1" applyAlignment="1" applyProtection="1">
      <alignment horizontal="center" vertical="center"/>
      <protection locked="0"/>
    </xf>
    <xf numFmtId="177" fontId="6" fillId="0" borderId="2" xfId="0" applyNumberFormat="1" applyFont="1" applyBorder="1" applyAlignment="1">
      <alignment horizontal="center" vertical="center" wrapText="1"/>
    </xf>
    <xf numFmtId="1" fontId="6" fillId="0" borderId="2" xfId="0" applyNumberFormat="1" applyFont="1" applyBorder="1" applyAlignment="1" applyProtection="1">
      <alignment horizontal="center" vertical="center"/>
      <protection locked="0"/>
    </xf>
    <xf numFmtId="1" fontId="6" fillId="0" borderId="45" xfId="0" applyNumberFormat="1" applyFont="1" applyBorder="1" applyAlignment="1" applyProtection="1">
      <alignment horizontal="center" vertical="center"/>
      <protection locked="0"/>
    </xf>
    <xf numFmtId="0" fontId="6" fillId="0" borderId="44" xfId="0" applyFont="1" applyBorder="1" applyAlignment="1">
      <alignment vertical="center" wrapText="1"/>
    </xf>
    <xf numFmtId="0" fontId="7" fillId="0" borderId="14" xfId="0" applyFont="1" applyBorder="1" applyAlignment="1">
      <alignment vertical="center" wrapText="1"/>
    </xf>
    <xf numFmtId="0" fontId="7" fillId="0" borderId="71" xfId="0" applyFont="1" applyBorder="1" applyAlignment="1">
      <alignment vertical="center" wrapText="1"/>
    </xf>
    <xf numFmtId="177" fontId="7" fillId="2" borderId="17" xfId="0" applyNumberFormat="1" applyFont="1" applyFill="1" applyBorder="1" applyAlignment="1">
      <alignment horizontal="center" vertical="center" wrapText="1"/>
    </xf>
    <xf numFmtId="177" fontId="7" fillId="2" borderId="57" xfId="0" applyNumberFormat="1" applyFont="1" applyFill="1" applyBorder="1" applyAlignment="1">
      <alignment horizontal="center" vertical="center" wrapText="1"/>
    </xf>
    <xf numFmtId="177" fontId="7" fillId="2" borderId="62" xfId="0" applyNumberFormat="1" applyFont="1" applyFill="1" applyBorder="1" applyAlignment="1">
      <alignment horizontal="center" vertical="center" wrapText="1"/>
    </xf>
    <xf numFmtId="177" fontId="7" fillId="2" borderId="22" xfId="0" applyNumberFormat="1" applyFont="1" applyFill="1" applyBorder="1" applyAlignment="1">
      <alignment horizontal="center" vertical="center" wrapText="1"/>
    </xf>
    <xf numFmtId="0" fontId="4" fillId="0" borderId="32" xfId="0" applyFont="1" applyBorder="1"/>
    <xf numFmtId="0" fontId="4" fillId="0" borderId="10" xfId="0" applyFont="1" applyBorder="1"/>
    <xf numFmtId="0" fontId="7" fillId="0" borderId="23" xfId="5" applyFont="1" applyBorder="1" applyAlignment="1">
      <alignment vertical="center" wrapText="1"/>
    </xf>
    <xf numFmtId="0" fontId="7" fillId="0" borderId="3" xfId="5" applyFont="1" applyBorder="1" applyAlignment="1">
      <alignment horizontal="center" vertical="center" wrapText="1"/>
    </xf>
    <xf numFmtId="3" fontId="7" fillId="0" borderId="3" xfId="5" applyNumberFormat="1" applyFont="1" applyBorder="1" applyAlignment="1">
      <alignment horizontal="center" vertical="center" wrapText="1"/>
    </xf>
    <xf numFmtId="3" fontId="7" fillId="0" borderId="26" xfId="5" applyNumberFormat="1" applyFont="1" applyBorder="1" applyAlignment="1">
      <alignment horizontal="center" vertical="center" wrapText="1"/>
    </xf>
    <xf numFmtId="3" fontId="8" fillId="2" borderId="1" xfId="0" applyNumberFormat="1" applyFont="1" applyFill="1" applyBorder="1" applyAlignment="1">
      <alignment horizontal="center"/>
    </xf>
    <xf numFmtId="165" fontId="0" fillId="0" borderId="0" xfId="0" applyNumberFormat="1"/>
    <xf numFmtId="165" fontId="21" fillId="0" borderId="12" xfId="0" applyNumberFormat="1" applyFont="1" applyBorder="1"/>
    <xf numFmtId="0" fontId="21" fillId="4" borderId="12" xfId="0" applyFont="1" applyFill="1" applyBorder="1" applyAlignment="1">
      <alignment horizontal="center"/>
    </xf>
    <xf numFmtId="0" fontId="22" fillId="4" borderId="4" xfId="0" applyFont="1" applyFill="1" applyBorder="1" applyAlignment="1">
      <alignment horizontal="center"/>
    </xf>
    <xf numFmtId="0" fontId="22" fillId="4" borderId="2" xfId="0" applyFont="1" applyFill="1" applyBorder="1" applyAlignment="1">
      <alignment horizontal="center"/>
    </xf>
    <xf numFmtId="0" fontId="22" fillId="4" borderId="43" xfId="0" applyFont="1" applyFill="1" applyBorder="1" applyAlignment="1">
      <alignment horizontal="center" wrapText="1"/>
    </xf>
    <xf numFmtId="0" fontId="22" fillId="4" borderId="45" xfId="0" applyFont="1" applyFill="1" applyBorder="1" applyAlignment="1">
      <alignment horizontal="center"/>
    </xf>
    <xf numFmtId="0" fontId="23" fillId="0" borderId="23" xfId="0" applyFont="1" applyBorder="1"/>
    <xf numFmtId="0" fontId="23" fillId="0" borderId="3" xfId="0" applyFont="1" applyBorder="1" applyAlignment="1">
      <alignment horizontal="center"/>
    </xf>
    <xf numFmtId="0" fontId="23" fillId="0" borderId="24" xfId="0" applyFont="1" applyBorder="1" applyAlignment="1">
      <alignment horizontal="center"/>
    </xf>
    <xf numFmtId="165" fontId="23" fillId="0" borderId="19" xfId="0" applyNumberFormat="1" applyFont="1" applyBorder="1" applyAlignment="1">
      <alignment horizontal="right"/>
    </xf>
    <xf numFmtId="0" fontId="23" fillId="0" borderId="7" xfId="0" applyFont="1" applyBorder="1"/>
    <xf numFmtId="0" fontId="23" fillId="0" borderId="1" xfId="0" applyFont="1" applyBorder="1" applyAlignment="1">
      <alignment horizontal="center"/>
    </xf>
    <xf numFmtId="0" fontId="23" fillId="0" borderId="13" xfId="0" applyFont="1" applyBorder="1" applyAlignment="1">
      <alignment horizontal="center"/>
    </xf>
    <xf numFmtId="165" fontId="23" fillId="0" borderId="17" xfId="0" applyNumberFormat="1" applyFont="1" applyBorder="1" applyAlignment="1">
      <alignment horizontal="right"/>
    </xf>
    <xf numFmtId="0" fontId="22" fillId="26" borderId="18" xfId="0" applyFont="1" applyFill="1" applyBorder="1"/>
    <xf numFmtId="0" fontId="23" fillId="26" borderId="42" xfId="0" applyFont="1" applyFill="1" applyBorder="1" applyAlignment="1">
      <alignment horizontal="center"/>
    </xf>
    <xf numFmtId="0" fontId="23" fillId="26" borderId="64" xfId="0" applyFont="1" applyFill="1" applyBorder="1" applyAlignment="1">
      <alignment horizontal="center"/>
    </xf>
    <xf numFmtId="165" fontId="23" fillId="26" borderId="62" xfId="0" applyNumberFormat="1" applyFont="1" applyFill="1" applyBorder="1" applyAlignment="1">
      <alignment horizontal="right"/>
    </xf>
    <xf numFmtId="0" fontId="23" fillId="0" borderId="18" xfId="0" applyFont="1" applyBorder="1"/>
    <xf numFmtId="0" fontId="23" fillId="0" borderId="42" xfId="0" applyFont="1" applyBorder="1" applyAlignment="1">
      <alignment horizontal="center"/>
    </xf>
    <xf numFmtId="165" fontId="23" fillId="0" borderId="64" xfId="0" applyNumberFormat="1" applyFont="1" applyBorder="1" applyAlignment="1">
      <alignment horizontal="center"/>
    </xf>
    <xf numFmtId="165" fontId="23" fillId="0" borderId="62" xfId="0" applyNumberFormat="1" applyFont="1" applyBorder="1" applyAlignment="1">
      <alignment horizontal="right"/>
    </xf>
    <xf numFmtId="0" fontId="22" fillId="28" borderId="18" xfId="0" applyFont="1" applyFill="1" applyBorder="1"/>
    <xf numFmtId="0" fontId="22" fillId="28" borderId="42" xfId="0" applyFont="1" applyFill="1" applyBorder="1" applyAlignment="1">
      <alignment horizontal="center"/>
    </xf>
    <xf numFmtId="165" fontId="22" fillId="28" borderId="64" xfId="0" applyNumberFormat="1" applyFont="1" applyFill="1" applyBorder="1" applyAlignment="1">
      <alignment horizontal="center"/>
    </xf>
    <xf numFmtId="165" fontId="22" fillId="28" borderId="62" xfId="0" applyNumberFormat="1" applyFont="1" applyFill="1" applyBorder="1" applyAlignment="1">
      <alignment horizontal="right"/>
    </xf>
    <xf numFmtId="9" fontId="23" fillId="0" borderId="42" xfId="0" applyNumberFormat="1" applyFont="1" applyBorder="1" applyAlignment="1">
      <alignment horizontal="center"/>
    </xf>
    <xf numFmtId="0" fontId="23" fillId="0" borderId="64" xfId="0" applyFont="1" applyBorder="1" applyAlignment="1">
      <alignment horizontal="center"/>
    </xf>
    <xf numFmtId="0" fontId="22" fillId="4" borderId="4" xfId="0" applyFont="1" applyFill="1" applyBorder="1"/>
    <xf numFmtId="0" fontId="22" fillId="4" borderId="43" xfId="0" applyFont="1" applyFill="1" applyBorder="1" applyAlignment="1">
      <alignment horizontal="center"/>
    </xf>
    <xf numFmtId="165" fontId="22" fillId="4" borderId="45" xfId="0" applyNumberFormat="1" applyFont="1" applyFill="1" applyBorder="1" applyAlignment="1">
      <alignment horizontal="right"/>
    </xf>
    <xf numFmtId="0" fontId="8" fillId="2" borderId="51" xfId="0" applyFont="1" applyFill="1" applyBorder="1" applyAlignment="1">
      <alignment horizontal="center" vertical="center"/>
    </xf>
    <xf numFmtId="3" fontId="4" fillId="0" borderId="32" xfId="0" applyNumberFormat="1" applyFont="1" applyBorder="1" applyAlignment="1">
      <alignment horizontal="center"/>
    </xf>
    <xf numFmtId="0" fontId="13" fillId="23" borderId="56" xfId="0" applyFont="1" applyFill="1" applyBorder="1" applyAlignment="1">
      <alignment vertical="center" wrapText="1"/>
    </xf>
    <xf numFmtId="0" fontId="11" fillId="23" borderId="57" xfId="0" applyFont="1" applyFill="1" applyBorder="1" applyAlignment="1">
      <alignment horizontal="center" vertical="center"/>
    </xf>
    <xf numFmtId="0" fontId="6" fillId="16" borderId="1" xfId="5" applyFont="1" applyFill="1" applyBorder="1" applyAlignment="1">
      <alignment vertical="center" wrapText="1"/>
    </xf>
    <xf numFmtId="0" fontId="3" fillId="16" borderId="1" xfId="0" applyFont="1" applyFill="1" applyBorder="1"/>
    <xf numFmtId="9" fontId="3" fillId="16" borderId="1" xfId="0" applyNumberFormat="1" applyFont="1" applyFill="1" applyBorder="1"/>
    <xf numFmtId="0" fontId="2" fillId="16" borderId="1" xfId="0" applyFont="1" applyFill="1" applyBorder="1" applyAlignment="1">
      <alignment horizontal="center" vertical="center" wrapText="1"/>
    </xf>
    <xf numFmtId="0" fontId="9" fillId="16" borderId="1" xfId="0" applyFont="1" applyFill="1" applyBorder="1" applyAlignment="1">
      <alignment horizontal="center" vertical="center"/>
    </xf>
    <xf numFmtId="0" fontId="2" fillId="16" borderId="1" xfId="0" applyFont="1" applyFill="1" applyBorder="1" applyAlignment="1">
      <alignment horizontal="center" vertical="center"/>
    </xf>
    <xf numFmtId="0" fontId="6" fillId="23" borderId="8" xfId="0" applyFont="1" applyFill="1" applyBorder="1" applyAlignment="1">
      <alignment horizontal="left" vertical="center"/>
    </xf>
    <xf numFmtId="0" fontId="6" fillId="23" borderId="9" xfId="0" applyFont="1" applyFill="1" applyBorder="1" applyAlignment="1">
      <alignment horizontal="left" vertical="center"/>
    </xf>
    <xf numFmtId="0" fontId="6" fillId="23" borderId="14" xfId="0" applyFont="1" applyFill="1" applyBorder="1" applyAlignment="1">
      <alignment horizontal="left" vertical="center"/>
    </xf>
    <xf numFmtId="167" fontId="6" fillId="23" borderId="1" xfId="7" applyFont="1" applyFill="1" applyBorder="1" applyAlignment="1" applyProtection="1">
      <alignment vertical="center" wrapText="1"/>
    </xf>
    <xf numFmtId="167" fontId="6" fillId="23" borderId="17" xfId="7" applyFont="1" applyFill="1" applyBorder="1" applyAlignment="1" applyProtection="1">
      <alignment vertical="center" wrapText="1"/>
    </xf>
    <xf numFmtId="0" fontId="7" fillId="0" borderId="13" xfId="5" applyFont="1" applyBorder="1" applyAlignment="1">
      <alignment horizontal="center" vertical="center" wrapText="1"/>
    </xf>
    <xf numFmtId="0" fontId="7" fillId="0" borderId="64" xfId="5" applyFont="1" applyBorder="1" applyAlignment="1">
      <alignment horizontal="center" vertical="center" wrapText="1"/>
    </xf>
    <xf numFmtId="0" fontId="7" fillId="0" borderId="40" xfId="5" applyFont="1" applyBorder="1" applyAlignment="1">
      <alignment horizontal="center" vertical="center" wrapText="1"/>
    </xf>
    <xf numFmtId="0" fontId="8" fillId="2" borderId="75" xfId="0" applyFont="1" applyFill="1" applyBorder="1" applyAlignment="1">
      <alignment horizontal="center" vertical="center"/>
    </xf>
    <xf numFmtId="3" fontId="7" fillId="0" borderId="9" xfId="5" applyNumberFormat="1" applyFont="1" applyBorder="1" applyAlignment="1">
      <alignment horizontal="center" vertical="center" wrapText="1"/>
    </xf>
    <xf numFmtId="3" fontId="7" fillId="2" borderId="9" xfId="5" applyNumberFormat="1" applyFont="1" applyFill="1" applyBorder="1" applyAlignment="1">
      <alignment horizontal="center" vertical="center" wrapText="1"/>
    </xf>
    <xf numFmtId="3" fontId="7" fillId="0" borderId="41" xfId="5" applyNumberFormat="1" applyFont="1" applyBorder="1" applyAlignment="1">
      <alignment horizontal="center" vertical="center" wrapText="1"/>
    </xf>
    <xf numFmtId="3" fontId="7" fillId="0" borderId="76" xfId="5" applyNumberFormat="1" applyFont="1" applyBorder="1" applyAlignment="1">
      <alignment horizontal="center" vertical="center" wrapText="1"/>
    </xf>
    <xf numFmtId="0" fontId="6" fillId="2" borderId="44" xfId="0" applyFont="1" applyFill="1" applyBorder="1" applyAlignment="1">
      <alignment horizontal="left" vertical="center" wrapText="1"/>
    </xf>
    <xf numFmtId="0" fontId="7" fillId="2" borderId="14" xfId="0" applyFont="1" applyFill="1" applyBorder="1" applyAlignment="1">
      <alignment vertical="center" wrapText="1"/>
    </xf>
    <xf numFmtId="0" fontId="7" fillId="2" borderId="73" xfId="0" applyFont="1" applyFill="1" applyBorder="1" applyAlignment="1">
      <alignment vertical="center" wrapText="1"/>
    </xf>
    <xf numFmtId="0" fontId="7" fillId="2" borderId="77" xfId="0" applyFont="1" applyFill="1" applyBorder="1" applyAlignment="1">
      <alignment vertical="center" wrapText="1"/>
    </xf>
    <xf numFmtId="0" fontId="6" fillId="4" borderId="44" xfId="0" applyFont="1" applyFill="1" applyBorder="1" applyAlignment="1">
      <alignment vertical="center" wrapText="1"/>
    </xf>
    <xf numFmtId="0" fontId="13" fillId="10" borderId="10" xfId="0" applyFont="1" applyFill="1" applyBorder="1" applyAlignment="1">
      <alignment horizontal="center" vertical="center"/>
    </xf>
    <xf numFmtId="0" fontId="2" fillId="0" borderId="45" xfId="0" applyFont="1" applyBorder="1"/>
    <xf numFmtId="0" fontId="13" fillId="10" borderId="12" xfId="0" applyFont="1" applyFill="1" applyBorder="1" applyAlignment="1">
      <alignment horizontal="center" vertical="center"/>
    </xf>
    <xf numFmtId="44" fontId="7" fillId="2" borderId="17" xfId="7" applyNumberFormat="1" applyFont="1" applyFill="1" applyBorder="1" applyAlignment="1" applyProtection="1">
      <alignment vertical="center" wrapText="1"/>
    </xf>
    <xf numFmtId="0" fontId="6" fillId="23" borderId="1" xfId="0" applyFont="1" applyFill="1" applyBorder="1" applyAlignment="1">
      <alignment horizontal="left" vertical="center"/>
    </xf>
    <xf numFmtId="3" fontId="7" fillId="0" borderId="42" xfId="5" applyNumberFormat="1" applyFont="1" applyBorder="1" applyAlignment="1">
      <alignment horizontal="center" vertical="center" wrapText="1"/>
    </xf>
    <xf numFmtId="3" fontId="4" fillId="0" borderId="12" xfId="0" applyNumberFormat="1" applyFont="1" applyBorder="1" applyAlignment="1">
      <alignment horizontal="center"/>
    </xf>
    <xf numFmtId="0" fontId="21" fillId="0" borderId="0" xfId="0" applyFont="1"/>
    <xf numFmtId="165" fontId="24" fillId="0" borderId="0" xfId="0" applyNumberFormat="1" applyFont="1"/>
    <xf numFmtId="165" fontId="23" fillId="0" borderId="0" xfId="0" applyNumberFormat="1" applyFont="1"/>
    <xf numFmtId="44" fontId="0" fillId="0" borderId="0" xfId="0" applyNumberFormat="1"/>
    <xf numFmtId="0" fontId="0" fillId="0" borderId="0" xfId="0" applyAlignment="1">
      <alignment horizontal="left"/>
    </xf>
    <xf numFmtId="0" fontId="3" fillId="0" borderId="19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1" fontId="3" fillId="0" borderId="17" xfId="0" applyNumberFormat="1" applyFont="1" applyBorder="1" applyAlignment="1">
      <alignment horizontal="center"/>
    </xf>
    <xf numFmtId="0" fontId="3" fillId="0" borderId="62" xfId="0" applyFont="1" applyBorder="1" applyAlignment="1">
      <alignment horizontal="center"/>
    </xf>
    <xf numFmtId="1" fontId="2" fillId="0" borderId="12" xfId="0" applyNumberFormat="1" applyFont="1" applyBorder="1" applyAlignment="1">
      <alignment horizontal="center"/>
    </xf>
    <xf numFmtId="3" fontId="25" fillId="0" borderId="1" xfId="0" applyNumberFormat="1" applyFont="1" applyBorder="1" applyAlignment="1" applyProtection="1">
      <alignment horizontal="center" vertical="center" wrapText="1"/>
      <protection locked="0"/>
    </xf>
    <xf numFmtId="43" fontId="0" fillId="0" borderId="0" xfId="8" applyFont="1"/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6" fillId="4" borderId="32" xfId="0" applyFont="1" applyFill="1" applyBorder="1" applyAlignment="1">
      <alignment horizontal="left" vertical="center" wrapText="1"/>
    </xf>
    <xf numFmtId="0" fontId="6" fillId="4" borderId="11" xfId="0" applyFont="1" applyFill="1" applyBorder="1" applyAlignment="1">
      <alignment horizontal="left" vertical="center" wrapText="1"/>
    </xf>
    <xf numFmtId="0" fontId="21" fillId="0" borderId="32" xfId="0" applyFont="1" applyBorder="1" applyAlignment="1">
      <alignment horizontal="center" wrapText="1"/>
    </xf>
    <xf numFmtId="0" fontId="21" fillId="0" borderId="11" xfId="0" applyFont="1" applyBorder="1" applyAlignment="1">
      <alignment horizontal="center" wrapText="1"/>
    </xf>
    <xf numFmtId="0" fontId="21" fillId="0" borderId="10" xfId="0" applyFont="1" applyBorder="1" applyAlignment="1">
      <alignment horizontal="center"/>
    </xf>
    <xf numFmtId="0" fontId="21" fillId="0" borderId="32" xfId="0" applyFont="1" applyBorder="1" applyAlignment="1">
      <alignment horizontal="center"/>
    </xf>
    <xf numFmtId="0" fontId="21" fillId="0" borderId="11" xfId="0" applyFont="1" applyBorder="1" applyAlignment="1">
      <alignment horizontal="center"/>
    </xf>
    <xf numFmtId="0" fontId="5" fillId="18" borderId="10" xfId="5" applyFill="1" applyBorder="1" applyAlignment="1">
      <alignment horizontal="center"/>
    </xf>
    <xf numFmtId="0" fontId="5" fillId="18" borderId="32" xfId="5" applyFill="1" applyBorder="1" applyAlignment="1">
      <alignment horizontal="center"/>
    </xf>
    <xf numFmtId="0" fontId="5" fillId="18" borderId="11" xfId="5" applyFill="1" applyBorder="1" applyAlignment="1">
      <alignment horizontal="center"/>
    </xf>
    <xf numFmtId="0" fontId="5" fillId="9" borderId="10" xfId="5" applyFill="1" applyBorder="1" applyAlignment="1">
      <alignment horizontal="center"/>
    </xf>
    <xf numFmtId="0" fontId="5" fillId="9" borderId="32" xfId="5" applyFill="1" applyBorder="1" applyAlignment="1">
      <alignment horizontal="center"/>
    </xf>
    <xf numFmtId="0" fontId="5" fillId="9" borderId="11" xfId="5" applyFill="1" applyBorder="1" applyAlignment="1">
      <alignment horizontal="center"/>
    </xf>
    <xf numFmtId="0" fontId="6" fillId="15" borderId="8" xfId="5" applyFont="1" applyFill="1" applyBorder="1" applyAlignment="1">
      <alignment horizontal="left" vertical="center" wrapText="1"/>
    </xf>
    <xf numFmtId="0" fontId="6" fillId="15" borderId="9" xfId="5" applyFont="1" applyFill="1" applyBorder="1" applyAlignment="1">
      <alignment horizontal="left" vertical="center" wrapText="1"/>
    </xf>
    <xf numFmtId="0" fontId="6" fillId="15" borderId="14" xfId="5" applyFont="1" applyFill="1" applyBorder="1" applyAlignment="1">
      <alignment horizontal="left" vertical="center" wrapText="1"/>
    </xf>
    <xf numFmtId="0" fontId="13" fillId="10" borderId="49" xfId="0" applyFont="1" applyFill="1" applyBorder="1" applyAlignment="1">
      <alignment horizontal="center" vertical="center"/>
    </xf>
    <xf numFmtId="0" fontId="13" fillId="10" borderId="63" xfId="0" applyFont="1" applyFill="1" applyBorder="1" applyAlignment="1">
      <alignment horizontal="center" vertical="center"/>
    </xf>
    <xf numFmtId="0" fontId="13" fillId="10" borderId="52" xfId="0" applyFont="1" applyFill="1" applyBorder="1" applyAlignment="1">
      <alignment horizontal="center" vertical="center"/>
    </xf>
    <xf numFmtId="0" fontId="13" fillId="10" borderId="67" xfId="0" applyFont="1" applyFill="1" applyBorder="1" applyAlignment="1">
      <alignment horizontal="center" vertical="center"/>
    </xf>
    <xf numFmtId="0" fontId="13" fillId="10" borderId="15" xfId="0" applyFont="1" applyFill="1" applyBorder="1" applyAlignment="1">
      <alignment horizontal="center" vertical="center"/>
    </xf>
    <xf numFmtId="0" fontId="13" fillId="10" borderId="66" xfId="0" applyFont="1" applyFill="1" applyBorder="1" applyAlignment="1">
      <alignment horizontal="center" vertical="center"/>
    </xf>
    <xf numFmtId="0" fontId="2" fillId="10" borderId="10" xfId="0" applyFont="1" applyFill="1" applyBorder="1" applyAlignment="1">
      <alignment horizontal="center"/>
    </xf>
    <xf numFmtId="0" fontId="2" fillId="10" borderId="32" xfId="0" applyFont="1" applyFill="1" applyBorder="1" applyAlignment="1">
      <alignment horizontal="center"/>
    </xf>
    <xf numFmtId="0" fontId="2" fillId="10" borderId="11" xfId="0" applyFont="1" applyFill="1" applyBorder="1" applyAlignment="1">
      <alignment horizontal="center"/>
    </xf>
    <xf numFmtId="0" fontId="2" fillId="10" borderId="29" xfId="0" applyFont="1" applyFill="1" applyBorder="1" applyAlignment="1">
      <alignment horizontal="center" vertical="center" wrapText="1"/>
    </xf>
    <xf numFmtId="0" fontId="2" fillId="10" borderId="30" xfId="0" applyFont="1" applyFill="1" applyBorder="1" applyAlignment="1">
      <alignment horizontal="center" vertical="center" wrapText="1"/>
    </xf>
    <xf numFmtId="0" fontId="2" fillId="10" borderId="31" xfId="0" applyFont="1" applyFill="1" applyBorder="1" applyAlignment="1">
      <alignment horizontal="center" vertical="center" wrapText="1"/>
    </xf>
    <xf numFmtId="0" fontId="2" fillId="10" borderId="35" xfId="0" applyFont="1" applyFill="1" applyBorder="1" applyAlignment="1">
      <alignment horizontal="center" vertical="center" wrapText="1"/>
    </xf>
    <xf numFmtId="0" fontId="2" fillId="10" borderId="28" xfId="0" applyFont="1" applyFill="1" applyBorder="1" applyAlignment="1">
      <alignment horizontal="center" vertical="center" wrapText="1"/>
    </xf>
    <xf numFmtId="0" fontId="2" fillId="10" borderId="36" xfId="0" applyFont="1" applyFill="1" applyBorder="1" applyAlignment="1">
      <alignment horizontal="center" vertical="center" wrapText="1"/>
    </xf>
    <xf numFmtId="0" fontId="6" fillId="0" borderId="8" xfId="5" quotePrefix="1" applyFont="1" applyBorder="1" applyAlignment="1">
      <alignment horizontal="left" vertical="center" wrapText="1"/>
    </xf>
    <xf numFmtId="0" fontId="6" fillId="0" borderId="9" xfId="5" quotePrefix="1" applyFont="1" applyBorder="1" applyAlignment="1">
      <alignment horizontal="left" vertical="center" wrapText="1"/>
    </xf>
    <xf numFmtId="0" fontId="6" fillId="0" borderId="14" xfId="5" quotePrefix="1" applyFont="1" applyBorder="1" applyAlignment="1">
      <alignment horizontal="left" vertical="center" wrapText="1"/>
    </xf>
    <xf numFmtId="0" fontId="13" fillId="23" borderId="33" xfId="0" applyFont="1" applyFill="1" applyBorder="1" applyAlignment="1">
      <alignment horizontal="left" vertical="center" wrapText="1"/>
    </xf>
    <xf numFmtId="0" fontId="13" fillId="23" borderId="0" xfId="0" applyFont="1" applyFill="1" applyAlignment="1">
      <alignment horizontal="left" vertical="center" wrapText="1"/>
    </xf>
    <xf numFmtId="0" fontId="13" fillId="23" borderId="73" xfId="0" applyFont="1" applyFill="1" applyBorder="1" applyAlignment="1">
      <alignment horizontal="left" vertical="center" wrapText="1"/>
    </xf>
    <xf numFmtId="0" fontId="6" fillId="24" borderId="8" xfId="5" applyFont="1" applyFill="1" applyBorder="1" applyAlignment="1">
      <alignment horizontal="left" vertical="center" wrapText="1"/>
    </xf>
    <xf numFmtId="0" fontId="6" fillId="24" borderId="9" xfId="5" applyFont="1" applyFill="1" applyBorder="1" applyAlignment="1">
      <alignment horizontal="left" vertical="center" wrapText="1"/>
    </xf>
    <xf numFmtId="0" fontId="6" fillId="24" borderId="41" xfId="5" applyFont="1" applyFill="1" applyBorder="1" applyAlignment="1">
      <alignment horizontal="left" vertical="center" wrapText="1"/>
    </xf>
    <xf numFmtId="0" fontId="6" fillId="24" borderId="14" xfId="5" applyFont="1" applyFill="1" applyBorder="1" applyAlignment="1">
      <alignment horizontal="left" vertical="center" wrapText="1"/>
    </xf>
    <xf numFmtId="0" fontId="6" fillId="24" borderId="8" xfId="0" applyFont="1" applyFill="1" applyBorder="1" applyAlignment="1">
      <alignment horizontal="left" vertical="center"/>
    </xf>
    <xf numFmtId="0" fontId="6" fillId="24" borderId="9" xfId="0" applyFont="1" applyFill="1" applyBorder="1" applyAlignment="1">
      <alignment horizontal="left" vertical="center"/>
    </xf>
    <xf numFmtId="0" fontId="6" fillId="24" borderId="14" xfId="0" applyFont="1" applyFill="1" applyBorder="1" applyAlignment="1">
      <alignment horizontal="left" vertical="center"/>
    </xf>
    <xf numFmtId="0" fontId="6" fillId="24" borderId="74" xfId="5" applyFont="1" applyFill="1" applyBorder="1" applyAlignment="1">
      <alignment horizontal="left" vertical="center" wrapText="1"/>
    </xf>
    <xf numFmtId="0" fontId="6" fillId="24" borderId="71" xfId="5" applyFont="1" applyFill="1" applyBorder="1" applyAlignment="1">
      <alignment horizontal="left" vertical="center" wrapText="1"/>
    </xf>
    <xf numFmtId="0" fontId="6" fillId="24" borderId="8" xfId="0" applyFont="1" applyFill="1" applyBorder="1" applyAlignment="1">
      <alignment horizontal="left" vertical="center" wrapText="1"/>
    </xf>
    <xf numFmtId="0" fontId="6" fillId="24" borderId="9" xfId="0" applyFont="1" applyFill="1" applyBorder="1" applyAlignment="1">
      <alignment horizontal="left" vertical="center" wrapText="1"/>
    </xf>
    <xf numFmtId="0" fontId="6" fillId="24" borderId="14" xfId="0" applyFont="1" applyFill="1" applyBorder="1" applyAlignment="1">
      <alignment horizontal="left" vertical="center" wrapText="1"/>
    </xf>
    <xf numFmtId="0" fontId="6" fillId="10" borderId="13" xfId="5" applyFont="1" applyFill="1" applyBorder="1" applyAlignment="1">
      <alignment horizontal="left" vertical="center" wrapText="1"/>
    </xf>
    <xf numFmtId="0" fontId="6" fillId="10" borderId="14" xfId="5" applyFont="1" applyFill="1" applyBorder="1" applyAlignment="1">
      <alignment horizontal="left" vertical="center" wrapText="1"/>
    </xf>
    <xf numFmtId="0" fontId="2" fillId="7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7" fillId="0" borderId="61" xfId="0" applyFont="1" applyBorder="1" applyAlignment="1">
      <alignment horizontal="center" vertical="center" wrapText="1"/>
    </xf>
    <xf numFmtId="0" fontId="7" fillId="0" borderId="65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18" xfId="0" applyFont="1" applyBorder="1" applyAlignment="1">
      <alignment horizontal="center" vertical="center" wrapText="1"/>
    </xf>
    <xf numFmtId="0" fontId="7" fillId="0" borderId="42" xfId="0" applyFont="1" applyBorder="1" applyAlignment="1">
      <alignment horizontal="center" vertical="center" wrapText="1"/>
    </xf>
    <xf numFmtId="3" fontId="7" fillId="0" borderId="5" xfId="0" applyNumberFormat="1" applyFont="1" applyBorder="1" applyAlignment="1" applyProtection="1">
      <alignment horizontal="center" vertical="center" wrapText="1"/>
      <protection locked="0"/>
    </xf>
    <xf numFmtId="3" fontId="7" fillId="0" borderId="6" xfId="0" applyNumberFormat="1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/>
    </xf>
    <xf numFmtId="0" fontId="6" fillId="11" borderId="10" xfId="0" applyFont="1" applyFill="1" applyBorder="1" applyAlignment="1">
      <alignment horizontal="center" vertical="center" wrapText="1"/>
    </xf>
    <xf numFmtId="0" fontId="6" fillId="11" borderId="32" xfId="0" applyFont="1" applyFill="1" applyBorder="1" applyAlignment="1">
      <alignment horizontal="center" vertical="center" wrapText="1"/>
    </xf>
    <xf numFmtId="0" fontId="6" fillId="11" borderId="11" xfId="0" applyFont="1" applyFill="1" applyBorder="1" applyAlignment="1">
      <alignment horizontal="center" vertical="center" wrapText="1"/>
    </xf>
    <xf numFmtId="0" fontId="6" fillId="11" borderId="1" xfId="0" applyFont="1" applyFill="1" applyBorder="1" applyAlignment="1">
      <alignment horizontal="center" vertical="center" wrapText="1"/>
    </xf>
    <xf numFmtId="1" fontId="6" fillId="11" borderId="1" xfId="0" applyNumberFormat="1" applyFont="1" applyFill="1" applyBorder="1" applyAlignment="1">
      <alignment horizontal="center" vertical="center" wrapText="1"/>
    </xf>
    <xf numFmtId="0" fontId="6" fillId="4" borderId="32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4" fillId="16" borderId="13" xfId="0" applyFont="1" applyFill="1" applyBorder="1" applyAlignment="1">
      <alignment horizontal="left" vertical="center"/>
    </xf>
    <xf numFmtId="0" fontId="4" fillId="16" borderId="14" xfId="0" applyFont="1" applyFill="1" applyBorder="1" applyAlignment="1">
      <alignment horizontal="left" vertical="center"/>
    </xf>
    <xf numFmtId="0" fontId="9" fillId="8" borderId="44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45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6" fillId="8" borderId="13" xfId="0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center" vertical="center" wrapText="1"/>
    </xf>
    <xf numFmtId="0" fontId="6" fillId="4" borderId="33" xfId="0" applyFont="1" applyFill="1" applyBorder="1" applyAlignment="1">
      <alignment horizontal="left" vertical="center" wrapText="1"/>
    </xf>
    <xf numFmtId="0" fontId="6" fillId="4" borderId="0" xfId="0" applyFont="1" applyFill="1" applyAlignment="1">
      <alignment horizontal="left" vertical="center" wrapText="1"/>
    </xf>
    <xf numFmtId="0" fontId="6" fillId="0" borderId="43" xfId="0" applyFont="1" applyBorder="1" applyAlignment="1">
      <alignment horizontal="center" vertical="center" wrapText="1"/>
    </xf>
    <xf numFmtId="0" fontId="6" fillId="0" borderId="11" xfId="0" applyFont="1" applyBorder="1" applyAlignment="1">
      <alignment horizontal="center" vertical="center" wrapText="1"/>
    </xf>
    <xf numFmtId="0" fontId="6" fillId="0" borderId="10" xfId="0" applyFont="1" applyBorder="1" applyAlignment="1" applyProtection="1">
      <alignment horizontal="center" vertical="center" wrapText="1"/>
      <protection locked="0"/>
    </xf>
    <xf numFmtId="0" fontId="6" fillId="0" borderId="11" xfId="0" applyFont="1" applyBorder="1" applyAlignment="1" applyProtection="1">
      <alignment horizontal="center" vertical="center" wrapText="1"/>
      <protection locked="0"/>
    </xf>
    <xf numFmtId="0" fontId="13" fillId="10" borderId="50" xfId="0" applyFont="1" applyFill="1" applyBorder="1" applyAlignment="1">
      <alignment horizontal="center" vertical="center"/>
    </xf>
    <xf numFmtId="0" fontId="13" fillId="10" borderId="53" xfId="0" applyFont="1" applyFill="1" applyBorder="1" applyAlignment="1">
      <alignment horizontal="center" vertical="center"/>
    </xf>
    <xf numFmtId="0" fontId="2" fillId="10" borderId="51" xfId="0" applyFont="1" applyFill="1" applyBorder="1" applyAlignment="1">
      <alignment horizontal="center" wrapText="1"/>
    </xf>
    <xf numFmtId="0" fontId="2" fillId="10" borderId="46" xfId="0" applyFont="1" applyFill="1" applyBorder="1" applyAlignment="1">
      <alignment horizontal="center" wrapText="1"/>
    </xf>
    <xf numFmtId="0" fontId="6" fillId="4" borderId="5" xfId="0" applyFont="1" applyFill="1" applyBorder="1" applyAlignment="1">
      <alignment horizontal="left" vertical="center" wrapText="1"/>
    </xf>
    <xf numFmtId="0" fontId="6" fillId="4" borderId="6" xfId="0" applyFont="1" applyFill="1" applyBorder="1" applyAlignment="1">
      <alignment horizontal="left" vertical="center" wrapText="1"/>
    </xf>
    <xf numFmtId="0" fontId="6" fillId="15" borderId="18" xfId="5" applyFont="1" applyFill="1" applyBorder="1" applyAlignment="1">
      <alignment horizontal="left" vertical="center" wrapText="1"/>
    </xf>
    <xf numFmtId="0" fontId="6" fillId="15" borderId="42" xfId="5" applyFont="1" applyFill="1" applyBorder="1" applyAlignment="1">
      <alignment horizontal="left" vertical="center" wrapText="1"/>
    </xf>
    <xf numFmtId="0" fontId="2" fillId="10" borderId="29" xfId="0" applyFont="1" applyFill="1" applyBorder="1" applyAlignment="1">
      <alignment horizontal="center"/>
    </xf>
    <xf numFmtId="0" fontId="2" fillId="10" borderId="30" xfId="0" applyFont="1" applyFill="1" applyBorder="1" applyAlignment="1">
      <alignment horizontal="center"/>
    </xf>
    <xf numFmtId="0" fontId="2" fillId="10" borderId="31" xfId="0" applyFont="1" applyFill="1" applyBorder="1" applyAlignment="1">
      <alignment horizontal="center"/>
    </xf>
    <xf numFmtId="0" fontId="6" fillId="27" borderId="8" xfId="0" applyFont="1" applyFill="1" applyBorder="1" applyAlignment="1">
      <alignment horizontal="left" vertical="center"/>
    </xf>
    <xf numFmtId="0" fontId="6" fillId="27" borderId="9" xfId="0" applyFont="1" applyFill="1" applyBorder="1" applyAlignment="1">
      <alignment horizontal="left" vertical="center"/>
    </xf>
    <xf numFmtId="0" fontId="6" fillId="27" borderId="14" xfId="0" applyFont="1" applyFill="1" applyBorder="1" applyAlignment="1">
      <alignment horizontal="left" vertical="center"/>
    </xf>
    <xf numFmtId="0" fontId="6" fillId="2" borderId="8" xfId="5" quotePrefix="1" applyFont="1" applyFill="1" applyBorder="1" applyAlignment="1">
      <alignment horizontal="left" vertical="center" wrapText="1"/>
    </xf>
    <xf numFmtId="0" fontId="6" fillId="2" borderId="9" xfId="5" quotePrefix="1" applyFont="1" applyFill="1" applyBorder="1" applyAlignment="1">
      <alignment horizontal="left" vertical="center" wrapText="1"/>
    </xf>
    <xf numFmtId="0" fontId="6" fillId="2" borderId="14" xfId="5" quotePrefix="1" applyFont="1" applyFill="1" applyBorder="1" applyAlignment="1">
      <alignment horizontal="left" vertical="center" wrapText="1"/>
    </xf>
    <xf numFmtId="0" fontId="13" fillId="23" borderId="29" xfId="0" applyFont="1" applyFill="1" applyBorder="1" applyAlignment="1">
      <alignment horizontal="left" vertical="center" wrapText="1"/>
    </xf>
    <xf numFmtId="0" fontId="13" fillId="23" borderId="30" xfId="0" applyFont="1" applyFill="1" applyBorder="1" applyAlignment="1">
      <alignment horizontal="left" vertical="center" wrapText="1"/>
    </xf>
    <xf numFmtId="0" fontId="13" fillId="23" borderId="54" xfId="0" applyFont="1" applyFill="1" applyBorder="1" applyAlignment="1">
      <alignment horizontal="left" vertical="center" wrapText="1"/>
    </xf>
    <xf numFmtId="0" fontId="4" fillId="23" borderId="68" xfId="0" applyFont="1" applyFill="1" applyBorder="1" applyAlignment="1">
      <alignment horizontal="left" vertical="center" wrapText="1"/>
    </xf>
    <xf numFmtId="0" fontId="4" fillId="23" borderId="69" xfId="0" applyFont="1" applyFill="1" applyBorder="1" applyAlignment="1">
      <alignment horizontal="left" vertical="center" wrapText="1"/>
    </xf>
    <xf numFmtId="0" fontId="4" fillId="23" borderId="70" xfId="0" applyFont="1" applyFill="1" applyBorder="1" applyAlignment="1">
      <alignment horizontal="left" vertical="center" wrapText="1"/>
    </xf>
    <xf numFmtId="0" fontId="6" fillId="13" borderId="7" xfId="0" applyFont="1" applyFill="1" applyBorder="1" applyAlignment="1">
      <alignment horizontal="left" vertical="center"/>
    </xf>
    <xf numFmtId="0" fontId="6" fillId="13" borderId="1" xfId="0" applyFont="1" applyFill="1" applyBorder="1" applyAlignment="1">
      <alignment horizontal="left" vertical="center"/>
    </xf>
    <xf numFmtId="0" fontId="4" fillId="9" borderId="1" xfId="0" applyFont="1" applyFill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center" vertical="center" wrapText="1"/>
    </xf>
    <xf numFmtId="0" fontId="6" fillId="12" borderId="1" xfId="0" applyFont="1" applyFill="1" applyBorder="1" applyAlignment="1">
      <alignment horizontal="center" vertical="center"/>
    </xf>
    <xf numFmtId="0" fontId="6" fillId="9" borderId="7" xfId="5" applyFont="1" applyFill="1" applyBorder="1" applyAlignment="1">
      <alignment horizontal="left" vertical="center" wrapText="1"/>
    </xf>
    <xf numFmtId="0" fontId="6" fillId="9" borderId="1" xfId="5" applyFont="1" applyFill="1" applyBorder="1" applyAlignment="1">
      <alignment horizontal="left" vertical="center" wrapText="1"/>
    </xf>
    <xf numFmtId="0" fontId="6" fillId="14" borderId="7" xfId="5" applyFont="1" applyFill="1" applyBorder="1" applyAlignment="1">
      <alignment horizontal="left" vertical="center" wrapText="1"/>
    </xf>
    <xf numFmtId="0" fontId="6" fillId="14" borderId="1" xfId="5" applyFont="1" applyFill="1" applyBorder="1" applyAlignment="1">
      <alignment horizontal="left" vertical="center" wrapText="1"/>
    </xf>
    <xf numFmtId="0" fontId="6" fillId="0" borderId="7" xfId="5" quotePrefix="1" applyFont="1" applyBorder="1" applyAlignment="1">
      <alignment horizontal="left" vertical="center" wrapText="1"/>
    </xf>
    <xf numFmtId="0" fontId="6" fillId="0" borderId="1" xfId="5" quotePrefix="1" applyFont="1" applyBorder="1" applyAlignment="1">
      <alignment horizontal="left" vertical="center" wrapText="1"/>
    </xf>
    <xf numFmtId="0" fontId="6" fillId="11" borderId="7" xfId="5" applyFont="1" applyFill="1" applyBorder="1" applyAlignment="1">
      <alignment vertical="center" wrapText="1"/>
    </xf>
    <xf numFmtId="0" fontId="6" fillId="11" borderId="1" xfId="5" applyFont="1" applyFill="1" applyBorder="1" applyAlignment="1">
      <alignment vertical="center" wrapText="1"/>
    </xf>
    <xf numFmtId="0" fontId="11" fillId="8" borderId="4" xfId="5" applyFont="1" applyFill="1" applyBorder="1" applyAlignment="1">
      <alignment vertical="center" wrapText="1"/>
    </xf>
    <xf numFmtId="0" fontId="11" fillId="8" borderId="2" xfId="5" applyFont="1" applyFill="1" applyBorder="1" applyAlignment="1">
      <alignment vertical="center" wrapText="1"/>
    </xf>
    <xf numFmtId="0" fontId="5" fillId="18" borderId="29" xfId="5" applyFill="1" applyBorder="1" applyAlignment="1">
      <alignment horizontal="center"/>
    </xf>
    <xf numFmtId="0" fontId="5" fillId="18" borderId="30" xfId="5" applyFill="1" applyBorder="1" applyAlignment="1">
      <alignment horizontal="center"/>
    </xf>
    <xf numFmtId="0" fontId="5" fillId="18" borderId="31" xfId="5" applyFill="1" applyBorder="1" applyAlignment="1">
      <alignment horizontal="center"/>
    </xf>
  </cellXfs>
  <cellStyles count="24">
    <cellStyle name="Millares" xfId="8" builtinId="3"/>
    <cellStyle name="Millares [0]" xfId="4" builtinId="6"/>
    <cellStyle name="Millares 10" xfId="15" xr:uid="{00000000-0005-0000-0000-000002000000}"/>
    <cellStyle name="Millares 11 3" xfId="7" xr:uid="{00000000-0005-0000-0000-000003000000}"/>
    <cellStyle name="Millares 2 2" xfId="11" xr:uid="{00000000-0005-0000-0000-000004000000}"/>
    <cellStyle name="Millares 2 5" xfId="20" xr:uid="{00000000-0005-0000-0000-000005000000}"/>
    <cellStyle name="Millares 3 2" xfId="10" xr:uid="{00000000-0005-0000-0000-000006000000}"/>
    <cellStyle name="Moneda" xfId="3" builtinId="4"/>
    <cellStyle name="Moneda [0]" xfId="1" builtinId="7"/>
    <cellStyle name="Moneda 10" xfId="12" xr:uid="{00000000-0005-0000-0000-000009000000}"/>
    <cellStyle name="Moneda 10 2" xfId="16" xr:uid="{00000000-0005-0000-0000-00000A000000}"/>
    <cellStyle name="Moneda 2" xfId="2" xr:uid="{00000000-0005-0000-0000-00000B000000}"/>
    <cellStyle name="Moneda 2 10" xfId="14" xr:uid="{00000000-0005-0000-0000-00000C000000}"/>
    <cellStyle name="Moneda 2 2 7" xfId="17" xr:uid="{00000000-0005-0000-0000-00000D000000}"/>
    <cellStyle name="Moneda 6 2" xfId="22" xr:uid="{00000000-0005-0000-0000-00000E000000}"/>
    <cellStyle name="Normal" xfId="0" builtinId="0"/>
    <cellStyle name="Normal 10" xfId="18" xr:uid="{00000000-0005-0000-0000-000010000000}"/>
    <cellStyle name="Normal 2" xfId="5" xr:uid="{00000000-0005-0000-0000-000011000000}"/>
    <cellStyle name="Normal 2 2" xfId="9" xr:uid="{00000000-0005-0000-0000-000012000000}"/>
    <cellStyle name="Normal 6 2" xfId="21" xr:uid="{00000000-0005-0000-0000-000013000000}"/>
    <cellStyle name="Porcentaje 2" xfId="6" xr:uid="{00000000-0005-0000-0000-000014000000}"/>
    <cellStyle name="Porcentaje 3" xfId="19" xr:uid="{00000000-0005-0000-0000-000015000000}"/>
    <cellStyle name="Porcentaje 4" xfId="13" xr:uid="{00000000-0005-0000-0000-000016000000}"/>
    <cellStyle name="Porcentual 2 2" xfId="23" xr:uid="{00000000-0005-0000-0000-000017000000}"/>
  </cellStyles>
  <dxfs count="11"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  <dxf>
      <font>
        <condense val="0"/>
        <extend val="0"/>
        <color indexed="8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externalLink" Target="externalLinks/externalLink4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3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externalLink" Target="externalLinks/externalLink2.xml"/><Relationship Id="rId4" Type="http://schemas.openxmlformats.org/officeDocument/2006/relationships/worksheet" Target="worksheets/sheet4.xml"/><Relationship Id="rId9" Type="http://schemas.openxmlformats.org/officeDocument/2006/relationships/externalLink" Target="externalLinks/externalLink1.xml"/><Relationship Id="rId1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517526</xdr:colOff>
      <xdr:row>83</xdr:row>
      <xdr:rowOff>158750</xdr:rowOff>
    </xdr:from>
    <xdr:to>
      <xdr:col>4</xdr:col>
      <xdr:colOff>962025</xdr:colOff>
      <xdr:row>87</xdr:row>
      <xdr:rowOff>121786</xdr:rowOff>
    </xdr:to>
    <xdr:pic>
      <xdr:nvPicPr>
        <xdr:cNvPr id="2" name="Picture 198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2626" y="16313150"/>
          <a:ext cx="2242819" cy="6412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800101</xdr:colOff>
      <xdr:row>90</xdr:row>
      <xdr:rowOff>0</xdr:rowOff>
    </xdr:from>
    <xdr:to>
      <xdr:col>4</xdr:col>
      <xdr:colOff>142876</xdr:colOff>
      <xdr:row>93</xdr:row>
      <xdr:rowOff>162538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05201" y="17358360"/>
          <a:ext cx="1141095" cy="66545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517526</xdr:colOff>
      <xdr:row>83</xdr:row>
      <xdr:rowOff>158750</xdr:rowOff>
    </xdr:from>
    <xdr:to>
      <xdr:col>4</xdr:col>
      <xdr:colOff>962025</xdr:colOff>
      <xdr:row>87</xdr:row>
      <xdr:rowOff>121786</xdr:rowOff>
    </xdr:to>
    <xdr:pic>
      <xdr:nvPicPr>
        <xdr:cNvPr id="2" name="Picture 198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2626" y="16313150"/>
          <a:ext cx="2242819" cy="6412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800101</xdr:colOff>
      <xdr:row>90</xdr:row>
      <xdr:rowOff>0</xdr:rowOff>
    </xdr:from>
    <xdr:to>
      <xdr:col>4</xdr:col>
      <xdr:colOff>142876</xdr:colOff>
      <xdr:row>93</xdr:row>
      <xdr:rowOff>162538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05201" y="17358360"/>
          <a:ext cx="1141095" cy="66545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517526</xdr:colOff>
      <xdr:row>83</xdr:row>
      <xdr:rowOff>158750</xdr:rowOff>
    </xdr:from>
    <xdr:to>
      <xdr:col>4</xdr:col>
      <xdr:colOff>962025</xdr:colOff>
      <xdr:row>87</xdr:row>
      <xdr:rowOff>121786</xdr:rowOff>
    </xdr:to>
    <xdr:pic>
      <xdr:nvPicPr>
        <xdr:cNvPr id="2" name="Picture 198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grayscl/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22626" y="16313150"/>
          <a:ext cx="2242819" cy="641216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2</xdr:col>
      <xdr:colOff>800101</xdr:colOff>
      <xdr:row>90</xdr:row>
      <xdr:rowOff>0</xdr:rowOff>
    </xdr:from>
    <xdr:to>
      <xdr:col>4</xdr:col>
      <xdr:colOff>142876</xdr:colOff>
      <xdr:row>93</xdr:row>
      <xdr:rowOff>162538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05201" y="17358360"/>
          <a:ext cx="1141095" cy="665458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Stella%20Gamboa/Documents/lictacion/MANTENIMIENTOS%202017%20(ADICIONES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jorge-sechague/Desktop/Presupuesto%20mtto%20aislamiento%20establecimiento%20x%20arbol.xlsx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jorge-sechague/Desktop/PROCESOS%202023/Mantenimientos-%202023/Presupuesto_Estudio%20de%20mercado%20Restaur%20(version%202022).xlsx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PICC%202021(2)COSTOS/REFORESTACION/3.%20Costos%202020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/Users/Jorge%20Sechague/Desktop/Nueva%20carpeta/Cortolima%202021/REFORESTACI&#211;N/Cost.%20Restaur.%202021_Convenio%20Gober_1_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rec. MerK 17"/>
      <sheetName val="Cronogr Adm."/>
      <sheetName val="Cronog Oper."/>
      <sheetName val="Establec."/>
      <sheetName val="Aislam."/>
      <sheetName val="Mantenim."/>
      <sheetName val="Gestion "/>
      <sheetName val="Carg.Prest.(1)"/>
      <sheetName val="POA"/>
      <sheetName val="Cronogr.Act."/>
      <sheetName val="Plan compras."/>
      <sheetName val="Plan.Inv.Gral."/>
      <sheetName val="Plan.Inv.Ant."/>
      <sheetName val="Cert.pag CORT."/>
      <sheetName val="Cert.Pag.otro"/>
      <sheetName val="Cert.pag.com."/>
      <sheetName val="Compar.POA"/>
      <sheetName val="ESTABLEC. MARZO 17"/>
      <sheetName val="AISLAM MARZO 2017"/>
      <sheetName val="MATENIM 2017"/>
      <sheetName val="INF. FCIERO"/>
      <sheetName val="Est.Merk.2021"/>
      <sheetName val="Boqueron"/>
      <sheetName val="Carmen de Apicala"/>
      <sheetName val="Santa Mar inspe"/>
      <sheetName val="Consolidado"/>
    </sheetNames>
    <sheetDataSet>
      <sheetData sheetId="0" refreshError="1"/>
      <sheetData sheetId="1" refreshError="1"/>
      <sheetData sheetId="2" refreshError="1"/>
      <sheetData sheetId="3" refreshError="1">
        <row r="10">
          <cell r="B10" t="str">
            <v>1. Número de Plántulas Arboreas por Ha</v>
          </cell>
        </row>
        <row r="12">
          <cell r="B12" t="str">
            <v>3. Porcentaje de reposición  %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/>
      <sheetData sheetId="22"/>
      <sheetData sheetId="23"/>
      <sheetData sheetId="24">
        <row r="10">
          <cell r="B10" t="str">
            <v>1. Número de Plántulas Arboreas por Ha</v>
          </cell>
        </row>
      </sheetData>
      <sheetData sheetId="2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udio de Mercado"/>
      <sheetName val="Establecimiento"/>
      <sheetName val="Hoja1"/>
      <sheetName val="Aislamiento"/>
      <sheetName val="Mantenimiento"/>
      <sheetName val="Enriquecimiento"/>
      <sheetName val="Mantenimiento  RP"/>
      <sheetName val="Mantenimiento ENR"/>
      <sheetName val="Administracion  MMTO RP"/>
      <sheetName val="Administracion  MMTO ER"/>
      <sheetName val="Administracion  Aislamiento"/>
      <sheetName val="Administracion  Establecimiento"/>
      <sheetName val="Hoja3"/>
    </sheetNames>
    <sheetDataSet>
      <sheetData sheetId="0">
        <row r="10">
          <cell r="J10">
            <v>26794.5</v>
          </cell>
        </row>
        <row r="15">
          <cell r="K15">
            <v>236.33580000000001</v>
          </cell>
        </row>
      </sheetData>
      <sheetData sheetId="1">
        <row r="14">
          <cell r="E14">
            <v>2206.75</v>
          </cell>
        </row>
        <row r="16">
          <cell r="E16">
            <v>3707.5949999999998</v>
          </cell>
        </row>
        <row r="21">
          <cell r="E21">
            <v>217019</v>
          </cell>
        </row>
        <row r="24">
          <cell r="E24">
            <v>45342.95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udio de Mercado"/>
      <sheetName val="Establecimiento"/>
      <sheetName val="Aislamiento"/>
      <sheetName val="Mantenimiento"/>
      <sheetName val="Enriquecimiento"/>
      <sheetName val="Mantenimiento  RP"/>
      <sheetName val="Mantenimiento ENR"/>
      <sheetName val="Hoja1"/>
      <sheetName val="Gestion"/>
      <sheetName val="Administracion  MMTO RP"/>
      <sheetName val="Administracion  MMTO ER"/>
      <sheetName val="Administracion  Aislamiento"/>
      <sheetName val="Administracion  Establecimiento"/>
      <sheetName val="Hoja3"/>
    </sheetNames>
    <sheetDataSet>
      <sheetData sheetId="0">
        <row r="72">
          <cell r="B72">
            <v>62508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.Merk.2020"/>
      <sheetName val="CARACT.TECNIC."/>
      <sheetName val="CARACT.PREDIOS"/>
      <sheetName val="P1 C.Estab.Sist.A.F."/>
      <sheetName val="P 2ESTABLEC. BP"/>
      <sheetName val="P 3 C.Rest.Pas.Aislam."/>
      <sheetName val="P 4 C.Mant. S.A"/>
      <sheetName val="P 5 C.Mant. B.P."/>
      <sheetName val="P 6 C.Mant.E. Forest."/>
      <sheetName val="POAXFTE FINANC."/>
      <sheetName val="Cadena de Vr."/>
      <sheetName val="Plan compras CTO"/>
      <sheetName val="Cronogr.Activ."/>
      <sheetName val="Plan Invers. Gral"/>
      <sheetName val="Plan. Inv. x Item"/>
      <sheetName val="Ejecuc. Compar. POA"/>
      <sheetName val="Plan compras CORT."/>
      <sheetName val="Control y seguim."/>
      <sheetName val="BCE SOCIOAMB."/>
      <sheetName val="IND.GEST. RESOL 667-16"/>
    </sheetNames>
    <sheetDataSet>
      <sheetData sheetId="0">
        <row r="4">
          <cell r="L4">
            <v>85100</v>
          </cell>
        </row>
      </sheetData>
      <sheetData sheetId="1">
        <row r="27">
          <cell r="D27" t="str">
            <v>6x6</v>
          </cell>
        </row>
      </sheetData>
      <sheetData sheetId="2"/>
      <sheetData sheetId="3"/>
      <sheetData sheetId="4">
        <row r="38">
          <cell r="F38">
            <v>290000</v>
          </cell>
        </row>
      </sheetData>
      <sheetData sheetId="5">
        <row r="17">
          <cell r="E17">
            <v>242363</v>
          </cell>
        </row>
      </sheetData>
      <sheetData sheetId="6"/>
      <sheetData sheetId="7">
        <row r="26">
          <cell r="D26">
            <v>0.05</v>
          </cell>
        </row>
        <row r="40">
          <cell r="F40">
            <v>291930</v>
          </cell>
        </row>
        <row r="43">
          <cell r="F43">
            <v>48840</v>
          </cell>
        </row>
        <row r="44">
          <cell r="F44">
            <v>75000</v>
          </cell>
        </row>
        <row r="46">
          <cell r="F46">
            <v>97680</v>
          </cell>
        </row>
        <row r="47">
          <cell r="F47">
            <v>97458</v>
          </cell>
        </row>
        <row r="48">
          <cell r="F48">
            <v>290000</v>
          </cell>
        </row>
        <row r="49">
          <cell r="F49">
            <v>97528</v>
          </cell>
        </row>
        <row r="52">
          <cell r="D52">
            <v>111</v>
          </cell>
          <cell r="F52">
            <v>149073</v>
          </cell>
        </row>
        <row r="53">
          <cell r="D53">
            <v>56</v>
          </cell>
          <cell r="F53">
            <v>0</v>
          </cell>
        </row>
        <row r="55">
          <cell r="D55">
            <v>222</v>
          </cell>
          <cell r="F55">
            <v>377844</v>
          </cell>
        </row>
      </sheetData>
      <sheetData sheetId="8">
        <row r="36">
          <cell r="A36" t="str">
            <v>Preparación del terreno</v>
          </cell>
        </row>
      </sheetData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Estudio de Mercado"/>
      <sheetName val="Establecimiento"/>
      <sheetName val="Aislamiento"/>
      <sheetName val="Mantenimiento"/>
      <sheetName val="Enriquecimiento"/>
      <sheetName val="Hoja1"/>
    </sheetNames>
    <sheetDataSet>
      <sheetData sheetId="0">
        <row r="4">
          <cell r="I4">
            <v>697.4</v>
          </cell>
        </row>
      </sheetData>
      <sheetData sheetId="1"/>
      <sheetData sheetId="2">
        <row r="21">
          <cell r="E21">
            <v>25000</v>
          </cell>
        </row>
      </sheetData>
      <sheetData sheetId="3"/>
      <sheetData sheetId="4">
        <row r="77">
          <cell r="G77">
            <v>165004330.66666669</v>
          </cell>
        </row>
      </sheetData>
      <sheetData sheetId="5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2"/>
  <dimension ref="A1:P73"/>
  <sheetViews>
    <sheetView zoomScale="85" zoomScaleNormal="85" workbookViewId="0">
      <selection activeCell="E12" sqref="E12"/>
    </sheetView>
  </sheetViews>
  <sheetFormatPr baseColWidth="10" defaultColWidth="11.5" defaultRowHeight="13" x14ac:dyDescent="0.15"/>
  <cols>
    <col min="1" max="1" width="30.33203125" style="7" customWidth="1"/>
    <col min="2" max="2" width="46.5" style="7" customWidth="1"/>
    <col min="3" max="3" width="9.33203125" style="7" bestFit="1" customWidth="1"/>
    <col min="4" max="4" width="13.6640625" style="151" bestFit="1" customWidth="1"/>
    <col min="5" max="5" width="19.83203125" style="151" customWidth="1"/>
    <col min="6" max="6" width="13.83203125" style="151" bestFit="1" customWidth="1"/>
    <col min="7" max="7" width="14.5" style="151" bestFit="1" customWidth="1"/>
    <col min="8" max="8" width="11" style="151" customWidth="1"/>
    <col min="9" max="9" width="15.5" style="151" customWidth="1"/>
    <col min="10" max="10" width="15.1640625" style="151" bestFit="1" customWidth="1"/>
    <col min="11" max="11" width="11.33203125" style="151" customWidth="1"/>
    <col min="12" max="12" width="12" style="7" customWidth="1"/>
    <col min="13" max="13" width="15.83203125" style="7" customWidth="1"/>
    <col min="14" max="14" width="15" style="151" customWidth="1"/>
    <col min="15" max="16384" width="11.5" style="7"/>
  </cols>
  <sheetData>
    <row r="1" spans="1:16" x14ac:dyDescent="0.15">
      <c r="A1" s="593" t="s">
        <v>0</v>
      </c>
      <c r="B1" s="594"/>
      <c r="C1" s="594"/>
      <c r="D1" s="594"/>
      <c r="E1" s="594"/>
      <c r="F1" s="594"/>
      <c r="G1" s="594"/>
      <c r="H1" s="594"/>
      <c r="I1" s="594"/>
      <c r="J1" s="594"/>
      <c r="K1" s="594"/>
      <c r="L1" s="594"/>
      <c r="M1" s="443"/>
      <c r="N1" s="227"/>
    </row>
    <row r="2" spans="1:16" ht="42" x14ac:dyDescent="0.15">
      <c r="A2" s="187" t="s">
        <v>1</v>
      </c>
      <c r="B2" s="188" t="s">
        <v>218</v>
      </c>
      <c r="C2" s="1" t="s">
        <v>163</v>
      </c>
      <c r="D2" s="5" t="s">
        <v>219</v>
      </c>
      <c r="E2" s="5" t="s">
        <v>220</v>
      </c>
      <c r="F2" s="5" t="s">
        <v>221</v>
      </c>
      <c r="G2" s="5" t="s">
        <v>232</v>
      </c>
      <c r="H2" s="5" t="s">
        <v>231</v>
      </c>
      <c r="I2" s="5" t="s">
        <v>234</v>
      </c>
      <c r="J2" s="179" t="s">
        <v>227</v>
      </c>
      <c r="K2" s="179" t="s">
        <v>226</v>
      </c>
      <c r="L2" s="228" t="s">
        <v>230</v>
      </c>
      <c r="M2" s="228" t="s">
        <v>400</v>
      </c>
      <c r="N2" s="237" t="s">
        <v>222</v>
      </c>
      <c r="O2" s="2" t="s">
        <v>236</v>
      </c>
      <c r="P2" s="7" t="s">
        <v>237</v>
      </c>
    </row>
    <row r="3" spans="1:16" x14ac:dyDescent="0.15">
      <c r="A3" s="590" t="s">
        <v>4</v>
      </c>
      <c r="B3" s="591"/>
      <c r="C3" s="591"/>
      <c r="D3" s="591"/>
      <c r="E3" s="591"/>
      <c r="F3" s="591"/>
      <c r="G3" s="591"/>
      <c r="H3" s="591"/>
      <c r="I3" s="591"/>
      <c r="J3" s="591"/>
      <c r="K3" s="591"/>
      <c r="L3" s="591"/>
      <c r="M3" s="441"/>
      <c r="N3" s="238"/>
      <c r="O3" s="2"/>
    </row>
    <row r="4" spans="1:16" ht="84" x14ac:dyDescent="0.15">
      <c r="A4" s="186" t="s">
        <v>213</v>
      </c>
      <c r="B4" s="231" t="s">
        <v>66</v>
      </c>
      <c r="C4" s="4" t="s">
        <v>64</v>
      </c>
      <c r="D4" s="175"/>
      <c r="E4" s="175"/>
      <c r="F4" s="175"/>
      <c r="G4" s="175">
        <v>65000</v>
      </c>
      <c r="H4" s="176"/>
      <c r="I4" s="175">
        <v>67200</v>
      </c>
      <c r="J4" s="180">
        <v>70000</v>
      </c>
      <c r="K4" s="180">
        <v>69000</v>
      </c>
      <c r="L4" s="190">
        <v>68500</v>
      </c>
      <c r="M4" s="190"/>
      <c r="N4" s="266">
        <f>+(J4+K4+L4+G4+I4)/5</f>
        <v>67940</v>
      </c>
      <c r="O4" s="239">
        <f>+N4/50</f>
        <v>1358.8</v>
      </c>
    </row>
    <row r="5" spans="1:16" ht="42" x14ac:dyDescent="0.15">
      <c r="A5" s="186" t="s">
        <v>217</v>
      </c>
      <c r="B5" s="231" t="s">
        <v>68</v>
      </c>
      <c r="C5" s="4" t="s">
        <v>67</v>
      </c>
      <c r="D5" s="175"/>
      <c r="E5" s="175"/>
      <c r="F5" s="175"/>
      <c r="G5" s="175">
        <v>38500</v>
      </c>
      <c r="H5" s="176">
        <v>23450</v>
      </c>
      <c r="I5" s="175">
        <v>39500</v>
      </c>
      <c r="J5" s="180"/>
      <c r="K5" s="180"/>
      <c r="L5" s="190"/>
      <c r="M5" s="190"/>
      <c r="N5" s="266">
        <f t="shared" ref="N5:N13" si="0">+(G5+H5+I5)/3</f>
        <v>33816.666666666664</v>
      </c>
      <c r="O5" s="239"/>
    </row>
    <row r="6" spans="1:16" ht="98" x14ac:dyDescent="0.15">
      <c r="A6" s="163" t="s">
        <v>197</v>
      </c>
      <c r="B6" s="231" t="s">
        <v>65</v>
      </c>
      <c r="C6" s="4" t="s">
        <v>64</v>
      </c>
      <c r="D6" s="175"/>
      <c r="E6" s="175"/>
      <c r="F6" s="175"/>
      <c r="G6" s="175">
        <v>190000</v>
      </c>
      <c r="H6" s="176">
        <v>121700</v>
      </c>
      <c r="I6" s="175">
        <v>195000</v>
      </c>
      <c r="J6" s="180"/>
      <c r="K6" s="180"/>
      <c r="L6" s="190"/>
      <c r="M6" s="190"/>
      <c r="N6" s="266">
        <f t="shared" si="0"/>
        <v>168900</v>
      </c>
      <c r="O6" s="239">
        <f t="shared" ref="O6:O8" si="1">+N6/50</f>
        <v>3378</v>
      </c>
    </row>
    <row r="7" spans="1:16" ht="28" x14ac:dyDescent="0.15">
      <c r="A7" s="163" t="s">
        <v>200</v>
      </c>
      <c r="B7" s="191" t="s">
        <v>195</v>
      </c>
      <c r="C7" s="4" t="s">
        <v>225</v>
      </c>
      <c r="D7" s="175"/>
      <c r="E7" s="175"/>
      <c r="F7" s="175"/>
      <c r="G7" s="175">
        <v>185000</v>
      </c>
      <c r="H7" s="176">
        <v>133800</v>
      </c>
      <c r="I7" s="176">
        <v>190000</v>
      </c>
      <c r="J7" s="181"/>
      <c r="K7" s="181"/>
      <c r="L7" s="190"/>
      <c r="M7" s="190"/>
      <c r="N7" s="266">
        <f t="shared" si="0"/>
        <v>169600</v>
      </c>
      <c r="O7" s="239">
        <f>+N7/46</f>
        <v>3686.9565217391305</v>
      </c>
    </row>
    <row r="8" spans="1:16" ht="112" x14ac:dyDescent="0.15">
      <c r="A8" s="163" t="s">
        <v>198</v>
      </c>
      <c r="B8" s="229" t="s">
        <v>199</v>
      </c>
      <c r="C8" s="4" t="str">
        <f>+C6</f>
        <v>Bulto
50 Kg</v>
      </c>
      <c r="D8" s="175"/>
      <c r="E8" s="175"/>
      <c r="F8" s="175"/>
      <c r="G8" s="175">
        <v>180000</v>
      </c>
      <c r="H8" s="176">
        <v>141800</v>
      </c>
      <c r="I8" s="176">
        <v>182300</v>
      </c>
      <c r="J8" s="181"/>
      <c r="K8" s="181"/>
      <c r="L8" s="190"/>
      <c r="M8" s="190"/>
      <c r="N8" s="266">
        <f t="shared" si="0"/>
        <v>168033.33333333334</v>
      </c>
      <c r="O8" s="239">
        <f t="shared" si="1"/>
        <v>3360.666666666667</v>
      </c>
    </row>
    <row r="9" spans="1:16" ht="28" x14ac:dyDescent="0.15">
      <c r="A9" s="186" t="s">
        <v>201</v>
      </c>
      <c r="B9" s="191" t="s">
        <v>202</v>
      </c>
      <c r="C9" s="4" t="str">
        <f>+C7</f>
        <v>Bulto
46 Kg</v>
      </c>
      <c r="D9" s="175"/>
      <c r="E9" s="175"/>
      <c r="F9" s="175"/>
      <c r="G9" s="175">
        <v>190200</v>
      </c>
      <c r="H9" s="176">
        <v>177400</v>
      </c>
      <c r="I9" s="176">
        <v>193450</v>
      </c>
      <c r="J9" s="181"/>
      <c r="K9" s="181"/>
      <c r="L9" s="190"/>
      <c r="M9" s="190"/>
      <c r="N9" s="266">
        <f t="shared" si="0"/>
        <v>187016.66666666666</v>
      </c>
      <c r="O9" s="239">
        <f>+N9/46</f>
        <v>4065.5797101449275</v>
      </c>
    </row>
    <row r="10" spans="1:16" ht="28" x14ac:dyDescent="0.15">
      <c r="A10" s="186" t="s">
        <v>212</v>
      </c>
      <c r="B10" s="191" t="s">
        <v>203</v>
      </c>
      <c r="C10" s="4" t="str">
        <f>+C8</f>
        <v>Bulto
50 Kg</v>
      </c>
      <c r="D10" s="175"/>
      <c r="E10" s="175"/>
      <c r="F10" s="175"/>
      <c r="G10" s="175">
        <v>180000</v>
      </c>
      <c r="H10" s="176">
        <v>116400</v>
      </c>
      <c r="I10" s="176">
        <v>182300</v>
      </c>
      <c r="J10" s="181"/>
      <c r="K10" s="181"/>
      <c r="L10" s="190"/>
      <c r="M10" s="190"/>
      <c r="N10" s="266">
        <f t="shared" si="0"/>
        <v>159566.66666666666</v>
      </c>
      <c r="O10" s="239">
        <f>+N10/50</f>
        <v>3191.333333333333</v>
      </c>
    </row>
    <row r="11" spans="1:16" ht="14" x14ac:dyDescent="0.15">
      <c r="A11" s="163" t="s">
        <v>206</v>
      </c>
      <c r="B11" s="191" t="s">
        <v>207</v>
      </c>
      <c r="C11" s="4"/>
      <c r="D11" s="175"/>
      <c r="E11" s="175"/>
      <c r="F11" s="175"/>
      <c r="G11" s="175">
        <v>49200</v>
      </c>
      <c r="H11" s="176">
        <v>25150</v>
      </c>
      <c r="I11" s="176">
        <v>49750</v>
      </c>
      <c r="J11" s="181"/>
      <c r="K11" s="181"/>
      <c r="L11" s="190"/>
      <c r="M11" s="190"/>
      <c r="N11" s="266">
        <f t="shared" si="0"/>
        <v>41366.666666666664</v>
      </c>
      <c r="O11" s="239"/>
    </row>
    <row r="12" spans="1:16" ht="14" x14ac:dyDescent="0.15">
      <c r="A12" s="186" t="s">
        <v>204</v>
      </c>
      <c r="B12" s="231" t="s">
        <v>205</v>
      </c>
      <c r="C12" s="4" t="s">
        <v>238</v>
      </c>
      <c r="D12" s="175"/>
      <c r="E12" s="175"/>
      <c r="F12" s="175"/>
      <c r="G12" s="175">
        <v>49200</v>
      </c>
      <c r="H12" s="175">
        <v>33450</v>
      </c>
      <c r="I12" s="176">
        <v>48600</v>
      </c>
      <c r="J12" s="181"/>
      <c r="K12" s="181"/>
      <c r="L12" s="190"/>
      <c r="M12" s="190"/>
      <c r="N12" s="266">
        <f t="shared" si="0"/>
        <v>43750</v>
      </c>
      <c r="O12" s="239"/>
    </row>
    <row r="13" spans="1:16" ht="14" x14ac:dyDescent="0.15">
      <c r="A13" s="186" t="s">
        <v>210</v>
      </c>
      <c r="B13" s="232" t="s">
        <v>223</v>
      </c>
      <c r="C13" s="4" t="s">
        <v>238</v>
      </c>
      <c r="D13" s="175"/>
      <c r="E13" s="175"/>
      <c r="F13" s="175"/>
      <c r="G13" s="175">
        <v>34500</v>
      </c>
      <c r="H13" s="175">
        <v>27650</v>
      </c>
      <c r="I13" s="176">
        <v>35500</v>
      </c>
      <c r="J13" s="181"/>
      <c r="K13" s="181"/>
      <c r="L13" s="190"/>
      <c r="M13" s="190"/>
      <c r="N13" s="266">
        <f t="shared" si="0"/>
        <v>32550</v>
      </c>
      <c r="O13" s="239"/>
    </row>
    <row r="14" spans="1:16" ht="14" x14ac:dyDescent="0.15">
      <c r="A14" s="186" t="s">
        <v>210</v>
      </c>
      <c r="B14" s="232" t="s">
        <v>224</v>
      </c>
      <c r="C14" s="4" t="s">
        <v>238</v>
      </c>
      <c r="D14" s="175"/>
      <c r="E14" s="175"/>
      <c r="F14" s="175"/>
      <c r="G14" s="175">
        <v>68500</v>
      </c>
      <c r="H14" s="175"/>
      <c r="I14" s="176">
        <v>67600</v>
      </c>
      <c r="J14" s="181"/>
      <c r="K14" s="181"/>
      <c r="L14" s="190"/>
      <c r="M14" s="190"/>
      <c r="N14" s="266">
        <f>+(G14+H14+I14)/2</f>
        <v>68050</v>
      </c>
      <c r="O14" s="239"/>
    </row>
    <row r="15" spans="1:16" ht="14" x14ac:dyDescent="0.15">
      <c r="A15" s="186" t="s">
        <v>8</v>
      </c>
      <c r="B15" s="233" t="s">
        <v>9</v>
      </c>
      <c r="C15" s="3" t="s">
        <v>7</v>
      </c>
      <c r="D15" s="175"/>
      <c r="E15" s="175"/>
      <c r="F15" s="175"/>
      <c r="G15" s="192">
        <v>41500</v>
      </c>
      <c r="H15" s="192">
        <v>27500</v>
      </c>
      <c r="I15" s="192">
        <v>42500</v>
      </c>
      <c r="J15" s="190"/>
      <c r="K15" s="190"/>
      <c r="L15" s="190"/>
      <c r="M15" s="190"/>
      <c r="N15" s="266">
        <f>+(G15+H15+I15)/3</f>
        <v>37166.666666666664</v>
      </c>
      <c r="O15" s="239"/>
    </row>
    <row r="16" spans="1:16" ht="28" x14ac:dyDescent="0.15">
      <c r="A16" s="186" t="s">
        <v>196</v>
      </c>
      <c r="B16" s="191" t="s">
        <v>208</v>
      </c>
      <c r="C16" s="4" t="s">
        <v>64</v>
      </c>
      <c r="D16" s="177"/>
      <c r="E16" s="175"/>
      <c r="F16" s="175"/>
      <c r="G16" s="192">
        <v>35600</v>
      </c>
      <c r="H16" s="190">
        <v>14500</v>
      </c>
      <c r="I16" s="190">
        <v>37100</v>
      </c>
      <c r="J16" s="190"/>
      <c r="K16" s="190"/>
      <c r="L16" s="190"/>
      <c r="M16" s="190"/>
      <c r="N16" s="266">
        <f>+(G16+H16+I16)/3</f>
        <v>29066.666666666668</v>
      </c>
      <c r="O16" s="239">
        <f>+N16/50</f>
        <v>581.33333333333337</v>
      </c>
    </row>
    <row r="17" spans="1:15" ht="28" x14ac:dyDescent="0.15">
      <c r="A17" s="186" t="s">
        <v>196</v>
      </c>
      <c r="B17" s="229" t="s">
        <v>214</v>
      </c>
      <c r="C17" s="159" t="s">
        <v>10</v>
      </c>
      <c r="D17" s="193"/>
      <c r="E17" s="194"/>
      <c r="F17" s="195"/>
      <c r="G17" s="195">
        <v>63500</v>
      </c>
      <c r="H17" s="196">
        <v>43900</v>
      </c>
      <c r="I17" s="196">
        <v>65500</v>
      </c>
      <c r="J17" s="196"/>
      <c r="K17" s="196"/>
      <c r="L17" s="197"/>
      <c r="M17" s="197"/>
      <c r="N17" s="266">
        <f>+(G17+H17+I17)/3</f>
        <v>57633.333333333336</v>
      </c>
      <c r="O17" s="239"/>
    </row>
    <row r="18" spans="1:15" ht="14" x14ac:dyDescent="0.15">
      <c r="A18" s="186" t="s">
        <v>11</v>
      </c>
      <c r="B18" s="233" t="s">
        <v>12</v>
      </c>
      <c r="C18" s="3" t="s">
        <v>13</v>
      </c>
      <c r="D18" s="175"/>
      <c r="E18" s="175"/>
      <c r="F18" s="175"/>
      <c r="G18" s="192">
        <v>48500</v>
      </c>
      <c r="H18" s="192"/>
      <c r="I18" s="192">
        <v>49600</v>
      </c>
      <c r="J18" s="190"/>
      <c r="K18" s="190"/>
      <c r="L18" s="190"/>
      <c r="M18" s="190"/>
      <c r="N18" s="266">
        <f>+(G18+H18+I18)/2</f>
        <v>49050</v>
      </c>
      <c r="O18" s="239"/>
    </row>
    <row r="19" spans="1:15" ht="14" x14ac:dyDescent="0.15">
      <c r="A19" s="186" t="s">
        <v>14</v>
      </c>
      <c r="B19" s="233" t="s">
        <v>15</v>
      </c>
      <c r="C19" s="3" t="s">
        <v>13</v>
      </c>
      <c r="D19" s="175"/>
      <c r="E19" s="175"/>
      <c r="F19" s="175"/>
      <c r="G19" s="192">
        <v>38600</v>
      </c>
      <c r="H19" s="192"/>
      <c r="I19" s="192">
        <v>39500</v>
      </c>
      <c r="J19" s="190"/>
      <c r="K19" s="190"/>
      <c r="L19" s="190"/>
      <c r="M19" s="190"/>
      <c r="N19" s="266">
        <f>+(G19+H19+I19)/2</f>
        <v>39050</v>
      </c>
      <c r="O19" s="239"/>
    </row>
    <row r="20" spans="1:15" x14ac:dyDescent="0.15">
      <c r="A20" s="590" t="s">
        <v>16</v>
      </c>
      <c r="B20" s="591"/>
      <c r="C20" s="591"/>
      <c r="D20" s="591"/>
      <c r="E20" s="591"/>
      <c r="F20" s="591"/>
      <c r="G20" s="591"/>
      <c r="H20" s="591"/>
      <c r="I20" s="591"/>
      <c r="J20" s="591"/>
      <c r="K20" s="591"/>
      <c r="L20" s="592"/>
      <c r="M20" s="441"/>
      <c r="N20" s="267"/>
      <c r="O20" s="239"/>
    </row>
    <row r="21" spans="1:15" x14ac:dyDescent="0.15">
      <c r="A21" s="187"/>
      <c r="B21" s="188"/>
      <c r="C21" s="188"/>
      <c r="D21" s="198"/>
      <c r="E21" s="198"/>
      <c r="F21" s="198"/>
      <c r="G21" s="198"/>
      <c r="H21" s="198"/>
      <c r="I21" s="198"/>
      <c r="J21" s="199"/>
      <c r="K21" s="199"/>
      <c r="L21" s="158"/>
      <c r="M21" s="158"/>
      <c r="N21" s="267"/>
      <c r="O21" s="239"/>
    </row>
    <row r="22" spans="1:15" ht="14" x14ac:dyDescent="0.15">
      <c r="A22" s="161" t="s">
        <v>17</v>
      </c>
      <c r="B22" s="233" t="s">
        <v>18</v>
      </c>
      <c r="C22" s="3" t="s">
        <v>3</v>
      </c>
      <c r="D22" s="175"/>
      <c r="E22" s="175"/>
      <c r="F22" s="175"/>
      <c r="G22" s="175">
        <v>5900</v>
      </c>
      <c r="H22" s="175">
        <v>4150</v>
      </c>
      <c r="I22" s="175">
        <v>5500</v>
      </c>
      <c r="J22" s="180"/>
      <c r="K22" s="180"/>
      <c r="L22" s="190"/>
      <c r="M22" s="190"/>
      <c r="N22" s="266">
        <f>+(G22+H22+I22)/3</f>
        <v>5183.333333333333</v>
      </c>
      <c r="O22" s="239"/>
    </row>
    <row r="23" spans="1:15" ht="14" x14ac:dyDescent="0.15">
      <c r="A23" s="161" t="s">
        <v>19</v>
      </c>
      <c r="B23" s="233" t="s">
        <v>20</v>
      </c>
      <c r="C23" s="3" t="s">
        <v>3</v>
      </c>
      <c r="D23" s="175"/>
      <c r="E23" s="175"/>
      <c r="F23" s="175"/>
      <c r="G23" s="175">
        <v>29500</v>
      </c>
      <c r="H23" s="175">
        <v>21400</v>
      </c>
      <c r="I23" s="175">
        <v>28900</v>
      </c>
      <c r="J23" s="180"/>
      <c r="K23" s="180"/>
      <c r="L23" s="190"/>
      <c r="M23" s="190"/>
      <c r="N23" s="266">
        <f t="shared" ref="N23:N33" si="2">+(G23+H23+I23)/3</f>
        <v>26600</v>
      </c>
      <c r="O23" s="239"/>
    </row>
    <row r="24" spans="1:15" ht="14" x14ac:dyDescent="0.15">
      <c r="A24" s="161" t="s">
        <v>21</v>
      </c>
      <c r="B24" s="233" t="s">
        <v>22</v>
      </c>
      <c r="C24" s="3" t="s">
        <v>3</v>
      </c>
      <c r="D24" s="175"/>
      <c r="E24" s="175"/>
      <c r="F24" s="175"/>
      <c r="G24" s="175">
        <v>48600</v>
      </c>
      <c r="H24" s="175">
        <v>42100</v>
      </c>
      <c r="I24" s="175">
        <v>45300</v>
      </c>
      <c r="J24" s="180"/>
      <c r="K24" s="180"/>
      <c r="L24" s="190"/>
      <c r="M24" s="190"/>
      <c r="N24" s="266">
        <f t="shared" si="2"/>
        <v>45333.333333333336</v>
      </c>
      <c r="O24" s="239"/>
    </row>
    <row r="25" spans="1:15" ht="14" x14ac:dyDescent="0.15">
      <c r="A25" s="161" t="s">
        <v>23</v>
      </c>
      <c r="B25" s="233" t="s">
        <v>24</v>
      </c>
      <c r="C25" s="3" t="s">
        <v>3</v>
      </c>
      <c r="D25" s="175"/>
      <c r="E25" s="175"/>
      <c r="F25" s="175"/>
      <c r="G25" s="175">
        <v>73500</v>
      </c>
      <c r="H25" s="175">
        <v>59200</v>
      </c>
      <c r="I25" s="175">
        <v>75000</v>
      </c>
      <c r="J25" s="180"/>
      <c r="K25" s="180"/>
      <c r="L25" s="190"/>
      <c r="M25" s="190"/>
      <c r="N25" s="266">
        <f t="shared" si="2"/>
        <v>69233.333333333328</v>
      </c>
      <c r="O25" s="239"/>
    </row>
    <row r="26" spans="1:15" ht="14" x14ac:dyDescent="0.15">
      <c r="A26" s="161" t="s">
        <v>25</v>
      </c>
      <c r="B26" s="233" t="s">
        <v>26</v>
      </c>
      <c r="C26" s="3" t="s">
        <v>3</v>
      </c>
      <c r="D26" s="175"/>
      <c r="E26" s="175"/>
      <c r="F26" s="175"/>
      <c r="G26" s="175">
        <v>38500</v>
      </c>
      <c r="H26" s="175">
        <f>19000+8613</f>
        <v>27613</v>
      </c>
      <c r="I26" s="175">
        <v>39500</v>
      </c>
      <c r="J26" s="180"/>
      <c r="K26" s="180"/>
      <c r="L26" s="190"/>
      <c r="M26" s="190"/>
      <c r="N26" s="266">
        <f t="shared" si="2"/>
        <v>35204.333333333336</v>
      </c>
      <c r="O26" s="239"/>
    </row>
    <row r="27" spans="1:15" ht="14" x14ac:dyDescent="0.15">
      <c r="A27" s="161" t="s">
        <v>27</v>
      </c>
      <c r="B27" s="233" t="s">
        <v>28</v>
      </c>
      <c r="C27" s="3" t="s">
        <v>29</v>
      </c>
      <c r="D27" s="175"/>
      <c r="E27" s="175"/>
      <c r="F27" s="175"/>
      <c r="G27" s="175">
        <v>282500</v>
      </c>
      <c r="H27" s="175">
        <v>229400</v>
      </c>
      <c r="I27" s="175">
        <v>285000</v>
      </c>
      <c r="J27" s="180"/>
      <c r="K27" s="180"/>
      <c r="L27" s="190"/>
      <c r="M27" s="190"/>
      <c r="N27" s="266">
        <f t="shared" si="2"/>
        <v>265633.33333333331</v>
      </c>
      <c r="O27" s="239"/>
    </row>
    <row r="28" spans="1:15" ht="14" x14ac:dyDescent="0.15">
      <c r="A28" s="161" t="s">
        <v>354</v>
      </c>
      <c r="B28" s="233" t="s">
        <v>357</v>
      </c>
      <c r="C28" s="391" t="s">
        <v>29</v>
      </c>
      <c r="D28" s="175"/>
      <c r="E28" s="175"/>
      <c r="F28" s="175"/>
      <c r="G28" s="175"/>
      <c r="H28" s="176">
        <v>259777</v>
      </c>
      <c r="I28" s="176"/>
      <c r="J28" s="181"/>
      <c r="K28" s="180"/>
      <c r="L28" s="190"/>
      <c r="M28" s="190"/>
      <c r="N28" s="266">
        <f>+H28</f>
        <v>259777</v>
      </c>
      <c r="O28" s="239">
        <f>+N28/25</f>
        <v>10391.08</v>
      </c>
    </row>
    <row r="29" spans="1:15" ht="14" x14ac:dyDescent="0.15">
      <c r="A29" s="161" t="s">
        <v>356</v>
      </c>
      <c r="B29" s="233" t="s">
        <v>358</v>
      </c>
      <c r="C29" s="391" t="s">
        <v>361</v>
      </c>
      <c r="D29" s="175"/>
      <c r="E29" s="175"/>
      <c r="F29" s="175"/>
      <c r="G29" s="175"/>
      <c r="H29" s="176">
        <v>31535</v>
      </c>
      <c r="I29" s="176"/>
      <c r="J29" s="181"/>
      <c r="K29" s="180"/>
      <c r="L29" s="190"/>
      <c r="M29" s="190"/>
      <c r="N29" s="266">
        <f>+H29</f>
        <v>31535</v>
      </c>
      <c r="O29" s="239"/>
    </row>
    <row r="30" spans="1:15" ht="14" x14ac:dyDescent="0.15">
      <c r="A30" s="161" t="s">
        <v>30</v>
      </c>
      <c r="B30" s="233" t="s">
        <v>31</v>
      </c>
      <c r="C30" s="3" t="s">
        <v>10</v>
      </c>
      <c r="D30" s="175"/>
      <c r="E30" s="175"/>
      <c r="F30" s="175"/>
      <c r="G30" s="175">
        <v>8900</v>
      </c>
      <c r="H30" s="175">
        <v>7400</v>
      </c>
      <c r="I30" s="175">
        <v>8550</v>
      </c>
      <c r="J30" s="180"/>
      <c r="K30" s="180"/>
      <c r="L30" s="190"/>
      <c r="M30" s="190"/>
      <c r="N30" s="266">
        <f t="shared" si="2"/>
        <v>8283.3333333333339</v>
      </c>
      <c r="O30" s="239"/>
    </row>
    <row r="31" spans="1:15" ht="14" x14ac:dyDescent="0.15">
      <c r="A31" s="161" t="s">
        <v>32</v>
      </c>
      <c r="B31" s="233" t="s">
        <v>233</v>
      </c>
      <c r="C31" s="3" t="s">
        <v>3</v>
      </c>
      <c r="D31" s="175"/>
      <c r="E31" s="175"/>
      <c r="F31" s="175"/>
      <c r="G31" s="175">
        <v>98500</v>
      </c>
      <c r="H31" s="175">
        <v>90800</v>
      </c>
      <c r="I31" s="175">
        <v>99500</v>
      </c>
      <c r="J31" s="180"/>
      <c r="K31" s="180"/>
      <c r="L31" s="190"/>
      <c r="M31" s="190"/>
      <c r="N31" s="266">
        <f t="shared" si="2"/>
        <v>96266.666666666672</v>
      </c>
      <c r="O31" s="239"/>
    </row>
    <row r="32" spans="1:15" ht="14" x14ac:dyDescent="0.15">
      <c r="A32" s="161" t="s">
        <v>33</v>
      </c>
      <c r="B32" s="233" t="s">
        <v>34</v>
      </c>
      <c r="C32" s="3" t="s">
        <v>3</v>
      </c>
      <c r="D32" s="175"/>
      <c r="E32" s="175"/>
      <c r="F32" s="175"/>
      <c r="G32" s="175">
        <v>28500</v>
      </c>
      <c r="H32" s="175">
        <v>17500</v>
      </c>
      <c r="I32" s="175">
        <v>27900</v>
      </c>
      <c r="J32" s="180"/>
      <c r="K32" s="180"/>
      <c r="L32" s="190"/>
      <c r="M32" s="190"/>
      <c r="N32" s="266">
        <f t="shared" si="2"/>
        <v>24633.333333333332</v>
      </c>
      <c r="O32" s="239"/>
    </row>
    <row r="33" spans="1:15" ht="14" x14ac:dyDescent="0.15">
      <c r="A33" s="161" t="s">
        <v>35</v>
      </c>
      <c r="B33" s="233" t="s">
        <v>36</v>
      </c>
      <c r="C33" s="3" t="s">
        <v>3</v>
      </c>
      <c r="D33" s="175"/>
      <c r="E33" s="175"/>
      <c r="F33" s="175"/>
      <c r="G33" s="175">
        <v>47600</v>
      </c>
      <c r="H33" s="175">
        <v>39100</v>
      </c>
      <c r="I33" s="175">
        <v>49200</v>
      </c>
      <c r="J33" s="180"/>
      <c r="K33" s="180"/>
      <c r="L33" s="190"/>
      <c r="M33" s="190"/>
      <c r="N33" s="266">
        <f t="shared" si="2"/>
        <v>45300</v>
      </c>
      <c r="O33" s="239"/>
    </row>
    <row r="34" spans="1:15" ht="14" x14ac:dyDescent="0.15">
      <c r="A34" s="161" t="s">
        <v>37</v>
      </c>
      <c r="B34" s="233" t="s">
        <v>38</v>
      </c>
      <c r="C34" s="3" t="s">
        <v>3</v>
      </c>
      <c r="D34" s="175"/>
      <c r="E34" s="175"/>
      <c r="F34" s="175"/>
      <c r="G34" s="175">
        <v>14800</v>
      </c>
      <c r="H34" s="175"/>
      <c r="I34" s="175">
        <v>15500</v>
      </c>
      <c r="J34" s="180"/>
      <c r="K34" s="180"/>
      <c r="L34" s="190"/>
      <c r="M34" s="190"/>
      <c r="N34" s="266">
        <f>+(G34+H34+I34)/2</f>
        <v>15150</v>
      </c>
      <c r="O34" s="239"/>
    </row>
    <row r="35" spans="1:15" ht="14" x14ac:dyDescent="0.15">
      <c r="A35" s="161" t="s">
        <v>39</v>
      </c>
      <c r="B35" s="233" t="s">
        <v>40</v>
      </c>
      <c r="C35" s="3" t="s">
        <v>3</v>
      </c>
      <c r="D35" s="175"/>
      <c r="E35" s="175"/>
      <c r="F35" s="175"/>
      <c r="G35" s="175">
        <v>430600</v>
      </c>
      <c r="H35" s="175">
        <v>378550</v>
      </c>
      <c r="I35" s="175">
        <v>445000</v>
      </c>
      <c r="J35" s="180"/>
      <c r="K35" s="180"/>
      <c r="L35" s="190"/>
      <c r="M35" s="190"/>
      <c r="N35" s="266">
        <f>+(G35+H35+I35)/3</f>
        <v>418050</v>
      </c>
      <c r="O35" s="239"/>
    </row>
    <row r="36" spans="1:15" x14ac:dyDescent="0.15">
      <c r="A36" s="590" t="s">
        <v>41</v>
      </c>
      <c r="B36" s="591"/>
      <c r="C36" s="591"/>
      <c r="D36" s="591"/>
      <c r="E36" s="591"/>
      <c r="F36" s="591"/>
      <c r="G36" s="591"/>
      <c r="H36" s="591"/>
      <c r="I36" s="591"/>
      <c r="J36" s="591"/>
      <c r="K36" s="591"/>
      <c r="L36" s="592"/>
      <c r="M36" s="441"/>
      <c r="N36" s="267"/>
      <c r="O36" s="239"/>
    </row>
    <row r="37" spans="1:15" ht="14" x14ac:dyDescent="0.15">
      <c r="A37" s="164" t="s">
        <v>42</v>
      </c>
      <c r="B37" s="233" t="s">
        <v>43</v>
      </c>
      <c r="C37" s="3" t="s">
        <v>44</v>
      </c>
      <c r="D37" s="172">
        <v>60000</v>
      </c>
      <c r="E37" s="172">
        <v>75000</v>
      </c>
      <c r="F37" s="172">
        <v>68000</v>
      </c>
      <c r="G37" s="172"/>
      <c r="H37" s="172"/>
      <c r="I37" s="172"/>
      <c r="J37" s="182"/>
      <c r="K37" s="182"/>
      <c r="L37" s="190"/>
      <c r="M37" s="190"/>
      <c r="N37" s="266">
        <f t="shared" ref="N37:N43" si="3">+(D37+E37+F37)/3</f>
        <v>67666.666666666672</v>
      </c>
      <c r="O37" s="239"/>
    </row>
    <row r="38" spans="1:15" ht="14" x14ac:dyDescent="0.15">
      <c r="A38" s="164" t="s">
        <v>45</v>
      </c>
      <c r="B38" s="233" t="s">
        <v>46</v>
      </c>
      <c r="C38" s="3" t="s">
        <v>44</v>
      </c>
      <c r="D38" s="172">
        <v>18000</v>
      </c>
      <c r="E38" s="172">
        <v>25000</v>
      </c>
      <c r="F38" s="172">
        <v>22000</v>
      </c>
      <c r="G38" s="172"/>
      <c r="H38" s="172"/>
      <c r="I38" s="172"/>
      <c r="J38" s="182"/>
      <c r="K38" s="182"/>
      <c r="L38" s="190"/>
      <c r="M38" s="190"/>
      <c r="N38" s="266">
        <f t="shared" si="3"/>
        <v>21666.666666666668</v>
      </c>
      <c r="O38" s="239"/>
    </row>
    <row r="39" spans="1:15" ht="14" x14ac:dyDescent="0.15">
      <c r="A39" s="164" t="s">
        <v>45</v>
      </c>
      <c r="B39" s="233" t="s">
        <v>47</v>
      </c>
      <c r="C39" s="3" t="s">
        <v>48</v>
      </c>
      <c r="D39" s="172">
        <v>9000</v>
      </c>
      <c r="E39" s="172">
        <v>13000</v>
      </c>
      <c r="F39" s="172">
        <v>11000</v>
      </c>
      <c r="G39" s="172"/>
      <c r="H39" s="172"/>
      <c r="I39" s="172"/>
      <c r="J39" s="182"/>
      <c r="K39" s="182"/>
      <c r="L39" s="190"/>
      <c r="M39" s="190"/>
      <c r="N39" s="266">
        <f t="shared" si="3"/>
        <v>11000</v>
      </c>
      <c r="O39" s="239"/>
    </row>
    <row r="40" spans="1:15" ht="28" x14ac:dyDescent="0.15">
      <c r="A40" s="164" t="s">
        <v>49</v>
      </c>
      <c r="B40" s="234" t="s">
        <v>215</v>
      </c>
      <c r="C40" s="3" t="s">
        <v>3</v>
      </c>
      <c r="D40" s="172">
        <v>300</v>
      </c>
      <c r="E40" s="172">
        <v>1000</v>
      </c>
      <c r="F40" s="172">
        <v>360</v>
      </c>
      <c r="G40" s="172"/>
      <c r="H40" s="172"/>
      <c r="I40" s="172"/>
      <c r="J40" s="182"/>
      <c r="K40" s="182"/>
      <c r="L40" s="190"/>
      <c r="M40" s="190"/>
      <c r="N40" s="266">
        <f t="shared" si="3"/>
        <v>553.33333333333337</v>
      </c>
      <c r="O40" s="239"/>
    </row>
    <row r="41" spans="1:15" ht="14" x14ac:dyDescent="0.15">
      <c r="A41" s="164" t="s">
        <v>50</v>
      </c>
      <c r="B41" s="233" t="s">
        <v>51</v>
      </c>
      <c r="C41" s="3" t="s">
        <v>3</v>
      </c>
      <c r="D41" s="172">
        <v>15000</v>
      </c>
      <c r="E41" s="172">
        <v>19000</v>
      </c>
      <c r="F41" s="172">
        <v>17000</v>
      </c>
      <c r="G41" s="172"/>
      <c r="H41" s="172"/>
      <c r="I41" s="172"/>
      <c r="J41" s="182"/>
      <c r="K41" s="182"/>
      <c r="L41" s="190"/>
      <c r="M41" s="190"/>
      <c r="N41" s="266">
        <f t="shared" si="3"/>
        <v>17000</v>
      </c>
      <c r="O41" s="239"/>
    </row>
    <row r="42" spans="1:15" ht="14" x14ac:dyDescent="0.15">
      <c r="A42" s="164" t="s">
        <v>52</v>
      </c>
      <c r="B42" s="233" t="s">
        <v>53</v>
      </c>
      <c r="C42" s="3" t="s">
        <v>3</v>
      </c>
      <c r="D42" s="172">
        <v>30000</v>
      </c>
      <c r="E42" s="172">
        <v>48000</v>
      </c>
      <c r="F42" s="172">
        <v>43000</v>
      </c>
      <c r="G42" s="172"/>
      <c r="H42" s="172"/>
      <c r="I42" s="172"/>
      <c r="J42" s="182"/>
      <c r="K42" s="182"/>
      <c r="L42" s="190"/>
      <c r="M42" s="190"/>
      <c r="N42" s="266">
        <f t="shared" si="3"/>
        <v>40333.333333333336</v>
      </c>
      <c r="O42" s="239"/>
    </row>
    <row r="43" spans="1:15" ht="28" x14ac:dyDescent="0.15">
      <c r="A43" s="162" t="s">
        <v>54</v>
      </c>
      <c r="B43" s="231" t="s">
        <v>216</v>
      </c>
      <c r="C43" s="3" t="s">
        <v>3</v>
      </c>
      <c r="D43" s="172">
        <v>60000</v>
      </c>
      <c r="E43" s="172">
        <v>75000</v>
      </c>
      <c r="F43" s="172">
        <v>68000</v>
      </c>
      <c r="G43" s="172"/>
      <c r="H43" s="172"/>
      <c r="I43" s="172"/>
      <c r="J43" s="182"/>
      <c r="K43" s="182"/>
      <c r="L43" s="190"/>
      <c r="M43" s="190"/>
      <c r="N43" s="266">
        <f t="shared" si="3"/>
        <v>67666.666666666672</v>
      </c>
      <c r="O43" s="239"/>
    </row>
    <row r="44" spans="1:15" x14ac:dyDescent="0.15">
      <c r="A44" s="590" t="s">
        <v>55</v>
      </c>
      <c r="B44" s="591"/>
      <c r="C44" s="591"/>
      <c r="D44" s="591"/>
      <c r="E44" s="591"/>
      <c r="F44" s="591"/>
      <c r="G44" s="591"/>
      <c r="H44" s="591"/>
      <c r="I44" s="591"/>
      <c r="J44" s="591"/>
      <c r="K44" s="591"/>
      <c r="L44" s="592"/>
      <c r="M44" s="441"/>
      <c r="N44" s="267"/>
      <c r="O44" s="239"/>
    </row>
    <row r="45" spans="1:15" x14ac:dyDescent="0.15">
      <c r="A45" s="187"/>
      <c r="B45" s="188"/>
      <c r="C45" s="188"/>
      <c r="D45" s="198"/>
      <c r="E45" s="198"/>
      <c r="F45" s="198"/>
      <c r="G45" s="198"/>
      <c r="H45" s="198"/>
      <c r="I45" s="198"/>
      <c r="J45" s="199"/>
      <c r="K45" s="199"/>
      <c r="L45" s="200"/>
      <c r="M45" s="200"/>
      <c r="N45" s="267"/>
      <c r="O45" s="239"/>
    </row>
    <row r="46" spans="1:15" ht="42" x14ac:dyDescent="0.15">
      <c r="A46" s="165" t="s">
        <v>56</v>
      </c>
      <c r="B46" s="231" t="s">
        <v>211</v>
      </c>
      <c r="C46" s="3" t="s">
        <v>3</v>
      </c>
      <c r="D46" s="178"/>
      <c r="E46" s="171"/>
      <c r="F46" s="171"/>
      <c r="G46" s="171"/>
      <c r="H46" s="171"/>
      <c r="I46" s="171"/>
      <c r="J46" s="185">
        <v>41000</v>
      </c>
      <c r="K46" s="185">
        <v>40000</v>
      </c>
      <c r="L46" s="201">
        <v>40000</v>
      </c>
      <c r="M46" s="201"/>
      <c r="N46" s="266">
        <f>+(J46+K46+L46)/3</f>
        <v>40333.333333333336</v>
      </c>
      <c r="O46" s="239"/>
    </row>
    <row r="47" spans="1:15" ht="14" x14ac:dyDescent="0.15">
      <c r="A47" s="165" t="s">
        <v>57</v>
      </c>
      <c r="B47" s="236" t="s">
        <v>229</v>
      </c>
      <c r="C47" s="3" t="s">
        <v>3</v>
      </c>
      <c r="D47" s="178"/>
      <c r="E47" s="171"/>
      <c r="F47" s="171"/>
      <c r="G47" s="171"/>
      <c r="H47" s="171"/>
      <c r="I47" s="171"/>
      <c r="J47" s="185">
        <v>30000</v>
      </c>
      <c r="K47" s="185">
        <v>29000</v>
      </c>
      <c r="L47" s="201">
        <v>29000</v>
      </c>
      <c r="M47" s="201"/>
      <c r="N47" s="266">
        <f>+(J47+K47+L47)/3</f>
        <v>29333.333333333332</v>
      </c>
      <c r="O47" s="239"/>
    </row>
    <row r="48" spans="1:15" x14ac:dyDescent="0.15">
      <c r="A48" s="590" t="s">
        <v>58</v>
      </c>
      <c r="B48" s="591"/>
      <c r="C48" s="591"/>
      <c r="D48" s="591"/>
      <c r="E48" s="591"/>
      <c r="F48" s="591"/>
      <c r="G48" s="591"/>
      <c r="H48" s="591"/>
      <c r="I48" s="591"/>
      <c r="J48" s="591"/>
      <c r="K48" s="591"/>
      <c r="L48" s="592"/>
      <c r="M48" s="441"/>
      <c r="N48" s="267"/>
      <c r="O48" s="239"/>
    </row>
    <row r="49" spans="1:15" ht="14" x14ac:dyDescent="0.15">
      <c r="A49" s="590" t="s">
        <v>1</v>
      </c>
      <c r="B49" s="592"/>
      <c r="C49" s="1" t="s">
        <v>59</v>
      </c>
      <c r="D49" s="5"/>
      <c r="E49" s="202"/>
      <c r="F49" s="5"/>
      <c r="G49" s="5"/>
      <c r="H49" s="5"/>
      <c r="I49" s="5"/>
      <c r="J49" s="179"/>
      <c r="K49" s="179"/>
      <c r="L49" s="189"/>
      <c r="M49" s="189"/>
      <c r="N49" s="267"/>
      <c r="O49" s="239"/>
    </row>
    <row r="50" spans="1:15" ht="27" customHeight="1" x14ac:dyDescent="0.15">
      <c r="A50" s="166" t="s">
        <v>60</v>
      </c>
      <c r="B50" s="229" t="s">
        <v>435</v>
      </c>
      <c r="C50" s="160" t="s">
        <v>3</v>
      </c>
      <c r="D50" s="174"/>
      <c r="E50" s="203"/>
      <c r="F50" s="174"/>
      <c r="G50" s="173"/>
      <c r="H50" s="173"/>
      <c r="I50" s="173"/>
      <c r="J50" s="184">
        <v>5500</v>
      </c>
      <c r="K50" s="184">
        <v>5000</v>
      </c>
      <c r="L50" s="204">
        <v>4500</v>
      </c>
      <c r="M50" s="204"/>
      <c r="N50" s="268">
        <f>+(J50+K50+L50)/3</f>
        <v>5000</v>
      </c>
      <c r="O50" s="239"/>
    </row>
    <row r="51" spans="1:15" ht="29" thickBot="1" x14ac:dyDescent="0.2">
      <c r="A51" s="167" t="s">
        <v>209</v>
      </c>
      <c r="B51" s="230" t="s">
        <v>228</v>
      </c>
      <c r="C51" s="159" t="s">
        <v>3</v>
      </c>
      <c r="D51" s="174"/>
      <c r="E51" s="203"/>
      <c r="F51" s="174"/>
      <c r="G51" s="173"/>
      <c r="H51" s="173"/>
      <c r="I51" s="173"/>
      <c r="J51" s="184">
        <v>10000</v>
      </c>
      <c r="K51" s="184">
        <v>9500</v>
      </c>
      <c r="L51" s="204">
        <v>9500</v>
      </c>
      <c r="M51" s="204"/>
      <c r="N51" s="268">
        <f>+(J51+K51+L51)/3</f>
        <v>9666.6666666666661</v>
      </c>
      <c r="O51" s="239"/>
    </row>
    <row r="52" spans="1:15" x14ac:dyDescent="0.15">
      <c r="A52" s="590" t="s">
        <v>62</v>
      </c>
      <c r="B52" s="591"/>
      <c r="C52" s="591"/>
      <c r="D52" s="591"/>
      <c r="E52" s="591"/>
      <c r="F52" s="591"/>
      <c r="G52" s="591"/>
      <c r="H52" s="591"/>
      <c r="I52" s="591"/>
      <c r="J52" s="591"/>
      <c r="K52" s="591"/>
      <c r="L52" s="592"/>
      <c r="M52" s="441"/>
      <c r="N52" s="267"/>
      <c r="O52" s="239"/>
    </row>
    <row r="53" spans="1:15" ht="281" thickBot="1" x14ac:dyDescent="0.2">
      <c r="A53" s="168" t="s">
        <v>63</v>
      </c>
      <c r="B53" s="235" t="s">
        <v>235</v>
      </c>
      <c r="C53" s="169" t="s">
        <v>3</v>
      </c>
      <c r="D53" s="170"/>
      <c r="E53" s="170"/>
      <c r="F53" s="170"/>
      <c r="G53" s="170">
        <v>6300000</v>
      </c>
      <c r="H53" s="170"/>
      <c r="I53" s="170">
        <v>6500000</v>
      </c>
      <c r="J53" s="183"/>
      <c r="K53" s="183"/>
      <c r="L53" s="205"/>
      <c r="M53" s="444">
        <v>10600000</v>
      </c>
      <c r="N53" s="269">
        <f>+(G53+I53+M53)/3</f>
        <v>7800000</v>
      </c>
      <c r="O53" s="239"/>
    </row>
    <row r="54" spans="1:15" ht="14" thickBot="1" x14ac:dyDescent="0.2"/>
    <row r="55" spans="1:15" ht="14" thickBot="1" x14ac:dyDescent="0.2">
      <c r="A55" s="206" t="s">
        <v>177</v>
      </c>
      <c r="B55" s="206" t="s">
        <v>178</v>
      </c>
      <c r="D55" s="7"/>
      <c r="E55" s="7"/>
    </row>
    <row r="56" spans="1:15" ht="14" thickBot="1" x14ac:dyDescent="0.2">
      <c r="A56" s="207" t="s">
        <v>179</v>
      </c>
      <c r="B56" s="208">
        <v>1300000</v>
      </c>
      <c r="D56" s="7"/>
      <c r="E56" s="7"/>
    </row>
    <row r="57" spans="1:15" ht="14" thickBot="1" x14ac:dyDescent="0.2">
      <c r="A57" s="209" t="s">
        <v>180</v>
      </c>
      <c r="B57" s="210">
        <v>162000</v>
      </c>
      <c r="D57" s="7"/>
      <c r="E57" s="7"/>
    </row>
    <row r="58" spans="1:15" ht="14" thickBot="1" x14ac:dyDescent="0.2">
      <c r="A58" s="209" t="s">
        <v>181</v>
      </c>
      <c r="B58" s="211">
        <f>+B56+B57</f>
        <v>1462000</v>
      </c>
      <c r="C58" s="212"/>
      <c r="D58" s="7"/>
      <c r="E58" s="7"/>
    </row>
    <row r="59" spans="1:15" x14ac:dyDescent="0.15">
      <c r="A59" s="209" t="s">
        <v>182</v>
      </c>
      <c r="B59" s="213">
        <f>+B56*8.5%</f>
        <v>110500.00000000001</v>
      </c>
      <c r="D59" s="7"/>
      <c r="E59" s="7"/>
    </row>
    <row r="60" spans="1:15" x14ac:dyDescent="0.15">
      <c r="A60" s="209" t="s">
        <v>183</v>
      </c>
      <c r="B60" s="214">
        <f>+B56*8%</f>
        <v>104000</v>
      </c>
      <c r="D60" s="7"/>
      <c r="E60" s="7"/>
    </row>
    <row r="61" spans="1:15" x14ac:dyDescent="0.15">
      <c r="A61" s="209" t="s">
        <v>184</v>
      </c>
      <c r="B61" s="214">
        <f>+B56*2.436%</f>
        <v>31668</v>
      </c>
      <c r="D61" s="7"/>
      <c r="E61" s="7"/>
    </row>
    <row r="62" spans="1:15" ht="14" thickBot="1" x14ac:dyDescent="0.2">
      <c r="A62" s="209" t="s">
        <v>185</v>
      </c>
      <c r="B62" s="215">
        <f>+B56*9%</f>
        <v>117000</v>
      </c>
      <c r="D62" s="7"/>
      <c r="E62" s="7"/>
    </row>
    <row r="63" spans="1:15" ht="14" thickBot="1" x14ac:dyDescent="0.2">
      <c r="A63" s="216"/>
      <c r="B63" s="217">
        <f>SUM(B58:B62)</f>
        <v>1825168</v>
      </c>
      <c r="C63" s="218"/>
      <c r="D63" s="7"/>
      <c r="E63" s="7"/>
    </row>
    <row r="64" spans="1:15" x14ac:dyDescent="0.15">
      <c r="A64" s="209" t="s">
        <v>186</v>
      </c>
      <c r="B64" s="213"/>
      <c r="D64" s="7"/>
      <c r="E64" s="7"/>
    </row>
    <row r="65" spans="1:5" x14ac:dyDescent="0.15">
      <c r="A65" s="209" t="s">
        <v>187</v>
      </c>
      <c r="B65" s="214">
        <f>+B58*8.3333%</f>
        <v>121832.84599999999</v>
      </c>
      <c r="D65" s="7"/>
      <c r="E65" s="7"/>
    </row>
    <row r="66" spans="1:5" x14ac:dyDescent="0.15">
      <c r="A66" s="209" t="s">
        <v>188</v>
      </c>
      <c r="B66" s="214">
        <f>+B58*8.3333%</f>
        <v>121832.84599999999</v>
      </c>
      <c r="D66" s="7"/>
      <c r="E66" s="7"/>
    </row>
    <row r="67" spans="1:5" x14ac:dyDescent="0.15">
      <c r="A67" s="209" t="s">
        <v>189</v>
      </c>
      <c r="B67" s="219">
        <f>+((B66*30)*0.12/360)*12</f>
        <v>14619.94152</v>
      </c>
      <c r="C67" s="220"/>
      <c r="D67" s="7"/>
      <c r="E67" s="7"/>
    </row>
    <row r="68" spans="1:5" ht="14" thickBot="1" x14ac:dyDescent="0.2">
      <c r="A68" s="209" t="s">
        <v>190</v>
      </c>
      <c r="B68" s="221">
        <f>+B56*4.17%</f>
        <v>54210</v>
      </c>
      <c r="D68" s="7"/>
      <c r="E68" s="7"/>
    </row>
    <row r="69" spans="1:5" ht="14" thickBot="1" x14ac:dyDescent="0.2">
      <c r="A69" s="209" t="s">
        <v>191</v>
      </c>
      <c r="B69" s="222">
        <f>SUM(B65:B68)</f>
        <v>312495.63351999997</v>
      </c>
      <c r="D69" s="7"/>
      <c r="E69" s="223"/>
    </row>
    <row r="70" spans="1:5" ht="14" thickBot="1" x14ac:dyDescent="0.2">
      <c r="A70" s="209" t="s">
        <v>192</v>
      </c>
      <c r="B70" s="222">
        <f>+B63+B69</f>
        <v>2137663.6335200001</v>
      </c>
      <c r="C70" s="218"/>
      <c r="D70" s="7"/>
      <c r="E70" s="7"/>
    </row>
    <row r="71" spans="1:5" x14ac:dyDescent="0.15">
      <c r="A71" s="209" t="s">
        <v>193</v>
      </c>
      <c r="B71" s="224">
        <f>+B63/30</f>
        <v>60838.933333333334</v>
      </c>
      <c r="D71" s="7"/>
      <c r="E71" s="7"/>
    </row>
    <row r="72" spans="1:5" ht="14" thickBot="1" x14ac:dyDescent="0.2">
      <c r="A72" s="225" t="s">
        <v>194</v>
      </c>
      <c r="B72" s="226">
        <f>ROUND(B70/30,0)</f>
        <v>71255</v>
      </c>
      <c r="D72" s="7"/>
      <c r="E72" s="223"/>
    </row>
    <row r="73" spans="1:5" x14ac:dyDescent="0.15">
      <c r="D73" s="7"/>
      <c r="E73" s="7"/>
    </row>
  </sheetData>
  <mergeCells count="8">
    <mergeCell ref="A48:L48"/>
    <mergeCell ref="A49:B49"/>
    <mergeCell ref="A52:L52"/>
    <mergeCell ref="A1:L1"/>
    <mergeCell ref="A3:L3"/>
    <mergeCell ref="A20:L20"/>
    <mergeCell ref="A36:L36"/>
    <mergeCell ref="A44:L44"/>
  </mergeCells>
  <pageMargins left="0" right="0.31496062992125984" top="0.6692913385826772" bottom="0.6692913385826772" header="0.31496062992125984" footer="0.31496062992125984"/>
  <pageSetup scale="57" orientation="landscape" horizontalDpi="360" verticalDpi="36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3:T165"/>
  <sheetViews>
    <sheetView topLeftCell="A104" zoomScaleNormal="100" workbookViewId="0">
      <selection activeCell="F142" sqref="F142"/>
    </sheetView>
  </sheetViews>
  <sheetFormatPr baseColWidth="10" defaultRowHeight="15" x14ac:dyDescent="0.2"/>
  <cols>
    <col min="1" max="1" width="4" customWidth="1"/>
    <col min="2" max="2" width="34.6640625" customWidth="1"/>
    <col min="4" max="4" width="10.5" customWidth="1"/>
    <col min="5" max="5" width="14.5" customWidth="1"/>
    <col min="6" max="6" width="17.5" customWidth="1"/>
    <col min="7" max="7" width="16.83203125" customWidth="1"/>
    <col min="8" max="8" width="17" customWidth="1"/>
    <col min="9" max="9" width="15.1640625" customWidth="1"/>
    <col min="10" max="10" width="15.33203125" customWidth="1"/>
    <col min="11" max="11" width="9" customWidth="1"/>
    <col min="12" max="12" width="10.83203125" customWidth="1"/>
    <col min="13" max="13" width="9.83203125" customWidth="1"/>
    <col min="14" max="14" width="10.5" customWidth="1"/>
    <col min="15" max="15" width="9.6640625" customWidth="1"/>
    <col min="16" max="16" width="2.33203125" customWidth="1"/>
    <col min="17" max="17" width="10.83203125" customWidth="1"/>
    <col min="18" max="18" width="9.5" customWidth="1"/>
    <col min="19" max="19" width="9.6640625" customWidth="1"/>
    <col min="20" max="20" width="10.83203125" customWidth="1"/>
  </cols>
  <sheetData>
    <row r="3" spans="2:7" x14ac:dyDescent="0.2">
      <c r="B3" s="646" t="s">
        <v>441</v>
      </c>
      <c r="C3" s="646"/>
      <c r="D3" s="646"/>
      <c r="E3" s="646"/>
      <c r="F3" s="646"/>
      <c r="G3" s="646"/>
    </row>
    <row r="4" spans="2:7" ht="39.75" customHeight="1" x14ac:dyDescent="0.2">
      <c r="B4" s="8" t="s">
        <v>70</v>
      </c>
      <c r="C4" s="647" t="s">
        <v>71</v>
      </c>
      <c r="D4" s="647"/>
      <c r="E4" s="647"/>
      <c r="F4" s="647"/>
      <c r="G4" s="647"/>
    </row>
    <row r="5" spans="2:7" ht="23.25" customHeight="1" x14ac:dyDescent="0.2">
      <c r="B5" s="8" t="s">
        <v>72</v>
      </c>
      <c r="C5" s="648" t="s">
        <v>73</v>
      </c>
      <c r="D5" s="648"/>
      <c r="E5" s="648"/>
      <c r="F5" s="648"/>
      <c r="G5" s="648"/>
    </row>
    <row r="6" spans="2:7" ht="27" customHeight="1" x14ac:dyDescent="0.2">
      <c r="B6" s="8" t="s">
        <v>74</v>
      </c>
      <c r="C6" s="649" t="s">
        <v>463</v>
      </c>
      <c r="D6" s="649"/>
      <c r="E6" s="649"/>
      <c r="F6" s="649"/>
      <c r="G6" s="649"/>
    </row>
    <row r="7" spans="2:7" x14ac:dyDescent="0.2">
      <c r="B7" s="11"/>
      <c r="C7" s="11"/>
      <c r="D7" s="11"/>
      <c r="E7" s="11"/>
      <c r="F7" s="11"/>
      <c r="G7" s="11"/>
    </row>
    <row r="8" spans="2:7" x14ac:dyDescent="0.2">
      <c r="B8" s="12" t="s">
        <v>76</v>
      </c>
      <c r="C8" s="13" t="s">
        <v>77</v>
      </c>
      <c r="D8" s="11"/>
      <c r="E8" s="14" t="s">
        <v>78</v>
      </c>
      <c r="F8" s="11"/>
      <c r="G8" s="11"/>
    </row>
    <row r="9" spans="2:7" x14ac:dyDescent="0.2">
      <c r="B9" s="7"/>
      <c r="C9" s="7"/>
      <c r="D9" s="7"/>
      <c r="E9" s="7"/>
      <c r="F9" s="7"/>
      <c r="G9" s="7"/>
    </row>
    <row r="10" spans="2:7" ht="14.25" customHeight="1" x14ac:dyDescent="0.2">
      <c r="B10" s="644" t="s">
        <v>239</v>
      </c>
      <c r="C10" s="645"/>
      <c r="D10" s="17">
        <v>1110</v>
      </c>
      <c r="E10" s="18">
        <f>+'Estudio de Mercado'!N50</f>
        <v>5000</v>
      </c>
      <c r="F10" s="19"/>
      <c r="G10" s="20"/>
    </row>
    <row r="11" spans="2:7" ht="12.75" customHeight="1" x14ac:dyDescent="0.2">
      <c r="B11" s="644" t="s">
        <v>447</v>
      </c>
      <c r="C11" s="645"/>
      <c r="D11" s="17">
        <v>936</v>
      </c>
      <c r="E11" s="18"/>
      <c r="F11" s="19"/>
      <c r="G11" s="20"/>
    </row>
    <row r="12" spans="2:7" ht="12.75" customHeight="1" x14ac:dyDescent="0.2">
      <c r="B12" s="644" t="s">
        <v>448</v>
      </c>
      <c r="C12" s="645"/>
      <c r="D12" s="17">
        <v>650</v>
      </c>
      <c r="E12" s="18"/>
      <c r="F12" s="20"/>
      <c r="G12" s="20"/>
    </row>
    <row r="13" spans="2:7" x14ac:dyDescent="0.2">
      <c r="B13" s="481" t="s">
        <v>436</v>
      </c>
      <c r="C13" s="452"/>
      <c r="D13" s="452">
        <v>0.1</v>
      </c>
      <c r="E13" s="18"/>
      <c r="F13" s="20"/>
      <c r="G13" s="20"/>
    </row>
    <row r="14" spans="2:7" ht="24" x14ac:dyDescent="0.2">
      <c r="B14" s="15" t="s">
        <v>80</v>
      </c>
      <c r="C14" s="22" t="s">
        <v>2</v>
      </c>
      <c r="D14" s="23" t="s">
        <v>81</v>
      </c>
      <c r="E14" s="24" t="s">
        <v>82</v>
      </c>
      <c r="F14" s="7"/>
      <c r="G14" s="7"/>
    </row>
    <row r="15" spans="2:7" ht="22.5" customHeight="1" x14ac:dyDescent="0.2">
      <c r="B15" s="15" t="s">
        <v>442</v>
      </c>
      <c r="C15" s="25" t="s">
        <v>84</v>
      </c>
      <c r="D15" s="26">
        <v>40</v>
      </c>
      <c r="E15" s="27">
        <f>+'Estudio de Mercado'!O7</f>
        <v>3686.9565217391305</v>
      </c>
      <c r="F15" s="7"/>
      <c r="G15" s="7"/>
    </row>
    <row r="16" spans="2:7" ht="18.75" customHeight="1" x14ac:dyDescent="0.2">
      <c r="B16" s="15" t="s">
        <v>85</v>
      </c>
      <c r="C16" s="25" t="s">
        <v>86</v>
      </c>
      <c r="D16" s="26">
        <v>60</v>
      </c>
      <c r="E16" s="27">
        <f>+'Estudio de Mercado'!O10</f>
        <v>3191.333333333333</v>
      </c>
      <c r="F16" s="7"/>
      <c r="G16" s="7"/>
    </row>
    <row r="17" spans="2:7" ht="15" customHeight="1" x14ac:dyDescent="0.2">
      <c r="B17" s="15" t="s">
        <v>87</v>
      </c>
      <c r="C17" s="105" t="s">
        <v>6</v>
      </c>
      <c r="D17" s="26">
        <v>220</v>
      </c>
      <c r="E17" s="27">
        <f>+'Estudio de Mercado'!O4</f>
        <v>1358.8</v>
      </c>
      <c r="F17" s="7"/>
      <c r="G17" s="7"/>
    </row>
    <row r="18" spans="2:7" ht="20.25" customHeight="1" x14ac:dyDescent="0.2">
      <c r="B18" s="15" t="s">
        <v>83</v>
      </c>
      <c r="C18" s="105" t="s">
        <v>88</v>
      </c>
      <c r="D18" s="26">
        <v>70</v>
      </c>
      <c r="E18" s="27">
        <f>+'Estudio de Mercado'!O6</f>
        <v>3378</v>
      </c>
      <c r="F18" s="7"/>
      <c r="G18" s="7"/>
    </row>
    <row r="19" spans="2:7" ht="18" customHeight="1" x14ac:dyDescent="0.2">
      <c r="B19" s="15" t="s">
        <v>97</v>
      </c>
      <c r="C19" s="105" t="s">
        <v>98</v>
      </c>
      <c r="D19" s="26">
        <v>3</v>
      </c>
      <c r="E19" s="27">
        <f>+'Estudio de Mercado'!N17</f>
        <v>57633.333333333336</v>
      </c>
      <c r="F19" s="7"/>
      <c r="G19" s="7"/>
    </row>
    <row r="20" spans="2:7" ht="18" customHeight="1" x14ac:dyDescent="0.2">
      <c r="B20" s="15" t="s">
        <v>254</v>
      </c>
      <c r="C20" s="105" t="s">
        <v>208</v>
      </c>
      <c r="D20" s="26">
        <v>50</v>
      </c>
      <c r="E20" s="27">
        <f>+'Estudio de Mercado'!O16</f>
        <v>581.33333333333337</v>
      </c>
      <c r="F20" s="7"/>
      <c r="G20" s="7"/>
    </row>
    <row r="21" spans="2:7" ht="17.25" customHeight="1" x14ac:dyDescent="0.2">
      <c r="B21" s="240" t="s">
        <v>443</v>
      </c>
      <c r="C21" s="105" t="s">
        <v>224</v>
      </c>
      <c r="D21" s="26">
        <v>0.5</v>
      </c>
      <c r="E21" s="27">
        <f>+'Estudio de Mercado'!N14</f>
        <v>68050</v>
      </c>
      <c r="F21" s="7"/>
      <c r="G21" s="7"/>
    </row>
    <row r="22" spans="2:7" ht="17.25" customHeight="1" x14ac:dyDescent="0.2">
      <c r="B22" s="240" t="s">
        <v>443</v>
      </c>
      <c r="C22" s="105" t="s">
        <v>252</v>
      </c>
      <c r="D22" s="26">
        <v>0.5</v>
      </c>
      <c r="E22" s="27">
        <f>+'Estudio de Mercado'!N13</f>
        <v>32550</v>
      </c>
      <c r="F22" s="7"/>
      <c r="G22" s="7"/>
    </row>
    <row r="23" spans="2:7" ht="33.75" customHeight="1" x14ac:dyDescent="0.2">
      <c r="B23" s="15" t="s">
        <v>99</v>
      </c>
      <c r="C23" s="25" t="s">
        <v>100</v>
      </c>
      <c r="D23" s="17" t="s">
        <v>101</v>
      </c>
      <c r="E23" s="27">
        <f>+'Estudio de Mercado'!B72</f>
        <v>71255</v>
      </c>
      <c r="F23" s="30"/>
      <c r="G23" s="7"/>
    </row>
    <row r="24" spans="2:7" ht="17.25" customHeight="1" x14ac:dyDescent="0.2">
      <c r="B24" s="15" t="s">
        <v>102</v>
      </c>
      <c r="C24" s="25" t="s">
        <v>101</v>
      </c>
      <c r="D24" s="21">
        <v>0.03</v>
      </c>
      <c r="E24" s="34"/>
      <c r="F24" s="7"/>
      <c r="G24" s="7"/>
    </row>
    <row r="25" spans="2:7" ht="21" customHeight="1" x14ac:dyDescent="0.2">
      <c r="B25" s="15" t="s">
        <v>103</v>
      </c>
      <c r="C25" s="25" t="s">
        <v>101</v>
      </c>
      <c r="D25" s="33">
        <v>0.03</v>
      </c>
      <c r="E25" s="34"/>
      <c r="F25" s="7"/>
      <c r="G25" s="7"/>
    </row>
    <row r="26" spans="2:7" ht="20.25" customHeight="1" x14ac:dyDescent="0.2">
      <c r="B26" s="15" t="s">
        <v>104</v>
      </c>
      <c r="C26" s="25" t="s">
        <v>105</v>
      </c>
      <c r="D26" s="274">
        <v>85000</v>
      </c>
      <c r="E26" s="34"/>
      <c r="F26" s="7"/>
      <c r="G26" s="7"/>
    </row>
    <row r="27" spans="2:7" ht="22.5" customHeight="1" x14ac:dyDescent="0.2">
      <c r="B27" s="15" t="s">
        <v>437</v>
      </c>
      <c r="C27" s="25" t="s">
        <v>101</v>
      </c>
      <c r="D27" s="36">
        <v>0.15</v>
      </c>
      <c r="E27" s="34"/>
      <c r="F27" s="7"/>
      <c r="G27" s="7"/>
    </row>
    <row r="28" spans="2:7" x14ac:dyDescent="0.2">
      <c r="B28" s="37"/>
      <c r="C28" s="7"/>
      <c r="D28" s="38"/>
      <c r="E28" s="9"/>
      <c r="F28" s="39"/>
      <c r="G28" s="6"/>
    </row>
    <row r="29" spans="2:7" x14ac:dyDescent="0.2">
      <c r="B29" s="547" t="s">
        <v>116</v>
      </c>
      <c r="C29" s="548"/>
      <c r="D29" s="549"/>
      <c r="E29" s="550"/>
      <c r="F29" s="551"/>
      <c r="G29" s="552"/>
    </row>
    <row r="30" spans="2:7" ht="24" customHeight="1" x14ac:dyDescent="0.2">
      <c r="B30" s="629" t="s">
        <v>451</v>
      </c>
      <c r="C30" s="630"/>
      <c r="D30" s="631"/>
      <c r="E30" s="545"/>
      <c r="F30" s="545" t="s">
        <v>245</v>
      </c>
      <c r="G30" s="546">
        <v>18</v>
      </c>
    </row>
    <row r="31" spans="2:7" ht="21" customHeight="1" x14ac:dyDescent="0.2">
      <c r="B31" s="244" t="s">
        <v>450</v>
      </c>
      <c r="C31" s="245" t="s">
        <v>3</v>
      </c>
      <c r="D31" s="246" t="s">
        <v>112</v>
      </c>
      <c r="E31" s="246" t="s">
        <v>113</v>
      </c>
      <c r="F31" s="246" t="s">
        <v>114</v>
      </c>
      <c r="G31" s="247" t="s">
        <v>115</v>
      </c>
    </row>
    <row r="32" spans="2:7" x14ac:dyDescent="0.2">
      <c r="B32" s="272" t="s">
        <v>255</v>
      </c>
      <c r="C32" s="105" t="s">
        <v>128</v>
      </c>
      <c r="D32" s="273">
        <v>10000</v>
      </c>
      <c r="E32" s="152">
        <f>+(($E$23*E127)/D32)</f>
        <v>35.627499999999998</v>
      </c>
      <c r="F32" s="57">
        <f>+D32*E32</f>
        <v>356275</v>
      </c>
      <c r="G32" s="58">
        <f>+F32*$G$30</f>
        <v>6412950</v>
      </c>
    </row>
    <row r="33" spans="2:9" x14ac:dyDescent="0.2">
      <c r="B33" s="272" t="s">
        <v>262</v>
      </c>
      <c r="C33" s="105" t="s">
        <v>61</v>
      </c>
      <c r="D33" s="56">
        <f>+$D$10</f>
        <v>1110</v>
      </c>
      <c r="E33" s="152">
        <f>+(($E$23*E128)/D33)</f>
        <v>128.38738738738738</v>
      </c>
      <c r="F33" s="57">
        <f t="shared" ref="F33:F43" si="0">+D33*E33</f>
        <v>142510</v>
      </c>
      <c r="G33" s="58">
        <f>+F33*$G$30</f>
        <v>2565180</v>
      </c>
    </row>
    <row r="34" spans="2:9" x14ac:dyDescent="0.2">
      <c r="B34" s="55" t="s">
        <v>444</v>
      </c>
      <c r="C34" s="25" t="s">
        <v>120</v>
      </c>
      <c r="D34" s="56">
        <f>+$D$10</f>
        <v>1110</v>
      </c>
      <c r="E34" s="57">
        <f>+(($E$23*E129)/D34)</f>
        <v>770.32432432432438</v>
      </c>
      <c r="F34" s="57">
        <f t="shared" si="0"/>
        <v>855060.00000000012</v>
      </c>
      <c r="G34" s="58">
        <f t="shared" ref="G34:G42" si="1">+F34*$G$30</f>
        <v>15391080.000000002</v>
      </c>
    </row>
    <row r="35" spans="2:9" x14ac:dyDescent="0.2">
      <c r="B35" s="55" t="s">
        <v>256</v>
      </c>
      <c r="C35" s="25" t="s">
        <v>61</v>
      </c>
      <c r="D35" s="56">
        <f>+$D$10</f>
        <v>1110</v>
      </c>
      <c r="E35" s="57">
        <f>+(($E$23*E130)/D35)</f>
        <v>513.54954954954951</v>
      </c>
      <c r="F35" s="57">
        <f t="shared" si="0"/>
        <v>570040</v>
      </c>
      <c r="G35" s="58">
        <f>+F35*$G$30</f>
        <v>10260720</v>
      </c>
    </row>
    <row r="36" spans="2:9" x14ac:dyDescent="0.2">
      <c r="B36" s="55" t="s">
        <v>123</v>
      </c>
      <c r="C36" s="25" t="s">
        <v>61</v>
      </c>
      <c r="D36" s="56">
        <f>+$D$10</f>
        <v>1110</v>
      </c>
      <c r="E36" s="57">
        <f>+(($E$23*D131)/D36)</f>
        <v>128.38738738738738</v>
      </c>
      <c r="F36" s="57">
        <f t="shared" si="0"/>
        <v>142510</v>
      </c>
      <c r="G36" s="58">
        <f>+F36*$G$30</f>
        <v>2565180</v>
      </c>
    </row>
    <row r="37" spans="2:9" x14ac:dyDescent="0.2">
      <c r="B37" s="55" t="s">
        <v>124</v>
      </c>
      <c r="C37" s="25" t="s">
        <v>61</v>
      </c>
      <c r="D37" s="56">
        <f>+$D$10</f>
        <v>1110</v>
      </c>
      <c r="E37" s="152">
        <f>+(($E$23*D132)/D37)</f>
        <v>256.77477477477476</v>
      </c>
      <c r="F37" s="57">
        <f t="shared" si="0"/>
        <v>285020</v>
      </c>
      <c r="G37" s="58">
        <f t="shared" ref="G37" si="2">+F37*$G$30</f>
        <v>5130360</v>
      </c>
    </row>
    <row r="38" spans="2:9" ht="13.5" customHeight="1" x14ac:dyDescent="0.2">
      <c r="B38" s="55" t="s">
        <v>121</v>
      </c>
      <c r="C38" s="25" t="s">
        <v>105</v>
      </c>
      <c r="D38" s="56">
        <f>+D133</f>
        <v>13.611428571428572</v>
      </c>
      <c r="E38" s="256">
        <f>+D26</f>
        <v>85000</v>
      </c>
      <c r="F38" s="57">
        <f t="shared" si="0"/>
        <v>1156971.4285714286</v>
      </c>
      <c r="G38" s="58">
        <f t="shared" si="1"/>
        <v>20825485.714285716</v>
      </c>
    </row>
    <row r="39" spans="2:9" ht="13.5" customHeight="1" x14ac:dyDescent="0.2">
      <c r="B39" s="55" t="s">
        <v>258</v>
      </c>
      <c r="C39" s="25" t="s">
        <v>61</v>
      </c>
      <c r="D39" s="56">
        <f>+$D$10</f>
        <v>1110</v>
      </c>
      <c r="E39" s="152">
        <f>+(($E$23*D134)/D39)</f>
        <v>320.96846846846847</v>
      </c>
      <c r="F39" s="57">
        <f t="shared" si="0"/>
        <v>356275</v>
      </c>
      <c r="G39" s="58">
        <f>+F39*$G$30</f>
        <v>6412950</v>
      </c>
    </row>
    <row r="40" spans="2:9" ht="13.5" customHeight="1" x14ac:dyDescent="0.2">
      <c r="B40" s="55" t="s">
        <v>246</v>
      </c>
      <c r="C40" s="25" t="s">
        <v>61</v>
      </c>
      <c r="D40" s="56">
        <f>+$D$10</f>
        <v>1110</v>
      </c>
      <c r="E40" s="152">
        <f>+(($E$23*D135)/D40)</f>
        <v>128.38738738738738</v>
      </c>
      <c r="F40" s="57">
        <f t="shared" si="0"/>
        <v>142510</v>
      </c>
      <c r="G40" s="58">
        <f>+F40*$G$30</f>
        <v>2565180</v>
      </c>
    </row>
    <row r="41" spans="2:9" ht="15" customHeight="1" x14ac:dyDescent="0.2">
      <c r="B41" s="248" t="s">
        <v>418</v>
      </c>
      <c r="C41" s="25" t="s">
        <v>61</v>
      </c>
      <c r="D41" s="56">
        <f>+($D$10*D13)</f>
        <v>111</v>
      </c>
      <c r="E41" s="256">
        <f>+(($E$23*D136)/D41)</f>
        <v>1283.8738738738739</v>
      </c>
      <c r="F41" s="57">
        <f t="shared" si="0"/>
        <v>142510</v>
      </c>
      <c r="G41" s="58">
        <f>+F41*$G$30</f>
        <v>2565180</v>
      </c>
    </row>
    <row r="42" spans="2:9" x14ac:dyDescent="0.2">
      <c r="B42" s="60" t="s">
        <v>127</v>
      </c>
      <c r="C42" s="25" t="s">
        <v>128</v>
      </c>
      <c r="D42" s="56">
        <v>10000</v>
      </c>
      <c r="E42" s="152">
        <f>+(($E$23*D137)/D42)</f>
        <v>85.506</v>
      </c>
      <c r="F42" s="57">
        <f t="shared" si="0"/>
        <v>855060</v>
      </c>
      <c r="G42" s="58">
        <f t="shared" si="1"/>
        <v>15391080</v>
      </c>
    </row>
    <row r="43" spans="2:9" x14ac:dyDescent="0.2">
      <c r="B43" s="60" t="s">
        <v>445</v>
      </c>
      <c r="C43" s="25" t="s">
        <v>264</v>
      </c>
      <c r="D43" s="273">
        <v>167</v>
      </c>
      <c r="E43" s="152">
        <f>+(($E$23*D138)/D43)</f>
        <v>853.35329341317367</v>
      </c>
      <c r="F43" s="57">
        <f t="shared" si="0"/>
        <v>142510</v>
      </c>
      <c r="G43" s="58">
        <f>+F43*$G$30</f>
        <v>2565180</v>
      </c>
    </row>
    <row r="44" spans="2:9" x14ac:dyDescent="0.2">
      <c r="B44" s="60" t="s">
        <v>446</v>
      </c>
      <c r="C44" s="25" t="s">
        <v>101</v>
      </c>
      <c r="D44" s="273"/>
      <c r="E44" s="152"/>
      <c r="F44" s="57"/>
      <c r="G44" s="58">
        <f>+(D139*E23)</f>
        <v>356275</v>
      </c>
    </row>
    <row r="45" spans="2:9" x14ac:dyDescent="0.2">
      <c r="B45" s="249" t="s">
        <v>130</v>
      </c>
      <c r="C45" s="250"/>
      <c r="D45" s="251"/>
      <c r="E45" s="252"/>
      <c r="F45" s="253">
        <f>+SUM(F32:F44)</f>
        <v>5147251.4285714291</v>
      </c>
      <c r="G45" s="254">
        <f>+SUM(G32:G44)</f>
        <v>93006800.714285716</v>
      </c>
      <c r="H45" s="511"/>
      <c r="I45" s="581"/>
    </row>
    <row r="46" spans="2:9" x14ac:dyDescent="0.2">
      <c r="B46" s="632" t="s">
        <v>131</v>
      </c>
      <c r="C46" s="633"/>
      <c r="D46" s="634"/>
      <c r="E46" s="633"/>
      <c r="F46" s="635"/>
      <c r="G46" s="255"/>
    </row>
    <row r="47" spans="2:9" ht="14.25" customHeight="1" x14ac:dyDescent="0.2">
      <c r="B47" s="55" t="s">
        <v>438</v>
      </c>
      <c r="C47" s="25" t="s">
        <v>133</v>
      </c>
      <c r="D47" s="56">
        <f>+D10*(1+D13)</f>
        <v>1221</v>
      </c>
      <c r="E47" s="57">
        <f>+E10</f>
        <v>5000</v>
      </c>
      <c r="F47" s="57">
        <f>+D47*E47</f>
        <v>6105000</v>
      </c>
      <c r="G47" s="58">
        <f>+F47*$G$30</f>
        <v>109890000</v>
      </c>
    </row>
    <row r="48" spans="2:9" x14ac:dyDescent="0.2">
      <c r="B48" s="55" t="s">
        <v>317</v>
      </c>
      <c r="C48" s="25" t="s">
        <v>135</v>
      </c>
      <c r="D48" s="69">
        <f>ROUNDUP((D47*D15)/1000,0)</f>
        <v>49</v>
      </c>
      <c r="E48" s="57">
        <f>+E15</f>
        <v>3686.9565217391305</v>
      </c>
      <c r="F48" s="57">
        <f t="shared" ref="F48:F55" si="3">+D48*E48</f>
        <v>180660.86956521741</v>
      </c>
      <c r="G48" s="58">
        <f t="shared" ref="G48:G55" si="4">+F48*$G$30</f>
        <v>3251895.6521739131</v>
      </c>
    </row>
    <row r="49" spans="2:10" x14ac:dyDescent="0.2">
      <c r="B49" s="55" t="s">
        <v>203</v>
      </c>
      <c r="C49" s="25" t="s">
        <v>135</v>
      </c>
      <c r="D49" s="69">
        <f>ROUNDUP((D10*D16)/1000,0)</f>
        <v>67</v>
      </c>
      <c r="E49" s="57">
        <f>+E16</f>
        <v>3191.333333333333</v>
      </c>
      <c r="F49" s="57">
        <f t="shared" si="3"/>
        <v>213819.33333333331</v>
      </c>
      <c r="G49" s="58">
        <f t="shared" si="4"/>
        <v>3848747.9999999995</v>
      </c>
    </row>
    <row r="50" spans="2:10" x14ac:dyDescent="0.2">
      <c r="B50" s="55" t="s">
        <v>6</v>
      </c>
      <c r="C50" s="25" t="s">
        <v>135</v>
      </c>
      <c r="D50" s="69">
        <f>ROUNDUP((D10*D17)/1000,0)</f>
        <v>245</v>
      </c>
      <c r="E50" s="152">
        <f>+E17</f>
        <v>1358.8</v>
      </c>
      <c r="F50" s="152">
        <f t="shared" si="3"/>
        <v>332906</v>
      </c>
      <c r="G50" s="58">
        <f t="shared" si="4"/>
        <v>5992308</v>
      </c>
    </row>
    <row r="51" spans="2:10" x14ac:dyDescent="0.2">
      <c r="B51" s="55" t="s">
        <v>88</v>
      </c>
      <c r="C51" s="25" t="s">
        <v>135</v>
      </c>
      <c r="D51" s="69">
        <f>ROUNDUP((D10*D18)/1000,0)</f>
        <v>78</v>
      </c>
      <c r="E51" s="152">
        <f>E18</f>
        <v>3378</v>
      </c>
      <c r="F51" s="152">
        <f t="shared" si="3"/>
        <v>263484</v>
      </c>
      <c r="G51" s="58">
        <f t="shared" si="4"/>
        <v>4742712</v>
      </c>
    </row>
    <row r="52" spans="2:10" x14ac:dyDescent="0.2">
      <c r="B52" s="55" t="s">
        <v>224</v>
      </c>
      <c r="C52" s="25" t="s">
        <v>238</v>
      </c>
      <c r="D52" s="69">
        <f>+D21</f>
        <v>0.5</v>
      </c>
      <c r="E52" s="152">
        <f>+E21</f>
        <v>68050</v>
      </c>
      <c r="F52" s="152">
        <f t="shared" si="3"/>
        <v>34025</v>
      </c>
      <c r="G52" s="58">
        <f t="shared" si="4"/>
        <v>612450</v>
      </c>
    </row>
    <row r="53" spans="2:10" x14ac:dyDescent="0.2">
      <c r="B53" s="55" t="s">
        <v>252</v>
      </c>
      <c r="C53" s="25" t="s">
        <v>238</v>
      </c>
      <c r="D53" s="69">
        <f>+D22</f>
        <v>0.5</v>
      </c>
      <c r="E53" s="152">
        <f>+E22</f>
        <v>32550</v>
      </c>
      <c r="F53" s="57">
        <f t="shared" si="3"/>
        <v>16275</v>
      </c>
      <c r="G53" s="58">
        <f t="shared" si="4"/>
        <v>292950</v>
      </c>
    </row>
    <row r="54" spans="2:10" x14ac:dyDescent="0.2">
      <c r="B54" s="55" t="s">
        <v>265</v>
      </c>
      <c r="C54" s="25" t="s">
        <v>135</v>
      </c>
      <c r="D54" s="69">
        <f>+D20</f>
        <v>50</v>
      </c>
      <c r="E54" s="152">
        <f>+E20</f>
        <v>581.33333333333337</v>
      </c>
      <c r="F54" s="57">
        <f t="shared" si="3"/>
        <v>29066.666666666668</v>
      </c>
      <c r="G54" s="58">
        <f t="shared" si="4"/>
        <v>523200</v>
      </c>
    </row>
    <row r="55" spans="2:10" x14ac:dyDescent="0.2">
      <c r="B55" s="55" t="s">
        <v>98</v>
      </c>
      <c r="C55" s="25" t="s">
        <v>135</v>
      </c>
      <c r="D55" s="69">
        <f>ROUNDUP((D10*D19)/1000,0)</f>
        <v>4</v>
      </c>
      <c r="E55" s="256">
        <f>+E19</f>
        <v>57633.333333333336</v>
      </c>
      <c r="F55" s="256">
        <f t="shared" si="3"/>
        <v>230533.33333333334</v>
      </c>
      <c r="G55" s="58">
        <f t="shared" si="4"/>
        <v>4149600</v>
      </c>
    </row>
    <row r="56" spans="2:10" x14ac:dyDescent="0.2">
      <c r="B56" s="632" t="s">
        <v>139</v>
      </c>
      <c r="C56" s="633"/>
      <c r="D56" s="633"/>
      <c r="E56" s="635"/>
      <c r="F56" s="257">
        <f>+SUM(F47:F55)</f>
        <v>7405770.2028985508</v>
      </c>
      <c r="G56" s="258">
        <f>+SUM(G47:G55)</f>
        <v>133303863.65217391</v>
      </c>
      <c r="H56" s="511"/>
    </row>
    <row r="57" spans="2:10" x14ac:dyDescent="0.2">
      <c r="B57" s="636" t="s">
        <v>449</v>
      </c>
      <c r="C57" s="637"/>
      <c r="D57" s="637"/>
      <c r="E57" s="638"/>
      <c r="F57" s="259">
        <f>+F45+F56</f>
        <v>12553021.63146998</v>
      </c>
      <c r="G57" s="260">
        <f>+G45+G56</f>
        <v>226310664.36645961</v>
      </c>
      <c r="I57">
        <f>+G57/G30</f>
        <v>12572814.687025534</v>
      </c>
      <c r="J57">
        <f>+I57*1.17</f>
        <v>14710193.183819873</v>
      </c>
    </row>
    <row r="58" spans="2:10" x14ac:dyDescent="0.2">
      <c r="B58" s="553" t="s">
        <v>452</v>
      </c>
      <c r="C58" s="554"/>
      <c r="D58" s="554"/>
      <c r="E58" s="555"/>
      <c r="F58" s="556"/>
      <c r="G58" s="557">
        <v>13</v>
      </c>
    </row>
    <row r="59" spans="2:10" ht="19.5" customHeight="1" x14ac:dyDescent="0.2">
      <c r="B59" s="244" t="s">
        <v>450</v>
      </c>
      <c r="C59" s="245" t="s">
        <v>3</v>
      </c>
      <c r="D59" s="246" t="s">
        <v>112</v>
      </c>
      <c r="E59" s="246" t="s">
        <v>113</v>
      </c>
      <c r="F59" s="246" t="s">
        <v>114</v>
      </c>
      <c r="G59" s="247" t="s">
        <v>115</v>
      </c>
    </row>
    <row r="60" spans="2:10" x14ac:dyDescent="0.2">
      <c r="B60" s="272" t="s">
        <v>255</v>
      </c>
      <c r="C60" s="105" t="s">
        <v>128</v>
      </c>
      <c r="D60" s="273">
        <v>10000</v>
      </c>
      <c r="E60" s="152">
        <f>+(($E$23*E127)/D60)</f>
        <v>35.627499999999998</v>
      </c>
      <c r="F60" s="57">
        <f>+D60*E60</f>
        <v>356275</v>
      </c>
      <c r="G60" s="58">
        <f>+F60*$G$58</f>
        <v>4631575</v>
      </c>
    </row>
    <row r="61" spans="2:10" x14ac:dyDescent="0.2">
      <c r="B61" s="272" t="s">
        <v>262</v>
      </c>
      <c r="C61" s="105" t="s">
        <v>61</v>
      </c>
      <c r="D61" s="56">
        <f>+$D$10</f>
        <v>1110</v>
      </c>
      <c r="E61" s="152">
        <f>+(($E$23*D128)/D61)</f>
        <v>128.38738738738738</v>
      </c>
      <c r="F61" s="57">
        <f t="shared" ref="F61:F71" si="5">+D61*E61</f>
        <v>142510</v>
      </c>
      <c r="G61" s="58">
        <f t="shared" ref="G61:G71" si="6">+F61*$G$58</f>
        <v>1852630</v>
      </c>
    </row>
    <row r="62" spans="2:10" x14ac:dyDescent="0.2">
      <c r="B62" s="55" t="s">
        <v>444</v>
      </c>
      <c r="C62" s="25" t="s">
        <v>120</v>
      </c>
      <c r="D62" s="56">
        <f>+$D$10</f>
        <v>1110</v>
      </c>
      <c r="E62" s="57">
        <f>+(($E$23*D129)/D62)</f>
        <v>770.32432432432438</v>
      </c>
      <c r="F62" s="57">
        <f t="shared" si="5"/>
        <v>855060.00000000012</v>
      </c>
      <c r="G62" s="58">
        <f t="shared" si="6"/>
        <v>11115780.000000002</v>
      </c>
    </row>
    <row r="63" spans="2:10" x14ac:dyDescent="0.2">
      <c r="B63" s="55" t="s">
        <v>256</v>
      </c>
      <c r="C63" s="25" t="s">
        <v>61</v>
      </c>
      <c r="D63" s="56">
        <f>+$D$10</f>
        <v>1110</v>
      </c>
      <c r="E63" s="57">
        <f>+(($E$23*E130)/D63)</f>
        <v>513.54954954954951</v>
      </c>
      <c r="F63" s="57">
        <f t="shared" si="5"/>
        <v>570040</v>
      </c>
      <c r="G63" s="58">
        <f t="shared" si="6"/>
        <v>7410520</v>
      </c>
    </row>
    <row r="64" spans="2:10" x14ac:dyDescent="0.2">
      <c r="B64" s="55" t="s">
        <v>123</v>
      </c>
      <c r="C64" s="25" t="s">
        <v>61</v>
      </c>
      <c r="D64" s="56">
        <f>+$D$10</f>
        <v>1110</v>
      </c>
      <c r="E64" s="57">
        <f>+(($E$23*E131)/D64)</f>
        <v>128.38738738738738</v>
      </c>
      <c r="F64" s="57">
        <f t="shared" si="5"/>
        <v>142510</v>
      </c>
      <c r="G64" s="58">
        <f t="shared" si="6"/>
        <v>1852630</v>
      </c>
    </row>
    <row r="65" spans="2:8" x14ac:dyDescent="0.2">
      <c r="B65" s="55" t="s">
        <v>124</v>
      </c>
      <c r="C65" s="25" t="s">
        <v>61</v>
      </c>
      <c r="D65" s="56">
        <f>+$D$10</f>
        <v>1110</v>
      </c>
      <c r="E65" s="152">
        <f>+(($E$23*E132)/D65)</f>
        <v>256.77477477477476</v>
      </c>
      <c r="F65" s="57">
        <f t="shared" si="5"/>
        <v>285020</v>
      </c>
      <c r="G65" s="58">
        <f t="shared" si="6"/>
        <v>3705260</v>
      </c>
    </row>
    <row r="66" spans="2:8" x14ac:dyDescent="0.2">
      <c r="B66" s="55" t="s">
        <v>121</v>
      </c>
      <c r="C66" s="25" t="s">
        <v>105</v>
      </c>
      <c r="D66" s="273">
        <f>+E133</f>
        <v>11.564285714285715</v>
      </c>
      <c r="E66" s="256">
        <f>+D26</f>
        <v>85000</v>
      </c>
      <c r="F66" s="256">
        <f t="shared" si="5"/>
        <v>982964.2857142858</v>
      </c>
      <c r="G66" s="574">
        <f t="shared" si="6"/>
        <v>12778535.714285715</v>
      </c>
    </row>
    <row r="67" spans="2:8" x14ac:dyDescent="0.2">
      <c r="B67" s="55" t="s">
        <v>258</v>
      </c>
      <c r="C67" s="25" t="s">
        <v>61</v>
      </c>
      <c r="D67" s="56">
        <f>+$D$10</f>
        <v>1110</v>
      </c>
      <c r="E67" s="152">
        <f>+(($E$23*E134)/D67)</f>
        <v>320.96846846846847</v>
      </c>
      <c r="F67" s="57">
        <f t="shared" si="5"/>
        <v>356275</v>
      </c>
      <c r="G67" s="58">
        <f t="shared" si="6"/>
        <v>4631575</v>
      </c>
    </row>
    <row r="68" spans="2:8" x14ac:dyDescent="0.2">
      <c r="B68" s="55" t="s">
        <v>246</v>
      </c>
      <c r="C68" s="25" t="s">
        <v>61</v>
      </c>
      <c r="D68" s="56">
        <f>+$D$10</f>
        <v>1110</v>
      </c>
      <c r="E68" s="152">
        <f>+(($E$23*E135)/D68)</f>
        <v>128.38738738738738</v>
      </c>
      <c r="F68" s="57">
        <f t="shared" si="5"/>
        <v>142510</v>
      </c>
      <c r="G68" s="58">
        <f t="shared" si="6"/>
        <v>1852630</v>
      </c>
    </row>
    <row r="69" spans="2:8" x14ac:dyDescent="0.2">
      <c r="B69" s="248" t="s">
        <v>418</v>
      </c>
      <c r="C69" s="25" t="s">
        <v>61</v>
      </c>
      <c r="D69" s="273">
        <f>+($D$11*D13)</f>
        <v>93.600000000000009</v>
      </c>
      <c r="E69" s="256">
        <f>+(($E$23*E136)/D69)</f>
        <v>761.27136752136744</v>
      </c>
      <c r="F69" s="57">
        <f t="shared" si="5"/>
        <v>71255</v>
      </c>
      <c r="G69" s="58">
        <f t="shared" si="6"/>
        <v>926315</v>
      </c>
    </row>
    <row r="70" spans="2:8" x14ac:dyDescent="0.2">
      <c r="B70" s="60" t="s">
        <v>127</v>
      </c>
      <c r="C70" s="25" t="s">
        <v>128</v>
      </c>
      <c r="D70" s="56">
        <v>10000</v>
      </c>
      <c r="E70" s="152">
        <f>+(($E$23*E137)/D70)</f>
        <v>85.506</v>
      </c>
      <c r="F70" s="57">
        <f t="shared" si="5"/>
        <v>855060</v>
      </c>
      <c r="G70" s="58">
        <f t="shared" si="6"/>
        <v>11115780</v>
      </c>
    </row>
    <row r="71" spans="2:8" x14ac:dyDescent="0.2">
      <c r="B71" s="60" t="s">
        <v>445</v>
      </c>
      <c r="C71" s="25" t="s">
        <v>264</v>
      </c>
      <c r="D71" s="273">
        <v>167</v>
      </c>
      <c r="E71" s="152">
        <f>+(($E$23*E138)/D71)</f>
        <v>853.35329341317367</v>
      </c>
      <c r="F71" s="57">
        <f t="shared" si="5"/>
        <v>142510</v>
      </c>
      <c r="G71" s="58">
        <f t="shared" si="6"/>
        <v>1852630</v>
      </c>
    </row>
    <row r="72" spans="2:8" x14ac:dyDescent="0.2">
      <c r="B72" s="60" t="s">
        <v>446</v>
      </c>
      <c r="C72" s="25" t="s">
        <v>101</v>
      </c>
      <c r="D72" s="273"/>
      <c r="E72" s="152"/>
      <c r="F72" s="57"/>
      <c r="G72" s="574">
        <f>+(E139*E23)</f>
        <v>356275</v>
      </c>
    </row>
    <row r="73" spans="2:8" x14ac:dyDescent="0.2">
      <c r="B73" s="249" t="s">
        <v>130</v>
      </c>
      <c r="C73" s="250"/>
      <c r="D73" s="251"/>
      <c r="E73" s="252"/>
      <c r="F73" s="253">
        <f>+SUM(F60:F72)</f>
        <v>4901989.2857142854</v>
      </c>
      <c r="G73" s="254">
        <f>+SUM(G60:G72)</f>
        <v>64082135.714285716</v>
      </c>
      <c r="H73" s="511"/>
    </row>
    <row r="74" spans="2:8" x14ac:dyDescent="0.2">
      <c r="B74" s="639" t="s">
        <v>131</v>
      </c>
      <c r="C74" s="634"/>
      <c r="D74" s="634"/>
      <c r="E74" s="634"/>
      <c r="F74" s="640"/>
      <c r="G74" s="255"/>
    </row>
    <row r="75" spans="2:8" x14ac:dyDescent="0.2">
      <c r="B75" s="55" t="s">
        <v>438</v>
      </c>
      <c r="C75" s="25" t="s">
        <v>133</v>
      </c>
      <c r="D75" s="56">
        <f>+D11*(1+D13)</f>
        <v>1029.6000000000001</v>
      </c>
      <c r="E75" s="57">
        <f>+E10</f>
        <v>5000</v>
      </c>
      <c r="F75" s="57">
        <f>+D75*E75</f>
        <v>5148000.0000000009</v>
      </c>
      <c r="G75" s="58">
        <f>+F75*$G$58</f>
        <v>66924000.000000015</v>
      </c>
    </row>
    <row r="76" spans="2:8" x14ac:dyDescent="0.2">
      <c r="B76" s="55" t="s">
        <v>317</v>
      </c>
      <c r="C76" s="25" t="s">
        <v>135</v>
      </c>
      <c r="D76" s="69">
        <f>ROUNDUP((D75*D15)/1000,0)</f>
        <v>42</v>
      </c>
      <c r="E76" s="57">
        <f>+E15</f>
        <v>3686.9565217391305</v>
      </c>
      <c r="F76" s="57">
        <f t="shared" ref="F76:F83" si="7">+D76*E76</f>
        <v>154852.17391304349</v>
      </c>
      <c r="G76" s="58">
        <f t="shared" ref="G76:G83" si="8">+F76*$G$58</f>
        <v>2013078.2608695654</v>
      </c>
    </row>
    <row r="77" spans="2:8" x14ac:dyDescent="0.2">
      <c r="B77" s="55" t="s">
        <v>203</v>
      </c>
      <c r="C77" s="25" t="s">
        <v>135</v>
      </c>
      <c r="D77" s="69">
        <f>ROUNDUP((D11*D16)/1000,0)</f>
        <v>57</v>
      </c>
      <c r="E77" s="57">
        <f>+E16</f>
        <v>3191.333333333333</v>
      </c>
      <c r="F77" s="57">
        <f t="shared" si="7"/>
        <v>181905.99999999997</v>
      </c>
      <c r="G77" s="58">
        <f t="shared" si="8"/>
        <v>2364777.9999999995</v>
      </c>
    </row>
    <row r="78" spans="2:8" x14ac:dyDescent="0.2">
      <c r="B78" s="55" t="s">
        <v>6</v>
      </c>
      <c r="C78" s="25" t="s">
        <v>135</v>
      </c>
      <c r="D78" s="69">
        <f>ROUNDUP((D11*D17)/1000,0)</f>
        <v>206</v>
      </c>
      <c r="E78" s="152">
        <f>+E17</f>
        <v>1358.8</v>
      </c>
      <c r="F78" s="152">
        <f t="shared" si="7"/>
        <v>279912.8</v>
      </c>
      <c r="G78" s="58">
        <f t="shared" si="8"/>
        <v>3638866.4</v>
      </c>
    </row>
    <row r="79" spans="2:8" x14ac:dyDescent="0.2">
      <c r="B79" s="55" t="s">
        <v>88</v>
      </c>
      <c r="C79" s="25" t="s">
        <v>135</v>
      </c>
      <c r="D79" s="69">
        <f>ROUNDUP((D11*D18)/1000,0)</f>
        <v>66</v>
      </c>
      <c r="E79" s="152">
        <f>+E18</f>
        <v>3378</v>
      </c>
      <c r="F79" s="152">
        <f t="shared" si="7"/>
        <v>222948</v>
      </c>
      <c r="G79" s="58">
        <f t="shared" si="8"/>
        <v>2898324</v>
      </c>
    </row>
    <row r="80" spans="2:8" x14ac:dyDescent="0.2">
      <c r="B80" s="55" t="s">
        <v>224</v>
      </c>
      <c r="C80" s="25" t="s">
        <v>238</v>
      </c>
      <c r="D80" s="69">
        <f>+D21</f>
        <v>0.5</v>
      </c>
      <c r="E80" s="152">
        <f>+E21</f>
        <v>68050</v>
      </c>
      <c r="F80" s="152">
        <f t="shared" si="7"/>
        <v>34025</v>
      </c>
      <c r="G80" s="58">
        <f t="shared" si="8"/>
        <v>442325</v>
      </c>
    </row>
    <row r="81" spans="2:10" x14ac:dyDescent="0.2">
      <c r="B81" s="55" t="s">
        <v>252</v>
      </c>
      <c r="C81" s="25" t="s">
        <v>238</v>
      </c>
      <c r="D81" s="69">
        <f>+D22</f>
        <v>0.5</v>
      </c>
      <c r="E81" s="152">
        <f>+E22</f>
        <v>32550</v>
      </c>
      <c r="F81" s="57">
        <f t="shared" si="7"/>
        <v>16275</v>
      </c>
      <c r="G81" s="58">
        <f t="shared" si="8"/>
        <v>211575</v>
      </c>
    </row>
    <row r="82" spans="2:10" x14ac:dyDescent="0.2">
      <c r="B82" s="55" t="s">
        <v>265</v>
      </c>
      <c r="C82" s="25" t="s">
        <v>135</v>
      </c>
      <c r="D82" s="69">
        <f>+D20</f>
        <v>50</v>
      </c>
      <c r="E82" s="152">
        <f>+E20</f>
        <v>581.33333333333337</v>
      </c>
      <c r="F82" s="57">
        <f t="shared" si="7"/>
        <v>29066.666666666668</v>
      </c>
      <c r="G82" s="58">
        <f t="shared" si="8"/>
        <v>377866.66666666669</v>
      </c>
    </row>
    <row r="83" spans="2:10" x14ac:dyDescent="0.2">
      <c r="B83" s="55" t="s">
        <v>98</v>
      </c>
      <c r="C83" s="25" t="s">
        <v>135</v>
      </c>
      <c r="D83" s="69">
        <f>ROUNDUP((D11*D19)/1000,0)</f>
        <v>3</v>
      </c>
      <c r="E83" s="256">
        <f>+E19</f>
        <v>57633.333333333336</v>
      </c>
      <c r="F83" s="256">
        <f t="shared" si="7"/>
        <v>172900</v>
      </c>
      <c r="G83" s="58">
        <f t="shared" si="8"/>
        <v>2247700</v>
      </c>
    </row>
    <row r="84" spans="2:10" x14ac:dyDescent="0.2">
      <c r="B84" s="632" t="s">
        <v>139</v>
      </c>
      <c r="C84" s="633"/>
      <c r="D84" s="633"/>
      <c r="E84" s="635"/>
      <c r="F84" s="257">
        <f>+SUM(F75:F83)</f>
        <v>6239885.6405797116</v>
      </c>
      <c r="G84" s="258">
        <f>+SUM(G75:G83)</f>
        <v>81118513.327536255</v>
      </c>
      <c r="H84" s="511"/>
    </row>
    <row r="85" spans="2:10" x14ac:dyDescent="0.2">
      <c r="B85" s="636" t="s">
        <v>455</v>
      </c>
      <c r="C85" s="637"/>
      <c r="D85" s="637"/>
      <c r="E85" s="638"/>
      <c r="F85" s="259">
        <f>+F73+F84</f>
        <v>11141874.926293997</v>
      </c>
      <c r="G85" s="260">
        <f>+G73+G84</f>
        <v>145200649.04182196</v>
      </c>
      <c r="I85" s="438">
        <f>+G85/G58</f>
        <v>11169280.695524765</v>
      </c>
      <c r="J85">
        <f>+I85*1.17</f>
        <v>13068058.413763974</v>
      </c>
    </row>
    <row r="86" spans="2:10" x14ac:dyDescent="0.2">
      <c r="B86" s="575" t="s">
        <v>456</v>
      </c>
      <c r="C86" s="575"/>
      <c r="D86" s="575"/>
      <c r="E86" s="575"/>
      <c r="F86" s="556"/>
      <c r="G86" s="557">
        <v>13</v>
      </c>
    </row>
    <row r="87" spans="2:10" ht="26.25" customHeight="1" x14ac:dyDescent="0.2">
      <c r="B87" s="244" t="s">
        <v>450</v>
      </c>
      <c r="C87" s="245" t="s">
        <v>3</v>
      </c>
      <c r="D87" s="246" t="s">
        <v>112</v>
      </c>
      <c r="E87" s="246" t="s">
        <v>113</v>
      </c>
      <c r="F87" s="246" t="s">
        <v>114</v>
      </c>
      <c r="G87" s="247" t="s">
        <v>115</v>
      </c>
    </row>
    <row r="88" spans="2:10" x14ac:dyDescent="0.2">
      <c r="B88" s="272" t="s">
        <v>255</v>
      </c>
      <c r="C88" s="105" t="s">
        <v>128</v>
      </c>
      <c r="D88" s="273">
        <v>10000</v>
      </c>
      <c r="E88" s="152">
        <f t="shared" ref="E88:E93" si="9">+(($E$23*F127)/D88)</f>
        <v>35.627499999999998</v>
      </c>
      <c r="F88" s="57">
        <f>+D88*E88</f>
        <v>356275</v>
      </c>
      <c r="G88" s="58">
        <f>+F88*$G$86</f>
        <v>4631575</v>
      </c>
    </row>
    <row r="89" spans="2:10" x14ac:dyDescent="0.2">
      <c r="B89" s="272" t="s">
        <v>262</v>
      </c>
      <c r="C89" s="105" t="s">
        <v>61</v>
      </c>
      <c r="D89" s="56">
        <f>+$D$12</f>
        <v>650</v>
      </c>
      <c r="E89" s="152">
        <f t="shared" si="9"/>
        <v>219.24615384615385</v>
      </c>
      <c r="F89" s="57">
        <f t="shared" ref="F89:F99" si="10">+D89*E89</f>
        <v>142510</v>
      </c>
      <c r="G89" s="58">
        <f t="shared" ref="G89:G99" si="11">+F89*$G$86</f>
        <v>1852630</v>
      </c>
    </row>
    <row r="90" spans="2:10" x14ac:dyDescent="0.2">
      <c r="B90" s="55" t="s">
        <v>444</v>
      </c>
      <c r="C90" s="25" t="s">
        <v>120</v>
      </c>
      <c r="D90" s="56">
        <f t="shared" ref="D90:D96" si="12">+$D$12</f>
        <v>650</v>
      </c>
      <c r="E90" s="152">
        <f t="shared" si="9"/>
        <v>876.98461538461538</v>
      </c>
      <c r="F90" s="57">
        <f t="shared" si="10"/>
        <v>570040</v>
      </c>
      <c r="G90" s="58">
        <f t="shared" si="11"/>
        <v>7410520</v>
      </c>
    </row>
    <row r="91" spans="2:10" x14ac:dyDescent="0.2">
      <c r="B91" s="55" t="s">
        <v>256</v>
      </c>
      <c r="C91" s="25" t="s">
        <v>61</v>
      </c>
      <c r="D91" s="56">
        <f t="shared" si="12"/>
        <v>650</v>
      </c>
      <c r="E91" s="152">
        <f t="shared" si="9"/>
        <v>438.49230769230769</v>
      </c>
      <c r="F91" s="57">
        <f t="shared" si="10"/>
        <v>285020</v>
      </c>
      <c r="G91" s="58">
        <f t="shared" si="11"/>
        <v>3705260</v>
      </c>
    </row>
    <row r="92" spans="2:10" x14ac:dyDescent="0.2">
      <c r="B92" s="55" t="s">
        <v>123</v>
      </c>
      <c r="C92" s="25" t="s">
        <v>61</v>
      </c>
      <c r="D92" s="56">
        <f t="shared" si="12"/>
        <v>650</v>
      </c>
      <c r="E92" s="152">
        <f t="shared" si="9"/>
        <v>219.24615384615385</v>
      </c>
      <c r="F92" s="57">
        <f t="shared" si="10"/>
        <v>142510</v>
      </c>
      <c r="G92" s="58">
        <f t="shared" si="11"/>
        <v>1852630</v>
      </c>
    </row>
    <row r="93" spans="2:10" x14ac:dyDescent="0.2">
      <c r="B93" s="55" t="s">
        <v>124</v>
      </c>
      <c r="C93" s="25" t="s">
        <v>61</v>
      </c>
      <c r="D93" s="56">
        <f t="shared" si="12"/>
        <v>650</v>
      </c>
      <c r="E93" s="152">
        <f t="shared" si="9"/>
        <v>219.24615384615385</v>
      </c>
      <c r="F93" s="57">
        <f t="shared" si="10"/>
        <v>142510</v>
      </c>
      <c r="G93" s="58">
        <f t="shared" si="11"/>
        <v>1852630</v>
      </c>
    </row>
    <row r="94" spans="2:10" x14ac:dyDescent="0.2">
      <c r="B94" s="55" t="s">
        <v>121</v>
      </c>
      <c r="C94" s="25" t="s">
        <v>105</v>
      </c>
      <c r="D94" s="273">
        <f>+F133</f>
        <v>8.1771428571428579</v>
      </c>
      <c r="E94" s="256">
        <f>+D26</f>
        <v>85000</v>
      </c>
      <c r="F94" s="256">
        <f t="shared" si="10"/>
        <v>695057.14285714296</v>
      </c>
      <c r="G94" s="574">
        <f t="shared" si="11"/>
        <v>9035742.8571428582</v>
      </c>
    </row>
    <row r="95" spans="2:10" x14ac:dyDescent="0.2">
      <c r="B95" s="55" t="s">
        <v>258</v>
      </c>
      <c r="C95" s="25" t="s">
        <v>61</v>
      </c>
      <c r="D95" s="56">
        <f t="shared" si="12"/>
        <v>650</v>
      </c>
      <c r="E95" s="152">
        <f>+(($E$23*F134)/D95)</f>
        <v>328.8692307692308</v>
      </c>
      <c r="F95" s="57">
        <f t="shared" si="10"/>
        <v>213765.00000000003</v>
      </c>
      <c r="G95" s="58">
        <f t="shared" si="11"/>
        <v>2778945.0000000005</v>
      </c>
    </row>
    <row r="96" spans="2:10" x14ac:dyDescent="0.2">
      <c r="B96" s="55" t="s">
        <v>246</v>
      </c>
      <c r="C96" s="25" t="s">
        <v>61</v>
      </c>
      <c r="D96" s="56">
        <f t="shared" si="12"/>
        <v>650</v>
      </c>
      <c r="E96" s="152">
        <f>+(($E$23*F135)/D96)</f>
        <v>219.24615384615385</v>
      </c>
      <c r="F96" s="57">
        <f t="shared" si="10"/>
        <v>142510</v>
      </c>
      <c r="G96" s="58">
        <f t="shared" si="11"/>
        <v>1852630</v>
      </c>
    </row>
    <row r="97" spans="2:9" x14ac:dyDescent="0.2">
      <c r="B97" s="248" t="s">
        <v>418</v>
      </c>
      <c r="C97" s="25" t="s">
        <v>61</v>
      </c>
      <c r="D97" s="56">
        <f>+($D$12*D13)</f>
        <v>65</v>
      </c>
      <c r="E97" s="152">
        <f>+(($E$23*F136)/D97)</f>
        <v>2192.4615384615386</v>
      </c>
      <c r="F97" s="57">
        <f t="shared" si="10"/>
        <v>142510</v>
      </c>
      <c r="G97" s="58">
        <f t="shared" si="11"/>
        <v>1852630</v>
      </c>
    </row>
    <row r="98" spans="2:9" x14ac:dyDescent="0.2">
      <c r="B98" s="60" t="s">
        <v>127</v>
      </c>
      <c r="C98" s="25" t="s">
        <v>128</v>
      </c>
      <c r="D98" s="56">
        <v>10000</v>
      </c>
      <c r="E98" s="152">
        <f>+(($E$23*F137)/D98)</f>
        <v>85.506</v>
      </c>
      <c r="F98" s="57">
        <f t="shared" si="10"/>
        <v>855060</v>
      </c>
      <c r="G98" s="58">
        <f t="shared" si="11"/>
        <v>11115780</v>
      </c>
    </row>
    <row r="99" spans="2:9" x14ac:dyDescent="0.2">
      <c r="B99" s="60" t="s">
        <v>445</v>
      </c>
      <c r="C99" s="25" t="s">
        <v>264</v>
      </c>
      <c r="D99" s="273">
        <v>167</v>
      </c>
      <c r="E99" s="152">
        <f>+(($E$23*F138)/D99)</f>
        <v>853.35329341317367</v>
      </c>
      <c r="F99" s="57">
        <f t="shared" si="10"/>
        <v>142510</v>
      </c>
      <c r="G99" s="58">
        <f t="shared" si="11"/>
        <v>1852630</v>
      </c>
    </row>
    <row r="100" spans="2:9" x14ac:dyDescent="0.2">
      <c r="B100" s="60" t="s">
        <v>446</v>
      </c>
      <c r="C100" s="25" t="s">
        <v>101</v>
      </c>
      <c r="D100" s="273"/>
      <c r="E100" s="152"/>
      <c r="F100" s="57"/>
      <c r="G100" s="574">
        <f>+(F139*E23)</f>
        <v>356275</v>
      </c>
    </row>
    <row r="101" spans="2:9" x14ac:dyDescent="0.2">
      <c r="B101" s="249" t="s">
        <v>130</v>
      </c>
      <c r="C101" s="250"/>
      <c r="D101" s="251"/>
      <c r="E101" s="252"/>
      <c r="F101" s="253">
        <f>+SUM(F88:F100)</f>
        <v>3830277.1428571427</v>
      </c>
      <c r="G101" s="254">
        <f>+SUM(G88:G100)</f>
        <v>50149877.857142858</v>
      </c>
      <c r="H101" s="511"/>
      <c r="I101" s="511"/>
    </row>
    <row r="102" spans="2:9" x14ac:dyDescent="0.2">
      <c r="B102" s="639" t="s">
        <v>131</v>
      </c>
      <c r="C102" s="634"/>
      <c r="D102" s="634"/>
      <c r="E102" s="634"/>
      <c r="F102" s="640"/>
      <c r="G102" s="255"/>
    </row>
    <row r="103" spans="2:9" x14ac:dyDescent="0.2">
      <c r="B103" s="55" t="s">
        <v>438</v>
      </c>
      <c r="C103" s="25" t="s">
        <v>133</v>
      </c>
      <c r="D103" s="56">
        <f>+D12*(1+D13)</f>
        <v>715.00000000000011</v>
      </c>
      <c r="E103" s="57">
        <f>+E10</f>
        <v>5000</v>
      </c>
      <c r="F103" s="57">
        <f>+D103*E103</f>
        <v>3575000.0000000005</v>
      </c>
      <c r="G103" s="58">
        <f>+F103*$G$86</f>
        <v>46475000.000000007</v>
      </c>
    </row>
    <row r="104" spans="2:9" x14ac:dyDescent="0.2">
      <c r="B104" s="55" t="s">
        <v>317</v>
      </c>
      <c r="C104" s="25" t="s">
        <v>135</v>
      </c>
      <c r="D104" s="69">
        <f>ROUNDUP((D103*D15)/1000,0)</f>
        <v>29</v>
      </c>
      <c r="E104" s="57">
        <f>+E15</f>
        <v>3686.9565217391305</v>
      </c>
      <c r="F104" s="57">
        <f t="shared" ref="F104:F111" si="13">+D104*E104</f>
        <v>106921.73913043478</v>
      </c>
      <c r="G104" s="58">
        <f t="shared" ref="G104:G111" si="14">+F104*$G$86</f>
        <v>1389982.6086956521</v>
      </c>
    </row>
    <row r="105" spans="2:9" x14ac:dyDescent="0.2">
      <c r="B105" s="55" t="s">
        <v>203</v>
      </c>
      <c r="C105" s="25" t="s">
        <v>135</v>
      </c>
      <c r="D105" s="69">
        <f>ROUNDUP((D12*D16)/1000,0)</f>
        <v>39</v>
      </c>
      <c r="E105" s="57">
        <f>+E16</f>
        <v>3191.333333333333</v>
      </c>
      <c r="F105" s="57">
        <f t="shared" si="13"/>
        <v>124461.99999999999</v>
      </c>
      <c r="G105" s="58">
        <f t="shared" si="14"/>
        <v>1618005.9999999998</v>
      </c>
    </row>
    <row r="106" spans="2:9" x14ac:dyDescent="0.2">
      <c r="B106" s="55" t="s">
        <v>6</v>
      </c>
      <c r="C106" s="25" t="s">
        <v>135</v>
      </c>
      <c r="D106" s="69">
        <f>ROUNDUP((D12*D17)/1000,0)</f>
        <v>143</v>
      </c>
      <c r="E106" s="152">
        <f>+E17</f>
        <v>1358.8</v>
      </c>
      <c r="F106" s="152">
        <f t="shared" si="13"/>
        <v>194308.4</v>
      </c>
      <c r="G106" s="58">
        <f t="shared" si="14"/>
        <v>2526009.1999999997</v>
      </c>
      <c r="H106" s="582"/>
    </row>
    <row r="107" spans="2:9" x14ac:dyDescent="0.2">
      <c r="B107" s="55" t="s">
        <v>88</v>
      </c>
      <c r="C107" s="25" t="s">
        <v>135</v>
      </c>
      <c r="D107" s="69">
        <f>ROUNDUP((D12*D18)/1000,0)</f>
        <v>46</v>
      </c>
      <c r="E107" s="152">
        <f>+E18</f>
        <v>3378</v>
      </c>
      <c r="F107" s="152">
        <f t="shared" si="13"/>
        <v>155388</v>
      </c>
      <c r="G107" s="58">
        <f t="shared" si="14"/>
        <v>2020044</v>
      </c>
    </row>
    <row r="108" spans="2:9" x14ac:dyDescent="0.2">
      <c r="B108" s="55" t="s">
        <v>224</v>
      </c>
      <c r="C108" s="25" t="s">
        <v>238</v>
      </c>
      <c r="D108" s="69">
        <f>+D21</f>
        <v>0.5</v>
      </c>
      <c r="E108" s="152">
        <f>+E21</f>
        <v>68050</v>
      </c>
      <c r="F108" s="152">
        <f t="shared" si="13"/>
        <v>34025</v>
      </c>
      <c r="G108" s="58">
        <f t="shared" si="14"/>
        <v>442325</v>
      </c>
    </row>
    <row r="109" spans="2:9" x14ac:dyDescent="0.2">
      <c r="B109" s="55" t="s">
        <v>252</v>
      </c>
      <c r="C109" s="25" t="s">
        <v>238</v>
      </c>
      <c r="D109" s="69">
        <f>+D22</f>
        <v>0.5</v>
      </c>
      <c r="E109" s="152">
        <f>+E22</f>
        <v>32550</v>
      </c>
      <c r="F109" s="57">
        <f t="shared" si="13"/>
        <v>16275</v>
      </c>
      <c r="G109" s="58">
        <f t="shared" si="14"/>
        <v>211575</v>
      </c>
    </row>
    <row r="110" spans="2:9" x14ac:dyDescent="0.2">
      <c r="B110" s="55" t="s">
        <v>265</v>
      </c>
      <c r="C110" s="25" t="s">
        <v>135</v>
      </c>
      <c r="D110" s="69">
        <f>+D20</f>
        <v>50</v>
      </c>
      <c r="E110" s="152">
        <f>+E20</f>
        <v>581.33333333333337</v>
      </c>
      <c r="F110" s="57">
        <f t="shared" si="13"/>
        <v>29066.666666666668</v>
      </c>
      <c r="G110" s="58">
        <f t="shared" si="14"/>
        <v>377866.66666666669</v>
      </c>
    </row>
    <row r="111" spans="2:9" x14ac:dyDescent="0.2">
      <c r="B111" s="55" t="s">
        <v>98</v>
      </c>
      <c r="C111" s="25" t="s">
        <v>135</v>
      </c>
      <c r="D111" s="69">
        <f>ROUNDUP((D12*D19)/1000,0)</f>
        <v>2</v>
      </c>
      <c r="E111" s="256">
        <f>+E19</f>
        <v>57633.333333333336</v>
      </c>
      <c r="F111" s="256">
        <f t="shared" si="13"/>
        <v>115266.66666666667</v>
      </c>
      <c r="G111" s="58">
        <f t="shared" si="14"/>
        <v>1498466.6666666667</v>
      </c>
    </row>
    <row r="112" spans="2:9" x14ac:dyDescent="0.2">
      <c r="B112" s="632" t="s">
        <v>139</v>
      </c>
      <c r="C112" s="633"/>
      <c r="D112" s="633"/>
      <c r="E112" s="635"/>
      <c r="F112" s="257">
        <f>+SUM(F103:F111)</f>
        <v>4350713.4724637689</v>
      </c>
      <c r="G112" s="258">
        <f>+SUM(G103:G111)</f>
        <v>56559275.142028987</v>
      </c>
      <c r="H112" s="511"/>
    </row>
    <row r="113" spans="2:20" x14ac:dyDescent="0.2">
      <c r="B113" s="636" t="s">
        <v>457</v>
      </c>
      <c r="C113" s="637"/>
      <c r="D113" s="637"/>
      <c r="E113" s="638"/>
      <c r="F113" s="259">
        <f>+F101+F112</f>
        <v>8180990.6153209116</v>
      </c>
      <c r="G113" s="260">
        <f>+G101+G112</f>
        <v>106709152.99917185</v>
      </c>
      <c r="I113" s="438">
        <f>+G113/G86</f>
        <v>8208396.3845516806</v>
      </c>
      <c r="J113">
        <f>+I113*1.17</f>
        <v>9603823.7699254658</v>
      </c>
    </row>
    <row r="114" spans="2:20" ht="24" customHeight="1" x14ac:dyDescent="0.2">
      <c r="B114" s="641" t="s">
        <v>461</v>
      </c>
      <c r="C114" s="642"/>
      <c r="D114" s="642"/>
      <c r="E114" s="643"/>
      <c r="F114" s="259">
        <f>+F57+F85+F113</f>
        <v>31875887.173084892</v>
      </c>
      <c r="G114" s="260">
        <f>+G57+G85+G113</f>
        <v>478220466.40745342</v>
      </c>
      <c r="I114" s="438"/>
      <c r="J114">
        <f>+I114*1.17</f>
        <v>0</v>
      </c>
    </row>
    <row r="115" spans="2:20" ht="18.75" customHeight="1" x14ac:dyDescent="0.2">
      <c r="B115" s="261" t="s">
        <v>141</v>
      </c>
      <c r="C115" s="262"/>
      <c r="D115" s="262"/>
      <c r="E115" s="262"/>
      <c r="F115" s="263"/>
      <c r="G115" s="264"/>
    </row>
    <row r="116" spans="2:20" ht="15" customHeight="1" x14ac:dyDescent="0.2">
      <c r="B116" s="626" t="s">
        <v>380</v>
      </c>
      <c r="C116" s="627"/>
      <c r="D116" s="627"/>
      <c r="E116" s="628"/>
      <c r="F116" s="84">
        <f>(F45+F73+F101)*D24</f>
        <v>416385.53571428574</v>
      </c>
      <c r="G116" s="58">
        <f>+(G45+G73+G101)*D24</f>
        <v>6217164.4285714291</v>
      </c>
      <c r="H116" s="580"/>
      <c r="I116" s="511"/>
    </row>
    <row r="117" spans="2:20" ht="15" customHeight="1" x14ac:dyDescent="0.2">
      <c r="B117" s="626" t="s">
        <v>381</v>
      </c>
      <c r="C117" s="627"/>
      <c r="D117" s="627"/>
      <c r="E117" s="628"/>
      <c r="F117" s="84">
        <f>(F45+F73+F101)*D25</f>
        <v>416385.53571428574</v>
      </c>
      <c r="G117" s="58">
        <f>+(G45+G73+G101)*D25</f>
        <v>6217164.4285714291</v>
      </c>
      <c r="H117" s="511"/>
      <c r="I117" s="511"/>
    </row>
    <row r="118" spans="2:20" x14ac:dyDescent="0.2">
      <c r="B118" s="626" t="s">
        <v>396</v>
      </c>
      <c r="C118" s="627"/>
      <c r="D118" s="627"/>
      <c r="E118" s="628"/>
      <c r="F118" s="87">
        <f>+(F56+F84+F112)*D27</f>
        <v>2699455.3973913044</v>
      </c>
      <c r="G118" s="58">
        <f>+(G56+G84+G112)*D27</f>
        <v>40647247.818260871</v>
      </c>
      <c r="H118" s="511"/>
      <c r="I118" s="579"/>
      <c r="J118" s="579"/>
    </row>
    <row r="119" spans="2:20" x14ac:dyDescent="0.2">
      <c r="B119" s="608" t="s">
        <v>144</v>
      </c>
      <c r="C119" s="609"/>
      <c r="D119" s="609"/>
      <c r="E119" s="610"/>
      <c r="F119" s="279">
        <f>SUM(F116:F118)</f>
        <v>3532226.4688198757</v>
      </c>
      <c r="G119" s="265">
        <f>SUM(G116:G118)</f>
        <v>53081576.675403729</v>
      </c>
      <c r="H119" s="511"/>
    </row>
    <row r="120" spans="2:20" ht="17.25" customHeight="1" x14ac:dyDescent="0.2">
      <c r="B120" s="482" t="s">
        <v>431</v>
      </c>
      <c r="C120" s="482"/>
      <c r="D120" s="482"/>
      <c r="E120" s="482"/>
      <c r="F120" s="489">
        <f>+F114+F119</f>
        <v>35408113.641904771</v>
      </c>
      <c r="G120" s="446">
        <f>+G114+G119</f>
        <v>531302043.08285713</v>
      </c>
    </row>
    <row r="121" spans="2:20" ht="13.5" customHeight="1" x14ac:dyDescent="0.2"/>
    <row r="122" spans="2:20" ht="9.75" customHeight="1" thickBot="1" x14ac:dyDescent="0.25"/>
    <row r="123" spans="2:20" ht="12.75" customHeight="1" thickBot="1" x14ac:dyDescent="0.25">
      <c r="B123" s="617" t="s">
        <v>465</v>
      </c>
      <c r="C123" s="618"/>
      <c r="D123" s="618"/>
      <c r="E123" s="618"/>
      <c r="F123" s="619"/>
      <c r="G123" s="597" t="s">
        <v>458</v>
      </c>
      <c r="H123" s="597"/>
      <c r="I123" s="597"/>
      <c r="J123" s="598"/>
      <c r="K123" s="578"/>
      <c r="L123" s="599" t="s">
        <v>459</v>
      </c>
      <c r="M123" s="600"/>
      <c r="N123" s="600"/>
      <c r="O123" s="601"/>
      <c r="P123" s="578"/>
      <c r="Q123" s="599" t="s">
        <v>460</v>
      </c>
      <c r="R123" s="600"/>
      <c r="S123" s="600"/>
      <c r="T123" s="601"/>
    </row>
    <row r="124" spans="2:20" ht="5.25" customHeight="1" thickBot="1" x14ac:dyDescent="0.25">
      <c r="B124" s="611" t="s">
        <v>162</v>
      </c>
      <c r="C124" s="614" t="s">
        <v>163</v>
      </c>
      <c r="D124" s="620" t="s">
        <v>164</v>
      </c>
      <c r="E124" s="621"/>
      <c r="F124" s="622"/>
      <c r="G124" s="595" t="s">
        <v>367</v>
      </c>
      <c r="H124" s="596"/>
      <c r="I124" s="403">
        <v>2</v>
      </c>
      <c r="J124" s="402" t="s">
        <v>369</v>
      </c>
      <c r="L124" s="595" t="s">
        <v>367</v>
      </c>
      <c r="M124" s="596"/>
      <c r="N124" s="403">
        <v>2</v>
      </c>
      <c r="O124" s="402" t="s">
        <v>369</v>
      </c>
      <c r="Q124" s="595" t="s">
        <v>367</v>
      </c>
      <c r="R124" s="596"/>
      <c r="S124" s="403">
        <v>2</v>
      </c>
      <c r="T124" s="402" t="s">
        <v>369</v>
      </c>
    </row>
    <row r="125" spans="2:20" ht="6.75" customHeight="1" thickBot="1" x14ac:dyDescent="0.25">
      <c r="B125" s="612"/>
      <c r="C125" s="615"/>
      <c r="D125" s="623"/>
      <c r="E125" s="624"/>
      <c r="F125" s="625"/>
      <c r="G125" s="595" t="s">
        <v>370</v>
      </c>
      <c r="H125" s="596"/>
      <c r="I125" s="397">
        <v>140</v>
      </c>
      <c r="J125" s="398"/>
      <c r="L125" s="595" t="s">
        <v>370</v>
      </c>
      <c r="M125" s="596"/>
      <c r="N125" s="397">
        <v>140</v>
      </c>
      <c r="O125" s="398"/>
      <c r="Q125" s="595" t="s">
        <v>370</v>
      </c>
      <c r="R125" s="596"/>
      <c r="S125" s="397">
        <v>140</v>
      </c>
      <c r="T125" s="398"/>
    </row>
    <row r="126" spans="2:20" ht="13.5" customHeight="1" thickBot="1" x14ac:dyDescent="0.25">
      <c r="B126" s="613"/>
      <c r="C126" s="616"/>
      <c r="D126" s="573" t="s">
        <v>250</v>
      </c>
      <c r="E126" s="571" t="s">
        <v>453</v>
      </c>
      <c r="F126" s="572" t="s">
        <v>454</v>
      </c>
      <c r="G126" s="566" t="s">
        <v>218</v>
      </c>
      <c r="H126" s="401" t="s">
        <v>345</v>
      </c>
      <c r="I126" s="407" t="s">
        <v>368</v>
      </c>
      <c r="J126" s="408" t="s">
        <v>343</v>
      </c>
      <c r="L126" s="566" t="s">
        <v>218</v>
      </c>
      <c r="M126" s="401" t="s">
        <v>345</v>
      </c>
      <c r="N126" s="407" t="s">
        <v>368</v>
      </c>
      <c r="O126" s="408" t="s">
        <v>343</v>
      </c>
      <c r="Q126" s="566" t="s">
        <v>218</v>
      </c>
      <c r="R126" s="401" t="s">
        <v>345</v>
      </c>
      <c r="S126" s="407" t="s">
        <v>368</v>
      </c>
      <c r="T126" s="408" t="s">
        <v>343</v>
      </c>
    </row>
    <row r="127" spans="2:20" x14ac:dyDescent="0.2">
      <c r="B127" s="413" t="s">
        <v>255</v>
      </c>
      <c r="C127" s="543" t="s">
        <v>100</v>
      </c>
      <c r="D127" s="271">
        <v>5</v>
      </c>
      <c r="E127" s="561">
        <v>5</v>
      </c>
      <c r="F127" s="583">
        <v>5</v>
      </c>
      <c r="G127" s="567" t="s">
        <v>203</v>
      </c>
      <c r="H127" s="369">
        <f>+D49</f>
        <v>67</v>
      </c>
      <c r="I127" s="411">
        <f t="shared" ref="I127:I131" si="15">+H127/50</f>
        <v>1.34</v>
      </c>
      <c r="J127" s="412">
        <f>+I127/I124</f>
        <v>0.67</v>
      </c>
      <c r="L127" s="567" t="s">
        <v>203</v>
      </c>
      <c r="M127" s="369">
        <f>D77</f>
        <v>57</v>
      </c>
      <c r="N127" s="411">
        <f t="shared" ref="N127:N128" si="16">+M127/50</f>
        <v>1.1399999999999999</v>
      </c>
      <c r="O127" s="412">
        <f>+N127/N124</f>
        <v>0.56999999999999995</v>
      </c>
      <c r="Q127" s="567" t="s">
        <v>203</v>
      </c>
      <c r="R127" s="369">
        <f>+D105</f>
        <v>39</v>
      </c>
      <c r="S127" s="411">
        <f t="shared" ref="S127:S128" si="17">+R127/50</f>
        <v>0.78</v>
      </c>
      <c r="T127" s="412">
        <f>+S127/S124</f>
        <v>0.39</v>
      </c>
    </row>
    <row r="128" spans="2:20" x14ac:dyDescent="0.2">
      <c r="B128" s="55" t="s">
        <v>261</v>
      </c>
      <c r="C128" s="558" t="s">
        <v>100</v>
      </c>
      <c r="D128" s="56">
        <v>2</v>
      </c>
      <c r="E128" s="562">
        <v>2</v>
      </c>
      <c r="F128" s="584">
        <v>2</v>
      </c>
      <c r="G128" s="567" t="s">
        <v>6</v>
      </c>
      <c r="H128" s="369">
        <f>+D50</f>
        <v>245</v>
      </c>
      <c r="I128" s="411">
        <f t="shared" si="15"/>
        <v>4.9000000000000004</v>
      </c>
      <c r="J128" s="412">
        <f>+I128/I124</f>
        <v>2.4500000000000002</v>
      </c>
      <c r="L128" s="567" t="s">
        <v>6</v>
      </c>
      <c r="M128" s="369">
        <f>D78</f>
        <v>206</v>
      </c>
      <c r="N128" s="411">
        <f t="shared" si="16"/>
        <v>4.12</v>
      </c>
      <c r="O128" s="412">
        <f>+N128/N124</f>
        <v>2.06</v>
      </c>
      <c r="Q128" s="567" t="s">
        <v>6</v>
      </c>
      <c r="R128" s="369">
        <f>+D106</f>
        <v>143</v>
      </c>
      <c r="S128" s="411">
        <f t="shared" si="17"/>
        <v>2.86</v>
      </c>
      <c r="T128" s="412">
        <f>+S128/S124</f>
        <v>1.43</v>
      </c>
    </row>
    <row r="129" spans="2:20" x14ac:dyDescent="0.2">
      <c r="B129" s="55" t="s">
        <v>120</v>
      </c>
      <c r="C129" s="558" t="s">
        <v>100</v>
      </c>
      <c r="D129" s="56">
        <v>12</v>
      </c>
      <c r="E129" s="562">
        <v>12</v>
      </c>
      <c r="F129" s="584">
        <v>8</v>
      </c>
      <c r="G129" s="567" t="s">
        <v>88</v>
      </c>
      <c r="H129" s="369">
        <f>D51</f>
        <v>78</v>
      </c>
      <c r="I129" s="411">
        <f>H129/50</f>
        <v>1.56</v>
      </c>
      <c r="J129" s="412">
        <f>I129/I124</f>
        <v>0.78</v>
      </c>
      <c r="L129" s="567" t="s">
        <v>88</v>
      </c>
      <c r="M129" s="369">
        <f>D79</f>
        <v>66</v>
      </c>
      <c r="N129" s="411">
        <f>M129/50</f>
        <v>1.32</v>
      </c>
      <c r="O129" s="412">
        <f>N129/N124</f>
        <v>0.66</v>
      </c>
      <c r="Q129" s="567" t="s">
        <v>88</v>
      </c>
      <c r="R129" s="369">
        <f>+D107</f>
        <v>46</v>
      </c>
      <c r="S129" s="411">
        <f>R129/50</f>
        <v>0.92</v>
      </c>
      <c r="T129" s="412">
        <f>S129/S124</f>
        <v>0.46</v>
      </c>
    </row>
    <row r="130" spans="2:20" ht="24" x14ac:dyDescent="0.2">
      <c r="B130" s="55" t="s">
        <v>256</v>
      </c>
      <c r="C130" s="558" t="s">
        <v>100</v>
      </c>
      <c r="D130" s="56">
        <v>8</v>
      </c>
      <c r="E130" s="562">
        <v>8</v>
      </c>
      <c r="F130" s="584">
        <v>4</v>
      </c>
      <c r="G130" s="568" t="s">
        <v>365</v>
      </c>
      <c r="H130" s="368">
        <f>+D48</f>
        <v>49</v>
      </c>
      <c r="I130" s="411">
        <f>+H130/50</f>
        <v>0.98</v>
      </c>
      <c r="J130" s="412">
        <f>+I130/I124</f>
        <v>0.49</v>
      </c>
      <c r="L130" s="568" t="s">
        <v>365</v>
      </c>
      <c r="M130" s="368">
        <f>D76</f>
        <v>42</v>
      </c>
      <c r="N130" s="411">
        <f>+M130/50</f>
        <v>0.84</v>
      </c>
      <c r="O130" s="412">
        <f>+N130/N124</f>
        <v>0.42</v>
      </c>
      <c r="Q130" s="568" t="s">
        <v>365</v>
      </c>
      <c r="R130" s="368">
        <f>+D104</f>
        <v>29</v>
      </c>
      <c r="S130" s="411">
        <f>+R130/50</f>
        <v>0.57999999999999996</v>
      </c>
      <c r="T130" s="412">
        <f>+S130/S124</f>
        <v>0.28999999999999998</v>
      </c>
    </row>
    <row r="131" spans="2:20" x14ac:dyDescent="0.2">
      <c r="B131" s="55" t="s">
        <v>123</v>
      </c>
      <c r="C131" s="558" t="s">
        <v>100</v>
      </c>
      <c r="D131" s="56">
        <v>2</v>
      </c>
      <c r="E131" s="562">
        <v>2</v>
      </c>
      <c r="F131" s="584">
        <v>2</v>
      </c>
      <c r="G131" s="567" t="s">
        <v>366</v>
      </c>
      <c r="H131" s="369">
        <f>+D54</f>
        <v>50</v>
      </c>
      <c r="I131" s="411">
        <f t="shared" si="15"/>
        <v>1</v>
      </c>
      <c r="J131" s="412">
        <f>+I131/I124</f>
        <v>0.5</v>
      </c>
      <c r="L131" s="567" t="s">
        <v>366</v>
      </c>
      <c r="M131" s="369">
        <f>D82</f>
        <v>50</v>
      </c>
      <c r="N131" s="411">
        <f t="shared" ref="N131" si="18">+M131/50</f>
        <v>1</v>
      </c>
      <c r="O131" s="412">
        <f>+N131/N124</f>
        <v>0.5</v>
      </c>
      <c r="Q131" s="567" t="s">
        <v>366</v>
      </c>
      <c r="R131" s="369">
        <f>+D110</f>
        <v>50</v>
      </c>
      <c r="S131" s="411">
        <f t="shared" ref="S131" si="19">+R131/50</f>
        <v>1</v>
      </c>
      <c r="T131" s="412">
        <f>+S131/S124</f>
        <v>0.5</v>
      </c>
    </row>
    <row r="132" spans="2:20" ht="16" thickBot="1" x14ac:dyDescent="0.25">
      <c r="B132" s="55" t="s">
        <v>257</v>
      </c>
      <c r="C132" s="558" t="s">
        <v>100</v>
      </c>
      <c r="D132" s="56">
        <v>4</v>
      </c>
      <c r="E132" s="562">
        <v>4</v>
      </c>
      <c r="F132" s="584">
        <v>2</v>
      </c>
      <c r="G132" s="569" t="s">
        <v>133</v>
      </c>
      <c r="H132" s="409"/>
      <c r="I132" s="410"/>
      <c r="J132" s="412">
        <f>+D47/I125</f>
        <v>8.7214285714285715</v>
      </c>
      <c r="L132" s="569" t="s">
        <v>133</v>
      </c>
      <c r="M132" s="409"/>
      <c r="N132" s="410"/>
      <c r="O132" s="412">
        <f>D75/N125</f>
        <v>7.354285714285715</v>
      </c>
      <c r="Q132" s="569" t="s">
        <v>133</v>
      </c>
      <c r="R132" s="409"/>
      <c r="S132" s="410"/>
      <c r="T132" s="412">
        <f>+D103/S125</f>
        <v>5.1071428571428577</v>
      </c>
    </row>
    <row r="133" spans="2:20" ht="14.25" customHeight="1" thickBot="1" x14ac:dyDescent="0.25">
      <c r="B133" s="55" t="s">
        <v>121</v>
      </c>
      <c r="C133" s="558" t="s">
        <v>105</v>
      </c>
      <c r="D133" s="273">
        <f>+J133</f>
        <v>13.611428571428572</v>
      </c>
      <c r="E133" s="563">
        <f>O133</f>
        <v>11.564285714285715</v>
      </c>
      <c r="F133" s="585">
        <f>T133</f>
        <v>8.1771428571428579</v>
      </c>
      <c r="G133" s="570" t="s">
        <v>371</v>
      </c>
      <c r="H133" s="404"/>
      <c r="I133" s="405">
        <f>SUM(I127:I132)</f>
        <v>9.7800000000000011</v>
      </c>
      <c r="J133" s="406">
        <f>SUM(J127:J132)</f>
        <v>13.611428571428572</v>
      </c>
      <c r="L133" s="570" t="s">
        <v>371</v>
      </c>
      <c r="M133" s="404"/>
      <c r="N133" s="405">
        <f>SUM(N127:N132)</f>
        <v>8.42</v>
      </c>
      <c r="O133" s="406">
        <f>SUM(O127:O132)</f>
        <v>11.564285714285715</v>
      </c>
      <c r="Q133" s="570" t="s">
        <v>371</v>
      </c>
      <c r="R133" s="404"/>
      <c r="S133" s="405">
        <f>SUM(S127:S132)</f>
        <v>6.14</v>
      </c>
      <c r="T133" s="406">
        <f>SUM(T127:T132)</f>
        <v>8.1771428571428579</v>
      </c>
    </row>
    <row r="134" spans="2:20" ht="14.25" customHeight="1" x14ac:dyDescent="0.2">
      <c r="B134" s="55" t="s">
        <v>258</v>
      </c>
      <c r="C134" s="558" t="s">
        <v>100</v>
      </c>
      <c r="D134" s="56">
        <v>5</v>
      </c>
      <c r="E134" s="562">
        <v>5</v>
      </c>
      <c r="F134" s="584">
        <v>3</v>
      </c>
      <c r="G134" s="7"/>
      <c r="I134" s="419"/>
    </row>
    <row r="135" spans="2:20" ht="14.25" customHeight="1" x14ac:dyDescent="0.2">
      <c r="B135" s="55" t="s">
        <v>125</v>
      </c>
      <c r="C135" s="558" t="s">
        <v>100</v>
      </c>
      <c r="D135" s="56">
        <v>2</v>
      </c>
      <c r="E135" s="562">
        <v>2</v>
      </c>
      <c r="F135" s="584">
        <v>2</v>
      </c>
      <c r="G135" s="151"/>
    </row>
    <row r="136" spans="2:20" ht="13.5" customHeight="1" x14ac:dyDescent="0.2">
      <c r="B136" s="55" t="s">
        <v>122</v>
      </c>
      <c r="C136" s="558" t="s">
        <v>100</v>
      </c>
      <c r="D136" s="56">
        <v>2</v>
      </c>
      <c r="E136" s="562">
        <v>1</v>
      </c>
      <c r="F136" s="584">
        <v>2</v>
      </c>
      <c r="G136" s="7"/>
    </row>
    <row r="137" spans="2:20" ht="13.5" customHeight="1" x14ac:dyDescent="0.2">
      <c r="B137" s="55" t="s">
        <v>259</v>
      </c>
      <c r="C137" s="558" t="s">
        <v>100</v>
      </c>
      <c r="D137" s="56">
        <v>12</v>
      </c>
      <c r="E137" s="562">
        <v>12</v>
      </c>
      <c r="F137" s="584">
        <v>12</v>
      </c>
      <c r="G137" s="7"/>
    </row>
    <row r="138" spans="2:20" ht="13.5" customHeight="1" x14ac:dyDescent="0.2">
      <c r="B138" s="381" t="s">
        <v>260</v>
      </c>
      <c r="C138" s="559" t="s">
        <v>100</v>
      </c>
      <c r="D138" s="56">
        <v>2</v>
      </c>
      <c r="E138" s="564">
        <v>2</v>
      </c>
      <c r="F138" s="584">
        <v>2</v>
      </c>
      <c r="G138" s="7"/>
    </row>
    <row r="139" spans="2:20" ht="13.5" customHeight="1" thickBot="1" x14ac:dyDescent="0.25">
      <c r="B139" s="278" t="s">
        <v>372</v>
      </c>
      <c r="C139" s="560" t="s">
        <v>100</v>
      </c>
      <c r="D139" s="576">
        <v>5</v>
      </c>
      <c r="E139" s="565">
        <v>5</v>
      </c>
      <c r="F139" s="586">
        <v>5</v>
      </c>
      <c r="G139" s="7"/>
    </row>
    <row r="140" spans="2:20" ht="16" thickBot="1" x14ac:dyDescent="0.25">
      <c r="B140" s="505" t="s">
        <v>313</v>
      </c>
      <c r="C140" s="504"/>
      <c r="D140" s="577">
        <f>SUM(D127:D139)</f>
        <v>74.611428571428576</v>
      </c>
      <c r="E140" s="544">
        <f>SUM(E127:E139)</f>
        <v>71.564285714285717</v>
      </c>
      <c r="F140" s="587">
        <f>SUM(F127:F139)</f>
        <v>57.177142857142854</v>
      </c>
      <c r="G140" s="7"/>
    </row>
    <row r="141" spans="2:20" x14ac:dyDescent="0.2">
      <c r="B141" s="7"/>
      <c r="C141" s="7"/>
      <c r="D141" s="7"/>
      <c r="E141" s="7"/>
      <c r="F141" s="7"/>
      <c r="G141" s="7"/>
    </row>
    <row r="142" spans="2:20" ht="16" thickBot="1" x14ac:dyDescent="0.25">
      <c r="B142" s="7"/>
      <c r="C142" s="7"/>
      <c r="D142" s="7"/>
      <c r="E142" s="7"/>
      <c r="F142" s="7"/>
      <c r="G142" s="7"/>
    </row>
    <row r="143" spans="2:20" ht="16" thickBot="1" x14ac:dyDescent="0.25">
      <c r="B143" s="605" t="s">
        <v>269</v>
      </c>
      <c r="C143" s="606"/>
      <c r="D143" s="606"/>
      <c r="E143" s="606"/>
      <c r="F143" s="606"/>
      <c r="G143" s="607"/>
    </row>
    <row r="144" spans="2:20" ht="16" thickBot="1" x14ac:dyDescent="0.25">
      <c r="B144" s="602" t="s">
        <v>270</v>
      </c>
      <c r="C144" s="603"/>
      <c r="D144" s="603"/>
      <c r="E144" s="603"/>
      <c r="F144" s="603"/>
      <c r="G144" s="604"/>
    </row>
    <row r="145" spans="2:10" x14ac:dyDescent="0.2">
      <c r="B145" s="145"/>
      <c r="C145" s="146"/>
      <c r="D145" s="146"/>
      <c r="E145" s="146"/>
      <c r="F145" s="146"/>
      <c r="G145" s="147"/>
    </row>
    <row r="146" spans="2:10" x14ac:dyDescent="0.2">
      <c r="B146" s="145"/>
      <c r="C146" s="146"/>
      <c r="D146" s="146"/>
      <c r="E146" s="146"/>
      <c r="F146" s="146"/>
      <c r="G146" s="147"/>
    </row>
    <row r="147" spans="2:10" x14ac:dyDescent="0.2">
      <c r="B147" s="145"/>
      <c r="C147" s="146"/>
      <c r="D147" s="146"/>
      <c r="E147" s="146"/>
      <c r="F147" s="146"/>
      <c r="G147" s="147"/>
    </row>
    <row r="148" spans="2:10" ht="16" thickBot="1" x14ac:dyDescent="0.25">
      <c r="B148" s="148"/>
      <c r="C148" s="149"/>
      <c r="D148" s="149"/>
      <c r="E148" s="149"/>
      <c r="F148" s="149"/>
      <c r="G148" s="150"/>
    </row>
    <row r="149" spans="2:10" ht="16" thickBot="1" x14ac:dyDescent="0.25">
      <c r="B149" s="605" t="s">
        <v>269</v>
      </c>
      <c r="C149" s="606"/>
      <c r="D149" s="606"/>
      <c r="E149" s="606"/>
      <c r="F149" s="606"/>
      <c r="G149" s="607"/>
    </row>
    <row r="150" spans="2:10" ht="16" thickBot="1" x14ac:dyDescent="0.25">
      <c r="B150" s="602" t="s">
        <v>270</v>
      </c>
      <c r="C150" s="603"/>
      <c r="D150" s="603"/>
      <c r="E150" s="603"/>
      <c r="F150" s="603"/>
      <c r="G150" s="604"/>
    </row>
    <row r="151" spans="2:10" x14ac:dyDescent="0.2">
      <c r="B151" s="145"/>
      <c r="C151" s="146"/>
      <c r="D151" s="146"/>
      <c r="E151" s="146"/>
      <c r="F151" s="146"/>
      <c r="G151" s="147"/>
    </row>
    <row r="152" spans="2:10" x14ac:dyDescent="0.2">
      <c r="B152" s="145"/>
      <c r="C152" s="146"/>
      <c r="D152" s="146"/>
      <c r="E152" s="146"/>
      <c r="F152" s="146"/>
      <c r="G152" s="147"/>
    </row>
    <row r="153" spans="2:10" x14ac:dyDescent="0.2">
      <c r="B153" s="145"/>
      <c r="C153" s="146"/>
      <c r="D153" s="146"/>
      <c r="E153" s="146"/>
      <c r="F153" s="146"/>
      <c r="G153" s="147"/>
    </row>
    <row r="154" spans="2:10" ht="16" thickBot="1" x14ac:dyDescent="0.25">
      <c r="B154" s="148"/>
      <c r="C154" s="149"/>
      <c r="D154" s="149"/>
      <c r="E154" s="149"/>
      <c r="F154" s="149"/>
      <c r="G154" s="150"/>
    </row>
    <row r="155" spans="2:10" ht="16" thickBot="1" x14ac:dyDescent="0.25"/>
    <row r="156" spans="2:10" ht="16" thickBot="1" x14ac:dyDescent="0.25">
      <c r="B156" s="595" t="s">
        <v>367</v>
      </c>
      <c r="C156" s="596"/>
      <c r="D156" s="403">
        <v>2</v>
      </c>
      <c r="E156" s="402" t="s">
        <v>369</v>
      </c>
      <c r="G156" s="595" t="s">
        <v>367</v>
      </c>
      <c r="H156" s="596"/>
      <c r="I156" s="403">
        <v>2</v>
      </c>
      <c r="J156" s="402" t="s">
        <v>369</v>
      </c>
    </row>
    <row r="157" spans="2:10" ht="16" thickBot="1" x14ac:dyDescent="0.25">
      <c r="B157" s="595" t="s">
        <v>370</v>
      </c>
      <c r="C157" s="596"/>
      <c r="D157" s="397">
        <v>140</v>
      </c>
      <c r="E157" s="398"/>
      <c r="G157" s="595" t="s">
        <v>370</v>
      </c>
      <c r="H157" s="596"/>
      <c r="I157" s="397">
        <v>140</v>
      </c>
      <c r="J157" s="398"/>
    </row>
    <row r="158" spans="2:10" ht="16" thickBot="1" x14ac:dyDescent="0.25">
      <c r="B158" s="566" t="s">
        <v>218</v>
      </c>
      <c r="C158" s="401" t="s">
        <v>345</v>
      </c>
      <c r="D158" s="407" t="s">
        <v>368</v>
      </c>
      <c r="E158" s="408" t="s">
        <v>343</v>
      </c>
      <c r="G158" s="566" t="s">
        <v>218</v>
      </c>
      <c r="H158" s="401" t="s">
        <v>345</v>
      </c>
      <c r="I158" s="407" t="s">
        <v>368</v>
      </c>
      <c r="J158" s="408" t="s">
        <v>343</v>
      </c>
    </row>
    <row r="159" spans="2:10" x14ac:dyDescent="0.2">
      <c r="B159" s="567" t="s">
        <v>203</v>
      </c>
      <c r="C159" s="369" t="e">
        <f>+#REF!</f>
        <v>#REF!</v>
      </c>
      <c r="D159" s="411" t="e">
        <f t="shared" ref="D159:D160" si="20">+C159/50</f>
        <v>#REF!</v>
      </c>
      <c r="E159" s="412" t="e">
        <f>+D159/D156</f>
        <v>#REF!</v>
      </c>
      <c r="G159" s="567" t="s">
        <v>203</v>
      </c>
      <c r="H159" s="369">
        <f>+D81</f>
        <v>0.5</v>
      </c>
      <c r="I159" s="411">
        <f t="shared" ref="I159:I160" si="21">+H159/50</f>
        <v>0.01</v>
      </c>
      <c r="J159" s="412">
        <f>+I159/I156</f>
        <v>5.0000000000000001E-3</v>
      </c>
    </row>
    <row r="160" spans="2:10" x14ac:dyDescent="0.2">
      <c r="B160" s="567" t="s">
        <v>6</v>
      </c>
      <c r="C160" s="369" t="e">
        <f>+#REF!</f>
        <v>#REF!</v>
      </c>
      <c r="D160" s="411" t="e">
        <f t="shared" si="20"/>
        <v>#REF!</v>
      </c>
      <c r="E160" s="412" t="e">
        <f>+D160/D156</f>
        <v>#REF!</v>
      </c>
      <c r="G160" s="567" t="s">
        <v>6</v>
      </c>
      <c r="H160" s="369">
        <f>+D82</f>
        <v>50</v>
      </c>
      <c r="I160" s="411">
        <f t="shared" si="21"/>
        <v>1</v>
      </c>
      <c r="J160" s="412">
        <f>+I160/I156</f>
        <v>0.5</v>
      </c>
    </row>
    <row r="161" spans="2:10" x14ac:dyDescent="0.2">
      <c r="B161" s="567" t="s">
        <v>88</v>
      </c>
      <c r="C161" s="369" t="e">
        <f>#REF!</f>
        <v>#REF!</v>
      </c>
      <c r="D161" s="411" t="e">
        <f>C161/50</f>
        <v>#REF!</v>
      </c>
      <c r="E161" s="412" t="e">
        <f>D161/D156</f>
        <v>#REF!</v>
      </c>
      <c r="G161" s="567" t="s">
        <v>88</v>
      </c>
      <c r="H161" s="369">
        <f>D83</f>
        <v>3</v>
      </c>
      <c r="I161" s="411">
        <f>H161/50</f>
        <v>0.06</v>
      </c>
      <c r="J161" s="412">
        <f>I161/I156</f>
        <v>0.03</v>
      </c>
    </row>
    <row r="162" spans="2:10" x14ac:dyDescent="0.2">
      <c r="B162" s="568" t="s">
        <v>365</v>
      </c>
      <c r="C162" s="368" t="e">
        <f>+#REF!</f>
        <v>#REF!</v>
      </c>
      <c r="D162" s="411" t="e">
        <f>+C162/50</f>
        <v>#REF!</v>
      </c>
      <c r="E162" s="412" t="e">
        <f>+D162/D156</f>
        <v>#REF!</v>
      </c>
      <c r="G162" s="568" t="s">
        <v>365</v>
      </c>
      <c r="H162" s="368">
        <f>+D80</f>
        <v>0.5</v>
      </c>
      <c r="I162" s="411">
        <f>+H162/50</f>
        <v>0.01</v>
      </c>
      <c r="J162" s="412">
        <f>+I162/I156</f>
        <v>5.0000000000000001E-3</v>
      </c>
    </row>
    <row r="163" spans="2:10" x14ac:dyDescent="0.2">
      <c r="B163" s="567" t="s">
        <v>366</v>
      </c>
      <c r="C163" s="369" t="e">
        <f>+#REF!</f>
        <v>#REF!</v>
      </c>
      <c r="D163" s="411" t="e">
        <f t="shared" ref="D163" si="22">+C163/50</f>
        <v>#REF!</v>
      </c>
      <c r="E163" s="412" t="e">
        <f>+D163/D156</f>
        <v>#REF!</v>
      </c>
      <c r="G163" s="567" t="s">
        <v>366</v>
      </c>
      <c r="H163" s="369">
        <f>+D86</f>
        <v>0</v>
      </c>
      <c r="I163" s="411">
        <f t="shared" ref="I163" si="23">+H163/50</f>
        <v>0</v>
      </c>
      <c r="J163" s="412">
        <f>+I163/I156</f>
        <v>0</v>
      </c>
    </row>
    <row r="164" spans="2:10" ht="16" thickBot="1" x14ac:dyDescent="0.25">
      <c r="B164" s="569" t="s">
        <v>133</v>
      </c>
      <c r="C164" s="409"/>
      <c r="D164" s="410"/>
      <c r="E164" s="412" t="e">
        <f>+#REF!/D157</f>
        <v>#REF!</v>
      </c>
      <c r="G164" s="569" t="s">
        <v>133</v>
      </c>
      <c r="H164" s="409"/>
      <c r="I164" s="410"/>
      <c r="J164" s="412">
        <f>+D79/I157</f>
        <v>0.47142857142857142</v>
      </c>
    </row>
    <row r="165" spans="2:10" ht="16" thickBot="1" x14ac:dyDescent="0.25">
      <c r="B165" s="570" t="s">
        <v>371</v>
      </c>
      <c r="C165" s="404"/>
      <c r="D165" s="405" t="e">
        <f>SUM(D159:D164)</f>
        <v>#REF!</v>
      </c>
      <c r="E165" s="406" t="e">
        <f>SUM(E159:E164)</f>
        <v>#REF!</v>
      </c>
      <c r="G165" s="570" t="s">
        <v>371</v>
      </c>
      <c r="H165" s="404"/>
      <c r="I165" s="405">
        <f>SUM(I159:I164)</f>
        <v>1.08</v>
      </c>
      <c r="J165" s="406">
        <f>SUM(J159:J164)</f>
        <v>1.0114285714285716</v>
      </c>
    </row>
  </sheetData>
  <mergeCells count="43">
    <mergeCell ref="B12:C12"/>
    <mergeCell ref="B74:F74"/>
    <mergeCell ref="B84:E84"/>
    <mergeCell ref="B85:E85"/>
    <mergeCell ref="B3:G3"/>
    <mergeCell ref="C4:G4"/>
    <mergeCell ref="C5:G5"/>
    <mergeCell ref="C6:G6"/>
    <mergeCell ref="B11:C11"/>
    <mergeCell ref="B10:C10"/>
    <mergeCell ref="B118:E118"/>
    <mergeCell ref="B30:D30"/>
    <mergeCell ref="B46:F46"/>
    <mergeCell ref="B56:E56"/>
    <mergeCell ref="B57:E57"/>
    <mergeCell ref="B116:E116"/>
    <mergeCell ref="B117:E117"/>
    <mergeCell ref="B102:F102"/>
    <mergeCell ref="B112:E112"/>
    <mergeCell ref="B113:E113"/>
    <mergeCell ref="B114:E114"/>
    <mergeCell ref="B119:E119"/>
    <mergeCell ref="B124:B126"/>
    <mergeCell ref="C124:C126"/>
    <mergeCell ref="G124:H124"/>
    <mergeCell ref="G125:H125"/>
    <mergeCell ref="B123:F123"/>
    <mergeCell ref="D124:F125"/>
    <mergeCell ref="B156:C156"/>
    <mergeCell ref="B157:C157"/>
    <mergeCell ref="G156:H156"/>
    <mergeCell ref="G157:H157"/>
    <mergeCell ref="L124:M124"/>
    <mergeCell ref="L125:M125"/>
    <mergeCell ref="B150:G150"/>
    <mergeCell ref="B143:G143"/>
    <mergeCell ref="B144:G144"/>
    <mergeCell ref="B149:G149"/>
    <mergeCell ref="Q124:R124"/>
    <mergeCell ref="Q125:R125"/>
    <mergeCell ref="G123:J123"/>
    <mergeCell ref="L123:O123"/>
    <mergeCell ref="Q123:T123"/>
  </mergeCells>
  <conditionalFormatting sqref="F119:G119">
    <cfRule type="cellIs" dxfId="10" priority="9" stopIfTrue="1" operator="greaterThan">
      <formula>0</formula>
    </cfRule>
  </conditionalFormatting>
  <conditionalFormatting sqref="G120">
    <cfRule type="cellIs" dxfId="9" priority="3" stopIfTrue="1" operator="greaterThan">
      <formula>0</formula>
    </cfRule>
  </conditionalFormatting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B3:J82"/>
  <sheetViews>
    <sheetView topLeftCell="A60" zoomScale="106" zoomScaleNormal="106" workbookViewId="0">
      <selection activeCell="B3" sqref="B3:G60"/>
    </sheetView>
  </sheetViews>
  <sheetFormatPr baseColWidth="10" defaultRowHeight="15" x14ac:dyDescent="0.2"/>
  <cols>
    <col min="1" max="1" width="4.83203125" customWidth="1"/>
    <col min="2" max="2" width="37.1640625" customWidth="1"/>
    <col min="3" max="3" width="14.5" customWidth="1"/>
    <col min="4" max="4" width="12.6640625" customWidth="1"/>
    <col min="5" max="5" width="14.5" customWidth="1"/>
    <col min="6" max="6" width="16.1640625" customWidth="1"/>
    <col min="7" max="7" width="16.83203125" customWidth="1"/>
    <col min="8" max="8" width="14.33203125" bestFit="1" customWidth="1"/>
  </cols>
  <sheetData>
    <row r="3" spans="2:8" x14ac:dyDescent="0.2">
      <c r="B3" s="646" t="s">
        <v>273</v>
      </c>
      <c r="C3" s="646"/>
      <c r="D3" s="646"/>
      <c r="E3" s="646"/>
      <c r="F3" s="646"/>
      <c r="G3" s="646"/>
    </row>
    <row r="4" spans="2:8" x14ac:dyDescent="0.2">
      <c r="B4" s="8" t="s">
        <v>70</v>
      </c>
      <c r="C4" s="647" t="s">
        <v>401</v>
      </c>
      <c r="D4" s="647"/>
      <c r="E4" s="647"/>
      <c r="F4" s="647"/>
      <c r="G4" s="647"/>
    </row>
    <row r="5" spans="2:8" x14ac:dyDescent="0.2">
      <c r="B5" s="8" t="s">
        <v>72</v>
      </c>
      <c r="C5" s="648" t="s">
        <v>73</v>
      </c>
      <c r="D5" s="648"/>
      <c r="E5" s="648"/>
      <c r="F5" s="648"/>
      <c r="G5" s="648"/>
    </row>
    <row r="6" spans="2:8" ht="25.5" customHeight="1" x14ac:dyDescent="0.2">
      <c r="B6" s="8" t="s">
        <v>74</v>
      </c>
      <c r="C6" s="674" t="s">
        <v>464</v>
      </c>
      <c r="D6" s="674"/>
      <c r="E6" s="674"/>
      <c r="F6" s="674"/>
      <c r="G6" s="674"/>
    </row>
    <row r="8" spans="2:8" x14ac:dyDescent="0.2">
      <c r="B8" s="285" t="s">
        <v>274</v>
      </c>
      <c r="C8" s="588">
        <v>0</v>
      </c>
      <c r="D8" s="675" t="s">
        <v>275</v>
      </c>
      <c r="E8" s="676"/>
      <c r="F8" s="286"/>
    </row>
    <row r="9" spans="2:8" ht="16" thickBot="1" x14ac:dyDescent="0.25">
      <c r="B9" s="287"/>
      <c r="C9" s="286"/>
      <c r="D9" s="286"/>
      <c r="E9" s="286"/>
      <c r="F9" s="286"/>
    </row>
    <row r="10" spans="2:8" ht="18" customHeight="1" thickBot="1" x14ac:dyDescent="0.25">
      <c r="B10" s="351" t="s">
        <v>276</v>
      </c>
      <c r="C10" s="352"/>
      <c r="D10" s="356" t="s">
        <v>277</v>
      </c>
      <c r="E10" s="671" t="s">
        <v>318</v>
      </c>
      <c r="F10" s="672"/>
      <c r="G10" s="673"/>
    </row>
    <row r="11" spans="2:8" ht="16.5" customHeight="1" x14ac:dyDescent="0.2">
      <c r="B11" s="357" t="s">
        <v>339</v>
      </c>
      <c r="C11" s="349">
        <v>400</v>
      </c>
      <c r="D11" s="350">
        <f>+'Estudio de Mercado'!N46</f>
        <v>40333.333333333336</v>
      </c>
      <c r="E11" s="657" t="s">
        <v>332</v>
      </c>
      <c r="F11" s="658"/>
      <c r="G11" s="362" t="s">
        <v>333</v>
      </c>
      <c r="H11" s="361"/>
    </row>
    <row r="12" spans="2:8" ht="11.25" customHeight="1" x14ac:dyDescent="0.2">
      <c r="B12" s="358" t="s">
        <v>323</v>
      </c>
      <c r="C12" s="344">
        <v>50</v>
      </c>
      <c r="D12" s="347">
        <f>+'Estudio de Mercado'!N47</f>
        <v>29333.333333333332</v>
      </c>
      <c r="E12" s="659" t="s">
        <v>337</v>
      </c>
      <c r="F12" s="660"/>
      <c r="G12" s="363" t="s">
        <v>334</v>
      </c>
    </row>
    <row r="13" spans="2:8" ht="13.5" customHeight="1" x14ac:dyDescent="0.2">
      <c r="B13" s="358" t="s">
        <v>409</v>
      </c>
      <c r="C13" s="442">
        <f>+C11*2%</f>
        <v>8</v>
      </c>
      <c r="D13" s="347">
        <f>+'Estudio de Mercado'!N47</f>
        <v>29333.333333333332</v>
      </c>
      <c r="E13" s="653" t="s">
        <v>335</v>
      </c>
      <c r="F13" s="654"/>
      <c r="G13" s="364">
        <v>10</v>
      </c>
    </row>
    <row r="14" spans="2:8" ht="11.25" customHeight="1" x14ac:dyDescent="0.2">
      <c r="B14" s="358" t="s">
        <v>360</v>
      </c>
      <c r="C14" s="289">
        <v>9</v>
      </c>
      <c r="D14" s="347">
        <f>+'Estudio de Mercado'!N27</f>
        <v>265633.33333333331</v>
      </c>
      <c r="E14" s="653" t="s">
        <v>336</v>
      </c>
      <c r="F14" s="654"/>
      <c r="G14" s="364">
        <v>16</v>
      </c>
    </row>
    <row r="15" spans="2:8" ht="13.5" customHeight="1" x14ac:dyDescent="0.2">
      <c r="B15" s="358" t="s">
        <v>359</v>
      </c>
      <c r="C15" s="289">
        <v>42</v>
      </c>
      <c r="D15" s="392">
        <f>+'Estudio de Mercado'!O28</f>
        <v>10391.08</v>
      </c>
      <c r="E15" s="653" t="s">
        <v>305</v>
      </c>
      <c r="F15" s="654"/>
      <c r="G15" s="365">
        <v>2.5</v>
      </c>
    </row>
    <row r="16" spans="2:8" ht="12.75" customHeight="1" x14ac:dyDescent="0.2">
      <c r="B16" s="358" t="s">
        <v>324</v>
      </c>
      <c r="C16" s="373">
        <v>7</v>
      </c>
      <c r="D16" s="347">
        <f>+'Estudio de Mercado'!N30</f>
        <v>8283.3333333333339</v>
      </c>
      <c r="E16" s="653" t="s">
        <v>308</v>
      </c>
      <c r="F16" s="654"/>
      <c r="G16" s="365">
        <v>20</v>
      </c>
    </row>
    <row r="17" spans="2:10" ht="19.5" customHeight="1" x14ac:dyDescent="0.2">
      <c r="B17" s="393" t="s">
        <v>362</v>
      </c>
      <c r="C17" s="373">
        <v>4.5</v>
      </c>
      <c r="D17" s="347">
        <f>+'Estudio de Mercado'!H29</f>
        <v>31535</v>
      </c>
      <c r="E17" s="653" t="s">
        <v>310</v>
      </c>
      <c r="F17" s="654"/>
      <c r="G17" s="365">
        <v>12.5</v>
      </c>
    </row>
    <row r="18" spans="2:10" ht="12.75" customHeight="1" x14ac:dyDescent="0.2">
      <c r="B18" s="358" t="s">
        <v>325</v>
      </c>
      <c r="C18" s="289">
        <v>1</v>
      </c>
      <c r="D18" s="347">
        <f>+'Estudio de Mercado'!N18</f>
        <v>49050</v>
      </c>
      <c r="E18" s="653" t="s">
        <v>319</v>
      </c>
      <c r="F18" s="654"/>
      <c r="G18" s="365">
        <v>12.5</v>
      </c>
    </row>
    <row r="19" spans="2:10" ht="12.75" customHeight="1" x14ac:dyDescent="0.2">
      <c r="B19" s="358" t="s">
        <v>326</v>
      </c>
      <c r="C19" s="289">
        <v>1</v>
      </c>
      <c r="D19" s="347">
        <f>+'Estudio de Mercado'!N19</f>
        <v>39050</v>
      </c>
      <c r="E19" s="653" t="s">
        <v>320</v>
      </c>
      <c r="F19" s="654"/>
      <c r="G19" s="365">
        <v>27</v>
      </c>
    </row>
    <row r="20" spans="2:10" x14ac:dyDescent="0.2">
      <c r="B20" s="358" t="s">
        <v>327</v>
      </c>
      <c r="C20" s="289"/>
      <c r="D20" s="392">
        <v>85000</v>
      </c>
      <c r="E20" s="653" t="s">
        <v>338</v>
      </c>
      <c r="F20" s="654"/>
      <c r="G20" s="365">
        <v>350</v>
      </c>
      <c r="H20" s="652"/>
      <c r="I20" s="652"/>
      <c r="J20" s="366"/>
    </row>
    <row r="21" spans="2:10" x14ac:dyDescent="0.2">
      <c r="B21" s="358" t="s">
        <v>328</v>
      </c>
      <c r="C21" s="290"/>
      <c r="D21" s="348">
        <f>+'Estudio de Mercado'!B72</f>
        <v>71255</v>
      </c>
      <c r="E21" s="653" t="s">
        <v>321</v>
      </c>
      <c r="F21" s="654"/>
      <c r="G21" s="365">
        <v>3</v>
      </c>
      <c r="H21" s="652"/>
      <c r="I21" s="652"/>
      <c r="J21" s="366"/>
    </row>
    <row r="22" spans="2:10" x14ac:dyDescent="0.2">
      <c r="B22" s="358" t="s">
        <v>329</v>
      </c>
      <c r="C22" s="291">
        <v>0.15</v>
      </c>
      <c r="E22" s="653" t="s">
        <v>322</v>
      </c>
      <c r="F22" s="654"/>
      <c r="G22" s="365">
        <v>1</v>
      </c>
      <c r="H22" s="652"/>
      <c r="I22" s="652"/>
      <c r="J22" s="366"/>
    </row>
    <row r="23" spans="2:10" ht="12.75" customHeight="1" x14ac:dyDescent="0.2">
      <c r="B23" s="358" t="s">
        <v>330</v>
      </c>
      <c r="C23" s="292">
        <v>0.04</v>
      </c>
      <c r="E23" s="653" t="s">
        <v>303</v>
      </c>
      <c r="F23" s="654"/>
      <c r="G23" s="365" t="s">
        <v>304</v>
      </c>
      <c r="H23" s="652"/>
      <c r="I23" s="652"/>
      <c r="J23" s="366"/>
    </row>
    <row r="24" spans="2:10" ht="14.25" customHeight="1" thickBot="1" x14ac:dyDescent="0.25">
      <c r="B24" s="359" t="s">
        <v>331</v>
      </c>
      <c r="C24" s="360">
        <v>0.04</v>
      </c>
      <c r="D24" s="367"/>
      <c r="E24" s="653" t="s">
        <v>306</v>
      </c>
      <c r="F24" s="654"/>
      <c r="G24" s="365" t="s">
        <v>307</v>
      </c>
      <c r="H24" s="652"/>
      <c r="I24" s="652"/>
      <c r="J24" s="366"/>
    </row>
    <row r="25" spans="2:10" x14ac:dyDescent="0.2">
      <c r="C25" s="353"/>
      <c r="E25" s="655" t="s">
        <v>309</v>
      </c>
      <c r="F25" s="656"/>
      <c r="G25" s="394">
        <v>3</v>
      </c>
    </row>
    <row r="26" spans="2:10" ht="12.75" customHeight="1" thickBot="1" x14ac:dyDescent="0.25">
      <c r="C26" s="353"/>
      <c r="E26" s="650" t="s">
        <v>363</v>
      </c>
      <c r="F26" s="651"/>
      <c r="G26" s="395">
        <v>1</v>
      </c>
    </row>
    <row r="27" spans="2:10" x14ac:dyDescent="0.2">
      <c r="C27" s="353"/>
      <c r="E27" s="354"/>
      <c r="F27" s="354"/>
      <c r="G27" s="355"/>
    </row>
    <row r="28" spans="2:10" ht="16" thickBot="1" x14ac:dyDescent="0.25"/>
    <row r="29" spans="2:10" ht="16" thickBot="1" x14ac:dyDescent="0.25">
      <c r="E29" s="662" t="s">
        <v>278</v>
      </c>
      <c r="F29" s="663"/>
      <c r="G29" s="664"/>
    </row>
    <row r="30" spans="2:10" ht="16" thickBot="1" x14ac:dyDescent="0.25">
      <c r="E30" s="451">
        <v>1.7849999999999999</v>
      </c>
      <c r="F30" s="293"/>
      <c r="G30" s="294" t="s">
        <v>279</v>
      </c>
    </row>
    <row r="32" spans="2:10" x14ac:dyDescent="0.2">
      <c r="B32" s="665" t="s">
        <v>280</v>
      </c>
      <c r="C32" s="666" t="s">
        <v>281</v>
      </c>
      <c r="D32" s="666"/>
      <c r="E32" s="666"/>
      <c r="F32" s="295"/>
      <c r="G32" s="665" t="s">
        <v>282</v>
      </c>
    </row>
    <row r="33" spans="2:7" ht="24" x14ac:dyDescent="0.2">
      <c r="B33" s="665"/>
      <c r="C33" s="296" t="s">
        <v>3</v>
      </c>
      <c r="D33" s="297" t="s">
        <v>248</v>
      </c>
      <c r="E33" s="288" t="s">
        <v>283</v>
      </c>
      <c r="F33" s="288" t="s">
        <v>284</v>
      </c>
      <c r="G33" s="665"/>
    </row>
    <row r="34" spans="2:7" x14ac:dyDescent="0.2">
      <c r="B34" s="53" t="s">
        <v>285</v>
      </c>
      <c r="C34" s="62"/>
      <c r="D34" s="62"/>
      <c r="E34" s="63"/>
      <c r="F34" s="63"/>
      <c r="G34" s="298"/>
    </row>
    <row r="35" spans="2:7" x14ac:dyDescent="0.2">
      <c r="B35" s="53" t="s">
        <v>286</v>
      </c>
      <c r="C35" s="62"/>
      <c r="D35" s="62"/>
      <c r="E35" s="63"/>
      <c r="F35" s="63"/>
      <c r="G35" s="298"/>
    </row>
    <row r="36" spans="2:7" x14ac:dyDescent="0.2">
      <c r="B36" s="389" t="s">
        <v>259</v>
      </c>
      <c r="C36" s="390" t="s">
        <v>287</v>
      </c>
      <c r="D36" s="301">
        <v>1000</v>
      </c>
      <c r="E36" s="302">
        <f>+(($D$21*D75)/D36)</f>
        <v>142.51</v>
      </c>
      <c r="F36" s="302">
        <f>+D36*E36</f>
        <v>142510</v>
      </c>
      <c r="G36" s="303">
        <f>+F36*$E$30</f>
        <v>254380.34999999998</v>
      </c>
    </row>
    <row r="37" spans="2:7" x14ac:dyDescent="0.2">
      <c r="B37" s="299" t="s">
        <v>262</v>
      </c>
      <c r="C37" s="300" t="s">
        <v>287</v>
      </c>
      <c r="D37" s="301">
        <v>1000</v>
      </c>
      <c r="E37" s="302">
        <f>+(($D$21*D76)/D37)</f>
        <v>142.51</v>
      </c>
      <c r="F37" s="302">
        <f t="shared" ref="F37:F42" si="0">+D37*E37</f>
        <v>142510</v>
      </c>
      <c r="G37" s="303">
        <f>+F37*$E$30</f>
        <v>254380.34999999998</v>
      </c>
    </row>
    <row r="38" spans="2:7" x14ac:dyDescent="0.2">
      <c r="B38" s="299" t="s">
        <v>288</v>
      </c>
      <c r="C38" s="300" t="s">
        <v>287</v>
      </c>
      <c r="D38" s="301">
        <v>1000</v>
      </c>
      <c r="E38" s="302">
        <f>+(($D$21*D77)/D38)</f>
        <v>712.55</v>
      </c>
      <c r="F38" s="302">
        <f t="shared" si="0"/>
        <v>712550</v>
      </c>
      <c r="G38" s="304">
        <f>+F38*$E$30</f>
        <v>1271901.75</v>
      </c>
    </row>
    <row r="39" spans="2:7" x14ac:dyDescent="0.2">
      <c r="B39" s="299" t="s">
        <v>289</v>
      </c>
      <c r="C39" s="300" t="s">
        <v>105</v>
      </c>
      <c r="D39" s="301">
        <f>+D78</f>
        <v>84.166666666666671</v>
      </c>
      <c r="E39" s="305">
        <f>+D20</f>
        <v>85000</v>
      </c>
      <c r="F39" s="302">
        <f t="shared" si="0"/>
        <v>7154166.666666667</v>
      </c>
      <c r="G39" s="303">
        <f>+F39*$E$30</f>
        <v>12770187.5</v>
      </c>
    </row>
    <row r="40" spans="2:7" x14ac:dyDescent="0.2">
      <c r="B40" s="299" t="s">
        <v>290</v>
      </c>
      <c r="C40" s="300" t="s">
        <v>287</v>
      </c>
      <c r="D40" s="301">
        <v>1000</v>
      </c>
      <c r="E40" s="302">
        <f>+(($D$21*D79)/D40)</f>
        <v>356.27499999999998</v>
      </c>
      <c r="F40" s="302">
        <f t="shared" si="0"/>
        <v>356275</v>
      </c>
      <c r="G40" s="303">
        <f>+F40*$E$30</f>
        <v>635950.875</v>
      </c>
    </row>
    <row r="41" spans="2:7" x14ac:dyDescent="0.2">
      <c r="B41" s="299" t="s">
        <v>291</v>
      </c>
      <c r="C41" s="300" t="s">
        <v>287</v>
      </c>
      <c r="D41" s="301">
        <v>1000</v>
      </c>
      <c r="E41" s="302">
        <f>+(($D$21*D80)/D41)</f>
        <v>285.02</v>
      </c>
      <c r="F41" s="302">
        <f t="shared" si="0"/>
        <v>285020</v>
      </c>
      <c r="G41" s="303">
        <f t="shared" ref="G41:G42" si="1">+F41*$E$30</f>
        <v>508760.69999999995</v>
      </c>
    </row>
    <row r="42" spans="2:7" x14ac:dyDescent="0.2">
      <c r="B42" s="299" t="s">
        <v>292</v>
      </c>
      <c r="C42" s="300" t="s">
        <v>287</v>
      </c>
      <c r="D42" s="301">
        <v>1000</v>
      </c>
      <c r="E42" s="302">
        <f>+(($D$21*D81)/D42)</f>
        <v>142.51</v>
      </c>
      <c r="F42" s="302">
        <f t="shared" si="0"/>
        <v>142510</v>
      </c>
      <c r="G42" s="303">
        <f t="shared" si="1"/>
        <v>254380.34999999998</v>
      </c>
    </row>
    <row r="43" spans="2:7" x14ac:dyDescent="0.2">
      <c r="B43" s="49" t="s">
        <v>293</v>
      </c>
      <c r="C43" s="306">
        <f>SUM(C37:C42)</f>
        <v>0</v>
      </c>
      <c r="D43" s="307"/>
      <c r="E43" s="308"/>
      <c r="F43" s="309">
        <f>+SUM(F36:F42)</f>
        <v>8935541.6666666679</v>
      </c>
      <c r="G43" s="308">
        <f>+SUM(G36:G42)</f>
        <v>15949941.874999998</v>
      </c>
    </row>
    <row r="44" spans="2:7" x14ac:dyDescent="0.2">
      <c r="B44" s="53" t="s">
        <v>294</v>
      </c>
      <c r="C44" s="310"/>
      <c r="D44" s="311"/>
      <c r="E44" s="312"/>
      <c r="F44" s="312"/>
      <c r="G44" s="313"/>
    </row>
    <row r="45" spans="2:7" x14ac:dyDescent="0.2">
      <c r="B45" s="314" t="s">
        <v>295</v>
      </c>
      <c r="C45" s="315" t="s">
        <v>29</v>
      </c>
      <c r="D45" s="330">
        <f>+C14</f>
        <v>9</v>
      </c>
      <c r="E45" s="316">
        <f>+D14</f>
        <v>265633.33333333331</v>
      </c>
      <c r="F45" s="304">
        <f>+D45*E45</f>
        <v>2390700</v>
      </c>
      <c r="G45" s="304">
        <f>+F45*$E$30</f>
        <v>4267399.5</v>
      </c>
    </row>
    <row r="46" spans="2:7" x14ac:dyDescent="0.2">
      <c r="B46" s="314" t="s">
        <v>355</v>
      </c>
      <c r="C46" s="315" t="s">
        <v>298</v>
      </c>
      <c r="D46" s="330">
        <f>+C15</f>
        <v>42</v>
      </c>
      <c r="E46" s="316">
        <f>+D15</f>
        <v>10391.08</v>
      </c>
      <c r="F46" s="304">
        <f t="shared" ref="F46:F52" si="2">+D46*E46</f>
        <v>436425.36</v>
      </c>
      <c r="G46" s="304">
        <f t="shared" ref="G46:G52" si="3">+F46*$E$30</f>
        <v>779019.2675999999</v>
      </c>
    </row>
    <row r="47" spans="2:7" x14ac:dyDescent="0.2">
      <c r="B47" s="299" t="s">
        <v>314</v>
      </c>
      <c r="C47" s="317" t="s">
        <v>296</v>
      </c>
      <c r="D47" s="396">
        <f>+C11</f>
        <v>400</v>
      </c>
      <c r="E47" s="346">
        <f>+D11</f>
        <v>40333.333333333336</v>
      </c>
      <c r="F47" s="304">
        <f t="shared" si="2"/>
        <v>16133333.333333334</v>
      </c>
      <c r="G47" s="304">
        <f t="shared" si="3"/>
        <v>28798000</v>
      </c>
    </row>
    <row r="48" spans="2:7" x14ac:dyDescent="0.2">
      <c r="B48" s="299" t="s">
        <v>315</v>
      </c>
      <c r="C48" s="317" t="s">
        <v>296</v>
      </c>
      <c r="D48" s="396">
        <f>+C12</f>
        <v>50</v>
      </c>
      <c r="E48" s="346">
        <f>+D12</f>
        <v>29333.333333333332</v>
      </c>
      <c r="F48" s="304">
        <f t="shared" si="2"/>
        <v>1466666.6666666665</v>
      </c>
      <c r="G48" s="304">
        <f t="shared" si="3"/>
        <v>2617999.9999999995</v>
      </c>
    </row>
    <row r="49" spans="2:10" x14ac:dyDescent="0.2">
      <c r="B49" s="314" t="s">
        <v>297</v>
      </c>
      <c r="C49" s="315" t="s">
        <v>298</v>
      </c>
      <c r="D49" s="330">
        <f t="shared" ref="D49:E52" si="4">+C16</f>
        <v>7</v>
      </c>
      <c r="E49" s="316">
        <f t="shared" si="4"/>
        <v>8283.3333333333339</v>
      </c>
      <c r="F49" s="304">
        <f t="shared" si="2"/>
        <v>57983.333333333336</v>
      </c>
      <c r="G49" s="304">
        <f>+F49*$E$30</f>
        <v>103500.25</v>
      </c>
    </row>
    <row r="50" spans="2:10" x14ac:dyDescent="0.2">
      <c r="B50" s="314" t="s">
        <v>364</v>
      </c>
      <c r="C50" s="315" t="s">
        <v>361</v>
      </c>
      <c r="D50" s="330">
        <f t="shared" si="4"/>
        <v>4.5</v>
      </c>
      <c r="E50" s="316">
        <f t="shared" si="4"/>
        <v>31535</v>
      </c>
      <c r="F50" s="304">
        <f t="shared" si="2"/>
        <v>141907.5</v>
      </c>
      <c r="G50" s="304">
        <f>+F50*$E$30</f>
        <v>253304.88749999998</v>
      </c>
    </row>
    <row r="51" spans="2:10" x14ac:dyDescent="0.2">
      <c r="B51" s="318" t="s">
        <v>299</v>
      </c>
      <c r="C51" s="315" t="s">
        <v>13</v>
      </c>
      <c r="D51" s="330">
        <f t="shared" si="4"/>
        <v>1</v>
      </c>
      <c r="E51" s="316">
        <f t="shared" si="4"/>
        <v>49050</v>
      </c>
      <c r="F51" s="304">
        <f t="shared" si="2"/>
        <v>49050</v>
      </c>
      <c r="G51" s="304">
        <f t="shared" si="3"/>
        <v>87554.25</v>
      </c>
    </row>
    <row r="52" spans="2:10" x14ac:dyDescent="0.2">
      <c r="B52" s="318" t="s">
        <v>300</v>
      </c>
      <c r="C52" s="315" t="s">
        <v>13</v>
      </c>
      <c r="D52" s="330">
        <f t="shared" si="4"/>
        <v>1</v>
      </c>
      <c r="E52" s="316">
        <f t="shared" si="4"/>
        <v>39050</v>
      </c>
      <c r="F52" s="304">
        <f t="shared" si="2"/>
        <v>39050</v>
      </c>
      <c r="G52" s="304">
        <f t="shared" si="3"/>
        <v>69704.25</v>
      </c>
    </row>
    <row r="53" spans="2:10" x14ac:dyDescent="0.2">
      <c r="B53" s="49" t="s">
        <v>301</v>
      </c>
      <c r="C53" s="319"/>
      <c r="D53" s="307"/>
      <c r="E53" s="320"/>
      <c r="F53" s="321">
        <f>+SUM(F45:F52)</f>
        <v>20715116.193333335</v>
      </c>
      <c r="G53" s="320">
        <f>SUM(G45:G52)</f>
        <v>36976482.405100003</v>
      </c>
    </row>
    <row r="54" spans="2:10" x14ac:dyDescent="0.2">
      <c r="B54" s="49" t="s">
        <v>247</v>
      </c>
      <c r="C54" s="319"/>
      <c r="D54" s="307"/>
      <c r="E54" s="320"/>
      <c r="F54" s="320">
        <f>+F43+F53</f>
        <v>29650657.860000003</v>
      </c>
      <c r="G54" s="320">
        <f>+G43+G53</f>
        <v>52926424.280100003</v>
      </c>
    </row>
    <row r="55" spans="2:10" x14ac:dyDescent="0.2">
      <c r="B55" s="53" t="s">
        <v>141</v>
      </c>
      <c r="C55" s="322"/>
      <c r="D55" s="323"/>
      <c r="E55" s="324"/>
      <c r="F55" s="324"/>
      <c r="G55" s="324"/>
    </row>
    <row r="56" spans="2:10" x14ac:dyDescent="0.2">
      <c r="B56" s="325" t="s">
        <v>423</v>
      </c>
      <c r="C56" s="326"/>
      <c r="D56" s="327"/>
      <c r="E56" s="328"/>
      <c r="F56" s="488">
        <f>+F43*C23</f>
        <v>357421.66666666674</v>
      </c>
      <c r="G56" s="304">
        <f>+F56*$E$30</f>
        <v>637997.67500000016</v>
      </c>
    </row>
    <row r="57" spans="2:10" x14ac:dyDescent="0.2">
      <c r="B57" s="329" t="s">
        <v>424</v>
      </c>
      <c r="C57" s="330"/>
      <c r="D57" s="301"/>
      <c r="E57" s="304"/>
      <c r="F57" s="488">
        <f>+F43*C24</f>
        <v>357421.66666666674</v>
      </c>
      <c r="G57" s="304">
        <f>+F57*$E$30</f>
        <v>637997.67500000016</v>
      </c>
    </row>
    <row r="58" spans="2:10" x14ac:dyDescent="0.2">
      <c r="B58" s="329" t="s">
        <v>398</v>
      </c>
      <c r="C58" s="330"/>
      <c r="D58" s="301"/>
      <c r="E58" s="304"/>
      <c r="F58" s="488">
        <f>+F53*C22</f>
        <v>3107267.429</v>
      </c>
      <c r="G58" s="304">
        <f>+F58*$E$30</f>
        <v>5546472.3607649999</v>
      </c>
      <c r="H58" s="484"/>
    </row>
    <row r="59" spans="2:10" x14ac:dyDescent="0.2">
      <c r="B59" s="331" t="s">
        <v>302</v>
      </c>
      <c r="C59" s="332"/>
      <c r="D59" s="333"/>
      <c r="E59" s="308"/>
      <c r="F59" s="334">
        <f>SUM(F56:F58)</f>
        <v>3822110.7623333335</v>
      </c>
      <c r="G59" s="335">
        <f>SUM(G56:G58)</f>
        <v>6822467.7107650004</v>
      </c>
      <c r="H59" s="419"/>
    </row>
    <row r="60" spans="2:10" x14ac:dyDescent="0.2">
      <c r="B60" s="669" t="s">
        <v>431</v>
      </c>
      <c r="C60" s="670"/>
      <c r="D60" s="482"/>
      <c r="E60" s="482"/>
      <c r="F60" s="489">
        <f>+F54+F59</f>
        <v>33472768.622333337</v>
      </c>
      <c r="G60" s="446">
        <f>+G54+G59</f>
        <v>59748891.990865007</v>
      </c>
      <c r="J60">
        <f>+F60*1.17</f>
        <v>39163139.28813</v>
      </c>
    </row>
    <row r="61" spans="2:10" x14ac:dyDescent="0.2">
      <c r="B61" s="336"/>
      <c r="C61" s="337"/>
      <c r="D61" s="338"/>
      <c r="E61" s="338"/>
      <c r="F61" s="338"/>
      <c r="G61" s="338"/>
    </row>
    <row r="62" spans="2:10" ht="16" thickBot="1" x14ac:dyDescent="0.25">
      <c r="B62" s="339"/>
      <c r="C62" s="340"/>
      <c r="D62" s="341"/>
      <c r="E62" s="341"/>
      <c r="F62" s="341"/>
      <c r="G62" s="341"/>
    </row>
    <row r="63" spans="2:10" ht="12" customHeight="1" thickBot="1" x14ac:dyDescent="0.25">
      <c r="B63" s="384" t="s">
        <v>218</v>
      </c>
      <c r="C63" s="388" t="s">
        <v>345</v>
      </c>
      <c r="D63" s="667" t="s">
        <v>349</v>
      </c>
      <c r="E63" s="667"/>
      <c r="F63" s="667"/>
      <c r="G63" s="668"/>
    </row>
    <row r="64" spans="2:10" ht="16" thickBot="1" x14ac:dyDescent="0.25">
      <c r="B64" s="380" t="s">
        <v>342</v>
      </c>
      <c r="C64" s="491">
        <v>80</v>
      </c>
      <c r="D64" s="497" t="s">
        <v>350</v>
      </c>
      <c r="E64" s="376" t="s">
        <v>351</v>
      </c>
      <c r="F64" s="377" t="s">
        <v>399</v>
      </c>
      <c r="G64" s="377" t="s">
        <v>343</v>
      </c>
    </row>
    <row r="65" spans="2:7" ht="12" customHeight="1" x14ac:dyDescent="0.2">
      <c r="B65" s="370" t="s">
        <v>421</v>
      </c>
      <c r="C65" s="500">
        <v>12</v>
      </c>
      <c r="D65" s="490" t="s">
        <v>341</v>
      </c>
      <c r="E65" s="378">
        <f>+C64/C65</f>
        <v>6.666666666666667</v>
      </c>
      <c r="F65" s="399">
        <v>6</v>
      </c>
      <c r="G65" s="379">
        <f>+C11/F65</f>
        <v>66.666666666666671</v>
      </c>
    </row>
    <row r="66" spans="2:7" ht="12" customHeight="1" x14ac:dyDescent="0.2">
      <c r="B66" s="371" t="s">
        <v>420</v>
      </c>
      <c r="C66" s="501">
        <v>16</v>
      </c>
      <c r="D66" s="490" t="s">
        <v>344</v>
      </c>
      <c r="E66" s="378">
        <f>+C64/C66</f>
        <v>5</v>
      </c>
      <c r="F66" s="399">
        <v>4</v>
      </c>
      <c r="G66" s="379">
        <f>+C12/F66</f>
        <v>12.5</v>
      </c>
    </row>
    <row r="67" spans="2:7" ht="21" customHeight="1" x14ac:dyDescent="0.2">
      <c r="B67" s="371" t="s">
        <v>340</v>
      </c>
      <c r="C67" s="500">
        <v>33</v>
      </c>
      <c r="D67" s="498" t="s">
        <v>352</v>
      </c>
      <c r="E67" s="342">
        <f>+C64/C67</f>
        <v>2.4242424242424243</v>
      </c>
      <c r="F67" s="400">
        <v>2</v>
      </c>
      <c r="G67" s="379">
        <v>4</v>
      </c>
    </row>
    <row r="68" spans="2:7" ht="21" customHeight="1" thickBot="1" x14ac:dyDescent="0.25">
      <c r="B68" s="371" t="s">
        <v>422</v>
      </c>
      <c r="C68" s="500">
        <v>42</v>
      </c>
      <c r="D68" s="499" t="s">
        <v>353</v>
      </c>
      <c r="E68" s="492">
        <f>+C64/C68</f>
        <v>1.9047619047619047</v>
      </c>
      <c r="F68" s="493">
        <v>2</v>
      </c>
      <c r="G68" s="483">
        <f>+C15/C68</f>
        <v>1</v>
      </c>
    </row>
    <row r="69" spans="2:7" ht="12.75" customHeight="1" thickBot="1" x14ac:dyDescent="0.25">
      <c r="B69" s="374" t="s">
        <v>346</v>
      </c>
      <c r="C69" s="502">
        <v>1</v>
      </c>
      <c r="D69" s="375" t="s">
        <v>313</v>
      </c>
      <c r="E69" s="494"/>
      <c r="F69" s="495">
        <f>SUM(F65:F68)</f>
        <v>14</v>
      </c>
      <c r="G69" s="496">
        <f>SUM(G65:G68)</f>
        <v>84.166666666666671</v>
      </c>
    </row>
    <row r="70" spans="2:7" ht="11.25" customHeight="1" x14ac:dyDescent="0.2">
      <c r="B70" s="371" t="s">
        <v>347</v>
      </c>
      <c r="C70" s="500">
        <v>6</v>
      </c>
    </row>
    <row r="71" spans="2:7" ht="12" customHeight="1" thickBot="1" x14ac:dyDescent="0.25">
      <c r="B71" s="372" t="s">
        <v>348</v>
      </c>
      <c r="C71" s="503">
        <v>3</v>
      </c>
    </row>
    <row r="73" spans="2:7" ht="16" thickBot="1" x14ac:dyDescent="0.25">
      <c r="B73" s="661" t="s">
        <v>440</v>
      </c>
      <c r="C73" s="661"/>
      <c r="D73" s="661"/>
    </row>
    <row r="74" spans="2:7" ht="16" thickBot="1" x14ac:dyDescent="0.25">
      <c r="B74" s="385" t="s">
        <v>162</v>
      </c>
      <c r="C74" s="386" t="s">
        <v>163</v>
      </c>
      <c r="D74" s="387" t="s">
        <v>164</v>
      </c>
    </row>
    <row r="75" spans="2:7" x14ac:dyDescent="0.2">
      <c r="B75" s="270" t="s">
        <v>259</v>
      </c>
      <c r="C75" s="271" t="s">
        <v>100</v>
      </c>
      <c r="D75" s="343">
        <v>2</v>
      </c>
    </row>
    <row r="76" spans="2:7" ht="13.5" customHeight="1" x14ac:dyDescent="0.2">
      <c r="B76" s="270" t="s">
        <v>262</v>
      </c>
      <c r="C76" s="271" t="s">
        <v>100</v>
      </c>
      <c r="D76" s="343">
        <v>2</v>
      </c>
    </row>
    <row r="77" spans="2:7" ht="12.75" customHeight="1" x14ac:dyDescent="0.2">
      <c r="B77" s="55" t="s">
        <v>311</v>
      </c>
      <c r="C77" s="25" t="s">
        <v>100</v>
      </c>
      <c r="D77" s="138">
        <v>10</v>
      </c>
    </row>
    <row r="78" spans="2:7" ht="13.5" customHeight="1" x14ac:dyDescent="0.2">
      <c r="B78" s="55" t="s">
        <v>289</v>
      </c>
      <c r="C78" s="25" t="s">
        <v>105</v>
      </c>
      <c r="D78" s="345">
        <f>+G69</f>
        <v>84.166666666666671</v>
      </c>
    </row>
    <row r="79" spans="2:7" ht="13.5" customHeight="1" x14ac:dyDescent="0.2">
      <c r="B79" s="55" t="s">
        <v>290</v>
      </c>
      <c r="C79" s="25" t="s">
        <v>100</v>
      </c>
      <c r="D79" s="138">
        <v>5</v>
      </c>
    </row>
    <row r="80" spans="2:7" ht="13.5" customHeight="1" x14ac:dyDescent="0.2">
      <c r="B80" s="55" t="s">
        <v>291</v>
      </c>
      <c r="C80" s="25" t="s">
        <v>100</v>
      </c>
      <c r="D80" s="138">
        <v>4</v>
      </c>
    </row>
    <row r="81" spans="2:4" ht="13.5" customHeight="1" thickBot="1" x14ac:dyDescent="0.25">
      <c r="B81" s="381" t="s">
        <v>312</v>
      </c>
      <c r="C81" s="382" t="s">
        <v>100</v>
      </c>
      <c r="D81" s="383">
        <v>2</v>
      </c>
    </row>
    <row r="82" spans="2:4" ht="12" customHeight="1" thickBot="1" x14ac:dyDescent="0.25">
      <c r="B82" s="485" t="s">
        <v>313</v>
      </c>
      <c r="C82" s="486"/>
      <c r="D82" s="487">
        <f>SUM(D75:D81)</f>
        <v>109.16666666666667</v>
      </c>
    </row>
  </sheetData>
  <mergeCells count="34">
    <mergeCell ref="E10:G10"/>
    <mergeCell ref="B3:G3"/>
    <mergeCell ref="C4:G4"/>
    <mergeCell ref="C5:G5"/>
    <mergeCell ref="C6:G6"/>
    <mergeCell ref="D8:E8"/>
    <mergeCell ref="B73:D73"/>
    <mergeCell ref="E29:G29"/>
    <mergeCell ref="B32:B33"/>
    <mergeCell ref="C32:E32"/>
    <mergeCell ref="G32:G33"/>
    <mergeCell ref="D63:G63"/>
    <mergeCell ref="B60:C60"/>
    <mergeCell ref="E11:F11"/>
    <mergeCell ref="E12:F12"/>
    <mergeCell ref="E13:F13"/>
    <mergeCell ref="E14:F14"/>
    <mergeCell ref="E15:F15"/>
    <mergeCell ref="E16:F16"/>
    <mergeCell ref="E17:F17"/>
    <mergeCell ref="E18:F18"/>
    <mergeCell ref="E19:F19"/>
    <mergeCell ref="E20:F20"/>
    <mergeCell ref="E26:F26"/>
    <mergeCell ref="H20:I20"/>
    <mergeCell ref="H21:I21"/>
    <mergeCell ref="H22:I22"/>
    <mergeCell ref="H23:I23"/>
    <mergeCell ref="H24:I24"/>
    <mergeCell ref="E21:F21"/>
    <mergeCell ref="E22:F22"/>
    <mergeCell ref="E23:F23"/>
    <mergeCell ref="E24:F24"/>
    <mergeCell ref="E25:F25"/>
  </mergeCells>
  <conditionalFormatting sqref="C11:C13 E53 G53 E54:G55 E61:G61">
    <cfRule type="cellIs" dxfId="8" priority="13" stopIfTrue="1" operator="greaterThan">
      <formula>0</formula>
    </cfRule>
  </conditionalFormatting>
  <conditionalFormatting sqref="C47:D48">
    <cfRule type="cellIs" dxfId="7" priority="6" stopIfTrue="1" operator="greaterThan">
      <formula>0</formula>
    </cfRule>
  </conditionalFormatting>
  <conditionalFormatting sqref="F59">
    <cfRule type="cellIs" dxfId="6" priority="10" stopIfTrue="1" operator="greaterThan">
      <formula>0</formula>
    </cfRule>
  </conditionalFormatting>
  <conditionalFormatting sqref="G59:G60">
    <cfRule type="cellIs" dxfId="5" priority="3" stopIfTrue="1" operator="greaterThan">
      <formula>0</formula>
    </cfRule>
  </conditionalFormatting>
  <pageMargins left="0.7" right="0.7" top="0.75" bottom="0.75" header="0.3" footer="0.3"/>
  <pageSetup orientation="portrait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B3:L123"/>
  <sheetViews>
    <sheetView tabSelected="1" workbookViewId="0">
      <selection activeCell="H85" sqref="H85"/>
    </sheetView>
  </sheetViews>
  <sheetFormatPr baseColWidth="10" defaultRowHeight="15" x14ac:dyDescent="0.2"/>
  <cols>
    <col min="1" max="1" width="7" customWidth="1"/>
    <col min="2" max="2" width="41.6640625" customWidth="1"/>
    <col min="5" max="5" width="12.33203125" customWidth="1"/>
    <col min="6" max="6" width="13.6640625" customWidth="1"/>
    <col min="7" max="7" width="14.5" customWidth="1"/>
  </cols>
  <sheetData>
    <row r="3" spans="2:7" x14ac:dyDescent="0.2">
      <c r="B3" s="646" t="s">
        <v>69</v>
      </c>
      <c r="C3" s="646"/>
      <c r="D3" s="646"/>
      <c r="E3" s="646"/>
      <c r="F3" s="646"/>
      <c r="G3" s="646"/>
    </row>
    <row r="4" spans="2:7" x14ac:dyDescent="0.2">
      <c r="B4" s="8" t="s">
        <v>70</v>
      </c>
      <c r="C4" s="647" t="s">
        <v>71</v>
      </c>
      <c r="D4" s="647"/>
      <c r="E4" s="647"/>
      <c r="F4" s="647"/>
      <c r="G4" s="647"/>
    </row>
    <row r="5" spans="2:7" x14ac:dyDescent="0.2">
      <c r="B5" s="8" t="s">
        <v>72</v>
      </c>
      <c r="C5" s="648" t="s">
        <v>73</v>
      </c>
      <c r="D5" s="648"/>
      <c r="E5" s="648"/>
      <c r="F5" s="648"/>
      <c r="G5" s="648"/>
    </row>
    <row r="6" spans="2:7" ht="22.5" customHeight="1" x14ac:dyDescent="0.2">
      <c r="B6" s="8" t="s">
        <v>74</v>
      </c>
      <c r="C6" s="649" t="s">
        <v>466</v>
      </c>
      <c r="D6" s="649"/>
      <c r="E6" s="649"/>
      <c r="F6" s="649"/>
      <c r="G6" s="649"/>
    </row>
    <row r="7" spans="2:7" x14ac:dyDescent="0.2">
      <c r="B7" s="11"/>
      <c r="C7" s="11"/>
      <c r="D7" s="11"/>
      <c r="E7" s="11"/>
      <c r="F7" s="11"/>
      <c r="G7" s="11"/>
    </row>
    <row r="8" spans="2:7" x14ac:dyDescent="0.2">
      <c r="B8" s="12" t="s">
        <v>76</v>
      </c>
      <c r="C8" s="13" t="s">
        <v>395</v>
      </c>
      <c r="D8" s="11"/>
      <c r="E8" s="414" t="s">
        <v>78</v>
      </c>
      <c r="F8" s="11"/>
      <c r="G8" s="11"/>
    </row>
    <row r="9" spans="2:7" x14ac:dyDescent="0.2">
      <c r="B9" s="7"/>
      <c r="C9" s="7"/>
      <c r="D9" s="7"/>
      <c r="E9" s="7"/>
      <c r="F9" s="7"/>
      <c r="G9" s="7"/>
    </row>
    <row r="10" spans="2:7" ht="13.5" customHeight="1" x14ac:dyDescent="0.2">
      <c r="B10" s="15" t="s">
        <v>432</v>
      </c>
      <c r="C10" s="105"/>
      <c r="D10" s="17">
        <v>1110</v>
      </c>
      <c r="E10" s="18">
        <f>+'Estudio de Mercado'!N50</f>
        <v>5000</v>
      </c>
      <c r="F10" s="19"/>
      <c r="G10" s="20"/>
    </row>
    <row r="11" spans="2:7" ht="15" customHeight="1" x14ac:dyDescent="0.2">
      <c r="B11" s="448" t="s">
        <v>240</v>
      </c>
      <c r="C11" s="105"/>
      <c r="D11" s="17">
        <v>500</v>
      </c>
      <c r="E11" s="18"/>
      <c r="F11" s="19"/>
      <c r="G11" s="20"/>
    </row>
    <row r="12" spans="2:7" x14ac:dyDescent="0.2">
      <c r="B12" s="449" t="s">
        <v>266</v>
      </c>
      <c r="C12" s="450"/>
      <c r="D12" s="21">
        <v>0.1</v>
      </c>
      <c r="E12" s="18"/>
      <c r="F12" s="20"/>
      <c r="G12" s="20"/>
    </row>
    <row r="13" spans="2:7" ht="24" x14ac:dyDescent="0.2">
      <c r="B13" s="15" t="s">
        <v>241</v>
      </c>
      <c r="C13" s="22" t="s">
        <v>2</v>
      </c>
      <c r="D13" s="23" t="s">
        <v>81</v>
      </c>
      <c r="E13" s="24" t="s">
        <v>82</v>
      </c>
      <c r="F13" s="7"/>
      <c r="G13" s="7"/>
    </row>
    <row r="14" spans="2:7" ht="22.5" customHeight="1" x14ac:dyDescent="0.2">
      <c r="B14" s="15" t="s">
        <v>83</v>
      </c>
      <c r="C14" s="25" t="s">
        <v>84</v>
      </c>
      <c r="D14" s="26">
        <v>40</v>
      </c>
      <c r="E14" s="27">
        <f>+'Estudio de Mercado'!O7</f>
        <v>3686.9565217391305</v>
      </c>
      <c r="F14" s="7"/>
      <c r="G14" s="7"/>
    </row>
    <row r="15" spans="2:7" ht="14.25" customHeight="1" x14ac:dyDescent="0.2">
      <c r="B15" s="15" t="s">
        <v>85</v>
      </c>
      <c r="C15" s="25" t="s">
        <v>86</v>
      </c>
      <c r="D15" s="26">
        <v>70</v>
      </c>
      <c r="E15" s="27">
        <f>+'Estudio de Mercado'!O10</f>
        <v>3191.333333333333</v>
      </c>
      <c r="F15" s="7"/>
      <c r="G15" s="7"/>
    </row>
    <row r="16" spans="2:7" ht="15" customHeight="1" x14ac:dyDescent="0.2">
      <c r="B16" s="15" t="s">
        <v>87</v>
      </c>
      <c r="C16" s="105" t="s">
        <v>6</v>
      </c>
      <c r="D16" s="26">
        <v>220</v>
      </c>
      <c r="E16" s="27">
        <f>+'Estudio de Mercado'!O4</f>
        <v>1358.8</v>
      </c>
      <c r="F16" s="7"/>
      <c r="G16" s="7"/>
    </row>
    <row r="17" spans="2:12" ht="16.5" customHeight="1" x14ac:dyDescent="0.2">
      <c r="B17" s="15" t="s">
        <v>83</v>
      </c>
      <c r="C17" s="105" t="s">
        <v>88</v>
      </c>
      <c r="D17" s="26">
        <v>70</v>
      </c>
      <c r="E17" s="27">
        <f>+'Estudio de Mercado'!O6</f>
        <v>3378</v>
      </c>
      <c r="F17" s="7"/>
      <c r="G17" s="7"/>
    </row>
    <row r="18" spans="2:12" ht="15.75" customHeight="1" x14ac:dyDescent="0.2">
      <c r="B18" s="15" t="s">
        <v>97</v>
      </c>
      <c r="C18" s="105" t="s">
        <v>98</v>
      </c>
      <c r="D18" s="26">
        <v>3</v>
      </c>
      <c r="E18" s="27">
        <f>+'Estudio de Mercado'!N17</f>
        <v>57633.333333333336</v>
      </c>
      <c r="F18" s="7"/>
      <c r="G18" s="7"/>
    </row>
    <row r="19" spans="2:12" ht="14.25" customHeight="1" x14ac:dyDescent="0.2">
      <c r="B19" s="15" t="s">
        <v>97</v>
      </c>
      <c r="C19" s="105" t="s">
        <v>208</v>
      </c>
      <c r="D19" s="26">
        <v>100</v>
      </c>
      <c r="E19" s="27">
        <f>+'Estudio de Mercado'!O16</f>
        <v>581.33333333333337</v>
      </c>
      <c r="F19" s="7"/>
      <c r="G19" s="7"/>
    </row>
    <row r="20" spans="2:12" ht="15" customHeight="1" x14ac:dyDescent="0.2">
      <c r="B20" s="240" t="s">
        <v>253</v>
      </c>
      <c r="C20" s="105" t="s">
        <v>224</v>
      </c>
      <c r="D20" s="26">
        <v>0.5</v>
      </c>
      <c r="E20" s="27">
        <f>+'Estudio de Mercado'!N14</f>
        <v>68050</v>
      </c>
      <c r="F20" s="7"/>
      <c r="G20" s="7"/>
    </row>
    <row r="21" spans="2:12" ht="13.5" customHeight="1" x14ac:dyDescent="0.2">
      <c r="B21" s="240" t="s">
        <v>253</v>
      </c>
      <c r="C21" s="105" t="s">
        <v>252</v>
      </c>
      <c r="D21" s="26">
        <v>1</v>
      </c>
      <c r="E21" s="27">
        <f>+'Estudio de Mercado'!N13</f>
        <v>32550</v>
      </c>
      <c r="F21" s="7"/>
      <c r="G21" s="7"/>
    </row>
    <row r="22" spans="2:12" ht="30.75" customHeight="1" x14ac:dyDescent="0.2">
      <c r="B22" s="15" t="s">
        <v>242</v>
      </c>
      <c r="C22" s="25" t="s">
        <v>100</v>
      </c>
      <c r="D22" s="17" t="s">
        <v>101</v>
      </c>
      <c r="E22" s="27">
        <f>+'Estudio de Mercado'!B72</f>
        <v>71255</v>
      </c>
      <c r="F22" s="30"/>
      <c r="G22" s="7"/>
    </row>
    <row r="23" spans="2:12" ht="16.5" customHeight="1" x14ac:dyDescent="0.2">
      <c r="B23" s="15" t="s">
        <v>402</v>
      </c>
      <c r="C23" s="25" t="s">
        <v>101</v>
      </c>
      <c r="D23" s="33">
        <v>0.03</v>
      </c>
      <c r="E23" s="34"/>
      <c r="F23" s="7"/>
      <c r="G23" s="7"/>
    </row>
    <row r="24" spans="2:12" ht="19.5" customHeight="1" x14ac:dyDescent="0.2">
      <c r="B24" s="15" t="s">
        <v>403</v>
      </c>
      <c r="C24" s="25" t="s">
        <v>101</v>
      </c>
      <c r="D24" s="33">
        <v>0.03</v>
      </c>
      <c r="E24" s="34"/>
      <c r="F24" s="7"/>
      <c r="G24" s="7"/>
    </row>
    <row r="25" spans="2:12" ht="23.25" customHeight="1" x14ac:dyDescent="0.2">
      <c r="B25" s="15" t="s">
        <v>243</v>
      </c>
      <c r="C25" s="25" t="s">
        <v>105</v>
      </c>
      <c r="D25" s="274">
        <v>85000</v>
      </c>
      <c r="E25" s="34"/>
      <c r="F25" s="7"/>
      <c r="G25" s="7"/>
    </row>
    <row r="26" spans="2:12" ht="21" customHeight="1" x14ac:dyDescent="0.2">
      <c r="B26" s="15" t="s">
        <v>244</v>
      </c>
      <c r="C26" s="25" t="s">
        <v>101</v>
      </c>
      <c r="D26" s="36">
        <v>0.15</v>
      </c>
      <c r="E26" s="34"/>
      <c r="F26" s="7"/>
      <c r="G26" s="7"/>
      <c r="L26" t="s">
        <v>413</v>
      </c>
    </row>
    <row r="27" spans="2:12" ht="16" thickBot="1" x14ac:dyDescent="0.25">
      <c r="B27" s="37"/>
      <c r="C27" s="7"/>
      <c r="D27" s="38"/>
      <c r="E27" s="9"/>
      <c r="F27" s="39"/>
      <c r="G27" s="6"/>
    </row>
    <row r="28" spans="2:12" ht="16" thickBot="1" x14ac:dyDescent="0.25">
      <c r="B28" s="700" t="s">
        <v>374</v>
      </c>
      <c r="C28" s="701"/>
      <c r="D28" s="702"/>
      <c r="E28" s="280"/>
      <c r="F28" s="280" t="s">
        <v>245</v>
      </c>
      <c r="G28" s="281">
        <v>165.05</v>
      </c>
    </row>
    <row r="29" spans="2:12" ht="12.75" customHeight="1" x14ac:dyDescent="0.2">
      <c r="B29" s="282" t="s">
        <v>251</v>
      </c>
      <c r="C29" s="283"/>
      <c r="D29" s="283"/>
      <c r="E29" s="283"/>
      <c r="F29" s="283"/>
      <c r="G29" s="284"/>
    </row>
    <row r="30" spans="2:12" ht="11.25" customHeight="1" x14ac:dyDescent="0.2">
      <c r="B30" s="241" t="s">
        <v>110</v>
      </c>
      <c r="C30" s="447">
        <v>9</v>
      </c>
      <c r="D30" s="242"/>
      <c r="E30" s="242"/>
      <c r="F30" s="242"/>
      <c r="G30" s="243"/>
    </row>
    <row r="31" spans="2:12" ht="21" customHeight="1" x14ac:dyDescent="0.2">
      <c r="B31" s="244" t="s">
        <v>267</v>
      </c>
      <c r="C31" s="245" t="s">
        <v>3</v>
      </c>
      <c r="D31" s="246" t="s">
        <v>112</v>
      </c>
      <c r="E31" s="246" t="s">
        <v>113</v>
      </c>
      <c r="F31" s="246" t="s">
        <v>414</v>
      </c>
      <c r="G31" s="247" t="s">
        <v>405</v>
      </c>
      <c r="J31" s="432"/>
    </row>
    <row r="32" spans="2:12" x14ac:dyDescent="0.2">
      <c r="B32" s="48" t="s">
        <v>268</v>
      </c>
      <c r="C32" s="275"/>
      <c r="D32" s="276"/>
      <c r="E32" s="276"/>
      <c r="F32" s="276"/>
      <c r="G32" s="277"/>
    </row>
    <row r="33" spans="2:9" x14ac:dyDescent="0.2">
      <c r="B33" s="244" t="s">
        <v>117</v>
      </c>
      <c r="C33" s="245"/>
      <c r="D33" s="246"/>
      <c r="E33" s="246"/>
      <c r="F33" s="246"/>
      <c r="G33" s="247"/>
    </row>
    <row r="34" spans="2:9" x14ac:dyDescent="0.2">
      <c r="B34" s="55" t="s">
        <v>119</v>
      </c>
      <c r="C34" s="25" t="s">
        <v>120</v>
      </c>
      <c r="D34" s="56">
        <f>+$D$10</f>
        <v>1110</v>
      </c>
      <c r="E34" s="57">
        <f>+(($E$22*D90)/D34)</f>
        <v>770.32432432432438</v>
      </c>
      <c r="F34" s="57">
        <f>+D34*E34</f>
        <v>855060.00000000012</v>
      </c>
      <c r="G34" s="58">
        <f>+F34*$G$28</f>
        <v>141127653.00000003</v>
      </c>
    </row>
    <row r="35" spans="2:9" ht="15.75" customHeight="1" x14ac:dyDescent="0.2">
      <c r="B35" s="248" t="s">
        <v>121</v>
      </c>
      <c r="C35" s="25" t="s">
        <v>384</v>
      </c>
      <c r="D35" s="56">
        <f>+D92</f>
        <v>4.3057142857142852</v>
      </c>
      <c r="E35" s="57">
        <f>+D25</f>
        <v>85000</v>
      </c>
      <c r="F35" s="57">
        <f t="shared" ref="F35:F41" si="0">+D35*E35</f>
        <v>365985.71428571426</v>
      </c>
      <c r="G35" s="58">
        <f>+F35*$G$28</f>
        <v>60405942.142857142</v>
      </c>
    </row>
    <row r="36" spans="2:9" ht="14.25" customHeight="1" x14ac:dyDescent="0.2">
      <c r="B36" s="248" t="s">
        <v>271</v>
      </c>
      <c r="C36" s="25" t="s">
        <v>61</v>
      </c>
      <c r="D36" s="56">
        <f>+($D$10*D12)*2</f>
        <v>222</v>
      </c>
      <c r="E36" s="152">
        <f>+(($E$22*D93)/D36)</f>
        <v>641.93693693693695</v>
      </c>
      <c r="F36" s="57">
        <f t="shared" si="0"/>
        <v>142510</v>
      </c>
      <c r="G36" s="58">
        <f>+F36*$G$28</f>
        <v>23521275.5</v>
      </c>
    </row>
    <row r="37" spans="2:9" ht="14.25" customHeight="1" x14ac:dyDescent="0.2">
      <c r="B37" s="248" t="s">
        <v>397</v>
      </c>
      <c r="C37" s="25" t="s">
        <v>61</v>
      </c>
      <c r="D37" s="56">
        <f>+($D$10*D12)*2</f>
        <v>222</v>
      </c>
      <c r="E37" s="152">
        <f>+(($E$22*D91)/D37)</f>
        <v>641.93693693693695</v>
      </c>
      <c r="F37" s="57">
        <f t="shared" ref="F37" si="1">+D37*E37</f>
        <v>142510</v>
      </c>
      <c r="G37" s="58">
        <f>+F37*$G$28</f>
        <v>23521275.5</v>
      </c>
    </row>
    <row r="38" spans="2:9" ht="14.25" customHeight="1" x14ac:dyDescent="0.2">
      <c r="B38" s="55" t="s">
        <v>383</v>
      </c>
      <c r="C38" s="25" t="s">
        <v>61</v>
      </c>
      <c r="D38" s="56">
        <f>+$D$10</f>
        <v>1110</v>
      </c>
      <c r="E38" s="152">
        <f>+(($E$22*D94)/D38)</f>
        <v>256.77477477477476</v>
      </c>
      <c r="F38" s="57">
        <f t="shared" si="0"/>
        <v>285020</v>
      </c>
      <c r="G38" s="58">
        <f>+F38*$G$28</f>
        <v>47042551</v>
      </c>
    </row>
    <row r="39" spans="2:9" ht="11.25" customHeight="1" x14ac:dyDescent="0.2">
      <c r="B39" s="55" t="s">
        <v>246</v>
      </c>
      <c r="C39" s="25" t="s">
        <v>61</v>
      </c>
      <c r="D39" s="56">
        <f>+$D$10</f>
        <v>1110</v>
      </c>
      <c r="E39" s="256">
        <f>+(($E$22*D95)/D39)</f>
        <v>128.38738738738738</v>
      </c>
      <c r="F39" s="57">
        <f t="shared" si="0"/>
        <v>142510</v>
      </c>
      <c r="G39" s="58">
        <f t="shared" ref="G39" si="2">+F39*$G$28</f>
        <v>23521275.5</v>
      </c>
    </row>
    <row r="40" spans="2:9" ht="13.5" customHeight="1" x14ac:dyDescent="0.2">
      <c r="B40" s="60" t="s">
        <v>127</v>
      </c>
      <c r="C40" s="25" t="s">
        <v>128</v>
      </c>
      <c r="D40" s="56">
        <v>10000</v>
      </c>
      <c r="E40" s="152">
        <f>+(($E$22*D96)/D40)</f>
        <v>85.506</v>
      </c>
      <c r="F40" s="57">
        <f t="shared" si="0"/>
        <v>855060</v>
      </c>
      <c r="G40" s="58">
        <f>+F40*$G$28</f>
        <v>141127653</v>
      </c>
    </row>
    <row r="41" spans="2:9" ht="13.5" customHeight="1" x14ac:dyDescent="0.2">
      <c r="B41" s="60" t="s">
        <v>263</v>
      </c>
      <c r="C41" s="25" t="s">
        <v>264</v>
      </c>
      <c r="D41" s="273">
        <v>167</v>
      </c>
      <c r="E41" s="256">
        <f>+(($E$22*D97)/D41)</f>
        <v>853.35329341317367</v>
      </c>
      <c r="F41" s="57">
        <f t="shared" si="0"/>
        <v>142510</v>
      </c>
      <c r="G41" s="58">
        <f>+F41*$G$28</f>
        <v>23521275.5</v>
      </c>
    </row>
    <row r="42" spans="2:9" ht="13.5" customHeight="1" x14ac:dyDescent="0.2">
      <c r="B42" s="60" t="s">
        <v>372</v>
      </c>
      <c r="C42" s="25" t="s">
        <v>415</v>
      </c>
      <c r="D42" s="273"/>
      <c r="E42" s="256"/>
      <c r="F42" s="57">
        <f>+G42/G28</f>
        <v>5180.6119357770367</v>
      </c>
      <c r="G42" s="58">
        <f>+D98*E22</f>
        <v>855060</v>
      </c>
    </row>
    <row r="43" spans="2:9" x14ac:dyDescent="0.2">
      <c r="B43" s="249" t="s">
        <v>130</v>
      </c>
      <c r="C43" s="250"/>
      <c r="D43" s="251"/>
      <c r="E43" s="252"/>
      <c r="F43" s="253">
        <f>+SUM(F34:F42)</f>
        <v>2936346.3262214917</v>
      </c>
      <c r="G43" s="254">
        <f>SUM(G34:G42)</f>
        <v>484643961.14285719</v>
      </c>
      <c r="I43" s="433"/>
    </row>
    <row r="44" spans="2:9" x14ac:dyDescent="0.2">
      <c r="B44" s="632" t="s">
        <v>131</v>
      </c>
      <c r="C44" s="633"/>
      <c r="D44" s="634"/>
      <c r="E44" s="633"/>
      <c r="F44" s="635"/>
      <c r="G44" s="255"/>
      <c r="I44" s="433"/>
    </row>
    <row r="45" spans="2:9" ht="15.75" customHeight="1" x14ac:dyDescent="0.2">
      <c r="B45" s="55" t="s">
        <v>433</v>
      </c>
      <c r="C45" s="25" t="s">
        <v>133</v>
      </c>
      <c r="D45" s="273">
        <f>+(D10*D12)*2</f>
        <v>222</v>
      </c>
      <c r="E45" s="57">
        <f>+E10</f>
        <v>5000</v>
      </c>
      <c r="F45" s="57">
        <f>+D45*E45</f>
        <v>1110000</v>
      </c>
      <c r="G45" s="58">
        <f>+F45*$G$28</f>
        <v>183205500</v>
      </c>
    </row>
    <row r="46" spans="2:9" ht="15.75" customHeight="1" x14ac:dyDescent="0.2">
      <c r="B46" s="55" t="s">
        <v>272</v>
      </c>
      <c r="C46" s="25" t="s">
        <v>135</v>
      </c>
      <c r="D46" s="69">
        <f>ROUNDUP((D45*D14*2)/1000,0)</f>
        <v>18</v>
      </c>
      <c r="E46" s="57">
        <f>+E14</f>
        <v>3686.9565217391305</v>
      </c>
      <c r="F46" s="57">
        <f t="shared" ref="F46:F52" si="3">+D46*E46</f>
        <v>66365.217391304352</v>
      </c>
      <c r="G46" s="58">
        <f t="shared" ref="G46:G52" si="4">+F46*$G$28</f>
        <v>10953579.130434783</v>
      </c>
    </row>
    <row r="47" spans="2:9" ht="13.5" customHeight="1" x14ac:dyDescent="0.2">
      <c r="B47" s="55" t="s">
        <v>391</v>
      </c>
      <c r="C47" s="25" t="s">
        <v>135</v>
      </c>
      <c r="D47" s="69">
        <f>ROUNDUP((D10*D15*2)/1000,0)</f>
        <v>156</v>
      </c>
      <c r="E47" s="57">
        <f>+E17</f>
        <v>3378</v>
      </c>
      <c r="F47" s="57">
        <f t="shared" si="3"/>
        <v>526968</v>
      </c>
      <c r="G47" s="58">
        <f t="shared" si="4"/>
        <v>86976068.400000006</v>
      </c>
      <c r="I47" s="437"/>
    </row>
    <row r="48" spans="2:9" ht="12" customHeight="1" x14ac:dyDescent="0.2">
      <c r="B48" s="55" t="s">
        <v>6</v>
      </c>
      <c r="C48" s="25" t="s">
        <v>135</v>
      </c>
      <c r="D48" s="69">
        <f>ROUNDUP((D45*D16*2)/1000,0)</f>
        <v>98</v>
      </c>
      <c r="E48" s="152">
        <f>+E16</f>
        <v>1358.8</v>
      </c>
      <c r="F48" s="152">
        <f t="shared" si="3"/>
        <v>133162.4</v>
      </c>
      <c r="G48" s="58">
        <f t="shared" si="4"/>
        <v>21978454.120000001</v>
      </c>
    </row>
    <row r="49" spans="2:7" ht="15.75" customHeight="1" x14ac:dyDescent="0.2">
      <c r="B49" s="55" t="s">
        <v>389</v>
      </c>
      <c r="C49" s="25" t="s">
        <v>238</v>
      </c>
      <c r="D49" s="69">
        <f>+D20*2</f>
        <v>1</v>
      </c>
      <c r="E49" s="152">
        <f>+E20</f>
        <v>68050</v>
      </c>
      <c r="F49" s="152">
        <f t="shared" si="3"/>
        <v>68050</v>
      </c>
      <c r="G49" s="58">
        <f t="shared" si="4"/>
        <v>11231652.5</v>
      </c>
    </row>
    <row r="50" spans="2:7" ht="14.25" customHeight="1" x14ac:dyDescent="0.2">
      <c r="B50" s="55" t="s">
        <v>390</v>
      </c>
      <c r="C50" s="25" t="s">
        <v>238</v>
      </c>
      <c r="D50" s="69">
        <f>+D21*2</f>
        <v>2</v>
      </c>
      <c r="E50" s="152">
        <f>+E21</f>
        <v>32550</v>
      </c>
      <c r="F50" s="57">
        <f t="shared" si="3"/>
        <v>65100</v>
      </c>
      <c r="G50" s="58">
        <f t="shared" si="4"/>
        <v>10744755</v>
      </c>
    </row>
    <row r="51" spans="2:7" ht="14.25" customHeight="1" x14ac:dyDescent="0.2">
      <c r="B51" s="55" t="s">
        <v>208</v>
      </c>
      <c r="C51" s="25" t="s">
        <v>135</v>
      </c>
      <c r="D51" s="421">
        <f>ROUNDUP((D45*D19*2)/1000,0)</f>
        <v>45</v>
      </c>
      <c r="E51" s="152">
        <f>+E19</f>
        <v>581.33333333333337</v>
      </c>
      <c r="F51" s="57">
        <f t="shared" ref="F51" si="5">+D51*E51</f>
        <v>26160</v>
      </c>
      <c r="G51" s="58">
        <f t="shared" ref="G51" si="6">+F51*$G$28</f>
        <v>4317708</v>
      </c>
    </row>
    <row r="52" spans="2:7" x14ac:dyDescent="0.2">
      <c r="B52" s="55" t="s">
        <v>98</v>
      </c>
      <c r="C52" s="25" t="s">
        <v>135</v>
      </c>
      <c r="D52" s="69">
        <f>ROUNDUP((D45*D18*2)/1000,0)</f>
        <v>2</v>
      </c>
      <c r="E52" s="256">
        <f>+E18</f>
        <v>57633.333333333336</v>
      </c>
      <c r="F52" s="256">
        <f t="shared" si="3"/>
        <v>115266.66666666667</v>
      </c>
      <c r="G52" s="58">
        <f t="shared" si="4"/>
        <v>19024763.333333336</v>
      </c>
    </row>
    <row r="53" spans="2:7" x14ac:dyDescent="0.2">
      <c r="B53" s="632" t="s">
        <v>139</v>
      </c>
      <c r="C53" s="633"/>
      <c r="D53" s="633"/>
      <c r="E53" s="635"/>
      <c r="F53" s="257">
        <f>+SUM(F45:F52)</f>
        <v>2111072.2840579711</v>
      </c>
      <c r="G53" s="258">
        <f>+SUM(G45:G52)</f>
        <v>348432480.48376811</v>
      </c>
    </row>
    <row r="54" spans="2:7" ht="16" thickBot="1" x14ac:dyDescent="0.25">
      <c r="B54" s="694" t="s">
        <v>375</v>
      </c>
      <c r="C54" s="695"/>
      <c r="D54" s="695"/>
      <c r="E54" s="696"/>
      <c r="F54" s="434">
        <f>+F43+F53</f>
        <v>5047418.6102794632</v>
      </c>
      <c r="G54" s="435">
        <f>+G43+G53</f>
        <v>833076441.6266253</v>
      </c>
    </row>
    <row r="55" spans="2:7" x14ac:dyDescent="0.2">
      <c r="B55" s="703" t="s">
        <v>376</v>
      </c>
      <c r="C55" s="704"/>
      <c r="D55" s="705"/>
      <c r="E55" s="420"/>
      <c r="F55" s="420" t="s">
        <v>377</v>
      </c>
      <c r="G55" s="436">
        <v>86</v>
      </c>
    </row>
    <row r="56" spans="2:7" ht="24" x14ac:dyDescent="0.2">
      <c r="B56" s="244" t="s">
        <v>117</v>
      </c>
      <c r="C56" s="44" t="s">
        <v>3</v>
      </c>
      <c r="D56" s="45" t="s">
        <v>112</v>
      </c>
      <c r="E56" s="45" t="s">
        <v>407</v>
      </c>
      <c r="F56" s="45" t="s">
        <v>406</v>
      </c>
      <c r="G56" s="46" t="s">
        <v>405</v>
      </c>
    </row>
    <row r="57" spans="2:7" x14ac:dyDescent="0.2">
      <c r="B57" s="55" t="s">
        <v>119</v>
      </c>
      <c r="C57" s="25" t="s">
        <v>120</v>
      </c>
      <c r="D57" s="56">
        <f>+D11</f>
        <v>500</v>
      </c>
      <c r="E57" s="57">
        <f>+(($E$22*E90)/D57)</f>
        <v>855.06</v>
      </c>
      <c r="F57" s="57">
        <f>+D57*E57</f>
        <v>427530</v>
      </c>
      <c r="G57" s="58">
        <f>+F57*$G$55</f>
        <v>36767580</v>
      </c>
    </row>
    <row r="58" spans="2:7" ht="13.5" customHeight="1" x14ac:dyDescent="0.2">
      <c r="B58" s="55" t="s">
        <v>121</v>
      </c>
      <c r="C58" s="25" t="s">
        <v>105</v>
      </c>
      <c r="D58" s="273">
        <f>+E92</f>
        <v>1.9342857142857142</v>
      </c>
      <c r="E58" s="57">
        <f>+D25</f>
        <v>85000</v>
      </c>
      <c r="F58" s="57">
        <f t="shared" ref="F58:F64" si="7">+D58*E58</f>
        <v>164414.28571428571</v>
      </c>
      <c r="G58" s="58">
        <f t="shared" ref="G58:G64" si="8">+F58*$G$55</f>
        <v>14139628.571428571</v>
      </c>
    </row>
    <row r="59" spans="2:7" ht="13.5" customHeight="1" x14ac:dyDescent="0.2">
      <c r="B59" s="55" t="s">
        <v>271</v>
      </c>
      <c r="C59" s="25" t="s">
        <v>61</v>
      </c>
      <c r="D59" s="69">
        <f>+(D11*D12)*2</f>
        <v>100</v>
      </c>
      <c r="E59" s="57">
        <f>+(($E$22*E93)/D59)</f>
        <v>1425.1</v>
      </c>
      <c r="F59" s="57">
        <f t="shared" si="7"/>
        <v>142510</v>
      </c>
      <c r="G59" s="58">
        <f t="shared" si="8"/>
        <v>12255860</v>
      </c>
    </row>
    <row r="60" spans="2:7" ht="13.5" customHeight="1" x14ac:dyDescent="0.2">
      <c r="B60" s="55" t="s">
        <v>397</v>
      </c>
      <c r="C60" s="25" t="s">
        <v>61</v>
      </c>
      <c r="D60" s="69">
        <f>+(D11*D12)*2</f>
        <v>100</v>
      </c>
      <c r="E60" s="57">
        <f>+(($E$22*E94)/D60)</f>
        <v>1425.1</v>
      </c>
      <c r="F60" s="57">
        <f t="shared" si="7"/>
        <v>142510</v>
      </c>
      <c r="G60" s="58">
        <f t="shared" si="8"/>
        <v>12255860</v>
      </c>
    </row>
    <row r="61" spans="2:7" ht="15.75" customHeight="1" x14ac:dyDescent="0.2">
      <c r="B61" s="55" t="s">
        <v>124</v>
      </c>
      <c r="C61" s="25" t="s">
        <v>61</v>
      </c>
      <c r="D61" s="421">
        <f>+D11</f>
        <v>500</v>
      </c>
      <c r="E61" s="57">
        <f>+(($E$22*E94)/D61)</f>
        <v>285.02</v>
      </c>
      <c r="F61" s="57">
        <f t="shared" si="7"/>
        <v>142510</v>
      </c>
      <c r="G61" s="58">
        <f t="shared" si="8"/>
        <v>12255860</v>
      </c>
    </row>
    <row r="62" spans="2:7" ht="13.5" customHeight="1" x14ac:dyDescent="0.2">
      <c r="B62" s="55" t="s">
        <v>246</v>
      </c>
      <c r="C62" s="25" t="s">
        <v>61</v>
      </c>
      <c r="D62" s="421">
        <f>+D11</f>
        <v>500</v>
      </c>
      <c r="E62" s="57">
        <f>+(($E$22*E95)/D62)</f>
        <v>285.02</v>
      </c>
      <c r="F62" s="57">
        <f t="shared" si="7"/>
        <v>142510</v>
      </c>
      <c r="G62" s="58">
        <f t="shared" si="8"/>
        <v>12255860</v>
      </c>
    </row>
    <row r="63" spans="2:7" ht="13.5" customHeight="1" x14ac:dyDescent="0.2">
      <c r="B63" s="60" t="s">
        <v>127</v>
      </c>
      <c r="C63" s="25" t="s">
        <v>128</v>
      </c>
      <c r="D63" s="56">
        <v>10000</v>
      </c>
      <c r="E63" s="57">
        <f>+(($E$22*E96)/D63)</f>
        <v>57.003999999999998</v>
      </c>
      <c r="F63" s="57">
        <f t="shared" si="7"/>
        <v>570040</v>
      </c>
      <c r="G63" s="58">
        <f t="shared" si="8"/>
        <v>49023440</v>
      </c>
    </row>
    <row r="64" spans="2:7" ht="15.75" customHeight="1" x14ac:dyDescent="0.2">
      <c r="B64" s="60" t="s">
        <v>386</v>
      </c>
      <c r="C64" s="25" t="s">
        <v>385</v>
      </c>
      <c r="D64" s="56">
        <v>167</v>
      </c>
      <c r="E64" s="57">
        <f>+(($E$22*E97)/D64)</f>
        <v>853.35329341317367</v>
      </c>
      <c r="F64" s="57">
        <f t="shared" si="7"/>
        <v>142510</v>
      </c>
      <c r="G64" s="58">
        <f t="shared" si="8"/>
        <v>12255860</v>
      </c>
    </row>
    <row r="65" spans="2:10" ht="15.75" customHeight="1" x14ac:dyDescent="0.2">
      <c r="B65" s="60" t="s">
        <v>372</v>
      </c>
      <c r="C65" s="25"/>
      <c r="D65" s="56"/>
      <c r="E65" s="57"/>
      <c r="F65" s="57">
        <f>+G65/G55</f>
        <v>9942.5581395348836</v>
      </c>
      <c r="G65" s="58">
        <f>+E98*E22</f>
        <v>855060</v>
      </c>
    </row>
    <row r="66" spans="2:10" x14ac:dyDescent="0.2">
      <c r="B66" s="249" t="s">
        <v>130</v>
      </c>
      <c r="C66" s="250"/>
      <c r="D66" s="251"/>
      <c r="E66" s="252"/>
      <c r="F66" s="253">
        <f>SUM(F57:F65)</f>
        <v>1884476.8438538206</v>
      </c>
      <c r="G66" s="254">
        <f>SUM(G57:G65)</f>
        <v>162065008.57142857</v>
      </c>
      <c r="I66" s="433"/>
      <c r="J66" s="433"/>
    </row>
    <row r="67" spans="2:10" ht="13.5" customHeight="1" x14ac:dyDescent="0.2">
      <c r="B67" s="632" t="s">
        <v>131</v>
      </c>
      <c r="C67" s="633"/>
      <c r="D67" s="633"/>
      <c r="E67" s="633"/>
      <c r="F67" s="635"/>
      <c r="G67" s="255"/>
      <c r="I67" s="433"/>
    </row>
    <row r="68" spans="2:10" ht="15" customHeight="1" x14ac:dyDescent="0.2">
      <c r="B68" s="55" t="s">
        <v>433</v>
      </c>
      <c r="C68" s="25" t="s">
        <v>133</v>
      </c>
      <c r="D68" s="421">
        <f>+(D11*D12)*2</f>
        <v>100</v>
      </c>
      <c r="E68" s="57">
        <f>+E10</f>
        <v>5000</v>
      </c>
      <c r="F68" s="57">
        <f>+D68*E68</f>
        <v>500000</v>
      </c>
      <c r="G68" s="58">
        <f>+F68*$G$55</f>
        <v>43000000</v>
      </c>
    </row>
    <row r="69" spans="2:10" ht="14.25" customHeight="1" x14ac:dyDescent="0.2">
      <c r="B69" s="55" t="s">
        <v>388</v>
      </c>
      <c r="C69" s="25" t="s">
        <v>135</v>
      </c>
      <c r="D69" s="421">
        <f>ROUNDUP(($D$11*D17)/1000,0)*2</f>
        <v>70</v>
      </c>
      <c r="E69" s="57">
        <f>+E17</f>
        <v>3378</v>
      </c>
      <c r="F69" s="57">
        <f t="shared" ref="F69:F73" si="9">+D69*E69</f>
        <v>236460</v>
      </c>
      <c r="G69" s="58">
        <f t="shared" ref="G69:G73" si="10">+F69*$G$55</f>
        <v>20335560</v>
      </c>
    </row>
    <row r="70" spans="2:10" x14ac:dyDescent="0.2">
      <c r="B70" s="55" t="s">
        <v>378</v>
      </c>
      <c r="C70" s="25" t="s">
        <v>135</v>
      </c>
      <c r="D70" s="421">
        <f>ROUNDUP(($D$68*D14)/1000,0)*2</f>
        <v>8</v>
      </c>
      <c r="E70" s="57">
        <f>+E14</f>
        <v>3686.9565217391305</v>
      </c>
      <c r="F70" s="57">
        <f t="shared" si="9"/>
        <v>29495.652173913044</v>
      </c>
      <c r="G70" s="58">
        <f t="shared" si="10"/>
        <v>2536626.086956522</v>
      </c>
    </row>
    <row r="71" spans="2:10" x14ac:dyDescent="0.2">
      <c r="B71" s="55" t="s">
        <v>6</v>
      </c>
      <c r="C71" s="25" t="s">
        <v>135</v>
      </c>
      <c r="D71" s="421">
        <f>ROUNDUP(($D$68*D16)/1000,0)*2</f>
        <v>44</v>
      </c>
      <c r="E71" s="57">
        <f>+E16</f>
        <v>1358.8</v>
      </c>
      <c r="F71" s="57">
        <f t="shared" si="9"/>
        <v>59787.199999999997</v>
      </c>
      <c r="G71" s="58">
        <f t="shared" si="10"/>
        <v>5141699.2</v>
      </c>
    </row>
    <row r="72" spans="2:10" ht="13.5" customHeight="1" x14ac:dyDescent="0.2">
      <c r="B72" s="428" t="s">
        <v>392</v>
      </c>
      <c r="C72" s="25" t="s">
        <v>238</v>
      </c>
      <c r="D72" s="421">
        <f>+D20*2</f>
        <v>1</v>
      </c>
      <c r="E72" s="57">
        <f>+E20</f>
        <v>68050</v>
      </c>
      <c r="F72" s="57">
        <f t="shared" si="9"/>
        <v>68050</v>
      </c>
      <c r="G72" s="58">
        <f t="shared" si="10"/>
        <v>5852300</v>
      </c>
    </row>
    <row r="73" spans="2:10" ht="13.5" customHeight="1" x14ac:dyDescent="0.2">
      <c r="B73" s="428" t="s">
        <v>208</v>
      </c>
      <c r="C73" s="25" t="s">
        <v>135</v>
      </c>
      <c r="D73" s="421">
        <f>ROUNDUP(($D$68*D19)/1000,0)*2</f>
        <v>20</v>
      </c>
      <c r="E73" s="57">
        <f>+E19</f>
        <v>581.33333333333337</v>
      </c>
      <c r="F73" s="57">
        <f t="shared" si="9"/>
        <v>11626.666666666668</v>
      </c>
      <c r="G73" s="58">
        <f t="shared" si="10"/>
        <v>999893.33333333349</v>
      </c>
    </row>
    <row r="74" spans="2:10" x14ac:dyDescent="0.2">
      <c r="B74" s="428" t="s">
        <v>98</v>
      </c>
      <c r="C74" s="25" t="s">
        <v>135</v>
      </c>
      <c r="D74" s="421">
        <f>ROUNDUP(($D$68*D18)/1000,0)*2</f>
        <v>2</v>
      </c>
      <c r="E74" s="57">
        <f>+E18</f>
        <v>57633.333333333336</v>
      </c>
      <c r="F74" s="57">
        <f t="shared" ref="F74" si="11">+D74*E74</f>
        <v>115266.66666666667</v>
      </c>
      <c r="G74" s="58">
        <f t="shared" ref="G74" si="12">+F74*$G$55</f>
        <v>9912933.333333334</v>
      </c>
    </row>
    <row r="75" spans="2:10" x14ac:dyDescent="0.2">
      <c r="B75" s="632" t="s">
        <v>139</v>
      </c>
      <c r="C75" s="633"/>
      <c r="D75" s="633"/>
      <c r="E75" s="635"/>
      <c r="F75" s="257">
        <f>+SUM(F68:F74)</f>
        <v>1020686.1855072463</v>
      </c>
      <c r="G75" s="258">
        <f>+SUM(G68:G74)</f>
        <v>87779011.953623176</v>
      </c>
    </row>
    <row r="76" spans="2:10" x14ac:dyDescent="0.2">
      <c r="B76" s="694" t="s">
        <v>379</v>
      </c>
      <c r="C76" s="695"/>
      <c r="D76" s="695"/>
      <c r="E76" s="696"/>
      <c r="F76" s="434">
        <f>+F66+F75</f>
        <v>2905163.0293610669</v>
      </c>
      <c r="G76" s="435">
        <f>+G66+G75</f>
        <v>249844020.52505174</v>
      </c>
    </row>
    <row r="77" spans="2:10" ht="14.25" customHeight="1" x14ac:dyDescent="0.2">
      <c r="B77" s="422" t="s">
        <v>247</v>
      </c>
      <c r="C77" s="423"/>
      <c r="D77" s="423"/>
      <c r="E77" s="423"/>
      <c r="F77" s="439">
        <f>+F54+F76</f>
        <v>7952581.6396405306</v>
      </c>
      <c r="G77" s="424">
        <f>+G54+G76</f>
        <v>1082920462.1516771</v>
      </c>
    </row>
    <row r="78" spans="2:10" ht="15.75" customHeight="1" x14ac:dyDescent="0.2">
      <c r="B78" s="261" t="s">
        <v>141</v>
      </c>
      <c r="C78" s="262"/>
      <c r="D78" s="262"/>
      <c r="E78" s="262"/>
      <c r="F78" s="263"/>
      <c r="G78" s="264"/>
    </row>
    <row r="79" spans="2:10" x14ac:dyDescent="0.2">
      <c r="B79" s="626" t="s">
        <v>380</v>
      </c>
      <c r="C79" s="627"/>
      <c r="D79" s="627"/>
      <c r="E79" s="628"/>
      <c r="F79" s="84">
        <f>+(F43+F66)*D23</f>
        <v>144624.69510225937</v>
      </c>
      <c r="G79" s="84">
        <f>+(G43+G66)*D23</f>
        <v>19401269.09142857</v>
      </c>
    </row>
    <row r="80" spans="2:10" x14ac:dyDescent="0.2">
      <c r="B80" s="626" t="s">
        <v>381</v>
      </c>
      <c r="C80" s="627"/>
      <c r="D80" s="627"/>
      <c r="E80" s="628"/>
      <c r="F80" s="84">
        <f>+(F43+F66)*D23</f>
        <v>144624.69510225937</v>
      </c>
      <c r="G80" s="84">
        <f>+(G43+G66)*D24</f>
        <v>19401269.09142857</v>
      </c>
    </row>
    <row r="81" spans="2:9" x14ac:dyDescent="0.2">
      <c r="B81" s="697" t="s">
        <v>393</v>
      </c>
      <c r="C81" s="698"/>
      <c r="D81" s="698"/>
      <c r="E81" s="699"/>
      <c r="F81" s="87">
        <f>ROUNDUP(F53*D26,0)</f>
        <v>316661</v>
      </c>
      <c r="G81" s="87">
        <f>ROUNDUP(G53*D26,0)</f>
        <v>52264873</v>
      </c>
    </row>
    <row r="82" spans="2:9" x14ac:dyDescent="0.2">
      <c r="B82" s="626" t="s">
        <v>394</v>
      </c>
      <c r="C82" s="627"/>
      <c r="D82" s="627"/>
      <c r="E82" s="628"/>
      <c r="F82" s="87">
        <f>ROUNDUP(F75*D26,0)</f>
        <v>153103</v>
      </c>
      <c r="G82" s="87">
        <f>ROUNDUP(G75*D26,0)</f>
        <v>13166852</v>
      </c>
    </row>
    <row r="83" spans="2:9" x14ac:dyDescent="0.2">
      <c r="B83" s="689" t="s">
        <v>144</v>
      </c>
      <c r="C83" s="690"/>
      <c r="D83" s="690"/>
      <c r="E83" s="690"/>
      <c r="F83" s="440">
        <f>SUM(F79:F82)</f>
        <v>759013.3902045188</v>
      </c>
      <c r="G83" s="424">
        <f>SUM(G79:G82)</f>
        <v>104234263.18285714</v>
      </c>
      <c r="I83" s="438"/>
    </row>
    <row r="84" spans="2:9" ht="18.75" customHeight="1" x14ac:dyDescent="0.2">
      <c r="B84" s="482" t="s">
        <v>431</v>
      </c>
      <c r="C84" s="482"/>
      <c r="D84" s="482"/>
      <c r="E84" s="482"/>
      <c r="F84" s="446">
        <f>+F77+F83</f>
        <v>8711595.0298450496</v>
      </c>
      <c r="G84" s="446">
        <f>+G77+G83</f>
        <v>1187154725.3345342</v>
      </c>
    </row>
    <row r="85" spans="2:9" ht="18.75" customHeight="1" x14ac:dyDescent="0.2"/>
    <row r="86" spans="2:9" ht="16" thickBot="1" x14ac:dyDescent="0.25"/>
    <row r="87" spans="2:9" ht="16" thickBot="1" x14ac:dyDescent="0.25">
      <c r="B87" s="691" t="s">
        <v>249</v>
      </c>
      <c r="C87" s="692"/>
      <c r="D87" s="692"/>
      <c r="E87" s="693"/>
      <c r="F87" s="7"/>
      <c r="G87" s="134"/>
    </row>
    <row r="88" spans="2:9" x14ac:dyDescent="0.2">
      <c r="B88" s="611" t="s">
        <v>162</v>
      </c>
      <c r="C88" s="683" t="s">
        <v>163</v>
      </c>
      <c r="D88" s="685" t="s">
        <v>164</v>
      </c>
      <c r="E88" s="686"/>
      <c r="F88" s="7"/>
    </row>
    <row r="89" spans="2:9" ht="23.25" customHeight="1" thickBot="1" x14ac:dyDescent="0.25">
      <c r="B89" s="613"/>
      <c r="C89" s="684"/>
      <c r="D89" s="426" t="s">
        <v>250</v>
      </c>
      <c r="E89" s="445" t="s">
        <v>387</v>
      </c>
      <c r="F89" s="7"/>
    </row>
    <row r="90" spans="2:9" x14ac:dyDescent="0.2">
      <c r="B90" s="475" t="s">
        <v>120</v>
      </c>
      <c r="C90" s="476" t="s">
        <v>100</v>
      </c>
      <c r="D90" s="425">
        <v>12</v>
      </c>
      <c r="E90" s="477">
        <v>6</v>
      </c>
      <c r="F90" s="7"/>
      <c r="G90" s="134"/>
    </row>
    <row r="91" spans="2:9" ht="14.25" customHeight="1" x14ac:dyDescent="0.2">
      <c r="B91" s="506" t="s">
        <v>382</v>
      </c>
      <c r="C91" s="507" t="s">
        <v>100</v>
      </c>
      <c r="D91" s="508">
        <v>2</v>
      </c>
      <c r="E91" s="509">
        <v>2</v>
      </c>
      <c r="F91" s="7"/>
      <c r="G91" s="134"/>
    </row>
    <row r="92" spans="2:9" ht="13.5" customHeight="1" x14ac:dyDescent="0.2">
      <c r="B92" s="55" t="s">
        <v>121</v>
      </c>
      <c r="C92" s="25" t="s">
        <v>105</v>
      </c>
      <c r="D92" s="273">
        <f>+E110</f>
        <v>4.3057142857142852</v>
      </c>
      <c r="E92" s="453">
        <f>+F110</f>
        <v>1.9342857142857142</v>
      </c>
      <c r="F92" s="7"/>
    </row>
    <row r="93" spans="2:9" x14ac:dyDescent="0.2">
      <c r="B93" s="55" t="s">
        <v>122</v>
      </c>
      <c r="C93" s="25" t="s">
        <v>100</v>
      </c>
      <c r="D93" s="56">
        <v>2</v>
      </c>
      <c r="E93" s="453">
        <v>2</v>
      </c>
      <c r="F93" s="7"/>
    </row>
    <row r="94" spans="2:9" ht="12.75" customHeight="1" x14ac:dyDescent="0.2">
      <c r="B94" s="55" t="s">
        <v>257</v>
      </c>
      <c r="C94" s="25" t="s">
        <v>100</v>
      </c>
      <c r="D94" s="56">
        <v>4</v>
      </c>
      <c r="E94" s="453">
        <v>2</v>
      </c>
      <c r="F94" s="7"/>
      <c r="G94" s="134"/>
    </row>
    <row r="95" spans="2:9" ht="13.5" customHeight="1" x14ac:dyDescent="0.2">
      <c r="B95" s="55" t="s">
        <v>408</v>
      </c>
      <c r="C95" s="25" t="s">
        <v>100</v>
      </c>
      <c r="D95" s="273">
        <v>2</v>
      </c>
      <c r="E95" s="454">
        <v>2</v>
      </c>
      <c r="F95" s="7"/>
    </row>
    <row r="96" spans="2:9" ht="12" customHeight="1" x14ac:dyDescent="0.2">
      <c r="B96" s="55" t="s">
        <v>259</v>
      </c>
      <c r="C96" s="25" t="s">
        <v>100</v>
      </c>
      <c r="D96" s="56">
        <v>12</v>
      </c>
      <c r="E96" s="454">
        <v>8</v>
      </c>
      <c r="F96" s="7"/>
    </row>
    <row r="97" spans="2:7" x14ac:dyDescent="0.2">
      <c r="B97" s="55" t="s">
        <v>260</v>
      </c>
      <c r="C97" s="25" t="s">
        <v>100</v>
      </c>
      <c r="D97" s="56">
        <v>2</v>
      </c>
      <c r="E97" s="138">
        <v>2</v>
      </c>
      <c r="F97" s="7"/>
      <c r="G97" s="134"/>
    </row>
    <row r="98" spans="2:7" ht="16" thickBot="1" x14ac:dyDescent="0.25">
      <c r="B98" s="126" t="s">
        <v>372</v>
      </c>
      <c r="C98" s="474" t="s">
        <v>416</v>
      </c>
      <c r="D98" s="510">
        <v>12</v>
      </c>
      <c r="E98" s="478">
        <v>12</v>
      </c>
      <c r="F98" s="7"/>
      <c r="G98" s="7"/>
    </row>
    <row r="99" spans="2:7" ht="16" thickBot="1" x14ac:dyDescent="0.25">
      <c r="B99" s="471" t="s">
        <v>417</v>
      </c>
      <c r="C99" s="472"/>
      <c r="D99" s="479">
        <f>SUM(D90:D98)</f>
        <v>52.305714285714288</v>
      </c>
      <c r="E99" s="480">
        <f>SUM(E90:E98)</f>
        <v>37.934285714285714</v>
      </c>
      <c r="F99" s="7"/>
      <c r="G99" s="7"/>
    </row>
    <row r="100" spans="2:7" ht="16" thickBot="1" x14ac:dyDescent="0.25">
      <c r="B100" s="469"/>
      <c r="C100" s="470"/>
      <c r="D100" s="473"/>
      <c r="E100" s="473"/>
      <c r="F100" s="7"/>
      <c r="G100" s="7"/>
    </row>
    <row r="101" spans="2:7" ht="16" thickBot="1" x14ac:dyDescent="0.25">
      <c r="B101" s="687" t="s">
        <v>367</v>
      </c>
      <c r="C101" s="688"/>
      <c r="D101" s="464">
        <v>2</v>
      </c>
      <c r="E101" s="397" t="s">
        <v>412</v>
      </c>
      <c r="F101" s="402">
        <v>50</v>
      </c>
      <c r="G101" s="7"/>
    </row>
    <row r="102" spans="2:7" ht="16" thickBot="1" x14ac:dyDescent="0.25">
      <c r="B102" s="677" t="s">
        <v>370</v>
      </c>
      <c r="C102" s="678"/>
      <c r="D102" s="460">
        <v>140</v>
      </c>
      <c r="E102" s="457"/>
      <c r="F102" s="465"/>
      <c r="G102" s="7"/>
    </row>
    <row r="103" spans="2:7" ht="10.5" customHeight="1" thickBot="1" x14ac:dyDescent="0.25">
      <c r="B103" s="380"/>
      <c r="C103" s="679" t="s">
        <v>410</v>
      </c>
      <c r="D103" s="680"/>
      <c r="E103" s="681" t="s">
        <v>411</v>
      </c>
      <c r="F103" s="682"/>
      <c r="G103" s="7"/>
    </row>
    <row r="104" spans="2:7" ht="16" thickBot="1" x14ac:dyDescent="0.25">
      <c r="B104" s="380" t="s">
        <v>218</v>
      </c>
      <c r="C104" s="459" t="s">
        <v>250</v>
      </c>
      <c r="D104" s="431" t="s">
        <v>387</v>
      </c>
      <c r="E104" s="430" t="s">
        <v>250</v>
      </c>
      <c r="F104" s="415" t="s">
        <v>387</v>
      </c>
      <c r="G104" s="7"/>
    </row>
    <row r="105" spans="2:7" x14ac:dyDescent="0.2">
      <c r="B105" s="458" t="s">
        <v>365</v>
      </c>
      <c r="C105" s="427">
        <f>+D46/F101</f>
        <v>0.36</v>
      </c>
      <c r="D105" s="427">
        <f>+D70/F101</f>
        <v>0.16</v>
      </c>
      <c r="E105" s="411"/>
      <c r="F105" s="466"/>
      <c r="G105" s="7"/>
    </row>
    <row r="106" spans="2:7" x14ac:dyDescent="0.2">
      <c r="B106" s="371" t="s">
        <v>88</v>
      </c>
      <c r="C106" s="427">
        <f>+D47/F101</f>
        <v>3.12</v>
      </c>
      <c r="D106" s="427">
        <f>+D69/F101</f>
        <v>1.4</v>
      </c>
      <c r="E106" s="411"/>
      <c r="F106" s="466"/>
      <c r="G106" s="7"/>
    </row>
    <row r="107" spans="2:7" x14ac:dyDescent="0.2">
      <c r="B107" s="371" t="s">
        <v>6</v>
      </c>
      <c r="C107" s="369">
        <f>+D48/F101</f>
        <v>1.96</v>
      </c>
      <c r="D107" s="369">
        <f>+D71/F101</f>
        <v>0.88</v>
      </c>
      <c r="E107" s="411"/>
      <c r="F107" s="466"/>
      <c r="G107" s="7"/>
    </row>
    <row r="108" spans="2:7" x14ac:dyDescent="0.2">
      <c r="B108" s="371" t="s">
        <v>133</v>
      </c>
      <c r="C108" s="417"/>
      <c r="D108" s="417"/>
      <c r="E108" s="418">
        <f>+D45/D102</f>
        <v>1.5857142857142856</v>
      </c>
      <c r="F108" s="467">
        <f>+D68/D102</f>
        <v>0.7142857142857143</v>
      </c>
      <c r="G108" s="7"/>
    </row>
    <row r="109" spans="2:7" ht="16" thickBot="1" x14ac:dyDescent="0.25">
      <c r="B109" s="416" t="s">
        <v>371</v>
      </c>
      <c r="C109" s="429">
        <f>SUM(C105:C108)</f>
        <v>5.4399999999999995</v>
      </c>
      <c r="D109" s="429">
        <f>SUM(D105:D108)</f>
        <v>2.44</v>
      </c>
      <c r="E109" s="461">
        <f>+C109/D101</f>
        <v>2.7199999999999998</v>
      </c>
      <c r="F109" s="468">
        <f>+D109/D101</f>
        <v>1.22</v>
      </c>
      <c r="G109" s="7"/>
    </row>
    <row r="110" spans="2:7" ht="16" thickBot="1" x14ac:dyDescent="0.25">
      <c r="B110" s="455" t="s">
        <v>373</v>
      </c>
      <c r="C110" s="456"/>
      <c r="D110" s="456"/>
      <c r="E110" s="462">
        <f>SUM(E108:E109)</f>
        <v>4.3057142857142852</v>
      </c>
      <c r="F110" s="463">
        <f>SUM(F108:F109)</f>
        <v>1.9342857142857142</v>
      </c>
      <c r="G110" s="7"/>
    </row>
    <row r="111" spans="2:7" ht="16" thickBot="1" x14ac:dyDescent="0.25">
      <c r="B111" s="7"/>
      <c r="C111" s="7"/>
      <c r="D111" s="7"/>
      <c r="E111" s="7"/>
      <c r="F111" s="7"/>
      <c r="G111" s="7"/>
    </row>
    <row r="112" spans="2:7" ht="15.75" customHeight="1" thickBot="1" x14ac:dyDescent="0.25">
      <c r="B112" s="605" t="s">
        <v>269</v>
      </c>
      <c r="C112" s="606"/>
      <c r="D112" s="606"/>
      <c r="E112" s="606"/>
      <c r="F112" s="606"/>
      <c r="G112" s="607"/>
    </row>
    <row r="113" spans="2:7" ht="16" thickBot="1" x14ac:dyDescent="0.25">
      <c r="B113" s="602" t="s">
        <v>270</v>
      </c>
      <c r="C113" s="603"/>
      <c r="D113" s="603"/>
      <c r="E113" s="603"/>
      <c r="F113" s="603"/>
      <c r="G113" s="604"/>
    </row>
    <row r="114" spans="2:7" x14ac:dyDescent="0.2">
      <c r="B114" s="145"/>
      <c r="C114" s="146"/>
      <c r="D114" s="146"/>
      <c r="E114" s="146"/>
      <c r="F114" s="146"/>
      <c r="G114" s="147"/>
    </row>
    <row r="115" spans="2:7" x14ac:dyDescent="0.2">
      <c r="B115" s="145"/>
      <c r="C115" s="146"/>
      <c r="D115" s="146"/>
      <c r="E115" s="146"/>
      <c r="F115" s="146"/>
      <c r="G115" s="147"/>
    </row>
    <row r="116" spans="2:7" x14ac:dyDescent="0.2">
      <c r="B116" s="145"/>
      <c r="C116" s="146"/>
      <c r="D116" s="146"/>
      <c r="E116" s="146"/>
      <c r="F116" s="146"/>
      <c r="G116" s="147"/>
    </row>
    <row r="117" spans="2:7" ht="16" thickBot="1" x14ac:dyDescent="0.25">
      <c r="B117" s="148"/>
      <c r="C117" s="149"/>
      <c r="D117" s="149"/>
      <c r="E117" s="149"/>
      <c r="F117" s="149"/>
      <c r="G117" s="150"/>
    </row>
    <row r="118" spans="2:7" ht="16" thickBot="1" x14ac:dyDescent="0.25">
      <c r="B118" s="605" t="s">
        <v>269</v>
      </c>
      <c r="C118" s="606"/>
      <c r="D118" s="606"/>
      <c r="E118" s="606"/>
      <c r="F118" s="606"/>
      <c r="G118" s="607"/>
    </row>
    <row r="119" spans="2:7" ht="16" thickBot="1" x14ac:dyDescent="0.25">
      <c r="B119" s="602" t="s">
        <v>270</v>
      </c>
      <c r="C119" s="603"/>
      <c r="D119" s="603"/>
      <c r="E119" s="603"/>
      <c r="F119" s="603"/>
      <c r="G119" s="604"/>
    </row>
    <row r="120" spans="2:7" x14ac:dyDescent="0.2">
      <c r="B120" s="145"/>
      <c r="C120" s="146"/>
      <c r="D120" s="146"/>
      <c r="E120" s="146"/>
      <c r="F120" s="146"/>
      <c r="G120" s="147"/>
    </row>
    <row r="121" spans="2:7" x14ac:dyDescent="0.2">
      <c r="B121" s="145"/>
      <c r="C121" s="146"/>
      <c r="D121" s="146"/>
      <c r="E121" s="146"/>
      <c r="F121" s="146"/>
      <c r="G121" s="147"/>
    </row>
    <row r="122" spans="2:7" x14ac:dyDescent="0.2">
      <c r="B122" s="145"/>
      <c r="C122" s="146"/>
      <c r="D122" s="146"/>
      <c r="E122" s="146"/>
      <c r="F122" s="146"/>
      <c r="G122" s="147"/>
    </row>
    <row r="123" spans="2:7" ht="16" thickBot="1" x14ac:dyDescent="0.25">
      <c r="B123" s="148"/>
      <c r="C123" s="149"/>
      <c r="D123" s="149"/>
      <c r="E123" s="149"/>
      <c r="F123" s="149"/>
      <c r="G123" s="150"/>
    </row>
  </sheetData>
  <mergeCells count="29">
    <mergeCell ref="B44:F44"/>
    <mergeCell ref="B53:E53"/>
    <mergeCell ref="B54:E54"/>
    <mergeCell ref="B55:D55"/>
    <mergeCell ref="B75:E75"/>
    <mergeCell ref="B3:G3"/>
    <mergeCell ref="C4:G4"/>
    <mergeCell ref="C5:G5"/>
    <mergeCell ref="C6:G6"/>
    <mergeCell ref="B28:D28"/>
    <mergeCell ref="B82:E82"/>
    <mergeCell ref="B83:E83"/>
    <mergeCell ref="B87:E87"/>
    <mergeCell ref="B67:F67"/>
    <mergeCell ref="B76:E76"/>
    <mergeCell ref="B79:E79"/>
    <mergeCell ref="B80:E80"/>
    <mergeCell ref="B81:E81"/>
    <mergeCell ref="B88:B89"/>
    <mergeCell ref="C88:C89"/>
    <mergeCell ref="D88:E88"/>
    <mergeCell ref="B112:G112"/>
    <mergeCell ref="B113:G113"/>
    <mergeCell ref="B101:C101"/>
    <mergeCell ref="B118:G118"/>
    <mergeCell ref="B119:G119"/>
    <mergeCell ref="B102:C102"/>
    <mergeCell ref="C103:D103"/>
    <mergeCell ref="E103:F103"/>
  </mergeCells>
  <conditionalFormatting sqref="F83:G84">
    <cfRule type="cellIs" dxfId="4" priority="1" stopIfTrue="1" operator="greaterThan">
      <formula>0</formula>
    </cfRule>
  </conditionalFormatting>
  <conditionalFormatting sqref="G77">
    <cfRule type="cellIs" dxfId="3" priority="6" stopIfTrue="1" operator="greaterThan">
      <formula>0</formula>
    </cfRule>
  </conditionalFormatting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1:L18"/>
  <sheetViews>
    <sheetView zoomScaleNormal="100" workbookViewId="0">
      <selection activeCell="D35" sqref="D35"/>
    </sheetView>
  </sheetViews>
  <sheetFormatPr baseColWidth="10" defaultRowHeight="15" x14ac:dyDescent="0.2"/>
  <cols>
    <col min="1" max="1" width="2.33203125" customWidth="1"/>
    <col min="2" max="2" width="47.5" customWidth="1"/>
    <col min="3" max="3" width="7.83203125" customWidth="1"/>
    <col min="4" max="4" width="10.1640625" customWidth="1"/>
    <col min="5" max="5" width="14.5" customWidth="1"/>
    <col min="6" max="6" width="17.6640625" customWidth="1"/>
    <col min="8" max="8" width="21.1640625" customWidth="1"/>
    <col min="10" max="12" width="14.1640625" bestFit="1" customWidth="1"/>
  </cols>
  <sheetData>
    <row r="1" spans="2:12" ht="16" thickBot="1" x14ac:dyDescent="0.25"/>
    <row r="2" spans="2:12" ht="16" thickBot="1" x14ac:dyDescent="0.25">
      <c r="B2" s="599" t="s">
        <v>467</v>
      </c>
      <c r="C2" s="600"/>
      <c r="D2" s="600"/>
      <c r="E2" s="600"/>
      <c r="F2" s="601"/>
    </row>
    <row r="3" spans="2:12" ht="16" thickBot="1" x14ac:dyDescent="0.25">
      <c r="B3" s="514" t="s">
        <v>316</v>
      </c>
      <c r="C3" s="515" t="s">
        <v>163</v>
      </c>
      <c r="D3" s="515" t="s">
        <v>164</v>
      </c>
      <c r="E3" s="516" t="s">
        <v>425</v>
      </c>
      <c r="F3" s="517" t="s">
        <v>419</v>
      </c>
      <c r="H3" s="513" t="s">
        <v>426</v>
      </c>
      <c r="J3" s="589"/>
      <c r="K3" s="589"/>
    </row>
    <row r="4" spans="2:12" x14ac:dyDescent="0.2">
      <c r="B4" s="518" t="s">
        <v>462</v>
      </c>
      <c r="C4" s="519" t="s">
        <v>395</v>
      </c>
      <c r="D4" s="519">
        <f>'Establec predio publico'!G30+'Establec predio publico'!G58+'Establec predio publico'!G86</f>
        <v>44</v>
      </c>
      <c r="E4" s="520"/>
      <c r="F4" s="521">
        <f>+'Establec predio publico'!G120</f>
        <v>531302043.08285713</v>
      </c>
      <c r="H4" s="511">
        <v>400000000</v>
      </c>
      <c r="J4" s="589">
        <f>+F4/D4</f>
        <v>12075046.433701299</v>
      </c>
      <c r="K4" s="589">
        <f>+J4*1.17</f>
        <v>14127804.327430518</v>
      </c>
      <c r="L4" s="438">
        <f>+K4-L6</f>
        <v>11361480.828841781</v>
      </c>
    </row>
    <row r="5" spans="2:12" ht="16" thickBot="1" x14ac:dyDescent="0.25">
      <c r="B5" s="522" t="s">
        <v>439</v>
      </c>
      <c r="C5" s="523" t="s">
        <v>427</v>
      </c>
      <c r="D5" s="523">
        <f>+'Aisl predio publico'!E30</f>
        <v>1.7849999999999999</v>
      </c>
      <c r="E5" s="524"/>
      <c r="F5" s="525">
        <f>+'Aisl predio publico'!G60</f>
        <v>59748891.990865007</v>
      </c>
      <c r="H5" s="511">
        <v>1845979133</v>
      </c>
      <c r="J5" s="589">
        <f>+F5/D5</f>
        <v>33472768.62233334</v>
      </c>
      <c r="K5" s="589">
        <f>+J5*1.17</f>
        <v>39163139.288130008</v>
      </c>
    </row>
    <row r="6" spans="2:12" ht="16" thickBot="1" x14ac:dyDescent="0.25">
      <c r="B6" s="522" t="s">
        <v>428</v>
      </c>
      <c r="C6" s="523" t="s">
        <v>395</v>
      </c>
      <c r="D6" s="523">
        <f>+'Mant predios publicos-RP-EF'!G28+'Mant predios publicos-RP-EF'!G55</f>
        <v>251.05</v>
      </c>
      <c r="E6" s="524"/>
      <c r="F6" s="525">
        <f>+'Mant predios publicos-RP-EF'!G84</f>
        <v>1187154725.3345342</v>
      </c>
      <c r="H6" s="512">
        <f>SUM(H4:H5)</f>
        <v>2245979133</v>
      </c>
      <c r="J6" s="589">
        <f>+F6/D6</f>
        <v>4728758.1172457049</v>
      </c>
      <c r="K6" s="589">
        <f>+J6*1.17</f>
        <v>5532646.9971774742</v>
      </c>
      <c r="L6" s="589">
        <f>+K6/2</f>
        <v>2766323.4985887371</v>
      </c>
    </row>
    <row r="7" spans="2:12" x14ac:dyDescent="0.2">
      <c r="B7" s="526" t="s">
        <v>151</v>
      </c>
      <c r="C7" s="527"/>
      <c r="D7" s="527"/>
      <c r="E7" s="528"/>
      <c r="F7" s="529"/>
      <c r="H7" s="511"/>
      <c r="J7" s="589"/>
      <c r="K7" s="589"/>
    </row>
    <row r="8" spans="2:12" x14ac:dyDescent="0.2">
      <c r="B8" s="530" t="s">
        <v>429</v>
      </c>
      <c r="C8" s="531" t="s">
        <v>404</v>
      </c>
      <c r="D8" s="531">
        <v>8</v>
      </c>
      <c r="E8" s="532">
        <v>6100000</v>
      </c>
      <c r="F8" s="533">
        <f>D8*E8</f>
        <v>48800000</v>
      </c>
      <c r="H8" s="511"/>
      <c r="J8" s="589"/>
      <c r="K8" s="589"/>
    </row>
    <row r="9" spans="2:12" x14ac:dyDescent="0.2">
      <c r="B9" s="530" t="s">
        <v>152</v>
      </c>
      <c r="C9" s="531" t="s">
        <v>404</v>
      </c>
      <c r="D9" s="531">
        <v>8</v>
      </c>
      <c r="E9" s="532">
        <v>5600000</v>
      </c>
      <c r="F9" s="533">
        <f>D9*E9</f>
        <v>44800000</v>
      </c>
      <c r="H9" s="511"/>
      <c r="J9" s="589"/>
      <c r="K9" s="589"/>
    </row>
    <row r="10" spans="2:12" x14ac:dyDescent="0.2">
      <c r="B10" s="530" t="s">
        <v>434</v>
      </c>
      <c r="C10" s="531" t="s">
        <v>404</v>
      </c>
      <c r="D10" s="531">
        <v>8</v>
      </c>
      <c r="E10" s="532">
        <v>4000000</v>
      </c>
      <c r="F10" s="533">
        <f>D10*E10</f>
        <v>32000000</v>
      </c>
      <c r="H10" s="511"/>
      <c r="J10" s="589"/>
      <c r="K10" s="589"/>
    </row>
    <row r="11" spans="2:12" x14ac:dyDescent="0.2">
      <c r="B11" s="534" t="s">
        <v>430</v>
      </c>
      <c r="C11" s="535"/>
      <c r="D11" s="535"/>
      <c r="E11" s="536"/>
      <c r="F11" s="537">
        <f>SUM(F4:F10)</f>
        <v>1903805660.4082563</v>
      </c>
      <c r="H11" s="511"/>
      <c r="J11" s="589"/>
      <c r="K11" s="589"/>
    </row>
    <row r="12" spans="2:12" x14ac:dyDescent="0.2">
      <c r="B12" s="530" t="s">
        <v>156</v>
      </c>
      <c r="C12" s="538">
        <v>0.11</v>
      </c>
      <c r="D12" s="531"/>
      <c r="E12" s="539"/>
      <c r="F12" s="533">
        <f>+F11*C12</f>
        <v>209418622.64490819</v>
      </c>
      <c r="H12" s="511"/>
      <c r="J12" s="589"/>
      <c r="K12" s="589"/>
    </row>
    <row r="13" spans="2:12" x14ac:dyDescent="0.2">
      <c r="B13" s="530" t="s">
        <v>157</v>
      </c>
      <c r="C13" s="538">
        <v>0.01</v>
      </c>
      <c r="D13" s="531"/>
      <c r="E13" s="539"/>
      <c r="F13" s="533">
        <f>+F11*C13</f>
        <v>19038056.604082562</v>
      </c>
      <c r="H13" s="511"/>
      <c r="J13" s="589"/>
      <c r="K13" s="589"/>
    </row>
    <row r="14" spans="2:12" x14ac:dyDescent="0.2">
      <c r="B14" s="530" t="s">
        <v>158</v>
      </c>
      <c r="C14" s="538">
        <v>0.05</v>
      </c>
      <c r="D14" s="531"/>
      <c r="E14" s="539"/>
      <c r="F14" s="533">
        <f>+F11*C14</f>
        <v>95190283.020412818</v>
      </c>
      <c r="H14" s="511"/>
      <c r="J14" s="589"/>
      <c r="K14" s="589"/>
    </row>
    <row r="15" spans="2:12" ht="16" thickBot="1" x14ac:dyDescent="0.25">
      <c r="B15" s="530" t="s">
        <v>159</v>
      </c>
      <c r="C15" s="538">
        <v>0.19</v>
      </c>
      <c r="D15" s="531"/>
      <c r="E15" s="539"/>
      <c r="F15" s="533">
        <f>+F14*C15</f>
        <v>18086153.773878437</v>
      </c>
      <c r="H15" s="511"/>
      <c r="J15" s="589"/>
      <c r="K15" s="589"/>
    </row>
    <row r="16" spans="2:12" ht="16" thickBot="1" x14ac:dyDescent="0.25">
      <c r="B16" s="540" t="s">
        <v>313</v>
      </c>
      <c r="C16" s="515"/>
      <c r="D16" s="515"/>
      <c r="E16" s="541"/>
      <c r="F16" s="542">
        <f>SUM(F11:F15)</f>
        <v>2245538776.4515386</v>
      </c>
      <c r="J16" s="589"/>
      <c r="K16" s="589"/>
    </row>
    <row r="17" spans="6:11" x14ac:dyDescent="0.2">
      <c r="J17" s="589"/>
      <c r="K17" s="589"/>
    </row>
    <row r="18" spans="6:11" x14ac:dyDescent="0.2">
      <c r="F18" s="511"/>
      <c r="J18" s="589"/>
      <c r="K18" s="589"/>
    </row>
  </sheetData>
  <mergeCells count="1">
    <mergeCell ref="B2:F2"/>
  </mergeCells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7"/>
  <dimension ref="A3:W94"/>
  <sheetViews>
    <sheetView topLeftCell="A38" workbookViewId="0">
      <selection activeCell="E61" sqref="E61"/>
    </sheetView>
  </sheetViews>
  <sheetFormatPr baseColWidth="10" defaultColWidth="11.5" defaultRowHeight="13" x14ac:dyDescent="0.15"/>
  <cols>
    <col min="1" max="1" width="11.5" style="7"/>
    <col min="2" max="2" width="28" style="7" customWidth="1"/>
    <col min="3" max="3" width="13.83203125" style="7" bestFit="1" customWidth="1"/>
    <col min="4" max="4" width="12.33203125" style="7" customWidth="1"/>
    <col min="5" max="5" width="14.83203125" style="7" customWidth="1"/>
    <col min="6" max="6" width="13.83203125" style="7" bestFit="1" customWidth="1"/>
    <col min="7" max="7" width="17" style="7" bestFit="1" customWidth="1"/>
    <col min="8" max="8" width="22.5" style="7" hidden="1" customWidth="1"/>
    <col min="9" max="10" width="16.5" style="7" hidden="1" customWidth="1"/>
    <col min="11" max="11" width="15.83203125" style="7" hidden="1" customWidth="1"/>
    <col min="12" max="12" width="12.83203125" style="7" hidden="1" customWidth="1"/>
    <col min="13" max="13" width="17.5" style="7" hidden="1" customWidth="1"/>
    <col min="14" max="19" width="0" style="7" hidden="1" customWidth="1"/>
    <col min="20" max="20" width="13.83203125" style="7" bestFit="1" customWidth="1"/>
    <col min="21" max="21" width="11.5" style="7"/>
    <col min="22" max="22" width="14.83203125" style="7" bestFit="1" customWidth="1"/>
    <col min="23" max="16384" width="11.5" style="7"/>
  </cols>
  <sheetData>
    <row r="3" spans="2:22" ht="25.5" customHeight="1" x14ac:dyDescent="0.15">
      <c r="B3" s="646" t="s">
        <v>69</v>
      </c>
      <c r="C3" s="646"/>
      <c r="D3" s="646"/>
      <c r="E3" s="646"/>
      <c r="F3" s="646"/>
      <c r="G3" s="646"/>
      <c r="H3" s="6"/>
    </row>
    <row r="4" spans="2:22" x14ac:dyDescent="0.15">
      <c r="B4" s="8" t="s">
        <v>70</v>
      </c>
      <c r="C4" s="647" t="s">
        <v>71</v>
      </c>
      <c r="D4" s="647"/>
      <c r="E4" s="647"/>
      <c r="F4" s="647"/>
      <c r="G4" s="647"/>
      <c r="H4" s="9"/>
    </row>
    <row r="5" spans="2:22" x14ac:dyDescent="0.15">
      <c r="B5" s="8" t="s">
        <v>72</v>
      </c>
      <c r="C5" s="648" t="s">
        <v>73</v>
      </c>
      <c r="D5" s="648"/>
      <c r="E5" s="648"/>
      <c r="F5" s="648"/>
      <c r="G5" s="648"/>
      <c r="H5" s="6"/>
    </row>
    <row r="6" spans="2:22" ht="36" customHeight="1" x14ac:dyDescent="0.15">
      <c r="B6" s="8" t="s">
        <v>74</v>
      </c>
      <c r="C6" s="708" t="s">
        <v>75</v>
      </c>
      <c r="D6" s="708"/>
      <c r="E6" s="708"/>
      <c r="F6" s="708"/>
      <c r="G6" s="708"/>
      <c r="H6" s="10"/>
    </row>
    <row r="7" spans="2:22" x14ac:dyDescent="0.15">
      <c r="B7" s="11"/>
      <c r="C7" s="11"/>
      <c r="D7" s="11"/>
      <c r="E7" s="11"/>
      <c r="F7" s="11"/>
      <c r="G7" s="11"/>
      <c r="H7" s="11"/>
    </row>
    <row r="8" spans="2:22" x14ac:dyDescent="0.15">
      <c r="B8" s="12" t="s">
        <v>76</v>
      </c>
      <c r="C8" s="13" t="s">
        <v>77</v>
      </c>
      <c r="D8" s="11"/>
      <c r="E8" s="14" t="s">
        <v>78</v>
      </c>
      <c r="F8" s="11"/>
      <c r="G8" s="11"/>
      <c r="H8" s="11"/>
    </row>
    <row r="9" spans="2:22" ht="10.5" customHeight="1" x14ac:dyDescent="0.15"/>
    <row r="10" spans="2:22" x14ac:dyDescent="0.15">
      <c r="B10" s="15" t="str">
        <f>+[1]Establec.!B10</f>
        <v>1. Número de Plántulas Arboreas por Ha</v>
      </c>
      <c r="C10" s="16"/>
      <c r="D10" s="17">
        <v>1100</v>
      </c>
      <c r="E10" s="18">
        <f>+'Estudio de Mercado'!L50</f>
        <v>4500</v>
      </c>
      <c r="F10" s="19"/>
      <c r="G10" s="20"/>
      <c r="H10" s="20"/>
    </row>
    <row r="11" spans="2:22" x14ac:dyDescent="0.15">
      <c r="B11" s="644" t="s">
        <v>79</v>
      </c>
      <c r="C11" s="645"/>
      <c r="D11" s="17">
        <v>0</v>
      </c>
      <c r="E11" s="18">
        <v>0</v>
      </c>
      <c r="F11" s="19"/>
      <c r="G11" s="20"/>
      <c r="H11" s="20"/>
    </row>
    <row r="12" spans="2:22" x14ac:dyDescent="0.15">
      <c r="B12" s="644" t="str">
        <f>+[1]Establec.!B12</f>
        <v>3. Porcentaje de reposición  %</v>
      </c>
      <c r="C12" s="645"/>
      <c r="D12" s="21">
        <v>0.2</v>
      </c>
      <c r="E12" s="18"/>
    </row>
    <row r="13" spans="2:22" ht="25.5" customHeight="1" x14ac:dyDescent="0.15">
      <c r="B13" s="15" t="s">
        <v>80</v>
      </c>
      <c r="C13" s="22" t="s">
        <v>2</v>
      </c>
      <c r="D13" s="23" t="s">
        <v>81</v>
      </c>
      <c r="E13" s="24" t="s">
        <v>82</v>
      </c>
    </row>
    <row r="14" spans="2:22" ht="22.5" customHeight="1" x14ac:dyDescent="0.15">
      <c r="B14" s="15" t="s">
        <v>83</v>
      </c>
      <c r="C14" s="25" t="s">
        <v>84</v>
      </c>
      <c r="D14" s="26">
        <v>32</v>
      </c>
      <c r="E14" s="27">
        <f>+[2]Establecimiento!E14</f>
        <v>2206.75</v>
      </c>
    </row>
    <row r="15" spans="2:22" x14ac:dyDescent="0.15">
      <c r="B15" s="15" t="s">
        <v>85</v>
      </c>
      <c r="C15" s="25" t="s">
        <v>86</v>
      </c>
      <c r="D15" s="26">
        <v>50</v>
      </c>
      <c r="E15" s="27">
        <f>+[2]Establecimiento!E16</f>
        <v>3707.5949999999998</v>
      </c>
    </row>
    <row r="16" spans="2:22" x14ac:dyDescent="0.15">
      <c r="B16" s="15" t="s">
        <v>87</v>
      </c>
      <c r="C16" s="154" t="s">
        <v>6</v>
      </c>
      <c r="D16" s="26">
        <v>275</v>
      </c>
      <c r="E16" s="27">
        <f>+'Estudio de Mercado'!N4</f>
        <v>67940</v>
      </c>
      <c r="G16" s="7">
        <v>5.5</v>
      </c>
      <c r="T16" s="7">
        <v>50</v>
      </c>
      <c r="U16" s="7">
        <v>1000</v>
      </c>
      <c r="V16" s="155">
        <f>+U16*T16*G16</f>
        <v>275000</v>
      </c>
    </row>
    <row r="17" spans="2:23" ht="21.75" customHeight="1" x14ac:dyDescent="0.15">
      <c r="B17" s="15" t="s">
        <v>83</v>
      </c>
      <c r="C17" s="25" t="s">
        <v>88</v>
      </c>
      <c r="D17" s="26">
        <v>50</v>
      </c>
      <c r="E17" s="27">
        <f>+'Estudio de Mercado'!N6</f>
        <v>168900</v>
      </c>
      <c r="T17" s="7">
        <v>1</v>
      </c>
      <c r="U17" s="7">
        <v>1</v>
      </c>
      <c r="V17" s="155"/>
    </row>
    <row r="18" spans="2:23" ht="14.25" customHeight="1" x14ac:dyDescent="0.15">
      <c r="B18" s="28" t="s">
        <v>89</v>
      </c>
      <c r="C18" s="25" t="s">
        <v>90</v>
      </c>
      <c r="D18" s="26">
        <v>1</v>
      </c>
      <c r="E18" s="27"/>
    </row>
    <row r="19" spans="2:23" x14ac:dyDescent="0.15">
      <c r="B19" s="28" t="s">
        <v>175</v>
      </c>
      <c r="C19" s="156" t="s">
        <v>174</v>
      </c>
      <c r="D19" s="26">
        <v>1</v>
      </c>
      <c r="E19" s="27">
        <f>+'Estudio de Mercado'!L5</f>
        <v>0</v>
      </c>
    </row>
    <row r="20" spans="2:23" x14ac:dyDescent="0.15">
      <c r="B20" s="28" t="s">
        <v>91</v>
      </c>
      <c r="C20" s="25" t="s">
        <v>92</v>
      </c>
      <c r="D20" s="26">
        <v>0.2</v>
      </c>
      <c r="E20" s="27">
        <f>+[2]Establecimiento!E21</f>
        <v>217019</v>
      </c>
    </row>
    <row r="21" spans="2:23" x14ac:dyDescent="0.15">
      <c r="B21" s="15" t="s">
        <v>93</v>
      </c>
      <c r="C21" s="25" t="s">
        <v>94</v>
      </c>
      <c r="D21" s="26">
        <v>0.5</v>
      </c>
      <c r="E21" s="27">
        <f>+'[2]Estudio de Mercado'!J10</f>
        <v>26794.5</v>
      </c>
    </row>
    <row r="22" spans="2:23" x14ac:dyDescent="0.15">
      <c r="B22" s="15" t="s">
        <v>95</v>
      </c>
      <c r="C22" s="25" t="s">
        <v>96</v>
      </c>
      <c r="D22" s="26">
        <v>1</v>
      </c>
      <c r="E22" s="27">
        <f>+'[2]Estudio de Mercado'!K15</f>
        <v>236.33580000000001</v>
      </c>
    </row>
    <row r="23" spans="2:23" ht="17.25" customHeight="1" x14ac:dyDescent="0.15">
      <c r="B23" s="15" t="s">
        <v>97</v>
      </c>
      <c r="C23" s="25" t="s">
        <v>98</v>
      </c>
      <c r="D23" s="26">
        <v>3</v>
      </c>
      <c r="E23" s="29">
        <f>+[2]Establecimiento!E24</f>
        <v>45342.95</v>
      </c>
      <c r="V23" s="7">
        <v>19007771</v>
      </c>
      <c r="W23" s="7">
        <v>33000000</v>
      </c>
    </row>
    <row r="24" spans="2:23" ht="36" x14ac:dyDescent="0.15">
      <c r="B24" s="15" t="s">
        <v>99</v>
      </c>
      <c r="C24" s="25" t="s">
        <v>100</v>
      </c>
      <c r="D24" s="17" t="s">
        <v>101</v>
      </c>
      <c r="E24" s="27">
        <f>+'[3]Estudio de Mercado'!$B$72</f>
        <v>62508</v>
      </c>
      <c r="F24" s="30"/>
      <c r="K24" s="31"/>
      <c r="L24" s="32"/>
      <c r="V24" s="7">
        <f>+V23/877802</f>
        <v>21.653825122294094</v>
      </c>
      <c r="W24" s="7">
        <f>+W23/1160000</f>
        <v>28.448275862068964</v>
      </c>
    </row>
    <row r="25" spans="2:23" x14ac:dyDescent="0.15">
      <c r="B25" s="15" t="s">
        <v>102</v>
      </c>
      <c r="C25" s="25" t="s">
        <v>101</v>
      </c>
      <c r="D25" s="33">
        <v>0.05</v>
      </c>
      <c r="E25" s="34"/>
      <c r="W25" s="7">
        <f>+W24/V24</f>
        <v>1.3137760049968963</v>
      </c>
    </row>
    <row r="26" spans="2:23" ht="24" x14ac:dyDescent="0.15">
      <c r="B26" s="15" t="s">
        <v>103</v>
      </c>
      <c r="C26" s="25" t="s">
        <v>101</v>
      </c>
      <c r="D26" s="33">
        <v>0.05</v>
      </c>
      <c r="E26" s="34"/>
      <c r="K26" s="32"/>
      <c r="V26" s="7">
        <v>99601593.629999995</v>
      </c>
    </row>
    <row r="27" spans="2:23" ht="20.25" customHeight="1" x14ac:dyDescent="0.15">
      <c r="B27" s="15" t="s">
        <v>104</v>
      </c>
      <c r="C27" s="25" t="s">
        <v>105</v>
      </c>
      <c r="D27" s="35">
        <v>65000</v>
      </c>
      <c r="E27" s="34"/>
      <c r="V27" s="7">
        <f>+V26/1160000</f>
        <v>85.863442784482757</v>
      </c>
    </row>
    <row r="28" spans="2:23" ht="19.5" customHeight="1" x14ac:dyDescent="0.15">
      <c r="B28" s="15" t="s">
        <v>106</v>
      </c>
      <c r="C28" s="25" t="s">
        <v>101</v>
      </c>
      <c r="D28" s="36">
        <v>0.1</v>
      </c>
      <c r="E28" s="34"/>
      <c r="G28" s="7">
        <v>1962</v>
      </c>
      <c r="H28" s="7">
        <v>359</v>
      </c>
      <c r="I28" s="7">
        <f>162.5+685</f>
        <v>847.5</v>
      </c>
      <c r="J28" s="7">
        <f>70.5+685</f>
        <v>755.5</v>
      </c>
    </row>
    <row r="29" spans="2:23" ht="6" customHeight="1" x14ac:dyDescent="0.15">
      <c r="B29" s="37"/>
      <c r="D29" s="38"/>
      <c r="E29" s="9"/>
      <c r="F29" s="39"/>
      <c r="G29" s="6"/>
      <c r="H29" s="6"/>
    </row>
    <row r="30" spans="2:23" ht="6.75" customHeight="1" thickBot="1" x14ac:dyDescent="0.2">
      <c r="B30" s="37"/>
      <c r="D30" s="38"/>
      <c r="E30" s="9"/>
      <c r="F30" s="39"/>
      <c r="G30" s="6"/>
      <c r="H30" s="6"/>
    </row>
    <row r="31" spans="2:23" ht="22.5" customHeight="1" x14ac:dyDescent="0.15">
      <c r="B31" s="709" t="s">
        <v>107</v>
      </c>
      <c r="C31" s="710"/>
      <c r="D31" s="710" t="s">
        <v>108</v>
      </c>
      <c r="E31" s="710"/>
      <c r="F31" s="710"/>
      <c r="G31" s="40">
        <v>91.7</v>
      </c>
      <c r="H31" s="39"/>
      <c r="I31" s="7">
        <f>+G31+685</f>
        <v>776.7</v>
      </c>
    </row>
    <row r="32" spans="2:23" hidden="1" x14ac:dyDescent="0.15">
      <c r="B32" s="41" t="s">
        <v>109</v>
      </c>
      <c r="C32" s="2"/>
      <c r="D32" s="2"/>
      <c r="E32" s="2"/>
      <c r="F32" s="2"/>
      <c r="G32" s="42"/>
    </row>
    <row r="33" spans="1:20" ht="26.25" hidden="1" customHeight="1" x14ac:dyDescent="0.15">
      <c r="B33" s="41" t="s">
        <v>110</v>
      </c>
      <c r="C33" s="2">
        <v>8</v>
      </c>
      <c r="D33" s="2"/>
      <c r="E33" s="2"/>
      <c r="F33" s="2"/>
      <c r="G33" s="42"/>
    </row>
    <row r="34" spans="1:20" ht="30.75" customHeight="1" x14ac:dyDescent="0.15">
      <c r="B34" s="43" t="s">
        <v>111</v>
      </c>
      <c r="C34" s="44" t="s">
        <v>3</v>
      </c>
      <c r="D34" s="45" t="s">
        <v>112</v>
      </c>
      <c r="E34" s="45" t="s">
        <v>113</v>
      </c>
      <c r="F34" s="45" t="s">
        <v>114</v>
      </c>
      <c r="G34" s="46" t="s">
        <v>115</v>
      </c>
      <c r="H34" s="47"/>
    </row>
    <row r="35" spans="1:20" x14ac:dyDescent="0.15">
      <c r="B35" s="48" t="s">
        <v>116</v>
      </c>
      <c r="C35" s="49"/>
      <c r="D35" s="49"/>
      <c r="E35" s="49"/>
      <c r="F35" s="49"/>
      <c r="G35" s="50"/>
      <c r="H35" s="51"/>
    </row>
    <row r="36" spans="1:20" ht="15.75" customHeight="1" x14ac:dyDescent="0.15">
      <c r="B36" s="52" t="s">
        <v>117</v>
      </c>
      <c r="C36" s="711" t="s">
        <v>118</v>
      </c>
      <c r="D36" s="711"/>
      <c r="E36" s="53"/>
      <c r="F36" s="53"/>
      <c r="G36" s="54"/>
      <c r="H36" s="51"/>
      <c r="I36" s="7">
        <v>2020</v>
      </c>
      <c r="K36" s="31"/>
    </row>
    <row r="37" spans="1:20" x14ac:dyDescent="0.15">
      <c r="B37" s="55" t="s">
        <v>119</v>
      </c>
      <c r="C37" s="25" t="s">
        <v>120</v>
      </c>
      <c r="D37" s="56">
        <v>1100</v>
      </c>
      <c r="E37" s="57">
        <f>+(($E$24*D72)/D37)</f>
        <v>681.90545454545452</v>
      </c>
      <c r="F37" s="57">
        <f t="shared" ref="F37:F42" si="0">+D37*E37</f>
        <v>750096</v>
      </c>
      <c r="G37" s="58">
        <f t="shared" ref="G37:G42" si="1">+F37*$G$31</f>
        <v>68783803.200000003</v>
      </c>
      <c r="H37" s="59"/>
      <c r="I37" s="58">
        <f>+'[4]P 5 C.Mant. B.P.'!$F$40</f>
        <v>291930</v>
      </c>
      <c r="J37" s="31"/>
      <c r="K37" s="31"/>
    </row>
    <row r="38" spans="1:20" x14ac:dyDescent="0.15">
      <c r="B38" s="55" t="s">
        <v>121</v>
      </c>
      <c r="C38" s="25" t="s">
        <v>105</v>
      </c>
      <c r="D38" s="56">
        <v>3</v>
      </c>
      <c r="E38" s="57">
        <f>+D27</f>
        <v>65000</v>
      </c>
      <c r="F38" s="57">
        <f>+D38*E38</f>
        <v>195000</v>
      </c>
      <c r="G38" s="58">
        <f t="shared" si="1"/>
        <v>17881500</v>
      </c>
      <c r="H38" s="59"/>
      <c r="I38" s="58">
        <f>+'[4]P 5 C.Mant. B.P.'!$F$44</f>
        <v>75000</v>
      </c>
      <c r="J38" s="31"/>
      <c r="K38" s="31"/>
    </row>
    <row r="39" spans="1:20" x14ac:dyDescent="0.15">
      <c r="B39" s="55" t="s">
        <v>122</v>
      </c>
      <c r="C39" s="25" t="s">
        <v>61</v>
      </c>
      <c r="D39" s="56">
        <v>220</v>
      </c>
      <c r="E39" s="157">
        <f>+(($E$24*D74)/D39)</f>
        <v>568.25454545454545</v>
      </c>
      <c r="F39" s="57">
        <f>+D39*E39</f>
        <v>125016</v>
      </c>
      <c r="G39" s="58">
        <f t="shared" si="1"/>
        <v>11463967.200000001</v>
      </c>
      <c r="H39" s="59"/>
      <c r="I39" s="58">
        <f>+'[4]P 5 C.Mant. B.P.'!$F$47</f>
        <v>97458</v>
      </c>
      <c r="J39" s="31"/>
      <c r="K39" s="31"/>
    </row>
    <row r="40" spans="1:20" x14ac:dyDescent="0.15">
      <c r="A40" s="7" t="s">
        <v>172</v>
      </c>
      <c r="B40" s="55" t="s">
        <v>124</v>
      </c>
      <c r="C40" s="25" t="s">
        <v>61</v>
      </c>
      <c r="D40" s="56">
        <f>+$D$10+$D$11</f>
        <v>1100</v>
      </c>
      <c r="E40" s="157">
        <f>+(($E$24*D76)/D40)</f>
        <v>113.6509090909091</v>
      </c>
      <c r="F40" s="57">
        <f t="shared" si="0"/>
        <v>125016</v>
      </c>
      <c r="G40" s="58">
        <f t="shared" si="1"/>
        <v>11463967.200000001</v>
      </c>
      <c r="H40" s="59"/>
      <c r="I40" s="58">
        <f>+'[4]P 5 C.Mant. B.P.'!$F$43</f>
        <v>48840</v>
      </c>
      <c r="J40" s="31"/>
      <c r="K40" s="31"/>
    </row>
    <row r="41" spans="1:20" x14ac:dyDescent="0.15">
      <c r="A41" s="7" t="s">
        <v>173</v>
      </c>
      <c r="B41" s="55" t="s">
        <v>125</v>
      </c>
      <c r="C41" s="25" t="s">
        <v>61</v>
      </c>
      <c r="D41" s="56">
        <f>+$D$10+$D$11</f>
        <v>1100</v>
      </c>
      <c r="E41" s="57">
        <f>+(($E$24*D77)/D41)</f>
        <v>56.825454545454548</v>
      </c>
      <c r="F41" s="57">
        <f t="shared" si="0"/>
        <v>62508</v>
      </c>
      <c r="G41" s="58">
        <f t="shared" si="1"/>
        <v>5731983.6000000006</v>
      </c>
      <c r="H41" s="59"/>
      <c r="I41" s="58">
        <f>+'[4]P 5 C.Mant. B.P.'!$F$46</f>
        <v>97680</v>
      </c>
      <c r="J41" s="31"/>
      <c r="K41" s="31"/>
      <c r="T41" s="7" t="s">
        <v>126</v>
      </c>
    </row>
    <row r="42" spans="1:20" x14ac:dyDescent="0.15">
      <c r="B42" s="60" t="s">
        <v>127</v>
      </c>
      <c r="C42" s="25" t="s">
        <v>128</v>
      </c>
      <c r="D42" s="56">
        <v>10000</v>
      </c>
      <c r="E42" s="57">
        <f>+(($E$24*D78)/D42)</f>
        <v>75.009600000000006</v>
      </c>
      <c r="F42" s="57">
        <f t="shared" si="0"/>
        <v>750096.00000000012</v>
      </c>
      <c r="G42" s="58">
        <f t="shared" si="1"/>
        <v>68783803.200000018</v>
      </c>
      <c r="H42" s="59"/>
      <c r="I42" s="58">
        <f>+'[4]P 5 C.Mant. B.P.'!$F$48</f>
        <v>290000</v>
      </c>
      <c r="J42" s="31"/>
      <c r="K42" s="31"/>
    </row>
    <row r="43" spans="1:20" x14ac:dyDescent="0.15">
      <c r="B43" s="61" t="s">
        <v>129</v>
      </c>
      <c r="C43" s="25"/>
      <c r="D43" s="56"/>
      <c r="E43" s="57"/>
      <c r="F43" s="57"/>
      <c r="G43" s="58"/>
      <c r="H43" s="59"/>
      <c r="I43" s="58">
        <f>+'[4]P 5 C.Mant. B.P.'!$F$49</f>
        <v>97528</v>
      </c>
      <c r="J43" s="31"/>
      <c r="K43" s="31"/>
    </row>
    <row r="44" spans="1:20" x14ac:dyDescent="0.15">
      <c r="B44" s="52" t="s">
        <v>130</v>
      </c>
      <c r="C44" s="62"/>
      <c r="D44" s="63"/>
      <c r="E44" s="64"/>
      <c r="F44" s="65">
        <f>+SUM(F37:F43)</f>
        <v>2007732</v>
      </c>
      <c r="G44" s="66">
        <f>+SUM(G37:G43)</f>
        <v>184109024.40000004</v>
      </c>
      <c r="H44" s="67"/>
      <c r="I44" s="66">
        <f>SUM(I37:I43)</f>
        <v>998436</v>
      </c>
      <c r="J44" s="32"/>
      <c r="K44" s="32"/>
    </row>
    <row r="45" spans="1:20" ht="15.75" customHeight="1" x14ac:dyDescent="0.15">
      <c r="B45" s="712" t="s">
        <v>131</v>
      </c>
      <c r="C45" s="713"/>
      <c r="D45" s="713"/>
      <c r="E45" s="713"/>
      <c r="F45" s="713"/>
      <c r="G45" s="68"/>
      <c r="H45" s="34"/>
    </row>
    <row r="46" spans="1:20" x14ac:dyDescent="0.15">
      <c r="B46" s="55" t="s">
        <v>132</v>
      </c>
      <c r="C46" s="25" t="s">
        <v>133</v>
      </c>
      <c r="D46" s="69">
        <f>ROUNDUP(D10*D12,0)</f>
        <v>220</v>
      </c>
      <c r="E46" s="57">
        <f>+E10</f>
        <v>4500</v>
      </c>
      <c r="F46" s="57">
        <f t="shared" ref="F46:F49" si="2">+D46*E46</f>
        <v>990000</v>
      </c>
      <c r="G46" s="58">
        <f t="shared" ref="G46:G49" si="3">+F46*$G$31</f>
        <v>90783000</v>
      </c>
      <c r="H46" s="70">
        <f>+'[4]P 5 C.Mant. B.P.'!$D$52</f>
        <v>111</v>
      </c>
      <c r="I46" s="58">
        <f>+'[4]P 5 C.Mant. B.P.'!$F$52</f>
        <v>149073</v>
      </c>
      <c r="J46" s="31" t="s">
        <v>134</v>
      </c>
    </row>
    <row r="47" spans="1:20" x14ac:dyDescent="0.15">
      <c r="B47" s="55" t="s">
        <v>88</v>
      </c>
      <c r="C47" s="25" t="s">
        <v>135</v>
      </c>
      <c r="D47" s="69">
        <f>ROUNDUP(($D$10*D17*2)/1000,0)</f>
        <v>110</v>
      </c>
      <c r="E47" s="57">
        <f>+E17</f>
        <v>168900</v>
      </c>
      <c r="F47" s="57">
        <f t="shared" si="2"/>
        <v>18579000</v>
      </c>
      <c r="G47" s="58">
        <f t="shared" si="3"/>
        <v>1703694300</v>
      </c>
      <c r="H47" s="70">
        <f>+'[4]P 5 C.Mant. B.P.'!$D$53</f>
        <v>56</v>
      </c>
      <c r="I47" s="58">
        <f>+'[4]P 5 C.Mant. B.P.'!$F$53</f>
        <v>0</v>
      </c>
      <c r="J47" s="31" t="s">
        <v>136</v>
      </c>
    </row>
    <row r="48" spans="1:20" x14ac:dyDescent="0.15">
      <c r="A48" s="7" t="s">
        <v>5</v>
      </c>
      <c r="B48" s="55" t="s">
        <v>6</v>
      </c>
      <c r="C48" s="25" t="s">
        <v>135</v>
      </c>
      <c r="D48" s="69">
        <f>ROUNDUP((D16*2)/1,0)</f>
        <v>550</v>
      </c>
      <c r="E48" s="152">
        <f>+E16</f>
        <v>67940</v>
      </c>
      <c r="F48" s="152">
        <f t="shared" si="2"/>
        <v>37367000</v>
      </c>
      <c r="G48" s="153">
        <f t="shared" si="3"/>
        <v>3426553900</v>
      </c>
      <c r="H48" s="70">
        <f>+'[4]P 5 C.Mant. B.P.'!$D$55</f>
        <v>222</v>
      </c>
      <c r="I48" s="153">
        <f>+'[4]P 5 C.Mant. B.P.'!$F$55</f>
        <v>377844</v>
      </c>
      <c r="J48" s="140" t="s">
        <v>137</v>
      </c>
    </row>
    <row r="49" spans="1:22" x14ac:dyDescent="0.15">
      <c r="A49" s="7" t="s">
        <v>173</v>
      </c>
      <c r="B49" s="55" t="str">
        <f>+'Estudio de Mercado'!A5</f>
        <v>Insecticida granular (hormiga)</v>
      </c>
      <c r="C49" s="25" t="s">
        <v>138</v>
      </c>
      <c r="D49" s="69">
        <f>+D19</f>
        <v>1</v>
      </c>
      <c r="E49" s="152">
        <f>+E19</f>
        <v>0</v>
      </c>
      <c r="F49" s="152">
        <f t="shared" si="2"/>
        <v>0</v>
      </c>
      <c r="G49" s="153">
        <f t="shared" si="3"/>
        <v>0</v>
      </c>
      <c r="H49" s="70"/>
      <c r="I49" s="153"/>
      <c r="J49" s="140"/>
    </row>
    <row r="50" spans="1:22" x14ac:dyDescent="0.15">
      <c r="B50" s="712" t="s">
        <v>139</v>
      </c>
      <c r="C50" s="713"/>
      <c r="D50" s="713"/>
      <c r="E50" s="713"/>
      <c r="F50" s="71">
        <f>+SUM(F46:F49)</f>
        <v>56936000</v>
      </c>
      <c r="G50" s="72">
        <f>+SUM(G46:G49)</f>
        <v>5221031200</v>
      </c>
      <c r="H50" s="73"/>
      <c r="I50" s="72">
        <f>SUM(I46:I49)</f>
        <v>526917</v>
      </c>
      <c r="J50" s="31"/>
      <c r="L50" s="74"/>
      <c r="M50" s="75"/>
      <c r="N50" s="75"/>
      <c r="O50" s="76"/>
      <c r="P50" s="77"/>
      <c r="Q50" s="77"/>
    </row>
    <row r="51" spans="1:22" x14ac:dyDescent="0.15">
      <c r="B51" s="706" t="s">
        <v>140</v>
      </c>
      <c r="C51" s="707"/>
      <c r="D51" s="707"/>
      <c r="E51" s="707"/>
      <c r="F51" s="78">
        <f>+F44+F50</f>
        <v>58943732</v>
      </c>
      <c r="G51" s="79">
        <f>+F51*$G$31</f>
        <v>5405140224.4000006</v>
      </c>
      <c r="H51" s="80"/>
      <c r="I51" s="80"/>
      <c r="J51" s="80"/>
      <c r="K51" s="81"/>
    </row>
    <row r="52" spans="1:22" ht="15.75" customHeight="1" x14ac:dyDescent="0.15">
      <c r="B52" s="714" t="s">
        <v>141</v>
      </c>
      <c r="C52" s="715"/>
      <c r="D52" s="715"/>
      <c r="E52" s="715"/>
      <c r="F52" s="82"/>
      <c r="G52" s="83"/>
      <c r="H52" s="34"/>
      <c r="I52" s="47"/>
      <c r="J52" s="34"/>
    </row>
    <row r="53" spans="1:22" ht="15.75" customHeight="1" x14ac:dyDescent="0.15">
      <c r="B53" s="716" t="s">
        <v>142</v>
      </c>
      <c r="C53" s="717"/>
      <c r="D53" s="717"/>
      <c r="E53" s="717"/>
      <c r="F53" s="84">
        <f>ROUND($F$44*$D$25,0)</f>
        <v>100387</v>
      </c>
      <c r="G53" s="85">
        <f>+F53*G31</f>
        <v>9205487.9000000004</v>
      </c>
      <c r="H53" s="86"/>
      <c r="I53" s="86"/>
      <c r="J53" s="86"/>
    </row>
    <row r="54" spans="1:22" ht="15.75" customHeight="1" x14ac:dyDescent="0.15">
      <c r="B54" s="716" t="s">
        <v>143</v>
      </c>
      <c r="C54" s="717"/>
      <c r="D54" s="717"/>
      <c r="E54" s="717"/>
      <c r="F54" s="84">
        <f>ROUND($F$44*$D$25,0)</f>
        <v>100387</v>
      </c>
      <c r="G54" s="85">
        <f>+F54*G31</f>
        <v>9205487.9000000004</v>
      </c>
      <c r="H54" s="86"/>
      <c r="I54" s="86"/>
      <c r="J54" s="86"/>
    </row>
    <row r="55" spans="1:22" x14ac:dyDescent="0.15">
      <c r="B55" s="716" t="s">
        <v>176</v>
      </c>
      <c r="C55" s="717"/>
      <c r="D55" s="717"/>
      <c r="E55" s="717"/>
      <c r="F55" s="87">
        <f>ROUNDUP(F50*D28,0)</f>
        <v>5693600</v>
      </c>
      <c r="G55" s="88">
        <f>+F55*$G$31</f>
        <v>522103120</v>
      </c>
      <c r="H55" s="89"/>
      <c r="I55" s="89"/>
      <c r="J55" s="89"/>
    </row>
    <row r="56" spans="1:22" x14ac:dyDescent="0.15">
      <c r="B56" s="714" t="s">
        <v>144</v>
      </c>
      <c r="C56" s="715"/>
      <c r="D56" s="715"/>
      <c r="E56" s="715"/>
      <c r="F56" s="90">
        <f>SUM(F53:F55)</f>
        <v>5894374</v>
      </c>
      <c r="G56" s="91">
        <f>SUM(G53:G55)</f>
        <v>540514095.79999995</v>
      </c>
      <c r="H56" s="80"/>
      <c r="I56" s="80"/>
      <c r="J56" s="80"/>
    </row>
    <row r="57" spans="1:22" ht="15.75" customHeight="1" thickBot="1" x14ac:dyDescent="0.2">
      <c r="B57" s="718" t="s">
        <v>145</v>
      </c>
      <c r="C57" s="719"/>
      <c r="D57" s="719"/>
      <c r="E57" s="719"/>
      <c r="F57" s="92">
        <f>+F51+F56</f>
        <v>64838106</v>
      </c>
      <c r="G57" s="93">
        <f>+G51+G56</f>
        <v>5945654320.2000008</v>
      </c>
      <c r="H57" s="94"/>
      <c r="I57" s="94"/>
      <c r="J57" s="94"/>
    </row>
    <row r="58" spans="1:22" ht="15.75" customHeight="1" x14ac:dyDescent="0.15">
      <c r="B58" s="95" t="s">
        <v>111</v>
      </c>
      <c r="C58" s="96" t="s">
        <v>146</v>
      </c>
      <c r="D58" s="97" t="s">
        <v>147</v>
      </c>
      <c r="E58" s="97" t="s">
        <v>148</v>
      </c>
      <c r="F58" s="97" t="s">
        <v>149</v>
      </c>
      <c r="G58" s="98" t="s">
        <v>150</v>
      </c>
      <c r="H58" s="94"/>
      <c r="I58" s="94"/>
      <c r="J58" s="94"/>
    </row>
    <row r="59" spans="1:22" ht="15.75" customHeight="1" x14ac:dyDescent="0.15">
      <c r="B59" s="99" t="s">
        <v>151</v>
      </c>
      <c r="C59" s="100"/>
      <c r="D59" s="101"/>
      <c r="E59" s="101"/>
      <c r="F59" s="101"/>
      <c r="G59" s="102"/>
      <c r="H59" s="94"/>
      <c r="I59" s="94"/>
      <c r="J59" s="94"/>
    </row>
    <row r="60" spans="1:22" ht="15.75" customHeight="1" x14ac:dyDescent="0.15">
      <c r="B60" s="103" t="s">
        <v>152</v>
      </c>
      <c r="C60" s="104">
        <v>0.01</v>
      </c>
      <c r="D60" s="105" t="s">
        <v>153</v>
      </c>
      <c r="E60" s="105">
        <v>10</v>
      </c>
      <c r="F60" s="106">
        <f>3800000*E60*C60</f>
        <v>380000</v>
      </c>
      <c r="G60" s="107">
        <f>+F60*$G$31</f>
        <v>34846000</v>
      </c>
      <c r="H60" s="94"/>
      <c r="I60" s="94"/>
      <c r="J60" s="94"/>
    </row>
    <row r="61" spans="1:22" ht="15.75" customHeight="1" thickBot="1" x14ac:dyDescent="0.2">
      <c r="B61" s="108" t="s">
        <v>154</v>
      </c>
      <c r="C61" s="109"/>
      <c r="D61" s="110"/>
      <c r="E61" s="110"/>
      <c r="F61" s="111">
        <f>SUM(F60)</f>
        <v>380000</v>
      </c>
      <c r="G61" s="112">
        <f>+G60</f>
        <v>34846000</v>
      </c>
      <c r="H61" s="94"/>
      <c r="I61" s="94"/>
      <c r="J61" s="94"/>
    </row>
    <row r="62" spans="1:22" x14ac:dyDescent="0.15">
      <c r="B62" s="113" t="s">
        <v>155</v>
      </c>
      <c r="C62" s="114"/>
      <c r="D62" s="114"/>
      <c r="E62" s="114"/>
      <c r="F62" s="115">
        <f>+F57+F61</f>
        <v>65218106</v>
      </c>
      <c r="G62" s="116">
        <f>+G57+G61</f>
        <v>5980500320.2000008</v>
      </c>
      <c r="I62" s="117">
        <f>+G31-I63-I64-I65</f>
        <v>-2197.3000000000002</v>
      </c>
      <c r="J62" s="32">
        <f>+I62*$F$67</f>
        <v>-167593729047.5</v>
      </c>
      <c r="K62" s="31"/>
      <c r="V62" s="118"/>
    </row>
    <row r="63" spans="1:22" x14ac:dyDescent="0.15">
      <c r="B63" s="119" t="s">
        <v>156</v>
      </c>
      <c r="C63" s="120">
        <v>0.1</v>
      </c>
      <c r="D63" s="121"/>
      <c r="E63" s="122"/>
      <c r="F63" s="123">
        <f>ROUND($F$62*C63,0)</f>
        <v>6521811</v>
      </c>
      <c r="G63" s="124">
        <f>+F63*$G$31</f>
        <v>598050068.70000005</v>
      </c>
      <c r="H63" s="125"/>
      <c r="I63" s="7">
        <v>848</v>
      </c>
      <c r="J63" s="32">
        <f>+I63*$F$67</f>
        <v>64679143600</v>
      </c>
      <c r="K63" s="31"/>
      <c r="L63" s="31"/>
      <c r="M63" s="117"/>
    </row>
    <row r="64" spans="1:22" x14ac:dyDescent="0.15">
      <c r="B64" s="126" t="s">
        <v>157</v>
      </c>
      <c r="C64" s="127">
        <v>0.01</v>
      </c>
      <c r="D64" s="128"/>
      <c r="E64" s="129"/>
      <c r="F64" s="130">
        <f>ROUND($F$62*C64,0)</f>
        <v>652181</v>
      </c>
      <c r="G64" s="124">
        <f>+F64*$G$31</f>
        <v>59804997.700000003</v>
      </c>
      <c r="H64" s="125"/>
      <c r="I64" s="7">
        <v>756</v>
      </c>
      <c r="J64" s="32">
        <f>+I64*$F$67</f>
        <v>57662066700</v>
      </c>
      <c r="K64" s="31"/>
      <c r="L64" s="31"/>
      <c r="M64" s="117"/>
    </row>
    <row r="65" spans="2:20" x14ac:dyDescent="0.15">
      <c r="B65" s="126" t="s">
        <v>158</v>
      </c>
      <c r="C65" s="127">
        <v>0.05</v>
      </c>
      <c r="D65" s="128"/>
      <c r="E65" s="129"/>
      <c r="F65" s="130">
        <f>ROUND($F$62*C65,0)</f>
        <v>3260905</v>
      </c>
      <c r="G65" s="124">
        <f>+F65*$G$31</f>
        <v>299024988.5</v>
      </c>
      <c r="H65" s="125"/>
      <c r="I65" s="7">
        <v>685</v>
      </c>
      <c r="J65" s="32">
        <f>+I65*$F$67</f>
        <v>52246713875</v>
      </c>
      <c r="K65" s="31"/>
      <c r="L65" s="31"/>
      <c r="M65" s="117"/>
    </row>
    <row r="66" spans="2:20" ht="14" thickBot="1" x14ac:dyDescent="0.2">
      <c r="B66" s="126" t="s">
        <v>159</v>
      </c>
      <c r="C66" s="127">
        <v>0.19</v>
      </c>
      <c r="D66" s="128"/>
      <c r="E66" s="129"/>
      <c r="F66" s="130">
        <f>ROUND(F65*C66,0)</f>
        <v>619572</v>
      </c>
      <c r="G66" s="124">
        <f>+F66*$G$31</f>
        <v>56814752.399999999</v>
      </c>
      <c r="H66" s="125"/>
      <c r="J66" s="125"/>
      <c r="K66" s="31"/>
      <c r="L66" s="31"/>
      <c r="M66" s="117"/>
      <c r="T66" s="131">
        <f>+SUM(G63:G66)</f>
        <v>1013694807.3000001</v>
      </c>
    </row>
    <row r="67" spans="2:20" ht="14" thickBot="1" x14ac:dyDescent="0.2">
      <c r="B67" s="720" t="s">
        <v>160</v>
      </c>
      <c r="C67" s="721"/>
      <c r="D67" s="721"/>
      <c r="E67" s="721"/>
      <c r="F67" s="132">
        <f>+F62+F63+F66+F65+F64</f>
        <v>76272575</v>
      </c>
      <c r="G67" s="132">
        <f>+G62+G63+G66+G65+G64</f>
        <v>6994195127.5</v>
      </c>
      <c r="H67" s="125">
        <f>+F67*718</f>
        <v>54763708850</v>
      </c>
      <c r="I67" s="31"/>
      <c r="J67" s="117"/>
    </row>
    <row r="68" spans="2:20" x14ac:dyDescent="0.15">
      <c r="C68" s="38"/>
      <c r="G68" s="133"/>
      <c r="H68" s="125"/>
      <c r="I68" s="117"/>
    </row>
    <row r="69" spans="2:20" x14ac:dyDescent="0.15">
      <c r="G69" s="134"/>
      <c r="H69" s="134"/>
      <c r="I69" s="31"/>
    </row>
    <row r="70" spans="2:20" ht="14" thickBot="1" x14ac:dyDescent="0.2">
      <c r="B70" s="661" t="s">
        <v>161</v>
      </c>
      <c r="C70" s="661"/>
      <c r="D70" s="661"/>
      <c r="G70" s="117"/>
      <c r="I70" s="117">
        <f>+[5]Enriquecimiento!G77*1.15</f>
        <v>189754980.26666668</v>
      </c>
      <c r="K70" s="31"/>
    </row>
    <row r="71" spans="2:20" x14ac:dyDescent="0.15">
      <c r="B71" s="135" t="s">
        <v>162</v>
      </c>
      <c r="C71" s="136" t="s">
        <v>163</v>
      </c>
      <c r="D71" s="137" t="s">
        <v>164</v>
      </c>
      <c r="I71" s="32">
        <f>+I70+I69</f>
        <v>189754980.26666668</v>
      </c>
      <c r="K71" s="31"/>
    </row>
    <row r="72" spans="2:20" x14ac:dyDescent="0.15">
      <c r="B72" s="55" t="s">
        <v>120</v>
      </c>
      <c r="C72" s="25" t="s">
        <v>100</v>
      </c>
      <c r="D72" s="138">
        <v>12</v>
      </c>
      <c r="E72" s="139"/>
      <c r="G72" s="31"/>
      <c r="H72" s="140"/>
      <c r="I72" s="31"/>
      <c r="K72" s="32"/>
    </row>
    <row r="73" spans="2:20" x14ac:dyDescent="0.15">
      <c r="B73" s="55" t="s">
        <v>121</v>
      </c>
      <c r="C73" s="25" t="s">
        <v>105</v>
      </c>
      <c r="D73" s="138">
        <v>2</v>
      </c>
      <c r="E73" s="139"/>
      <c r="I73" s="32"/>
      <c r="J73" s="38"/>
    </row>
    <row r="74" spans="2:20" x14ac:dyDescent="0.15">
      <c r="B74" s="55" t="s">
        <v>122</v>
      </c>
      <c r="C74" s="25" t="s">
        <v>100</v>
      </c>
      <c r="D74" s="138">
        <v>2</v>
      </c>
      <c r="E74" s="139"/>
      <c r="I74" s="31"/>
      <c r="J74" s="38"/>
      <c r="K74" s="31"/>
    </row>
    <row r="75" spans="2:20" x14ac:dyDescent="0.15">
      <c r="B75" s="55" t="s">
        <v>123</v>
      </c>
      <c r="C75" s="25" t="s">
        <v>100</v>
      </c>
      <c r="D75" s="138">
        <v>0</v>
      </c>
      <c r="E75" s="139"/>
      <c r="I75" s="32"/>
    </row>
    <row r="76" spans="2:20" x14ac:dyDescent="0.15">
      <c r="B76" s="55" t="s">
        <v>165</v>
      </c>
      <c r="C76" s="25" t="s">
        <v>100</v>
      </c>
      <c r="D76" s="138">
        <v>2</v>
      </c>
      <c r="E76" s="139"/>
    </row>
    <row r="77" spans="2:20" x14ac:dyDescent="0.15">
      <c r="B77" s="55" t="s">
        <v>125</v>
      </c>
      <c r="C77" s="25" t="s">
        <v>100</v>
      </c>
      <c r="D77" s="138">
        <v>1</v>
      </c>
      <c r="E77" s="139"/>
    </row>
    <row r="78" spans="2:20" x14ac:dyDescent="0.15">
      <c r="B78" s="60" t="s">
        <v>166</v>
      </c>
      <c r="C78" s="25" t="s">
        <v>100</v>
      </c>
      <c r="D78" s="138">
        <v>12</v>
      </c>
      <c r="E78" s="139"/>
    </row>
    <row r="79" spans="2:20" ht="14" thickBot="1" x14ac:dyDescent="0.2">
      <c r="B79" s="141"/>
      <c r="C79" s="142"/>
      <c r="D79" s="143">
        <f>SUM(D72:D78)</f>
        <v>31</v>
      </c>
      <c r="E79" s="139"/>
    </row>
    <row r="80" spans="2:20" x14ac:dyDescent="0.15">
      <c r="D80" s="144" t="s">
        <v>167</v>
      </c>
    </row>
    <row r="82" spans="2:7" ht="14" thickBot="1" x14ac:dyDescent="0.2"/>
    <row r="83" spans="2:7" ht="14" thickBot="1" x14ac:dyDescent="0.2">
      <c r="B83" s="722" t="s">
        <v>168</v>
      </c>
      <c r="C83" s="723"/>
      <c r="D83" s="723"/>
      <c r="E83" s="723"/>
      <c r="F83" s="723"/>
      <c r="G83" s="724"/>
    </row>
    <row r="84" spans="2:7" ht="14" thickBot="1" x14ac:dyDescent="0.2">
      <c r="B84" s="602" t="s">
        <v>169</v>
      </c>
      <c r="C84" s="603"/>
      <c r="D84" s="603"/>
      <c r="E84" s="603"/>
      <c r="F84" s="603"/>
      <c r="G84" s="604"/>
    </row>
    <row r="85" spans="2:7" x14ac:dyDescent="0.15">
      <c r="B85" s="145"/>
      <c r="C85" s="146"/>
      <c r="D85" s="146"/>
      <c r="E85" s="146"/>
      <c r="F85" s="146"/>
      <c r="G85" s="147"/>
    </row>
    <row r="86" spans="2:7" x14ac:dyDescent="0.15">
      <c r="B86" s="145"/>
      <c r="C86" s="146"/>
      <c r="D86" s="146"/>
      <c r="E86" s="146"/>
      <c r="F86" s="146"/>
      <c r="G86" s="147"/>
    </row>
    <row r="87" spans="2:7" x14ac:dyDescent="0.15">
      <c r="B87" s="145"/>
      <c r="C87" s="146"/>
      <c r="D87" s="146"/>
      <c r="E87" s="146"/>
      <c r="F87" s="146"/>
      <c r="G87" s="147"/>
    </row>
    <row r="88" spans="2:7" ht="14" thickBot="1" x14ac:dyDescent="0.2">
      <c r="B88" s="148"/>
      <c r="C88" s="149"/>
      <c r="D88" s="149"/>
      <c r="E88" s="149"/>
      <c r="F88" s="149"/>
      <c r="G88" s="150"/>
    </row>
    <row r="89" spans="2:7" ht="14" thickBot="1" x14ac:dyDescent="0.2">
      <c r="B89" s="722" t="s">
        <v>170</v>
      </c>
      <c r="C89" s="723"/>
      <c r="D89" s="723"/>
      <c r="E89" s="723"/>
      <c r="F89" s="723"/>
      <c r="G89" s="724"/>
    </row>
    <row r="90" spans="2:7" ht="14" thickBot="1" x14ac:dyDescent="0.2">
      <c r="B90" s="602" t="s">
        <v>171</v>
      </c>
      <c r="C90" s="603"/>
      <c r="D90" s="603"/>
      <c r="E90" s="603"/>
      <c r="F90" s="603"/>
      <c r="G90" s="604"/>
    </row>
    <row r="91" spans="2:7" x14ac:dyDescent="0.15">
      <c r="B91" s="145"/>
      <c r="C91" s="146"/>
      <c r="D91" s="146"/>
      <c r="E91" s="146"/>
      <c r="F91" s="146"/>
      <c r="G91" s="147"/>
    </row>
    <row r="92" spans="2:7" x14ac:dyDescent="0.15">
      <c r="B92" s="145"/>
      <c r="C92" s="146"/>
      <c r="D92" s="146"/>
      <c r="E92" s="146"/>
      <c r="F92" s="146"/>
      <c r="G92" s="147"/>
    </row>
    <row r="93" spans="2:7" x14ac:dyDescent="0.15">
      <c r="B93" s="145"/>
      <c r="C93" s="146"/>
      <c r="D93" s="146"/>
      <c r="E93" s="146"/>
      <c r="F93" s="146"/>
      <c r="G93" s="147"/>
    </row>
    <row r="94" spans="2:7" ht="14" thickBot="1" x14ac:dyDescent="0.2">
      <c r="B94" s="148"/>
      <c r="C94" s="149"/>
      <c r="D94" s="149"/>
      <c r="E94" s="149"/>
      <c r="F94" s="149"/>
      <c r="G94" s="150"/>
    </row>
  </sheetData>
  <mergeCells count="24">
    <mergeCell ref="B90:G90"/>
    <mergeCell ref="B52:E52"/>
    <mergeCell ref="B53:E53"/>
    <mergeCell ref="B54:E54"/>
    <mergeCell ref="B55:E55"/>
    <mergeCell ref="B56:E56"/>
    <mergeCell ref="B57:E57"/>
    <mergeCell ref="B67:E67"/>
    <mergeCell ref="B70:D70"/>
    <mergeCell ref="B83:G83"/>
    <mergeCell ref="B84:G84"/>
    <mergeCell ref="B89:G89"/>
    <mergeCell ref="B51:E51"/>
    <mergeCell ref="B3:G3"/>
    <mergeCell ref="C4:G4"/>
    <mergeCell ref="C5:G5"/>
    <mergeCell ref="C6:G6"/>
    <mergeCell ref="B11:C11"/>
    <mergeCell ref="B12:C12"/>
    <mergeCell ref="B31:C31"/>
    <mergeCell ref="D31:F31"/>
    <mergeCell ref="C36:D36"/>
    <mergeCell ref="B45:F45"/>
    <mergeCell ref="B50:E50"/>
  </mergeCells>
  <conditionalFormatting sqref="F56:J56">
    <cfRule type="cellIs" dxfId="2" priority="1" stopIfTrue="1" operator="greaterThan">
      <formula>0</formula>
    </cfRule>
  </conditionalFormatting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3:W94"/>
  <sheetViews>
    <sheetView topLeftCell="A22" workbookViewId="0">
      <selection activeCell="E46" sqref="E46"/>
    </sheetView>
  </sheetViews>
  <sheetFormatPr baseColWidth="10" defaultColWidth="11.5" defaultRowHeight="13" x14ac:dyDescent="0.15"/>
  <cols>
    <col min="1" max="1" width="11.5" style="7"/>
    <col min="2" max="2" width="28" style="7" customWidth="1"/>
    <col min="3" max="3" width="13.83203125" style="7" bestFit="1" customWidth="1"/>
    <col min="4" max="4" width="12.33203125" style="7" customWidth="1"/>
    <col min="5" max="5" width="14.83203125" style="7" customWidth="1"/>
    <col min="6" max="6" width="13.83203125" style="7" bestFit="1" customWidth="1"/>
    <col min="7" max="7" width="17" style="7" bestFit="1" customWidth="1"/>
    <col min="8" max="8" width="22.5" style="7" hidden="1" customWidth="1"/>
    <col min="9" max="10" width="16.5" style="7" hidden="1" customWidth="1"/>
    <col min="11" max="11" width="15.83203125" style="7" hidden="1" customWidth="1"/>
    <col min="12" max="12" width="12.83203125" style="7" hidden="1" customWidth="1"/>
    <col min="13" max="13" width="17.5" style="7" hidden="1" customWidth="1"/>
    <col min="14" max="19" width="0" style="7" hidden="1" customWidth="1"/>
    <col min="20" max="20" width="13.83203125" style="7" bestFit="1" customWidth="1"/>
    <col min="21" max="21" width="11.5" style="7"/>
    <col min="22" max="22" width="14.83203125" style="7" bestFit="1" customWidth="1"/>
    <col min="23" max="16384" width="11.5" style="7"/>
  </cols>
  <sheetData>
    <row r="3" spans="2:22" ht="25.5" customHeight="1" x14ac:dyDescent="0.15">
      <c r="B3" s="646" t="s">
        <v>69</v>
      </c>
      <c r="C3" s="646"/>
      <c r="D3" s="646"/>
      <c r="E3" s="646"/>
      <c r="F3" s="646"/>
      <c r="G3" s="646"/>
      <c r="H3" s="6"/>
    </row>
    <row r="4" spans="2:22" x14ac:dyDescent="0.15">
      <c r="B4" s="8" t="s">
        <v>70</v>
      </c>
      <c r="C4" s="647" t="s">
        <v>71</v>
      </c>
      <c r="D4" s="647"/>
      <c r="E4" s="647"/>
      <c r="F4" s="647"/>
      <c r="G4" s="647"/>
      <c r="H4" s="9"/>
    </row>
    <row r="5" spans="2:22" x14ac:dyDescent="0.15">
      <c r="B5" s="8" t="s">
        <v>72</v>
      </c>
      <c r="C5" s="648" t="s">
        <v>73</v>
      </c>
      <c r="D5" s="648"/>
      <c r="E5" s="648"/>
      <c r="F5" s="648"/>
      <c r="G5" s="648"/>
      <c r="H5" s="6"/>
    </row>
    <row r="6" spans="2:22" ht="36" customHeight="1" x14ac:dyDescent="0.15">
      <c r="B6" s="8" t="s">
        <v>74</v>
      </c>
      <c r="C6" s="708" t="s">
        <v>75</v>
      </c>
      <c r="D6" s="708"/>
      <c r="E6" s="708"/>
      <c r="F6" s="708"/>
      <c r="G6" s="708"/>
      <c r="H6" s="10"/>
    </row>
    <row r="7" spans="2:22" x14ac:dyDescent="0.15">
      <c r="B7" s="11"/>
      <c r="C7" s="11"/>
      <c r="D7" s="11"/>
      <c r="E7" s="11"/>
      <c r="F7" s="11"/>
      <c r="G7" s="11"/>
      <c r="H7" s="11"/>
    </row>
    <row r="8" spans="2:22" x14ac:dyDescent="0.15">
      <c r="B8" s="12" t="s">
        <v>76</v>
      </c>
      <c r="C8" s="13" t="s">
        <v>77</v>
      </c>
      <c r="D8" s="11"/>
      <c r="E8" s="14" t="s">
        <v>78</v>
      </c>
      <c r="F8" s="11"/>
      <c r="G8" s="11"/>
      <c r="H8" s="11"/>
    </row>
    <row r="9" spans="2:22" ht="10.5" customHeight="1" x14ac:dyDescent="0.15"/>
    <row r="10" spans="2:22" x14ac:dyDescent="0.15">
      <c r="B10" s="15" t="str">
        <f>+[1]Establec.!B10</f>
        <v>1. Número de Plántulas Arboreas por Ha</v>
      </c>
      <c r="C10" s="16"/>
      <c r="D10" s="17">
        <v>1100</v>
      </c>
      <c r="E10" s="18" t="e">
        <f>+'Estudio de Mercado'!#REF!</f>
        <v>#REF!</v>
      </c>
      <c r="F10" s="19"/>
      <c r="G10" s="20"/>
      <c r="H10" s="20"/>
    </row>
    <row r="11" spans="2:22" x14ac:dyDescent="0.15">
      <c r="B11" s="644" t="s">
        <v>79</v>
      </c>
      <c r="C11" s="645"/>
      <c r="D11" s="17">
        <v>0</v>
      </c>
      <c r="E11" s="18">
        <v>0</v>
      </c>
      <c r="F11" s="19"/>
      <c r="G11" s="20"/>
      <c r="H11" s="20"/>
    </row>
    <row r="12" spans="2:22" x14ac:dyDescent="0.15">
      <c r="B12" s="644" t="str">
        <f>+[1]Establec.!B12</f>
        <v>3. Porcentaje de reposición  %</v>
      </c>
      <c r="C12" s="645"/>
      <c r="D12" s="21">
        <v>0.2</v>
      </c>
      <c r="E12" s="18"/>
    </row>
    <row r="13" spans="2:22" ht="25.5" customHeight="1" x14ac:dyDescent="0.15">
      <c r="B13" s="15" t="s">
        <v>80</v>
      </c>
      <c r="C13" s="22" t="s">
        <v>2</v>
      </c>
      <c r="D13" s="23" t="s">
        <v>81</v>
      </c>
      <c r="E13" s="24" t="s">
        <v>82</v>
      </c>
    </row>
    <row r="14" spans="2:22" ht="22.5" customHeight="1" x14ac:dyDescent="0.15">
      <c r="B14" s="15" t="s">
        <v>83</v>
      </c>
      <c r="C14" s="25" t="s">
        <v>84</v>
      </c>
      <c r="D14" s="26">
        <v>32</v>
      </c>
      <c r="E14" s="27">
        <f>+[2]Establecimiento!E14</f>
        <v>2206.75</v>
      </c>
    </row>
    <row r="15" spans="2:22" x14ac:dyDescent="0.15">
      <c r="B15" s="15" t="s">
        <v>85</v>
      </c>
      <c r="C15" s="25" t="s">
        <v>86</v>
      </c>
      <c r="D15" s="26">
        <v>50</v>
      </c>
      <c r="E15" s="27">
        <f>+[2]Establecimiento!E16</f>
        <v>3707.5949999999998</v>
      </c>
    </row>
    <row r="16" spans="2:22" x14ac:dyDescent="0.15">
      <c r="B16" s="15" t="s">
        <v>87</v>
      </c>
      <c r="C16" s="154" t="s">
        <v>6</v>
      </c>
      <c r="D16" s="26">
        <v>275</v>
      </c>
      <c r="E16" s="27">
        <f>+'Estudio de Mercado'!N4</f>
        <v>67940</v>
      </c>
      <c r="G16" s="7">
        <v>2.5</v>
      </c>
      <c r="T16" s="7">
        <v>50</v>
      </c>
      <c r="U16" s="7">
        <v>1000</v>
      </c>
      <c r="V16" s="155">
        <f>+U16*T16*G16</f>
        <v>125000</v>
      </c>
    </row>
    <row r="17" spans="2:23" ht="21.75" customHeight="1" x14ac:dyDescent="0.15">
      <c r="B17" s="15" t="s">
        <v>83</v>
      </c>
      <c r="C17" s="25" t="s">
        <v>88</v>
      </c>
      <c r="D17" s="26">
        <v>50</v>
      </c>
      <c r="E17" s="27">
        <f>+'Estudio de Mercado'!N6</f>
        <v>168900</v>
      </c>
      <c r="T17" s="7">
        <v>1</v>
      </c>
      <c r="U17" s="7">
        <v>1</v>
      </c>
      <c r="V17" s="155"/>
    </row>
    <row r="18" spans="2:23" ht="14.25" customHeight="1" x14ac:dyDescent="0.15">
      <c r="B18" s="28" t="s">
        <v>89</v>
      </c>
      <c r="C18" s="25" t="s">
        <v>90</v>
      </c>
      <c r="D18" s="26">
        <v>1</v>
      </c>
      <c r="E18" s="27"/>
    </row>
    <row r="19" spans="2:23" x14ac:dyDescent="0.15">
      <c r="B19" s="28" t="s">
        <v>175</v>
      </c>
      <c r="C19" s="156" t="s">
        <v>174</v>
      </c>
      <c r="D19" s="26">
        <v>1</v>
      </c>
      <c r="E19" s="27">
        <f>+'Estudio de Mercado'!L5</f>
        <v>0</v>
      </c>
    </row>
    <row r="20" spans="2:23" x14ac:dyDescent="0.15">
      <c r="B20" s="28" t="s">
        <v>91</v>
      </c>
      <c r="C20" s="25" t="s">
        <v>92</v>
      </c>
      <c r="D20" s="26">
        <v>0.2</v>
      </c>
      <c r="E20" s="27">
        <f>+[2]Establecimiento!E21</f>
        <v>217019</v>
      </c>
    </row>
    <row r="21" spans="2:23" x14ac:dyDescent="0.15">
      <c r="B21" s="15" t="s">
        <v>93</v>
      </c>
      <c r="C21" s="25" t="s">
        <v>94</v>
      </c>
      <c r="D21" s="26">
        <v>0.5</v>
      </c>
      <c r="E21" s="27">
        <f>+'[2]Estudio de Mercado'!J10</f>
        <v>26794.5</v>
      </c>
    </row>
    <row r="22" spans="2:23" x14ac:dyDescent="0.15">
      <c r="B22" s="15" t="s">
        <v>95</v>
      </c>
      <c r="C22" s="25" t="s">
        <v>96</v>
      </c>
      <c r="D22" s="26">
        <v>1</v>
      </c>
      <c r="E22" s="27">
        <f>+'[2]Estudio de Mercado'!K15</f>
        <v>236.33580000000001</v>
      </c>
    </row>
    <row r="23" spans="2:23" ht="17.25" customHeight="1" x14ac:dyDescent="0.15">
      <c r="B23" s="15" t="s">
        <v>97</v>
      </c>
      <c r="C23" s="25" t="s">
        <v>98</v>
      </c>
      <c r="D23" s="26">
        <v>3</v>
      </c>
      <c r="E23" s="29">
        <f>+[2]Establecimiento!E24</f>
        <v>45342.95</v>
      </c>
      <c r="V23" s="7">
        <v>19007771</v>
      </c>
      <c r="W23" s="7">
        <v>33000000</v>
      </c>
    </row>
    <row r="24" spans="2:23" ht="36" x14ac:dyDescent="0.15">
      <c r="B24" s="15" t="s">
        <v>99</v>
      </c>
      <c r="C24" s="25" t="s">
        <v>100</v>
      </c>
      <c r="D24" s="17" t="s">
        <v>101</v>
      </c>
      <c r="E24" s="27">
        <f>+'Mtto  RP Yopo'!E24</f>
        <v>62508</v>
      </c>
      <c r="F24" s="30"/>
      <c r="K24" s="31"/>
      <c r="L24" s="32"/>
      <c r="V24" s="7">
        <f>+V23/877802</f>
        <v>21.653825122294094</v>
      </c>
      <c r="W24" s="7">
        <f>+W23/1160000</f>
        <v>28.448275862068964</v>
      </c>
    </row>
    <row r="25" spans="2:23" x14ac:dyDescent="0.15">
      <c r="B25" s="15" t="s">
        <v>102</v>
      </c>
      <c r="C25" s="25" t="s">
        <v>101</v>
      </c>
      <c r="D25" s="33">
        <v>0.05</v>
      </c>
      <c r="E25" s="34"/>
      <c r="W25" s="7">
        <f>+W24/V24</f>
        <v>1.3137760049968963</v>
      </c>
    </row>
    <row r="26" spans="2:23" ht="24" x14ac:dyDescent="0.15">
      <c r="B26" s="15" t="s">
        <v>103</v>
      </c>
      <c r="C26" s="25" t="s">
        <v>101</v>
      </c>
      <c r="D26" s="33">
        <v>0.05</v>
      </c>
      <c r="E26" s="34"/>
      <c r="K26" s="32"/>
      <c r="V26" s="7">
        <v>99601593.629999995</v>
      </c>
    </row>
    <row r="27" spans="2:23" ht="20.25" customHeight="1" x14ac:dyDescent="0.15">
      <c r="B27" s="15" t="s">
        <v>104</v>
      </c>
      <c r="C27" s="25" t="s">
        <v>105</v>
      </c>
      <c r="D27" s="35">
        <f>+'Mtto  RP Yopo'!D27</f>
        <v>65000</v>
      </c>
      <c r="E27" s="34"/>
      <c r="V27" s="7">
        <f>+V26/1160000</f>
        <v>85.863442784482757</v>
      </c>
    </row>
    <row r="28" spans="2:23" ht="19.5" customHeight="1" x14ac:dyDescent="0.15">
      <c r="B28" s="15" t="s">
        <v>106</v>
      </c>
      <c r="C28" s="25" t="s">
        <v>101</v>
      </c>
      <c r="D28" s="36">
        <v>0.1</v>
      </c>
      <c r="E28" s="34"/>
      <c r="G28" s="7">
        <v>1962</v>
      </c>
      <c r="H28" s="7">
        <v>359</v>
      </c>
      <c r="I28" s="7">
        <f>162.5+685</f>
        <v>847.5</v>
      </c>
      <c r="J28" s="7">
        <f>70.5+685</f>
        <v>755.5</v>
      </c>
    </row>
    <row r="29" spans="2:23" ht="6" customHeight="1" x14ac:dyDescent="0.15">
      <c r="B29" s="37"/>
      <c r="D29" s="38"/>
      <c r="E29" s="9"/>
      <c r="F29" s="39"/>
      <c r="G29" s="6"/>
      <c r="H29" s="6"/>
    </row>
    <row r="30" spans="2:23" ht="6.75" customHeight="1" thickBot="1" x14ac:dyDescent="0.2">
      <c r="B30" s="37"/>
      <c r="D30" s="38"/>
      <c r="E30" s="9"/>
      <c r="F30" s="39"/>
      <c r="G30" s="6"/>
      <c r="H30" s="6"/>
    </row>
    <row r="31" spans="2:23" ht="22.5" customHeight="1" x14ac:dyDescent="0.15">
      <c r="B31" s="709" t="s">
        <v>107</v>
      </c>
      <c r="C31" s="710"/>
      <c r="D31" s="710" t="s">
        <v>108</v>
      </c>
      <c r="E31" s="710"/>
      <c r="F31" s="710"/>
      <c r="G31" s="40">
        <v>102.33</v>
      </c>
      <c r="H31" s="39"/>
      <c r="I31" s="7">
        <f>+G31+685</f>
        <v>787.33</v>
      </c>
    </row>
    <row r="32" spans="2:23" hidden="1" x14ac:dyDescent="0.15">
      <c r="B32" s="41" t="s">
        <v>109</v>
      </c>
      <c r="C32" s="2"/>
      <c r="D32" s="2"/>
      <c r="E32" s="2"/>
      <c r="F32" s="2"/>
      <c r="G32" s="42"/>
    </row>
    <row r="33" spans="1:20" ht="26.25" hidden="1" customHeight="1" x14ac:dyDescent="0.15">
      <c r="B33" s="41" t="s">
        <v>110</v>
      </c>
      <c r="C33" s="2">
        <v>8</v>
      </c>
      <c r="D33" s="2"/>
      <c r="E33" s="2"/>
      <c r="F33" s="2"/>
      <c r="G33" s="42"/>
    </row>
    <row r="34" spans="1:20" ht="30.75" customHeight="1" x14ac:dyDescent="0.15">
      <c r="B34" s="43" t="s">
        <v>111</v>
      </c>
      <c r="C34" s="44" t="s">
        <v>3</v>
      </c>
      <c r="D34" s="45" t="s">
        <v>112</v>
      </c>
      <c r="E34" s="45" t="s">
        <v>113</v>
      </c>
      <c r="F34" s="45" t="s">
        <v>114</v>
      </c>
      <c r="G34" s="46" t="s">
        <v>115</v>
      </c>
      <c r="H34" s="47"/>
    </row>
    <row r="35" spans="1:20" x14ac:dyDescent="0.15">
      <c r="B35" s="48" t="s">
        <v>116</v>
      </c>
      <c r="C35" s="49"/>
      <c r="D35" s="49"/>
      <c r="E35" s="49"/>
      <c r="F35" s="49"/>
      <c r="G35" s="50"/>
      <c r="H35" s="51"/>
    </row>
    <row r="36" spans="1:20" ht="15.75" customHeight="1" x14ac:dyDescent="0.15">
      <c r="B36" s="52" t="s">
        <v>117</v>
      </c>
      <c r="C36" s="711" t="s">
        <v>118</v>
      </c>
      <c r="D36" s="711"/>
      <c r="E36" s="53"/>
      <c r="F36" s="53"/>
      <c r="G36" s="54"/>
      <c r="H36" s="51"/>
      <c r="I36" s="7">
        <v>2020</v>
      </c>
      <c r="K36" s="31"/>
    </row>
    <row r="37" spans="1:20" x14ac:dyDescent="0.15">
      <c r="B37" s="55" t="s">
        <v>119</v>
      </c>
      <c r="C37" s="25" t="s">
        <v>120</v>
      </c>
      <c r="D37" s="56">
        <v>1100</v>
      </c>
      <c r="E37" s="57">
        <f>+(($E$24*D72)/D37)</f>
        <v>681.90545454545452</v>
      </c>
      <c r="F37" s="57">
        <f t="shared" ref="F37:F42" si="0">+D37*E37</f>
        <v>750096</v>
      </c>
      <c r="G37" s="58">
        <f t="shared" ref="G37:G42" si="1">+F37*$G$31</f>
        <v>76757323.679999992</v>
      </c>
      <c r="H37" s="59"/>
      <c r="I37" s="58">
        <f>+'[4]P 5 C.Mant. B.P.'!$F$40</f>
        <v>291930</v>
      </c>
      <c r="J37" s="31"/>
      <c r="K37" s="31"/>
    </row>
    <row r="38" spans="1:20" x14ac:dyDescent="0.15">
      <c r="B38" s="55" t="s">
        <v>121</v>
      </c>
      <c r="C38" s="25" t="s">
        <v>105</v>
      </c>
      <c r="D38" s="56">
        <v>3</v>
      </c>
      <c r="E38" s="57">
        <f>+D27</f>
        <v>65000</v>
      </c>
      <c r="F38" s="57">
        <f>+D38*E38</f>
        <v>195000</v>
      </c>
      <c r="G38" s="58">
        <f t="shared" si="1"/>
        <v>19954350</v>
      </c>
      <c r="H38" s="59"/>
      <c r="I38" s="58">
        <f>+'[4]P 5 C.Mant. B.P.'!$F$44</f>
        <v>75000</v>
      </c>
      <c r="J38" s="31"/>
      <c r="K38" s="31"/>
    </row>
    <row r="39" spans="1:20" x14ac:dyDescent="0.15">
      <c r="B39" s="55" t="s">
        <v>122</v>
      </c>
      <c r="C39" s="25" t="s">
        <v>61</v>
      </c>
      <c r="D39" s="56">
        <v>220</v>
      </c>
      <c r="E39" s="57">
        <f>+(($E$24*D74)/D39)</f>
        <v>568.25454545454545</v>
      </c>
      <c r="F39" s="57">
        <f>+D39*E39</f>
        <v>125016</v>
      </c>
      <c r="G39" s="58">
        <f t="shared" si="1"/>
        <v>12792887.279999999</v>
      </c>
      <c r="H39" s="59"/>
      <c r="I39" s="58">
        <f>+'[4]P 5 C.Mant. B.P.'!$F$47</f>
        <v>97458</v>
      </c>
      <c r="J39" s="31"/>
      <c r="K39" s="31"/>
    </row>
    <row r="40" spans="1:20" x14ac:dyDescent="0.15">
      <c r="A40" s="7" t="s">
        <v>172</v>
      </c>
      <c r="B40" s="55" t="s">
        <v>124</v>
      </c>
      <c r="C40" s="25" t="s">
        <v>61</v>
      </c>
      <c r="D40" s="56">
        <f>+$D$10+$D$11</f>
        <v>1100</v>
      </c>
      <c r="E40" s="57">
        <f>+(($E$24*D76)/D40)</f>
        <v>113.6509090909091</v>
      </c>
      <c r="F40" s="57">
        <f t="shared" si="0"/>
        <v>125016</v>
      </c>
      <c r="G40" s="58">
        <f t="shared" si="1"/>
        <v>12792887.279999999</v>
      </c>
      <c r="H40" s="59"/>
      <c r="I40" s="58">
        <f>+'[4]P 5 C.Mant. B.P.'!$F$43</f>
        <v>48840</v>
      </c>
      <c r="J40" s="31"/>
      <c r="K40" s="31"/>
    </row>
    <row r="41" spans="1:20" x14ac:dyDescent="0.15">
      <c r="A41" s="7" t="s">
        <v>173</v>
      </c>
      <c r="B41" s="55" t="s">
        <v>125</v>
      </c>
      <c r="C41" s="25" t="s">
        <v>61</v>
      </c>
      <c r="D41" s="56">
        <f>+$D$10+$D$11</f>
        <v>1100</v>
      </c>
      <c r="E41" s="57">
        <f>+(($E$24*D77)/D41)</f>
        <v>56.825454545454548</v>
      </c>
      <c r="F41" s="57">
        <f t="shared" si="0"/>
        <v>62508</v>
      </c>
      <c r="G41" s="58">
        <f t="shared" si="1"/>
        <v>6396443.6399999997</v>
      </c>
      <c r="H41" s="59"/>
      <c r="I41" s="58">
        <f>+'[4]P 5 C.Mant. B.P.'!$F$46</f>
        <v>97680</v>
      </c>
      <c r="J41" s="31"/>
      <c r="K41" s="31"/>
      <c r="T41" s="7" t="s">
        <v>126</v>
      </c>
    </row>
    <row r="42" spans="1:20" x14ac:dyDescent="0.15">
      <c r="B42" s="60" t="s">
        <v>127</v>
      </c>
      <c r="C42" s="25" t="s">
        <v>128</v>
      </c>
      <c r="D42" s="56">
        <v>10000</v>
      </c>
      <c r="E42" s="57">
        <f>+(($E$24*D78)/D42)</f>
        <v>75.009600000000006</v>
      </c>
      <c r="F42" s="57">
        <f t="shared" si="0"/>
        <v>750096.00000000012</v>
      </c>
      <c r="G42" s="58">
        <f t="shared" si="1"/>
        <v>76757323.680000007</v>
      </c>
      <c r="H42" s="59"/>
      <c r="I42" s="58">
        <f>+'[4]P 5 C.Mant. B.P.'!$F$48</f>
        <v>290000</v>
      </c>
      <c r="J42" s="31"/>
      <c r="K42" s="31"/>
    </row>
    <row r="43" spans="1:20" x14ac:dyDescent="0.15">
      <c r="B43" s="61" t="s">
        <v>129</v>
      </c>
      <c r="C43" s="25"/>
      <c r="D43" s="56"/>
      <c r="E43" s="57"/>
      <c r="F43" s="57"/>
      <c r="G43" s="58"/>
      <c r="H43" s="59"/>
      <c r="I43" s="58">
        <f>+'[4]P 5 C.Mant. B.P.'!$F$49</f>
        <v>97528</v>
      </c>
      <c r="J43" s="31"/>
      <c r="K43" s="31"/>
    </row>
    <row r="44" spans="1:20" x14ac:dyDescent="0.15">
      <c r="B44" s="52" t="s">
        <v>130</v>
      </c>
      <c r="C44" s="62"/>
      <c r="D44" s="63"/>
      <c r="E44" s="64"/>
      <c r="F44" s="65">
        <f>+SUM(F37:F43)</f>
        <v>2007732</v>
      </c>
      <c r="G44" s="66">
        <f>+SUM(G37:G43)</f>
        <v>205451215.56</v>
      </c>
      <c r="H44" s="67"/>
      <c r="I44" s="66">
        <f>SUM(I37:I43)</f>
        <v>998436</v>
      </c>
      <c r="J44" s="32"/>
      <c r="K44" s="32"/>
    </row>
    <row r="45" spans="1:20" ht="15.75" customHeight="1" x14ac:dyDescent="0.15">
      <c r="B45" s="712" t="s">
        <v>131</v>
      </c>
      <c r="C45" s="713"/>
      <c r="D45" s="713"/>
      <c r="E45" s="713"/>
      <c r="F45" s="713"/>
      <c r="G45" s="68"/>
      <c r="H45" s="34"/>
    </row>
    <row r="46" spans="1:20" x14ac:dyDescent="0.15">
      <c r="B46" s="55" t="s">
        <v>132</v>
      </c>
      <c r="C46" s="25" t="s">
        <v>133</v>
      </c>
      <c r="D46" s="69">
        <f>ROUNDUP(D10*D12,0)</f>
        <v>220</v>
      </c>
      <c r="E46" s="57" t="e">
        <f>+E10</f>
        <v>#REF!</v>
      </c>
      <c r="F46" s="57" t="e">
        <f t="shared" ref="F46:F49" si="2">+D46*E46</f>
        <v>#REF!</v>
      </c>
      <c r="G46" s="58" t="e">
        <f t="shared" ref="G46:G49" si="3">+F46*$G$31</f>
        <v>#REF!</v>
      </c>
      <c r="H46" s="70">
        <f>+'[4]P 5 C.Mant. B.P.'!$D$52</f>
        <v>111</v>
      </c>
      <c r="I46" s="58">
        <f>+'[4]P 5 C.Mant. B.P.'!$F$52</f>
        <v>149073</v>
      </c>
      <c r="J46" s="31" t="s">
        <v>134</v>
      </c>
    </row>
    <row r="47" spans="1:20" x14ac:dyDescent="0.15">
      <c r="B47" s="55" t="s">
        <v>88</v>
      </c>
      <c r="C47" s="25" t="s">
        <v>135</v>
      </c>
      <c r="D47" s="69">
        <f>ROUNDUP(($D$10*D17*2)/1000,0)</f>
        <v>110</v>
      </c>
      <c r="E47" s="57">
        <f>+E17</f>
        <v>168900</v>
      </c>
      <c r="F47" s="57">
        <f t="shared" si="2"/>
        <v>18579000</v>
      </c>
      <c r="G47" s="58">
        <f t="shared" si="3"/>
        <v>1901189070</v>
      </c>
      <c r="H47" s="70">
        <f>+'[4]P 5 C.Mant. B.P.'!$D$53</f>
        <v>56</v>
      </c>
      <c r="I47" s="58">
        <f>+'[4]P 5 C.Mant. B.P.'!$F$53</f>
        <v>0</v>
      </c>
      <c r="J47" s="31" t="s">
        <v>136</v>
      </c>
    </row>
    <row r="48" spans="1:20" x14ac:dyDescent="0.15">
      <c r="A48" s="7" t="s">
        <v>5</v>
      </c>
      <c r="B48" s="55" t="s">
        <v>6</v>
      </c>
      <c r="C48" s="25" t="s">
        <v>135</v>
      </c>
      <c r="D48" s="69">
        <f>ROUNDUP((D16*2)/1,0)</f>
        <v>550</v>
      </c>
      <c r="E48" s="152">
        <f>+E16</f>
        <v>67940</v>
      </c>
      <c r="F48" s="152">
        <f t="shared" si="2"/>
        <v>37367000</v>
      </c>
      <c r="G48" s="153">
        <f t="shared" si="3"/>
        <v>3823765110</v>
      </c>
      <c r="H48" s="70">
        <f>+'[4]P 5 C.Mant. B.P.'!$D$55</f>
        <v>222</v>
      </c>
      <c r="I48" s="153">
        <f>+'[4]P 5 C.Mant. B.P.'!$F$55</f>
        <v>377844</v>
      </c>
      <c r="J48" s="140" t="s">
        <v>137</v>
      </c>
    </row>
    <row r="49" spans="1:22" x14ac:dyDescent="0.15">
      <c r="A49" s="7" t="s">
        <v>173</v>
      </c>
      <c r="B49" s="55" t="str">
        <f>+'Estudio de Mercado'!A5</f>
        <v>Insecticida granular (hormiga)</v>
      </c>
      <c r="C49" s="25" t="s">
        <v>138</v>
      </c>
      <c r="D49" s="69">
        <f>+D19</f>
        <v>1</v>
      </c>
      <c r="E49" s="152">
        <f>+E19</f>
        <v>0</v>
      </c>
      <c r="F49" s="152">
        <f t="shared" si="2"/>
        <v>0</v>
      </c>
      <c r="G49" s="153">
        <f t="shared" si="3"/>
        <v>0</v>
      </c>
      <c r="H49" s="70"/>
      <c r="I49" s="153"/>
      <c r="J49" s="140"/>
    </row>
    <row r="50" spans="1:22" x14ac:dyDescent="0.15">
      <c r="B50" s="712" t="s">
        <v>139</v>
      </c>
      <c r="C50" s="713"/>
      <c r="D50" s="713"/>
      <c r="E50" s="713"/>
      <c r="F50" s="71" t="e">
        <f>+SUM(F46:F49)</f>
        <v>#REF!</v>
      </c>
      <c r="G50" s="72" t="e">
        <f>+SUM(G46:G49)</f>
        <v>#REF!</v>
      </c>
      <c r="H50" s="73"/>
      <c r="I50" s="72">
        <f>SUM(I46:I49)</f>
        <v>526917</v>
      </c>
      <c r="J50" s="31"/>
      <c r="L50" s="74"/>
      <c r="M50" s="75"/>
      <c r="N50" s="75"/>
      <c r="O50" s="76"/>
      <c r="P50" s="77"/>
      <c r="Q50" s="77"/>
    </row>
    <row r="51" spans="1:22" x14ac:dyDescent="0.15">
      <c r="B51" s="706" t="s">
        <v>140</v>
      </c>
      <c r="C51" s="707"/>
      <c r="D51" s="707"/>
      <c r="E51" s="707"/>
      <c r="F51" s="78" t="e">
        <f>+F44+F50</f>
        <v>#REF!</v>
      </c>
      <c r="G51" s="79" t="e">
        <f>+F51*$G$31</f>
        <v>#REF!</v>
      </c>
      <c r="H51" s="80"/>
      <c r="I51" s="80"/>
      <c r="J51" s="80"/>
      <c r="K51" s="81"/>
    </row>
    <row r="52" spans="1:22" ht="15.75" customHeight="1" x14ac:dyDescent="0.15">
      <c r="B52" s="714" t="s">
        <v>141</v>
      </c>
      <c r="C52" s="715"/>
      <c r="D52" s="715"/>
      <c r="E52" s="715"/>
      <c r="F52" s="82"/>
      <c r="G52" s="83"/>
      <c r="H52" s="34"/>
      <c r="I52" s="47"/>
      <c r="J52" s="34"/>
    </row>
    <row r="53" spans="1:22" ht="15.75" customHeight="1" x14ac:dyDescent="0.15">
      <c r="B53" s="716" t="s">
        <v>142</v>
      </c>
      <c r="C53" s="717"/>
      <c r="D53" s="717"/>
      <c r="E53" s="717"/>
      <c r="F53" s="84">
        <f>ROUND($F$44*$D$25,0)</f>
        <v>100387</v>
      </c>
      <c r="G53" s="85">
        <f>+F53*G31</f>
        <v>10272601.709999999</v>
      </c>
      <c r="H53" s="86"/>
      <c r="I53" s="86"/>
      <c r="J53" s="86"/>
    </row>
    <row r="54" spans="1:22" ht="15.75" customHeight="1" x14ac:dyDescent="0.15">
      <c r="B54" s="716" t="s">
        <v>143</v>
      </c>
      <c r="C54" s="717"/>
      <c r="D54" s="717"/>
      <c r="E54" s="717"/>
      <c r="F54" s="84">
        <f>ROUND($F$44*$D$25,0)</f>
        <v>100387</v>
      </c>
      <c r="G54" s="85">
        <f>+F54*G31</f>
        <v>10272601.709999999</v>
      </c>
      <c r="H54" s="86"/>
      <c r="I54" s="86"/>
      <c r="J54" s="86"/>
    </row>
    <row r="55" spans="1:22" x14ac:dyDescent="0.15">
      <c r="B55" s="716" t="s">
        <v>176</v>
      </c>
      <c r="C55" s="717"/>
      <c r="D55" s="717"/>
      <c r="E55" s="717"/>
      <c r="F55" s="87" t="e">
        <f>ROUNDUP(F50*D28,0)</f>
        <v>#REF!</v>
      </c>
      <c r="G55" s="88" t="e">
        <f>+F55*$G$31</f>
        <v>#REF!</v>
      </c>
      <c r="H55" s="89"/>
      <c r="I55" s="89"/>
      <c r="J55" s="89"/>
    </row>
    <row r="56" spans="1:22" x14ac:dyDescent="0.15">
      <c r="B56" s="714" t="s">
        <v>144</v>
      </c>
      <c r="C56" s="715"/>
      <c r="D56" s="715"/>
      <c r="E56" s="715"/>
      <c r="F56" s="90" t="e">
        <f>SUM(F53:F55)</f>
        <v>#REF!</v>
      </c>
      <c r="G56" s="91" t="e">
        <f>SUM(G53:G55)</f>
        <v>#REF!</v>
      </c>
      <c r="H56" s="80"/>
      <c r="I56" s="80"/>
      <c r="J56" s="80"/>
    </row>
    <row r="57" spans="1:22" ht="15.75" customHeight="1" thickBot="1" x14ac:dyDescent="0.2">
      <c r="B57" s="718" t="s">
        <v>145</v>
      </c>
      <c r="C57" s="719"/>
      <c r="D57" s="719"/>
      <c r="E57" s="719"/>
      <c r="F57" s="92" t="e">
        <f>+F51+F56</f>
        <v>#REF!</v>
      </c>
      <c r="G57" s="93" t="e">
        <f>+G51+G56</f>
        <v>#REF!</v>
      </c>
      <c r="H57" s="94"/>
      <c r="I57" s="94"/>
      <c r="J57" s="94"/>
    </row>
    <row r="58" spans="1:22" ht="15.75" customHeight="1" x14ac:dyDescent="0.15">
      <c r="B58" s="95" t="s">
        <v>111</v>
      </c>
      <c r="C58" s="96" t="s">
        <v>146</v>
      </c>
      <c r="D58" s="97" t="s">
        <v>147</v>
      </c>
      <c r="E58" s="97" t="s">
        <v>148</v>
      </c>
      <c r="F58" s="97" t="s">
        <v>149</v>
      </c>
      <c r="G58" s="98" t="s">
        <v>150</v>
      </c>
      <c r="H58" s="94"/>
      <c r="I58" s="94"/>
      <c r="J58" s="94"/>
    </row>
    <row r="59" spans="1:22" ht="15.75" customHeight="1" x14ac:dyDescent="0.15">
      <c r="B59" s="99" t="s">
        <v>151</v>
      </c>
      <c r="C59" s="100"/>
      <c r="D59" s="101"/>
      <c r="E59" s="101"/>
      <c r="F59" s="101"/>
      <c r="G59" s="102"/>
      <c r="H59" s="94"/>
      <c r="I59" s="94"/>
      <c r="J59" s="94"/>
    </row>
    <row r="60" spans="1:22" ht="15.75" customHeight="1" x14ac:dyDescent="0.15">
      <c r="B60" s="103" t="s">
        <v>152</v>
      </c>
      <c r="C60" s="104">
        <v>0.01</v>
      </c>
      <c r="D60" s="105" t="s">
        <v>153</v>
      </c>
      <c r="E60" s="105">
        <v>6</v>
      </c>
      <c r="F60" s="106">
        <f>3800000*E60*C60</f>
        <v>228000</v>
      </c>
      <c r="G60" s="107">
        <f>+F60*$G$31</f>
        <v>23331240</v>
      </c>
      <c r="H60" s="94"/>
      <c r="I60" s="94"/>
      <c r="J60" s="94"/>
    </row>
    <row r="61" spans="1:22" ht="15.75" customHeight="1" thickBot="1" x14ac:dyDescent="0.2">
      <c r="B61" s="108" t="s">
        <v>154</v>
      </c>
      <c r="C61" s="109"/>
      <c r="D61" s="110"/>
      <c r="E61" s="110"/>
      <c r="F61" s="111">
        <f>SUM(F60)</f>
        <v>228000</v>
      </c>
      <c r="G61" s="112">
        <f>+G60</f>
        <v>23331240</v>
      </c>
      <c r="H61" s="94"/>
      <c r="I61" s="94"/>
      <c r="J61" s="94"/>
    </row>
    <row r="62" spans="1:22" x14ac:dyDescent="0.15">
      <c r="B62" s="113" t="s">
        <v>155</v>
      </c>
      <c r="C62" s="114"/>
      <c r="D62" s="114"/>
      <c r="E62" s="114"/>
      <c r="F62" s="115" t="e">
        <f>+F57+F61</f>
        <v>#REF!</v>
      </c>
      <c r="G62" s="116" t="e">
        <f>+G57+G61</f>
        <v>#REF!</v>
      </c>
      <c r="I62" s="117">
        <f>+G31-I63-I64-I65</f>
        <v>-2186.67</v>
      </c>
      <c r="J62" s="32" t="e">
        <f>+I62*$F$67</f>
        <v>#REF!</v>
      </c>
      <c r="K62" s="31"/>
      <c r="V62" s="118"/>
    </row>
    <row r="63" spans="1:22" x14ac:dyDescent="0.15">
      <c r="B63" s="119" t="s">
        <v>156</v>
      </c>
      <c r="C63" s="120">
        <v>0.1</v>
      </c>
      <c r="D63" s="121"/>
      <c r="E63" s="122"/>
      <c r="F63" s="123" t="e">
        <f>ROUND($F$62*C63,0)</f>
        <v>#REF!</v>
      </c>
      <c r="G63" s="124" t="e">
        <f>+F63*$G$31</f>
        <v>#REF!</v>
      </c>
      <c r="H63" s="125"/>
      <c r="I63" s="7">
        <v>848</v>
      </c>
      <c r="J63" s="32" t="e">
        <f>+I63*$F$67</f>
        <v>#REF!</v>
      </c>
      <c r="K63" s="31"/>
      <c r="L63" s="31"/>
      <c r="M63" s="117"/>
    </row>
    <row r="64" spans="1:22" x14ac:dyDescent="0.15">
      <c r="B64" s="126" t="s">
        <v>157</v>
      </c>
      <c r="C64" s="127">
        <v>0.01</v>
      </c>
      <c r="D64" s="128"/>
      <c r="E64" s="129"/>
      <c r="F64" s="130" t="e">
        <f>ROUND($F$62*C64,0)</f>
        <v>#REF!</v>
      </c>
      <c r="G64" s="124" t="e">
        <f>+F64*$G$31</f>
        <v>#REF!</v>
      </c>
      <c r="H64" s="125"/>
      <c r="I64" s="7">
        <v>756</v>
      </c>
      <c r="J64" s="32" t="e">
        <f>+I64*$F$67</f>
        <v>#REF!</v>
      </c>
      <c r="K64" s="31"/>
      <c r="L64" s="31"/>
      <c r="M64" s="117"/>
    </row>
    <row r="65" spans="2:20" x14ac:dyDescent="0.15">
      <c r="B65" s="126" t="s">
        <v>158</v>
      </c>
      <c r="C65" s="127">
        <v>0.05</v>
      </c>
      <c r="D65" s="128"/>
      <c r="E65" s="129"/>
      <c r="F65" s="130" t="e">
        <f>ROUND($F$62*C65,0)</f>
        <v>#REF!</v>
      </c>
      <c r="G65" s="124" t="e">
        <f>+F65*$G$31</f>
        <v>#REF!</v>
      </c>
      <c r="H65" s="125"/>
      <c r="I65" s="7">
        <v>685</v>
      </c>
      <c r="J65" s="32" t="e">
        <f>+I65*$F$67</f>
        <v>#REF!</v>
      </c>
      <c r="K65" s="31"/>
      <c r="L65" s="31"/>
      <c r="M65" s="117"/>
    </row>
    <row r="66" spans="2:20" ht="14" thickBot="1" x14ac:dyDescent="0.2">
      <c r="B66" s="126" t="s">
        <v>159</v>
      </c>
      <c r="C66" s="127">
        <v>0.19</v>
      </c>
      <c r="D66" s="128"/>
      <c r="E66" s="129"/>
      <c r="F66" s="130" t="e">
        <f>ROUND(F65*C66,0)</f>
        <v>#REF!</v>
      </c>
      <c r="G66" s="124" t="e">
        <f>+F66*$G$31</f>
        <v>#REF!</v>
      </c>
      <c r="H66" s="125"/>
      <c r="J66" s="125"/>
      <c r="K66" s="31"/>
      <c r="L66" s="31"/>
      <c r="M66" s="117"/>
      <c r="T66" s="131" t="e">
        <f>+SUM(G63:G66)</f>
        <v>#REF!</v>
      </c>
    </row>
    <row r="67" spans="2:20" ht="14" thickBot="1" x14ac:dyDescent="0.2">
      <c r="B67" s="720" t="s">
        <v>160</v>
      </c>
      <c r="C67" s="721"/>
      <c r="D67" s="721"/>
      <c r="E67" s="721"/>
      <c r="F67" s="132" t="e">
        <f>+F62+F63+F66+F65+F64</f>
        <v>#REF!</v>
      </c>
      <c r="G67" s="132" t="e">
        <f>+G62+G63+G66+G65+G64</f>
        <v>#REF!</v>
      </c>
      <c r="H67" s="125" t="e">
        <f>+F67*718</f>
        <v>#REF!</v>
      </c>
      <c r="I67" s="31"/>
      <c r="J67" s="117"/>
    </row>
    <row r="68" spans="2:20" x14ac:dyDescent="0.15">
      <c r="C68" s="38"/>
      <c r="G68" s="133"/>
      <c r="H68" s="125"/>
      <c r="I68" s="117"/>
    </row>
    <row r="69" spans="2:20" x14ac:dyDescent="0.15">
      <c r="G69" s="134"/>
      <c r="H69" s="134"/>
      <c r="I69" s="31"/>
    </row>
    <row r="70" spans="2:20" ht="14" thickBot="1" x14ac:dyDescent="0.2">
      <c r="B70" s="661" t="s">
        <v>161</v>
      </c>
      <c r="C70" s="661"/>
      <c r="D70" s="661"/>
      <c r="G70" s="117"/>
      <c r="I70" s="117">
        <f>+[5]Enriquecimiento!G77*1.15</f>
        <v>189754980.26666668</v>
      </c>
      <c r="K70" s="31"/>
    </row>
    <row r="71" spans="2:20" x14ac:dyDescent="0.15">
      <c r="B71" s="135" t="s">
        <v>162</v>
      </c>
      <c r="C71" s="136" t="s">
        <v>163</v>
      </c>
      <c r="D71" s="137" t="s">
        <v>164</v>
      </c>
      <c r="I71" s="32">
        <f>+I70+I69</f>
        <v>189754980.26666668</v>
      </c>
      <c r="K71" s="31"/>
    </row>
    <row r="72" spans="2:20" x14ac:dyDescent="0.15">
      <c r="B72" s="55" t="s">
        <v>120</v>
      </c>
      <c r="C72" s="25" t="s">
        <v>100</v>
      </c>
      <c r="D72" s="138">
        <v>12</v>
      </c>
      <c r="E72" s="139"/>
      <c r="G72" s="31"/>
      <c r="H72" s="140"/>
      <c r="I72" s="31"/>
      <c r="K72" s="32"/>
    </row>
    <row r="73" spans="2:20" x14ac:dyDescent="0.15">
      <c r="B73" s="55" t="s">
        <v>121</v>
      </c>
      <c r="C73" s="25" t="s">
        <v>105</v>
      </c>
      <c r="D73" s="138">
        <v>2</v>
      </c>
      <c r="E73" s="139"/>
      <c r="I73" s="32"/>
      <c r="J73" s="38"/>
    </row>
    <row r="74" spans="2:20" x14ac:dyDescent="0.15">
      <c r="B74" s="55" t="s">
        <v>122</v>
      </c>
      <c r="C74" s="25" t="s">
        <v>100</v>
      </c>
      <c r="D74" s="138">
        <v>2</v>
      </c>
      <c r="E74" s="139"/>
      <c r="I74" s="31"/>
      <c r="J74" s="38"/>
      <c r="K74" s="31"/>
    </row>
    <row r="75" spans="2:20" x14ac:dyDescent="0.15">
      <c r="B75" s="55" t="s">
        <v>123</v>
      </c>
      <c r="C75" s="25" t="s">
        <v>100</v>
      </c>
      <c r="D75" s="138">
        <v>0</v>
      </c>
      <c r="E75" s="139"/>
      <c r="I75" s="32"/>
    </row>
    <row r="76" spans="2:20" x14ac:dyDescent="0.15">
      <c r="B76" s="55" t="s">
        <v>165</v>
      </c>
      <c r="C76" s="25" t="s">
        <v>100</v>
      </c>
      <c r="D76" s="138">
        <v>2</v>
      </c>
      <c r="E76" s="139"/>
    </row>
    <row r="77" spans="2:20" x14ac:dyDescent="0.15">
      <c r="B77" s="55" t="s">
        <v>125</v>
      </c>
      <c r="C77" s="25" t="s">
        <v>100</v>
      </c>
      <c r="D77" s="138">
        <v>1</v>
      </c>
      <c r="E77" s="139"/>
    </row>
    <row r="78" spans="2:20" x14ac:dyDescent="0.15">
      <c r="B78" s="60" t="s">
        <v>166</v>
      </c>
      <c r="C78" s="25" t="s">
        <v>100</v>
      </c>
      <c r="D78" s="138">
        <v>12</v>
      </c>
      <c r="E78" s="139"/>
    </row>
    <row r="79" spans="2:20" ht="14" thickBot="1" x14ac:dyDescent="0.2">
      <c r="B79" s="141"/>
      <c r="C79" s="142"/>
      <c r="D79" s="143">
        <f>SUM(D72:D78)</f>
        <v>31</v>
      </c>
      <c r="E79" s="139"/>
    </row>
    <row r="80" spans="2:20" x14ac:dyDescent="0.15">
      <c r="D80" s="144" t="s">
        <v>167</v>
      </c>
    </row>
    <row r="82" spans="2:7" ht="14" thickBot="1" x14ac:dyDescent="0.2"/>
    <row r="83" spans="2:7" ht="14" thickBot="1" x14ac:dyDescent="0.2">
      <c r="B83" s="722" t="s">
        <v>168</v>
      </c>
      <c r="C83" s="723"/>
      <c r="D83" s="723"/>
      <c r="E83" s="723"/>
      <c r="F83" s="723"/>
      <c r="G83" s="724"/>
    </row>
    <row r="84" spans="2:7" ht="14" thickBot="1" x14ac:dyDescent="0.2">
      <c r="B84" s="602" t="s">
        <v>169</v>
      </c>
      <c r="C84" s="603"/>
      <c r="D84" s="603"/>
      <c r="E84" s="603"/>
      <c r="F84" s="603"/>
      <c r="G84" s="604"/>
    </row>
    <row r="85" spans="2:7" x14ac:dyDescent="0.15">
      <c r="B85" s="145"/>
      <c r="C85" s="146"/>
      <c r="D85" s="146"/>
      <c r="E85" s="146"/>
      <c r="F85" s="146"/>
      <c r="G85" s="147"/>
    </row>
    <row r="86" spans="2:7" x14ac:dyDescent="0.15">
      <c r="B86" s="145"/>
      <c r="C86" s="146"/>
      <c r="D86" s="146"/>
      <c r="E86" s="146"/>
      <c r="F86" s="146"/>
      <c r="G86" s="147"/>
    </row>
    <row r="87" spans="2:7" x14ac:dyDescent="0.15">
      <c r="B87" s="145"/>
      <c r="C87" s="146"/>
      <c r="D87" s="146"/>
      <c r="E87" s="146"/>
      <c r="F87" s="146"/>
      <c r="G87" s="147"/>
    </row>
    <row r="88" spans="2:7" ht="14" thickBot="1" x14ac:dyDescent="0.2">
      <c r="B88" s="148"/>
      <c r="C88" s="149"/>
      <c r="D88" s="149"/>
      <c r="E88" s="149"/>
      <c r="F88" s="149"/>
      <c r="G88" s="150"/>
    </row>
    <row r="89" spans="2:7" ht="14" thickBot="1" x14ac:dyDescent="0.2">
      <c r="B89" s="722" t="s">
        <v>170</v>
      </c>
      <c r="C89" s="723"/>
      <c r="D89" s="723"/>
      <c r="E89" s="723"/>
      <c r="F89" s="723"/>
      <c r="G89" s="724"/>
    </row>
    <row r="90" spans="2:7" ht="14" thickBot="1" x14ac:dyDescent="0.2">
      <c r="B90" s="602" t="s">
        <v>171</v>
      </c>
      <c r="C90" s="603"/>
      <c r="D90" s="603"/>
      <c r="E90" s="603"/>
      <c r="F90" s="603"/>
      <c r="G90" s="604"/>
    </row>
    <row r="91" spans="2:7" x14ac:dyDescent="0.15">
      <c r="B91" s="145"/>
      <c r="C91" s="146"/>
      <c r="D91" s="146"/>
      <c r="E91" s="146"/>
      <c r="F91" s="146"/>
      <c r="G91" s="147"/>
    </row>
    <row r="92" spans="2:7" x14ac:dyDescent="0.15">
      <c r="B92" s="145"/>
      <c r="C92" s="146"/>
      <c r="D92" s="146"/>
      <c r="E92" s="146"/>
      <c r="F92" s="146"/>
      <c r="G92" s="147"/>
    </row>
    <row r="93" spans="2:7" x14ac:dyDescent="0.15">
      <c r="B93" s="145"/>
      <c r="C93" s="146"/>
      <c r="D93" s="146"/>
      <c r="E93" s="146"/>
      <c r="F93" s="146"/>
      <c r="G93" s="147"/>
    </row>
    <row r="94" spans="2:7" ht="14" thickBot="1" x14ac:dyDescent="0.2">
      <c r="B94" s="148"/>
      <c r="C94" s="149"/>
      <c r="D94" s="149"/>
      <c r="E94" s="149"/>
      <c r="F94" s="149"/>
      <c r="G94" s="150"/>
    </row>
  </sheetData>
  <mergeCells count="24">
    <mergeCell ref="B90:G90"/>
    <mergeCell ref="B52:E52"/>
    <mergeCell ref="B53:E53"/>
    <mergeCell ref="B54:E54"/>
    <mergeCell ref="B55:E55"/>
    <mergeCell ref="B56:E56"/>
    <mergeCell ref="B57:E57"/>
    <mergeCell ref="B67:E67"/>
    <mergeCell ref="B70:D70"/>
    <mergeCell ref="B83:G83"/>
    <mergeCell ref="B84:G84"/>
    <mergeCell ref="B89:G89"/>
    <mergeCell ref="B51:E51"/>
    <mergeCell ref="B3:G3"/>
    <mergeCell ref="C4:G4"/>
    <mergeCell ref="C5:G5"/>
    <mergeCell ref="C6:G6"/>
    <mergeCell ref="B11:C11"/>
    <mergeCell ref="B12:C12"/>
    <mergeCell ref="B31:C31"/>
    <mergeCell ref="D31:F31"/>
    <mergeCell ref="C36:D36"/>
    <mergeCell ref="B45:F45"/>
    <mergeCell ref="B50:E50"/>
  </mergeCells>
  <conditionalFormatting sqref="F56:J56">
    <cfRule type="cellIs" dxfId="1" priority="1" stopIfTrue="1" operator="greaterThan">
      <formula>0</formula>
    </cfRule>
  </conditionalFormatting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3:W94"/>
  <sheetViews>
    <sheetView topLeftCell="A25" workbookViewId="0">
      <selection activeCell="E46" sqref="E46"/>
    </sheetView>
  </sheetViews>
  <sheetFormatPr baseColWidth="10" defaultColWidth="11.5" defaultRowHeight="13" x14ac:dyDescent="0.15"/>
  <cols>
    <col min="1" max="1" width="11.5" style="7"/>
    <col min="2" max="2" width="28" style="7" customWidth="1"/>
    <col min="3" max="3" width="13.83203125" style="7" bestFit="1" customWidth="1"/>
    <col min="4" max="4" width="12.33203125" style="7" customWidth="1"/>
    <col min="5" max="5" width="14.83203125" style="7" customWidth="1"/>
    <col min="6" max="6" width="13.83203125" style="7" bestFit="1" customWidth="1"/>
    <col min="7" max="7" width="18.33203125" style="7" bestFit="1" customWidth="1"/>
    <col min="8" max="8" width="22.5" style="7" hidden="1" customWidth="1"/>
    <col min="9" max="10" width="16.5" style="7" hidden="1" customWidth="1"/>
    <col min="11" max="11" width="15.83203125" style="7" hidden="1" customWidth="1"/>
    <col min="12" max="12" width="12.83203125" style="7" hidden="1" customWidth="1"/>
    <col min="13" max="13" width="17.5" style="7" hidden="1" customWidth="1"/>
    <col min="14" max="19" width="0" style="7" hidden="1" customWidth="1"/>
    <col min="20" max="20" width="23.33203125" style="7" bestFit="1" customWidth="1"/>
    <col min="21" max="21" width="11.5" style="7"/>
    <col min="22" max="22" width="14.83203125" style="7" bestFit="1" customWidth="1"/>
    <col min="23" max="16384" width="11.5" style="7"/>
  </cols>
  <sheetData>
    <row r="3" spans="2:22" ht="25.5" customHeight="1" x14ac:dyDescent="0.15">
      <c r="B3" s="646" t="s">
        <v>69</v>
      </c>
      <c r="C3" s="646"/>
      <c r="D3" s="646"/>
      <c r="E3" s="646"/>
      <c r="F3" s="646"/>
      <c r="G3" s="646"/>
      <c r="H3" s="6"/>
    </row>
    <row r="4" spans="2:22" x14ac:dyDescent="0.15">
      <c r="B4" s="8" t="s">
        <v>70</v>
      </c>
      <c r="C4" s="647" t="s">
        <v>71</v>
      </c>
      <c r="D4" s="647"/>
      <c r="E4" s="647"/>
      <c r="F4" s="647"/>
      <c r="G4" s="647"/>
      <c r="H4" s="9"/>
    </row>
    <row r="5" spans="2:22" x14ac:dyDescent="0.15">
      <c r="B5" s="8" t="s">
        <v>72</v>
      </c>
      <c r="C5" s="648" t="s">
        <v>73</v>
      </c>
      <c r="D5" s="648"/>
      <c r="E5" s="648"/>
      <c r="F5" s="648"/>
      <c r="G5" s="648"/>
      <c r="H5" s="6"/>
    </row>
    <row r="6" spans="2:22" ht="36" customHeight="1" x14ac:dyDescent="0.15">
      <c r="B6" s="8" t="s">
        <v>74</v>
      </c>
      <c r="C6" s="708" t="s">
        <v>75</v>
      </c>
      <c r="D6" s="708"/>
      <c r="E6" s="708"/>
      <c r="F6" s="708"/>
      <c r="G6" s="708"/>
      <c r="H6" s="10"/>
    </row>
    <row r="7" spans="2:22" x14ac:dyDescent="0.15">
      <c r="B7" s="11"/>
      <c r="C7" s="11"/>
      <c r="D7" s="11"/>
      <c r="E7" s="11"/>
      <c r="F7" s="11"/>
      <c r="G7" s="11"/>
      <c r="H7" s="11"/>
    </row>
    <row r="8" spans="2:22" x14ac:dyDescent="0.15">
      <c r="B8" s="12" t="s">
        <v>76</v>
      </c>
      <c r="C8" s="13" t="s">
        <v>77</v>
      </c>
      <c r="D8" s="11"/>
      <c r="E8" s="14" t="s">
        <v>78</v>
      </c>
      <c r="F8" s="11"/>
      <c r="G8" s="11"/>
      <c r="H8" s="11"/>
    </row>
    <row r="9" spans="2:22" ht="10.5" customHeight="1" x14ac:dyDescent="0.15"/>
    <row r="10" spans="2:22" x14ac:dyDescent="0.15">
      <c r="B10" s="15" t="str">
        <f>+[1]Establec.!B10</f>
        <v>1. Número de Plántulas Arboreas por Ha</v>
      </c>
      <c r="C10" s="16"/>
      <c r="D10" s="17">
        <v>1100</v>
      </c>
      <c r="E10" s="18" t="e">
        <f>+'Estudio de Mercado'!#REF!</f>
        <v>#REF!</v>
      </c>
      <c r="F10" s="19"/>
      <c r="G10" s="20"/>
      <c r="H10" s="20"/>
    </row>
    <row r="11" spans="2:22" x14ac:dyDescent="0.15">
      <c r="B11" s="644" t="s">
        <v>79</v>
      </c>
      <c r="C11" s="645"/>
      <c r="D11" s="17">
        <v>0</v>
      </c>
      <c r="E11" s="18">
        <v>0</v>
      </c>
      <c r="F11" s="19"/>
      <c r="G11" s="20"/>
      <c r="H11" s="20"/>
    </row>
    <row r="12" spans="2:22" x14ac:dyDescent="0.15">
      <c r="B12" s="644" t="str">
        <f>+[1]Establec.!B12</f>
        <v>3. Porcentaje de reposición  %</v>
      </c>
      <c r="C12" s="645"/>
      <c r="D12" s="21">
        <v>0.2</v>
      </c>
      <c r="E12" s="18"/>
    </row>
    <row r="13" spans="2:22" ht="25.5" customHeight="1" x14ac:dyDescent="0.15">
      <c r="B13" s="15" t="s">
        <v>80</v>
      </c>
      <c r="C13" s="22" t="s">
        <v>2</v>
      </c>
      <c r="D13" s="23" t="s">
        <v>81</v>
      </c>
      <c r="E13" s="24" t="s">
        <v>82</v>
      </c>
    </row>
    <row r="14" spans="2:22" ht="22.5" customHeight="1" x14ac:dyDescent="0.15">
      <c r="B14" s="15" t="s">
        <v>83</v>
      </c>
      <c r="C14" s="25" t="s">
        <v>84</v>
      </c>
      <c r="D14" s="26">
        <v>32</v>
      </c>
      <c r="E14" s="27">
        <f>+[2]Establecimiento!E14</f>
        <v>2206.75</v>
      </c>
    </row>
    <row r="15" spans="2:22" x14ac:dyDescent="0.15">
      <c r="B15" s="15" t="s">
        <v>85</v>
      </c>
      <c r="C15" s="25" t="s">
        <v>86</v>
      </c>
      <c r="D15" s="26">
        <v>50</v>
      </c>
      <c r="E15" s="27">
        <f>+[2]Establecimiento!E16</f>
        <v>3707.5949999999998</v>
      </c>
    </row>
    <row r="16" spans="2:22" x14ac:dyDescent="0.15">
      <c r="B16" s="15" t="s">
        <v>87</v>
      </c>
      <c r="C16" s="154" t="s">
        <v>6</v>
      </c>
      <c r="D16" s="26">
        <v>275</v>
      </c>
      <c r="E16" s="27">
        <f>+'Estudio de Mercado'!N4</f>
        <v>67940</v>
      </c>
      <c r="G16" s="7">
        <v>2.5</v>
      </c>
      <c r="T16" s="7">
        <v>50</v>
      </c>
      <c r="U16" s="7">
        <v>1000</v>
      </c>
      <c r="V16" s="155">
        <f>+U16*T16*G16</f>
        <v>125000</v>
      </c>
    </row>
    <row r="17" spans="2:23" ht="21.75" customHeight="1" x14ac:dyDescent="0.15">
      <c r="B17" s="15" t="s">
        <v>83</v>
      </c>
      <c r="C17" s="25" t="s">
        <v>88</v>
      </c>
      <c r="D17" s="26">
        <v>50</v>
      </c>
      <c r="E17" s="27">
        <f>+'Estudio de Mercado'!N6</f>
        <v>168900</v>
      </c>
      <c r="T17" s="7">
        <v>1</v>
      </c>
      <c r="U17" s="7">
        <v>1</v>
      </c>
      <c r="V17" s="155"/>
    </row>
    <row r="18" spans="2:23" ht="14.25" customHeight="1" x14ac:dyDescent="0.15">
      <c r="B18" s="28" t="s">
        <v>89</v>
      </c>
      <c r="C18" s="25" t="s">
        <v>90</v>
      </c>
      <c r="D18" s="26">
        <v>1</v>
      </c>
      <c r="E18" s="27"/>
    </row>
    <row r="19" spans="2:23" x14ac:dyDescent="0.15">
      <c r="B19" s="28" t="s">
        <v>175</v>
      </c>
      <c r="C19" s="156" t="s">
        <v>174</v>
      </c>
      <c r="D19" s="26">
        <v>1</v>
      </c>
      <c r="E19" s="27">
        <f>+'Estudio de Mercado'!L5</f>
        <v>0</v>
      </c>
    </row>
    <row r="20" spans="2:23" x14ac:dyDescent="0.15">
      <c r="B20" s="28" t="s">
        <v>91</v>
      </c>
      <c r="C20" s="25" t="s">
        <v>92</v>
      </c>
      <c r="D20" s="26">
        <v>0.2</v>
      </c>
      <c r="E20" s="27">
        <f>+[2]Establecimiento!E21</f>
        <v>217019</v>
      </c>
    </row>
    <row r="21" spans="2:23" x14ac:dyDescent="0.15">
      <c r="B21" s="15" t="s">
        <v>93</v>
      </c>
      <c r="C21" s="25" t="s">
        <v>94</v>
      </c>
      <c r="D21" s="26">
        <v>0.5</v>
      </c>
      <c r="E21" s="27">
        <f>+'[2]Estudio de Mercado'!J10</f>
        <v>26794.5</v>
      </c>
    </row>
    <row r="22" spans="2:23" x14ac:dyDescent="0.15">
      <c r="B22" s="15" t="s">
        <v>95</v>
      </c>
      <c r="C22" s="25" t="s">
        <v>96</v>
      </c>
      <c r="D22" s="26">
        <v>1</v>
      </c>
      <c r="E22" s="27">
        <f>+'[2]Estudio de Mercado'!K15</f>
        <v>236.33580000000001</v>
      </c>
    </row>
    <row r="23" spans="2:23" ht="17.25" customHeight="1" x14ac:dyDescent="0.15">
      <c r="B23" s="15" t="s">
        <v>97</v>
      </c>
      <c r="C23" s="25" t="s">
        <v>98</v>
      </c>
      <c r="D23" s="26">
        <v>3</v>
      </c>
      <c r="E23" s="29">
        <f>+[2]Establecimiento!E24</f>
        <v>45342.95</v>
      </c>
      <c r="V23" s="7">
        <v>19007771</v>
      </c>
      <c r="W23" s="7">
        <v>33000000</v>
      </c>
    </row>
    <row r="24" spans="2:23" ht="36" x14ac:dyDescent="0.15">
      <c r="B24" s="15" t="s">
        <v>99</v>
      </c>
      <c r="C24" s="25" t="s">
        <v>100</v>
      </c>
      <c r="D24" s="17" t="s">
        <v>101</v>
      </c>
      <c r="E24" s="27">
        <f>+'Mtto  RP Aliso'!E24</f>
        <v>62508</v>
      </c>
      <c r="F24" s="30"/>
      <c r="K24" s="31"/>
      <c r="L24" s="32"/>
      <c r="V24" s="7">
        <f>+V23/877802</f>
        <v>21.653825122294094</v>
      </c>
      <c r="W24" s="7">
        <f>+W23/1160000</f>
        <v>28.448275862068964</v>
      </c>
    </row>
    <row r="25" spans="2:23" x14ac:dyDescent="0.15">
      <c r="B25" s="15" t="s">
        <v>102</v>
      </c>
      <c r="C25" s="25" t="s">
        <v>101</v>
      </c>
      <c r="D25" s="33">
        <v>0.05</v>
      </c>
      <c r="E25" s="34"/>
      <c r="W25" s="7">
        <f>+W24/V24</f>
        <v>1.3137760049968963</v>
      </c>
    </row>
    <row r="26" spans="2:23" ht="24" x14ac:dyDescent="0.15">
      <c r="B26" s="15" t="s">
        <v>103</v>
      </c>
      <c r="C26" s="25" t="s">
        <v>101</v>
      </c>
      <c r="D26" s="33">
        <v>0.05</v>
      </c>
      <c r="E26" s="34"/>
      <c r="K26" s="32"/>
      <c r="V26" s="7">
        <v>99601593.629999995</v>
      </c>
    </row>
    <row r="27" spans="2:23" ht="20.25" customHeight="1" x14ac:dyDescent="0.15">
      <c r="B27" s="15" t="s">
        <v>104</v>
      </c>
      <c r="C27" s="25" t="s">
        <v>105</v>
      </c>
      <c r="D27" s="35">
        <f>+'Mtto  RP Aliso'!D27</f>
        <v>65000</v>
      </c>
      <c r="E27" s="34"/>
      <c r="V27" s="7">
        <f>+V26/1160000</f>
        <v>85.863442784482757</v>
      </c>
    </row>
    <row r="28" spans="2:23" ht="19.5" customHeight="1" x14ac:dyDescent="0.15">
      <c r="B28" s="15" t="s">
        <v>106</v>
      </c>
      <c r="C28" s="25" t="s">
        <v>101</v>
      </c>
      <c r="D28" s="36">
        <v>0.1</v>
      </c>
      <c r="E28" s="34"/>
      <c r="G28" s="7">
        <v>1962</v>
      </c>
      <c r="H28" s="7">
        <v>359</v>
      </c>
      <c r="I28" s="7">
        <f>162.5+685</f>
        <v>847.5</v>
      </c>
      <c r="J28" s="7">
        <f>70.5+685</f>
        <v>755.5</v>
      </c>
    </row>
    <row r="29" spans="2:23" ht="6" customHeight="1" x14ac:dyDescent="0.15">
      <c r="B29" s="37"/>
      <c r="D29" s="38"/>
      <c r="E29" s="9"/>
      <c r="F29" s="39"/>
      <c r="G29" s="6"/>
      <c r="H29" s="6"/>
    </row>
    <row r="30" spans="2:23" ht="6.75" customHeight="1" thickBot="1" x14ac:dyDescent="0.2">
      <c r="B30" s="37"/>
      <c r="D30" s="38"/>
      <c r="E30" s="9"/>
      <c r="F30" s="39"/>
      <c r="G30" s="6"/>
      <c r="H30" s="6"/>
    </row>
    <row r="31" spans="2:23" ht="22.5" customHeight="1" x14ac:dyDescent="0.15">
      <c r="B31" s="709" t="s">
        <v>107</v>
      </c>
      <c r="C31" s="710"/>
      <c r="D31" s="710" t="s">
        <v>108</v>
      </c>
      <c r="E31" s="710"/>
      <c r="F31" s="710"/>
      <c r="G31" s="40">
        <v>163</v>
      </c>
      <c r="H31" s="39"/>
      <c r="I31" s="7">
        <f>+G31+685</f>
        <v>848</v>
      </c>
    </row>
    <row r="32" spans="2:23" hidden="1" x14ac:dyDescent="0.15">
      <c r="B32" s="41" t="s">
        <v>109</v>
      </c>
      <c r="C32" s="2"/>
      <c r="D32" s="2"/>
      <c r="E32" s="2"/>
      <c r="F32" s="2"/>
      <c r="G32" s="42"/>
    </row>
    <row r="33" spans="1:20" ht="26.25" hidden="1" customHeight="1" x14ac:dyDescent="0.15">
      <c r="B33" s="41" t="s">
        <v>110</v>
      </c>
      <c r="C33" s="2">
        <v>8</v>
      </c>
      <c r="D33" s="2"/>
      <c r="E33" s="2"/>
      <c r="F33" s="2"/>
      <c r="G33" s="42"/>
    </row>
    <row r="34" spans="1:20" ht="30.75" customHeight="1" x14ac:dyDescent="0.15">
      <c r="B34" s="43" t="s">
        <v>111</v>
      </c>
      <c r="C34" s="44" t="s">
        <v>3</v>
      </c>
      <c r="D34" s="45" t="s">
        <v>112</v>
      </c>
      <c r="E34" s="45" t="s">
        <v>113</v>
      </c>
      <c r="F34" s="45" t="s">
        <v>114</v>
      </c>
      <c r="G34" s="46" t="s">
        <v>115</v>
      </c>
      <c r="H34" s="47"/>
    </row>
    <row r="35" spans="1:20" x14ac:dyDescent="0.15">
      <c r="B35" s="48" t="s">
        <v>116</v>
      </c>
      <c r="C35" s="49"/>
      <c r="D35" s="49"/>
      <c r="E35" s="49"/>
      <c r="F35" s="49"/>
      <c r="G35" s="50"/>
      <c r="H35" s="51"/>
    </row>
    <row r="36" spans="1:20" ht="15.75" customHeight="1" x14ac:dyDescent="0.15">
      <c r="B36" s="52" t="s">
        <v>117</v>
      </c>
      <c r="C36" s="711" t="s">
        <v>118</v>
      </c>
      <c r="D36" s="711"/>
      <c r="E36" s="53"/>
      <c r="F36" s="53"/>
      <c r="G36" s="54"/>
      <c r="H36" s="51"/>
      <c r="I36" s="7">
        <v>2020</v>
      </c>
      <c r="K36" s="31"/>
    </row>
    <row r="37" spans="1:20" x14ac:dyDescent="0.15">
      <c r="B37" s="55" t="s">
        <v>119</v>
      </c>
      <c r="C37" s="25" t="s">
        <v>120</v>
      </c>
      <c r="D37" s="56">
        <v>1100</v>
      </c>
      <c r="E37" s="57">
        <f>+(($E$24*D72)/D37)</f>
        <v>681.90545454545452</v>
      </c>
      <c r="F37" s="57">
        <f t="shared" ref="F37:F42" si="0">+D37*E37</f>
        <v>750096</v>
      </c>
      <c r="G37" s="58">
        <f t="shared" ref="G37:G42" si="1">+F37*$G$31</f>
        <v>122265648</v>
      </c>
      <c r="H37" s="59"/>
      <c r="I37" s="58">
        <f>+'[4]P 5 C.Mant. B.P.'!$F$40</f>
        <v>291930</v>
      </c>
      <c r="J37" s="31"/>
      <c r="K37" s="31"/>
    </row>
    <row r="38" spans="1:20" x14ac:dyDescent="0.15">
      <c r="B38" s="55" t="s">
        <v>121</v>
      </c>
      <c r="C38" s="25" t="s">
        <v>105</v>
      </c>
      <c r="D38" s="56">
        <v>3</v>
      </c>
      <c r="E38" s="57">
        <f>+D27</f>
        <v>65000</v>
      </c>
      <c r="F38" s="57">
        <f>+D38*E38</f>
        <v>195000</v>
      </c>
      <c r="G38" s="58">
        <f t="shared" si="1"/>
        <v>31785000</v>
      </c>
      <c r="H38" s="59"/>
      <c r="I38" s="58">
        <f>+'[4]P 5 C.Mant. B.P.'!$F$44</f>
        <v>75000</v>
      </c>
      <c r="J38" s="31"/>
      <c r="K38" s="31"/>
    </row>
    <row r="39" spans="1:20" x14ac:dyDescent="0.15">
      <c r="B39" s="55" t="s">
        <v>122</v>
      </c>
      <c r="C39" s="25" t="s">
        <v>61</v>
      </c>
      <c r="D39" s="56">
        <v>220</v>
      </c>
      <c r="E39" s="57">
        <f>+(($E$24*D74)/D39)</f>
        <v>568.25454545454545</v>
      </c>
      <c r="F39" s="57">
        <f>+D39*E39</f>
        <v>125016</v>
      </c>
      <c r="G39" s="58">
        <f t="shared" si="1"/>
        <v>20377608</v>
      </c>
      <c r="H39" s="59"/>
      <c r="I39" s="58">
        <f>+'[4]P 5 C.Mant. B.P.'!$F$47</f>
        <v>97458</v>
      </c>
      <c r="J39" s="31"/>
      <c r="K39" s="31"/>
    </row>
    <row r="40" spans="1:20" x14ac:dyDescent="0.15">
      <c r="A40" s="7" t="s">
        <v>172</v>
      </c>
      <c r="B40" s="55" t="s">
        <v>124</v>
      </c>
      <c r="C40" s="25" t="s">
        <v>61</v>
      </c>
      <c r="D40" s="56">
        <f>+$D$10+$D$11</f>
        <v>1100</v>
      </c>
      <c r="E40" s="57">
        <f>+(($E$24*D76)/D40)</f>
        <v>113.6509090909091</v>
      </c>
      <c r="F40" s="57">
        <f t="shared" si="0"/>
        <v>125016</v>
      </c>
      <c r="G40" s="58">
        <f t="shared" si="1"/>
        <v>20377608</v>
      </c>
      <c r="H40" s="59"/>
      <c r="I40" s="58">
        <f>+'[4]P 5 C.Mant. B.P.'!$F$43</f>
        <v>48840</v>
      </c>
      <c r="J40" s="31"/>
      <c r="K40" s="31"/>
    </row>
    <row r="41" spans="1:20" x14ac:dyDescent="0.15">
      <c r="A41" s="7" t="s">
        <v>173</v>
      </c>
      <c r="B41" s="55" t="s">
        <v>125</v>
      </c>
      <c r="C41" s="25" t="s">
        <v>61</v>
      </c>
      <c r="D41" s="56">
        <f>+$D$10+$D$11</f>
        <v>1100</v>
      </c>
      <c r="E41" s="57">
        <f>+(($E$24*D77)/D41)</f>
        <v>56.825454545454548</v>
      </c>
      <c r="F41" s="57">
        <f t="shared" si="0"/>
        <v>62508</v>
      </c>
      <c r="G41" s="58">
        <f t="shared" si="1"/>
        <v>10188804</v>
      </c>
      <c r="H41" s="59"/>
      <c r="I41" s="58">
        <f>+'[4]P 5 C.Mant. B.P.'!$F$46</f>
        <v>97680</v>
      </c>
      <c r="J41" s="31"/>
      <c r="K41" s="31"/>
      <c r="T41" s="7" t="s">
        <v>126</v>
      </c>
    </row>
    <row r="42" spans="1:20" x14ac:dyDescent="0.15">
      <c r="B42" s="60" t="s">
        <v>127</v>
      </c>
      <c r="C42" s="25" t="s">
        <v>128</v>
      </c>
      <c r="D42" s="56">
        <v>10000</v>
      </c>
      <c r="E42" s="57">
        <f>+(($E$24*D78)/D42)</f>
        <v>75.009600000000006</v>
      </c>
      <c r="F42" s="57">
        <f t="shared" si="0"/>
        <v>750096.00000000012</v>
      </c>
      <c r="G42" s="58">
        <f t="shared" si="1"/>
        <v>122265648.00000001</v>
      </c>
      <c r="H42" s="59"/>
      <c r="I42" s="58">
        <f>+'[4]P 5 C.Mant. B.P.'!$F$48</f>
        <v>290000</v>
      </c>
      <c r="J42" s="31"/>
      <c r="K42" s="31"/>
    </row>
    <row r="43" spans="1:20" x14ac:dyDescent="0.15">
      <c r="B43" s="61" t="s">
        <v>129</v>
      </c>
      <c r="C43" s="25"/>
      <c r="D43" s="56"/>
      <c r="E43" s="57"/>
      <c r="F43" s="57"/>
      <c r="G43" s="58"/>
      <c r="H43" s="59"/>
      <c r="I43" s="58">
        <f>+'[4]P 5 C.Mant. B.P.'!$F$49</f>
        <v>97528</v>
      </c>
      <c r="J43" s="31"/>
      <c r="K43" s="31"/>
    </row>
    <row r="44" spans="1:20" x14ac:dyDescent="0.15">
      <c r="B44" s="52" t="s">
        <v>130</v>
      </c>
      <c r="C44" s="62"/>
      <c r="D44" s="63"/>
      <c r="E44" s="64"/>
      <c r="F44" s="65">
        <f>+SUM(F37:F43)</f>
        <v>2007732</v>
      </c>
      <c r="G44" s="66">
        <f>+SUM(G37:G43)</f>
        <v>327260316</v>
      </c>
      <c r="H44" s="67"/>
      <c r="I44" s="66">
        <f>SUM(I37:I43)</f>
        <v>998436</v>
      </c>
      <c r="J44" s="32"/>
      <c r="K44" s="32"/>
    </row>
    <row r="45" spans="1:20" ht="15.75" customHeight="1" x14ac:dyDescent="0.15">
      <c r="B45" s="712" t="s">
        <v>131</v>
      </c>
      <c r="C45" s="713"/>
      <c r="D45" s="713"/>
      <c r="E45" s="713"/>
      <c r="F45" s="713"/>
      <c r="G45" s="68"/>
      <c r="H45" s="34"/>
    </row>
    <row r="46" spans="1:20" x14ac:dyDescent="0.15">
      <c r="B46" s="55" t="s">
        <v>132</v>
      </c>
      <c r="C46" s="25" t="s">
        <v>133</v>
      </c>
      <c r="D46" s="69">
        <f>ROUNDUP(D10*D12,0)</f>
        <v>220</v>
      </c>
      <c r="E46" s="57" t="e">
        <f>+E10</f>
        <v>#REF!</v>
      </c>
      <c r="F46" s="57" t="e">
        <f t="shared" ref="F46:F49" si="2">+D46*E46</f>
        <v>#REF!</v>
      </c>
      <c r="G46" s="58" t="e">
        <f t="shared" ref="G46:G49" si="3">+F46*$G$31</f>
        <v>#REF!</v>
      </c>
      <c r="H46" s="70">
        <f>+'[4]P 5 C.Mant. B.P.'!$D$52</f>
        <v>111</v>
      </c>
      <c r="I46" s="58">
        <f>+'[4]P 5 C.Mant. B.P.'!$F$52</f>
        <v>149073</v>
      </c>
      <c r="J46" s="31" t="s">
        <v>134</v>
      </c>
    </row>
    <row r="47" spans="1:20" x14ac:dyDescent="0.15">
      <c r="B47" s="55" t="s">
        <v>88</v>
      </c>
      <c r="C47" s="25" t="s">
        <v>135</v>
      </c>
      <c r="D47" s="69">
        <f>ROUNDUP(($D$10*D17*2)/1000,0)</f>
        <v>110</v>
      </c>
      <c r="E47" s="57">
        <f>+E17</f>
        <v>168900</v>
      </c>
      <c r="F47" s="57">
        <f t="shared" si="2"/>
        <v>18579000</v>
      </c>
      <c r="G47" s="58">
        <f t="shared" si="3"/>
        <v>3028377000</v>
      </c>
      <c r="H47" s="70">
        <f>+'[4]P 5 C.Mant. B.P.'!$D$53</f>
        <v>56</v>
      </c>
      <c r="I47" s="58">
        <f>+'[4]P 5 C.Mant. B.P.'!$F$53</f>
        <v>0</v>
      </c>
      <c r="J47" s="31" t="s">
        <v>136</v>
      </c>
    </row>
    <row r="48" spans="1:20" x14ac:dyDescent="0.15">
      <c r="A48" s="7" t="s">
        <v>5</v>
      </c>
      <c r="B48" s="55" t="s">
        <v>6</v>
      </c>
      <c r="C48" s="25" t="s">
        <v>135</v>
      </c>
      <c r="D48" s="69">
        <f>ROUNDUP((D16*2)/1,0)</f>
        <v>550</v>
      </c>
      <c r="E48" s="152">
        <f>+E16</f>
        <v>67940</v>
      </c>
      <c r="F48" s="152">
        <f t="shared" si="2"/>
        <v>37367000</v>
      </c>
      <c r="G48" s="153">
        <f t="shared" si="3"/>
        <v>6090821000</v>
      </c>
      <c r="H48" s="70">
        <f>+'[4]P 5 C.Mant. B.P.'!$D$55</f>
        <v>222</v>
      </c>
      <c r="I48" s="153">
        <f>+'[4]P 5 C.Mant. B.P.'!$F$55</f>
        <v>377844</v>
      </c>
      <c r="J48" s="140" t="s">
        <v>137</v>
      </c>
    </row>
    <row r="49" spans="1:22" x14ac:dyDescent="0.15">
      <c r="A49" s="7" t="s">
        <v>173</v>
      </c>
      <c r="B49" s="55" t="str">
        <f>+'Estudio de Mercado'!A5</f>
        <v>Insecticida granular (hormiga)</v>
      </c>
      <c r="C49" s="25" t="s">
        <v>138</v>
      </c>
      <c r="D49" s="69">
        <f>+D19</f>
        <v>1</v>
      </c>
      <c r="E49" s="152">
        <f>+E19</f>
        <v>0</v>
      </c>
      <c r="F49" s="152">
        <f t="shared" si="2"/>
        <v>0</v>
      </c>
      <c r="G49" s="153">
        <f t="shared" si="3"/>
        <v>0</v>
      </c>
      <c r="H49" s="70"/>
      <c r="I49" s="153"/>
      <c r="J49" s="140"/>
    </row>
    <row r="50" spans="1:22" x14ac:dyDescent="0.15">
      <c r="B50" s="712" t="s">
        <v>139</v>
      </c>
      <c r="C50" s="713"/>
      <c r="D50" s="713"/>
      <c r="E50" s="713"/>
      <c r="F50" s="71" t="e">
        <f>+SUM(F46:F49)</f>
        <v>#REF!</v>
      </c>
      <c r="G50" s="72" t="e">
        <f>+SUM(G46:G49)</f>
        <v>#REF!</v>
      </c>
      <c r="H50" s="73"/>
      <c r="I50" s="72">
        <f>SUM(I46:I49)</f>
        <v>526917</v>
      </c>
      <c r="J50" s="31"/>
      <c r="L50" s="74"/>
      <c r="M50" s="75"/>
      <c r="N50" s="75"/>
      <c r="O50" s="76"/>
      <c r="P50" s="77"/>
      <c r="Q50" s="77"/>
    </row>
    <row r="51" spans="1:22" x14ac:dyDescent="0.15">
      <c r="B51" s="706" t="s">
        <v>140</v>
      </c>
      <c r="C51" s="707"/>
      <c r="D51" s="707"/>
      <c r="E51" s="707"/>
      <c r="F51" s="78" t="e">
        <f>+F44+F50</f>
        <v>#REF!</v>
      </c>
      <c r="G51" s="79" t="e">
        <f>+F51*$G$31</f>
        <v>#REF!</v>
      </c>
      <c r="H51" s="80"/>
      <c r="I51" s="80"/>
      <c r="J51" s="80"/>
      <c r="K51" s="81"/>
    </row>
    <row r="52" spans="1:22" ht="15.75" customHeight="1" x14ac:dyDescent="0.15">
      <c r="B52" s="714" t="s">
        <v>141</v>
      </c>
      <c r="C52" s="715"/>
      <c r="D52" s="715"/>
      <c r="E52" s="715"/>
      <c r="F52" s="82"/>
      <c r="G52" s="83"/>
      <c r="H52" s="34"/>
      <c r="I52" s="47"/>
      <c r="J52" s="34"/>
    </row>
    <row r="53" spans="1:22" ht="15.75" customHeight="1" x14ac:dyDescent="0.15">
      <c r="B53" s="716" t="s">
        <v>142</v>
      </c>
      <c r="C53" s="717"/>
      <c r="D53" s="717"/>
      <c r="E53" s="717"/>
      <c r="F53" s="84">
        <f>ROUND($F$44*$D$25,0)</f>
        <v>100387</v>
      </c>
      <c r="G53" s="85">
        <f>+F53*G31</f>
        <v>16363081</v>
      </c>
      <c r="H53" s="86"/>
      <c r="I53" s="86"/>
      <c r="J53" s="86"/>
    </row>
    <row r="54" spans="1:22" ht="15.75" customHeight="1" x14ac:dyDescent="0.15">
      <c r="B54" s="716" t="s">
        <v>143</v>
      </c>
      <c r="C54" s="717"/>
      <c r="D54" s="717"/>
      <c r="E54" s="717"/>
      <c r="F54" s="84">
        <f>ROUND($F$44*$D$25,0)</f>
        <v>100387</v>
      </c>
      <c r="G54" s="85">
        <f>+F54*G31</f>
        <v>16363081</v>
      </c>
      <c r="H54" s="86"/>
      <c r="I54" s="86"/>
      <c r="J54" s="86"/>
    </row>
    <row r="55" spans="1:22" x14ac:dyDescent="0.15">
      <c r="B55" s="716" t="s">
        <v>176</v>
      </c>
      <c r="C55" s="717"/>
      <c r="D55" s="717"/>
      <c r="E55" s="717"/>
      <c r="F55" s="87" t="e">
        <f>ROUNDUP(F50*D28,0)</f>
        <v>#REF!</v>
      </c>
      <c r="G55" s="88" t="e">
        <f>+F55*$G$31</f>
        <v>#REF!</v>
      </c>
      <c r="H55" s="89"/>
      <c r="I55" s="89"/>
      <c r="J55" s="89"/>
    </row>
    <row r="56" spans="1:22" x14ac:dyDescent="0.15">
      <c r="B56" s="714" t="s">
        <v>144</v>
      </c>
      <c r="C56" s="715"/>
      <c r="D56" s="715"/>
      <c r="E56" s="715"/>
      <c r="F56" s="90" t="e">
        <f>SUM(F53:F55)</f>
        <v>#REF!</v>
      </c>
      <c r="G56" s="91" t="e">
        <f>SUM(G53:G55)</f>
        <v>#REF!</v>
      </c>
      <c r="H56" s="80"/>
      <c r="I56" s="80"/>
      <c r="J56" s="80"/>
    </row>
    <row r="57" spans="1:22" ht="15.75" customHeight="1" thickBot="1" x14ac:dyDescent="0.2">
      <c r="B57" s="718" t="s">
        <v>145</v>
      </c>
      <c r="C57" s="719"/>
      <c r="D57" s="719"/>
      <c r="E57" s="719"/>
      <c r="F57" s="92" t="e">
        <f>+F51+F56</f>
        <v>#REF!</v>
      </c>
      <c r="G57" s="93" t="e">
        <f>+G51+G56</f>
        <v>#REF!</v>
      </c>
      <c r="H57" s="94"/>
      <c r="I57" s="94"/>
      <c r="J57" s="94"/>
    </row>
    <row r="58" spans="1:22" ht="15.75" customHeight="1" x14ac:dyDescent="0.15">
      <c r="B58" s="95" t="s">
        <v>111</v>
      </c>
      <c r="C58" s="96" t="s">
        <v>146</v>
      </c>
      <c r="D58" s="97" t="s">
        <v>147</v>
      </c>
      <c r="E58" s="97" t="s">
        <v>148</v>
      </c>
      <c r="F58" s="97" t="s">
        <v>149</v>
      </c>
      <c r="G58" s="98" t="s">
        <v>150</v>
      </c>
      <c r="H58" s="94"/>
      <c r="I58" s="94"/>
      <c r="J58" s="94"/>
    </row>
    <row r="59" spans="1:22" ht="15.75" customHeight="1" x14ac:dyDescent="0.15">
      <c r="B59" s="99" t="s">
        <v>151</v>
      </c>
      <c r="C59" s="100"/>
      <c r="D59" s="101"/>
      <c r="E59" s="101"/>
      <c r="F59" s="101"/>
      <c r="G59" s="102"/>
      <c r="H59" s="94"/>
      <c r="I59" s="94"/>
      <c r="J59" s="94"/>
    </row>
    <row r="60" spans="1:22" ht="15.75" customHeight="1" x14ac:dyDescent="0.15">
      <c r="B60" s="103" t="s">
        <v>152</v>
      </c>
      <c r="C60" s="104">
        <v>0.01</v>
      </c>
      <c r="D60" s="105" t="s">
        <v>153</v>
      </c>
      <c r="E60" s="105">
        <v>6</v>
      </c>
      <c r="F60" s="106">
        <f>3800000*E60*C60</f>
        <v>228000</v>
      </c>
      <c r="G60" s="107">
        <f>+F60*$G$31</f>
        <v>37164000</v>
      </c>
      <c r="H60" s="94"/>
      <c r="I60" s="94"/>
      <c r="J60" s="94"/>
    </row>
    <row r="61" spans="1:22" ht="15.75" customHeight="1" thickBot="1" x14ac:dyDescent="0.2">
      <c r="B61" s="108" t="s">
        <v>154</v>
      </c>
      <c r="C61" s="109"/>
      <c r="D61" s="110"/>
      <c r="E61" s="110"/>
      <c r="F61" s="111">
        <f>SUM(F60)</f>
        <v>228000</v>
      </c>
      <c r="G61" s="112">
        <f>+G60</f>
        <v>37164000</v>
      </c>
      <c r="H61" s="94"/>
      <c r="I61" s="94"/>
      <c r="J61" s="94"/>
    </row>
    <row r="62" spans="1:22" x14ac:dyDescent="0.15">
      <c r="B62" s="113" t="s">
        <v>155</v>
      </c>
      <c r="C62" s="114"/>
      <c r="D62" s="114"/>
      <c r="E62" s="114"/>
      <c r="F62" s="115" t="e">
        <f>+F57+F61</f>
        <v>#REF!</v>
      </c>
      <c r="G62" s="116" t="e">
        <f>+G57+G61</f>
        <v>#REF!</v>
      </c>
      <c r="I62" s="117">
        <f>+G31-I63-I64-I65</f>
        <v>-2126</v>
      </c>
      <c r="J62" s="32" t="e">
        <f>+I62*$F$67</f>
        <v>#REF!</v>
      </c>
      <c r="K62" s="31"/>
      <c r="V62" s="118"/>
    </row>
    <row r="63" spans="1:22" x14ac:dyDescent="0.15">
      <c r="B63" s="119" t="s">
        <v>156</v>
      </c>
      <c r="C63" s="120">
        <v>0.1</v>
      </c>
      <c r="D63" s="121"/>
      <c r="E63" s="122"/>
      <c r="F63" s="123" t="e">
        <f>ROUND($F$62*C63,0)</f>
        <v>#REF!</v>
      </c>
      <c r="G63" s="124" t="e">
        <f>+F63*$G$31</f>
        <v>#REF!</v>
      </c>
      <c r="H63" s="125"/>
      <c r="I63" s="7">
        <v>848</v>
      </c>
      <c r="J63" s="32" t="e">
        <f>+I63*$F$67</f>
        <v>#REF!</v>
      </c>
      <c r="K63" s="31"/>
      <c r="L63" s="31"/>
      <c r="M63" s="117"/>
    </row>
    <row r="64" spans="1:22" x14ac:dyDescent="0.15">
      <c r="B64" s="126" t="s">
        <v>157</v>
      </c>
      <c r="C64" s="127">
        <v>0.01</v>
      </c>
      <c r="D64" s="128"/>
      <c r="E64" s="129"/>
      <c r="F64" s="130" t="e">
        <f>ROUND($F$62*C64,0)</f>
        <v>#REF!</v>
      </c>
      <c r="G64" s="124" t="e">
        <f>+F64*$G$31</f>
        <v>#REF!</v>
      </c>
      <c r="H64" s="125"/>
      <c r="I64" s="7">
        <v>756</v>
      </c>
      <c r="J64" s="32" t="e">
        <f>+I64*$F$67</f>
        <v>#REF!</v>
      </c>
      <c r="K64" s="31"/>
      <c r="L64" s="31"/>
      <c r="M64" s="117"/>
    </row>
    <row r="65" spans="2:20" x14ac:dyDescent="0.15">
      <c r="B65" s="126" t="s">
        <v>158</v>
      </c>
      <c r="C65" s="127">
        <v>0.05</v>
      </c>
      <c r="D65" s="128"/>
      <c r="E65" s="129"/>
      <c r="F65" s="130" t="e">
        <f>ROUND($F$62*C65,0)</f>
        <v>#REF!</v>
      </c>
      <c r="G65" s="124" t="e">
        <f>+F65*$G$31</f>
        <v>#REF!</v>
      </c>
      <c r="H65" s="125"/>
      <c r="I65" s="7">
        <v>685</v>
      </c>
      <c r="J65" s="32" t="e">
        <f>+I65*$F$67</f>
        <v>#REF!</v>
      </c>
      <c r="K65" s="31"/>
      <c r="L65" s="31"/>
      <c r="M65" s="117"/>
    </row>
    <row r="66" spans="2:20" ht="14" thickBot="1" x14ac:dyDescent="0.2">
      <c r="B66" s="126" t="s">
        <v>159</v>
      </c>
      <c r="C66" s="127">
        <v>0.19</v>
      </c>
      <c r="D66" s="128"/>
      <c r="E66" s="129"/>
      <c r="F66" s="130" t="e">
        <f>ROUND(F65*C66,0)</f>
        <v>#REF!</v>
      </c>
      <c r="G66" s="124" t="e">
        <f>+F66*$G$31</f>
        <v>#REF!</v>
      </c>
      <c r="H66" s="125"/>
      <c r="J66" s="125"/>
      <c r="K66" s="31"/>
      <c r="L66" s="31"/>
      <c r="M66" s="117"/>
      <c r="T66" s="131" t="e">
        <f>+SUM(G63:G66)</f>
        <v>#REF!</v>
      </c>
    </row>
    <row r="67" spans="2:20" ht="14" thickBot="1" x14ac:dyDescent="0.2">
      <c r="B67" s="720" t="s">
        <v>160</v>
      </c>
      <c r="C67" s="721"/>
      <c r="D67" s="721"/>
      <c r="E67" s="721"/>
      <c r="F67" s="132" t="e">
        <f>+F62+F63+F66+F65+F64</f>
        <v>#REF!</v>
      </c>
      <c r="G67" s="132" t="e">
        <f>+G62+G63+G66+G65+G64</f>
        <v>#REF!</v>
      </c>
      <c r="H67" s="125" t="e">
        <f>+F67*718</f>
        <v>#REF!</v>
      </c>
      <c r="I67" s="31"/>
      <c r="J67" s="117"/>
    </row>
    <row r="68" spans="2:20" x14ac:dyDescent="0.15">
      <c r="C68" s="38"/>
      <c r="G68" s="133" t="e">
        <f>+G67+'Mtto  RP Aliso'!G67+'Mtto  RP Yopo'!G67+#REF!</f>
        <v>#REF!</v>
      </c>
      <c r="H68" s="125"/>
      <c r="I68" s="117"/>
    </row>
    <row r="69" spans="2:20" x14ac:dyDescent="0.15">
      <c r="G69" s="134" t="e">
        <f>+G68/1.16</f>
        <v>#REF!</v>
      </c>
      <c r="H69" s="134"/>
      <c r="I69" s="31"/>
    </row>
    <row r="70" spans="2:20" ht="14" thickBot="1" x14ac:dyDescent="0.2">
      <c r="B70" s="661" t="s">
        <v>161</v>
      </c>
      <c r="C70" s="661"/>
      <c r="D70" s="661"/>
      <c r="G70" s="117"/>
      <c r="I70" s="117">
        <f>+[5]Enriquecimiento!G77*1.15</f>
        <v>189754980.26666668</v>
      </c>
      <c r="K70" s="31"/>
    </row>
    <row r="71" spans="2:20" x14ac:dyDescent="0.15">
      <c r="B71" s="135" t="s">
        <v>162</v>
      </c>
      <c r="C71" s="136" t="s">
        <v>163</v>
      </c>
      <c r="D71" s="137" t="s">
        <v>164</v>
      </c>
      <c r="G71" s="151">
        <v>1660270231.1810346</v>
      </c>
      <c r="I71" s="32">
        <f>+I70+I69</f>
        <v>189754980.26666668</v>
      </c>
      <c r="K71" s="31"/>
    </row>
    <row r="72" spans="2:20" x14ac:dyDescent="0.15">
      <c r="B72" s="55" t="s">
        <v>120</v>
      </c>
      <c r="C72" s="25" t="s">
        <v>100</v>
      </c>
      <c r="D72" s="138">
        <v>12</v>
      </c>
      <c r="E72" s="139"/>
      <c r="G72" s="31"/>
      <c r="H72" s="140"/>
      <c r="I72" s="31"/>
      <c r="K72" s="32"/>
    </row>
    <row r="73" spans="2:20" x14ac:dyDescent="0.15">
      <c r="B73" s="55" t="s">
        <v>121</v>
      </c>
      <c r="C73" s="25" t="s">
        <v>105</v>
      </c>
      <c r="D73" s="138">
        <v>2</v>
      </c>
      <c r="E73" s="139"/>
      <c r="I73" s="32"/>
      <c r="J73" s="38"/>
    </row>
    <row r="74" spans="2:20" x14ac:dyDescent="0.15">
      <c r="B74" s="55" t="s">
        <v>122</v>
      </c>
      <c r="C74" s="25" t="s">
        <v>100</v>
      </c>
      <c r="D74" s="138">
        <v>2</v>
      </c>
      <c r="E74" s="139"/>
      <c r="I74" s="31"/>
      <c r="J74" s="38"/>
      <c r="K74" s="31"/>
    </row>
    <row r="75" spans="2:20" x14ac:dyDescent="0.15">
      <c r="B75" s="55" t="s">
        <v>123</v>
      </c>
      <c r="C75" s="25" t="s">
        <v>100</v>
      </c>
      <c r="D75" s="138">
        <v>0</v>
      </c>
      <c r="E75" s="139"/>
      <c r="I75" s="32"/>
    </row>
    <row r="76" spans="2:20" x14ac:dyDescent="0.15">
      <c r="B76" s="55" t="s">
        <v>165</v>
      </c>
      <c r="C76" s="25" t="s">
        <v>100</v>
      </c>
      <c r="D76" s="138">
        <v>2</v>
      </c>
      <c r="E76" s="139"/>
    </row>
    <row r="77" spans="2:20" x14ac:dyDescent="0.15">
      <c r="B77" s="55" t="s">
        <v>125</v>
      </c>
      <c r="C77" s="25" t="s">
        <v>100</v>
      </c>
      <c r="D77" s="138">
        <v>1</v>
      </c>
      <c r="E77" s="139"/>
    </row>
    <row r="78" spans="2:20" x14ac:dyDescent="0.15">
      <c r="B78" s="60" t="s">
        <v>166</v>
      </c>
      <c r="C78" s="25" t="s">
        <v>100</v>
      </c>
      <c r="D78" s="138">
        <v>12</v>
      </c>
      <c r="E78" s="139"/>
    </row>
    <row r="79" spans="2:20" ht="14" thickBot="1" x14ac:dyDescent="0.2">
      <c r="B79" s="141"/>
      <c r="C79" s="142"/>
      <c r="D79" s="143">
        <f>SUM(D72:D78)</f>
        <v>31</v>
      </c>
      <c r="E79" s="139"/>
    </row>
    <row r="80" spans="2:20" x14ac:dyDescent="0.15">
      <c r="D80" s="144" t="s">
        <v>167</v>
      </c>
    </row>
    <row r="82" spans="2:7" ht="14" thickBot="1" x14ac:dyDescent="0.2"/>
    <row r="83" spans="2:7" ht="14" thickBot="1" x14ac:dyDescent="0.2">
      <c r="B83" s="722" t="s">
        <v>168</v>
      </c>
      <c r="C83" s="723"/>
      <c r="D83" s="723"/>
      <c r="E83" s="723"/>
      <c r="F83" s="723"/>
      <c r="G83" s="724"/>
    </row>
    <row r="84" spans="2:7" ht="14" thickBot="1" x14ac:dyDescent="0.2">
      <c r="B84" s="602" t="s">
        <v>169</v>
      </c>
      <c r="C84" s="603"/>
      <c r="D84" s="603"/>
      <c r="E84" s="603"/>
      <c r="F84" s="603"/>
      <c r="G84" s="604"/>
    </row>
    <row r="85" spans="2:7" x14ac:dyDescent="0.15">
      <c r="B85" s="145"/>
      <c r="C85" s="146"/>
      <c r="D85" s="146"/>
      <c r="E85" s="146"/>
      <c r="F85" s="146"/>
      <c r="G85" s="147"/>
    </row>
    <row r="86" spans="2:7" x14ac:dyDescent="0.15">
      <c r="B86" s="145"/>
      <c r="C86" s="146"/>
      <c r="D86" s="146"/>
      <c r="E86" s="146"/>
      <c r="F86" s="146"/>
      <c r="G86" s="147"/>
    </row>
    <row r="87" spans="2:7" x14ac:dyDescent="0.15">
      <c r="B87" s="145"/>
      <c r="C87" s="146"/>
      <c r="D87" s="146"/>
      <c r="E87" s="146"/>
      <c r="F87" s="146"/>
      <c r="G87" s="147"/>
    </row>
    <row r="88" spans="2:7" ht="14" thickBot="1" x14ac:dyDescent="0.2">
      <c r="B88" s="148"/>
      <c r="C88" s="149"/>
      <c r="D88" s="149"/>
      <c r="E88" s="149"/>
      <c r="F88" s="149"/>
      <c r="G88" s="150"/>
    </row>
    <row r="89" spans="2:7" ht="14" thickBot="1" x14ac:dyDescent="0.2">
      <c r="B89" s="722" t="s">
        <v>170</v>
      </c>
      <c r="C89" s="723"/>
      <c r="D89" s="723"/>
      <c r="E89" s="723"/>
      <c r="F89" s="723"/>
      <c r="G89" s="724"/>
    </row>
    <row r="90" spans="2:7" ht="14" thickBot="1" x14ac:dyDescent="0.2">
      <c r="B90" s="602" t="s">
        <v>171</v>
      </c>
      <c r="C90" s="603"/>
      <c r="D90" s="603"/>
      <c r="E90" s="603"/>
      <c r="F90" s="603"/>
      <c r="G90" s="604"/>
    </row>
    <row r="91" spans="2:7" x14ac:dyDescent="0.15">
      <c r="B91" s="145"/>
      <c r="C91" s="146"/>
      <c r="D91" s="146"/>
      <c r="E91" s="146"/>
      <c r="F91" s="146"/>
      <c r="G91" s="147"/>
    </row>
    <row r="92" spans="2:7" x14ac:dyDescent="0.15">
      <c r="B92" s="145"/>
      <c r="C92" s="146"/>
      <c r="D92" s="146"/>
      <c r="E92" s="146"/>
      <c r="F92" s="146"/>
      <c r="G92" s="147"/>
    </row>
    <row r="93" spans="2:7" x14ac:dyDescent="0.15">
      <c r="B93" s="145"/>
      <c r="C93" s="146"/>
      <c r="D93" s="146"/>
      <c r="E93" s="146"/>
      <c r="F93" s="146"/>
      <c r="G93" s="147"/>
    </row>
    <row r="94" spans="2:7" ht="14" thickBot="1" x14ac:dyDescent="0.2">
      <c r="B94" s="148"/>
      <c r="C94" s="149"/>
      <c r="D94" s="149"/>
      <c r="E94" s="149"/>
      <c r="F94" s="149"/>
      <c r="G94" s="150"/>
    </row>
  </sheetData>
  <mergeCells count="24">
    <mergeCell ref="B90:G90"/>
    <mergeCell ref="B52:E52"/>
    <mergeCell ref="B53:E53"/>
    <mergeCell ref="B54:E54"/>
    <mergeCell ref="B55:E55"/>
    <mergeCell ref="B56:E56"/>
    <mergeCell ref="B57:E57"/>
    <mergeCell ref="B67:E67"/>
    <mergeCell ref="B70:D70"/>
    <mergeCell ref="B83:G83"/>
    <mergeCell ref="B84:G84"/>
    <mergeCell ref="B89:G89"/>
    <mergeCell ref="B51:E51"/>
    <mergeCell ref="B3:G3"/>
    <mergeCell ref="C4:G4"/>
    <mergeCell ref="C5:G5"/>
    <mergeCell ref="C6:G6"/>
    <mergeCell ref="B11:C11"/>
    <mergeCell ref="B12:C12"/>
    <mergeCell ref="B31:C31"/>
    <mergeCell ref="D31:F31"/>
    <mergeCell ref="C36:D36"/>
    <mergeCell ref="B45:F45"/>
    <mergeCell ref="B50:E50"/>
  </mergeCells>
  <conditionalFormatting sqref="F56:J56">
    <cfRule type="cellIs" dxfId="0" priority="1" stopIfTrue="1" operator="greaterThan">
      <formula>0</formula>
    </cfRule>
  </conditionalFormatting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8</vt:i4>
      </vt:variant>
      <vt:variant>
        <vt:lpstr>Rangos con nombre</vt:lpstr>
      </vt:variant>
      <vt:variant>
        <vt:i4>3</vt:i4>
      </vt:variant>
    </vt:vector>
  </HeadingPairs>
  <TitlesOfParts>
    <vt:vector size="11" baseType="lpstr">
      <vt:lpstr>Estudio de Mercado</vt:lpstr>
      <vt:lpstr>Establec predio publico</vt:lpstr>
      <vt:lpstr>Aisl predio publico</vt:lpstr>
      <vt:lpstr>Mant predios publicos-RP-EF</vt:lpstr>
      <vt:lpstr>CONSOLIDADO</vt:lpstr>
      <vt:lpstr>Mtto  RP Yopo</vt:lpstr>
      <vt:lpstr>Mtto  RP Aliso</vt:lpstr>
      <vt:lpstr>Mtto  RP Cajeto</vt:lpstr>
      <vt:lpstr>'Mtto  RP Aliso'!Área_de_impresión</vt:lpstr>
      <vt:lpstr>'Mtto  RP Cajeto'!Área_de_impresión</vt:lpstr>
      <vt:lpstr>'Mtto  RP Yopo'!Área_de_impresión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2024-07-26T16:34:08Z</dcterms:modified>
</cp:coreProperties>
</file>