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OneDrive\Documentos\TRABAJO\CAREPA\2024\PROYECTOS\ART\Descargas\1. Presupuesto ajustado 2024\presupuesto ajustado a 4 meses\"/>
    </mc:Choice>
  </mc:AlternateContent>
  <xr:revisionPtr revIDLastSave="0" documentId="13_ncr:1_{EBEDAFC8-AF65-4583-A02C-12BF44BFF7B1}" xr6:coauthVersionLast="47" xr6:coauthVersionMax="47" xr10:uidLastSave="{00000000-0000-0000-0000-000000000000}"/>
  <bookViews>
    <workbookView xWindow="-96" yWindow="-96" windowWidth="23232" windowHeight="12432" activeTab="1" xr2:uid="{F1CF9542-EE57-46EA-9658-B6645952E110}"/>
  </bookViews>
  <sheets>
    <sheet name="PRESUPUESTO" sheetId="34" r:id="rId1"/>
    <sheet name="AIU " sheetId="36" r:id="rId2"/>
    <sheet name="E1-O (Etapa I-Obra)" sheetId="49" r:id="rId3"/>
    <sheet name="FM Obra" sheetId="50" r:id="rId4"/>
    <sheet name="FM" sheetId="22" state="hidden" r:id="rId5"/>
    <sheet name="220.1" sheetId="3" r:id="rId6"/>
    <sheet name="320.3" sheetId="7" r:id="rId7"/>
    <sheet name="500.1" sheetId="11" r:id="rId8"/>
    <sheet name="600.1.1" sheetId="2" r:id="rId9"/>
    <sheet name="610.2" sheetId="32" r:id="rId10"/>
    <sheet name="630.4" sheetId="4" r:id="rId11"/>
    <sheet name="640.1" sheetId="23" r:id="rId12"/>
    <sheet name="661.1" sheetId="28" r:id="rId13"/>
    <sheet name="671.3" sheetId="26" r:id="rId14"/>
    <sheet name="700.1" sheetId="6" r:id="rId15"/>
    <sheet name="710.1" sheetId="5" r:id="rId16"/>
    <sheet name="1010.1 PGIO " sheetId="45" r:id="rId17"/>
    <sheet name="equipos y transporte" sheetId="13" r:id="rId18"/>
    <sheet name="insumos" sheetId="12" r:id="rId19"/>
    <sheet name="salarios y prestaciones" sheetId="18" r:id="rId20"/>
    <sheet name="CONCRETOS Y MORTEROS " sheetId="54" r:id="rId21"/>
    <sheet name="Canastilla" sheetId="55" r:id="rId22"/>
  </sheets>
  <externalReferences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</externalReferences>
  <definedNames>
    <definedName name="\a" localSheetId="20">#REF!</definedName>
    <definedName name="\a">#REF!</definedName>
    <definedName name="\b">#REF!</definedName>
    <definedName name="\eliminar">[1]RESUM96!#REF!</definedName>
    <definedName name="\eliminar1">[1]RESUM96!#REF!</definedName>
    <definedName name="\i">[2]INSUMOS!#REF!</definedName>
    <definedName name="\m">[2]INSUMOS!#REF!</definedName>
    <definedName name="\q">#REF!</definedName>
    <definedName name="\r">[2]INSUMOS!#REF!</definedName>
    <definedName name="\s" localSheetId="20">#REF!</definedName>
    <definedName name="\s">#REF!</definedName>
    <definedName name="\t">[2]INSUMOS!#REF!</definedName>
    <definedName name="\X" localSheetId="20">[3]!err</definedName>
    <definedName name="\x">[2]INSUMOS!#REF!</definedName>
    <definedName name="\Z">[3]!err</definedName>
    <definedName name="_\a">#REF!</definedName>
    <definedName name="_\b">#REF!</definedName>
    <definedName name="_\eliminar">[1]RESUM96!#REF!</definedName>
    <definedName name="_\eliminar1">[1]RESUM96!#REF!</definedName>
    <definedName name="_\i">[2]INSUMOS!#REF!</definedName>
    <definedName name="_________________________________________________AFC1">[4]INV!$A$25:$D$28</definedName>
    <definedName name="_________________________________________________AFC3">[4]INV!$F$25:$I$28</definedName>
    <definedName name="_________________________________________________AFC5">[4]INV!$K$25:$N$28</definedName>
    <definedName name="_________________________________________________BGC1">[4]INV!$A$5:$D$8</definedName>
    <definedName name="_________________________________________________BGC3">[4]INV!$F$5:$I$8</definedName>
    <definedName name="_________________________________________________BGC5">[4]INV!$K$5:$N$8</definedName>
    <definedName name="_________________________________________________CAC1">[4]INV!$A$19:$D$22</definedName>
    <definedName name="_________________________________________________CAC3">[4]INV!$F$19:$I$22</definedName>
    <definedName name="_________________________________________________CAC5">[4]INV!$K$19:$N$22</definedName>
    <definedName name="_________________________________________________SBC1">[4]INV!$A$12:$D$15</definedName>
    <definedName name="_________________________________________________SBC3">[4]INV!$F$12:$I$15</definedName>
    <definedName name="_________________________________________________SBC5">[4]INV!$K$12:$N$15</definedName>
    <definedName name="________________________________________________AFC1">[4]INV!$A$25:$D$28</definedName>
    <definedName name="________________________________________________AFC3">[4]INV!$F$25:$I$28</definedName>
    <definedName name="________________________________________________AFC5">[4]INV!$K$25:$N$28</definedName>
    <definedName name="________________________________________________BGC1">[4]INV!$A$5:$D$8</definedName>
    <definedName name="________________________________________________BGC3">[4]INV!$F$5:$I$8</definedName>
    <definedName name="________________________________________________BGC5">[4]INV!$K$5:$N$8</definedName>
    <definedName name="________________________________________________CAC1">[4]INV!$A$19:$D$22</definedName>
    <definedName name="________________________________________________CAC3">[4]INV!$F$19:$I$22</definedName>
    <definedName name="________________________________________________CAC5">[4]INV!$K$19:$N$22</definedName>
    <definedName name="________________________________________________SBC1">[4]INV!$A$12:$D$15</definedName>
    <definedName name="________________________________________________SBC3">[4]INV!$F$12:$I$15</definedName>
    <definedName name="________________________________________________SBC5">[4]INV!$K$12:$N$15</definedName>
    <definedName name="_______________________________________________AFC1">[4]INV!$A$25:$D$28</definedName>
    <definedName name="_______________________________________________AFC3">[4]INV!$F$25:$I$28</definedName>
    <definedName name="_______________________________________________AFC5">[4]INV!$K$25:$N$28</definedName>
    <definedName name="_______________________________________________BGC1">[4]INV!$A$5:$D$8</definedName>
    <definedName name="_______________________________________________BGC3">[4]INV!$F$5:$I$8</definedName>
    <definedName name="_______________________________________________BGC5">[4]INV!$K$5:$N$8</definedName>
    <definedName name="_______________________________________________CAC1">[4]INV!$A$19:$D$22</definedName>
    <definedName name="_______________________________________________CAC3">[4]INV!$F$19:$I$22</definedName>
    <definedName name="_______________________________________________CAC5">[4]INV!$K$19:$N$22</definedName>
    <definedName name="_______________________________________________SBC1">[4]INV!$A$12:$D$15</definedName>
    <definedName name="_______________________________________________SBC3">[4]INV!$F$12:$I$15</definedName>
    <definedName name="_______________________________________________SBC5">[4]INV!$K$12:$N$15</definedName>
    <definedName name="______________________________________________AFC1">[4]INV!$A$25:$D$28</definedName>
    <definedName name="______________________________________________AFC3">[4]INV!$F$25:$I$28</definedName>
    <definedName name="______________________________________________AFC5">[4]INV!$K$25:$N$28</definedName>
    <definedName name="______________________________________________BGC1">[4]INV!$A$5:$D$8</definedName>
    <definedName name="______________________________________________BGC3">[4]INV!$F$5:$I$8</definedName>
    <definedName name="______________________________________________BGC5">[4]INV!$K$5:$N$8</definedName>
    <definedName name="______________________________________________CAC1">[4]INV!$A$19:$D$22</definedName>
    <definedName name="______________________________________________CAC3">[4]INV!$F$19:$I$22</definedName>
    <definedName name="______________________________________________CAC5">[4]INV!$K$19:$N$22</definedName>
    <definedName name="______________________________________________SBC1">[4]INV!$A$12:$D$15</definedName>
    <definedName name="______________________________________________SBC3">[4]INV!$F$12:$I$15</definedName>
    <definedName name="______________________________________________SBC5">[4]INV!$K$12:$N$15</definedName>
    <definedName name="_____________________________________________AFC1">[4]INV!$A$25:$D$28</definedName>
    <definedName name="_____________________________________________AFC3">[4]INV!$F$25:$I$28</definedName>
    <definedName name="_____________________________________________AFC5">[4]INV!$K$25:$N$28</definedName>
    <definedName name="_____________________________________________BGC1">[4]INV!$A$5:$D$8</definedName>
    <definedName name="_____________________________________________BGC3">[4]INV!$F$5:$I$8</definedName>
    <definedName name="_____________________________________________BGC5">[4]INV!$K$5:$N$8</definedName>
    <definedName name="_____________________________________________CAC1">[4]INV!$A$19:$D$22</definedName>
    <definedName name="_____________________________________________CAC3">[4]INV!$F$19:$I$22</definedName>
    <definedName name="_____________________________________________CAC5">[4]INV!$K$19:$N$22</definedName>
    <definedName name="_____________________________________________SBC1">[4]INV!$A$12:$D$15</definedName>
    <definedName name="_____________________________________________SBC3">[4]INV!$F$12:$I$15</definedName>
    <definedName name="_____________________________________________SBC5">[4]INV!$K$12:$N$15</definedName>
    <definedName name="____________________________________________AFC1">[4]INV!$A$25:$D$28</definedName>
    <definedName name="____________________________________________AFC3">[4]INV!$F$25:$I$28</definedName>
    <definedName name="____________________________________________AFC5">[4]INV!$K$25:$N$28</definedName>
    <definedName name="____________________________________________BGC1">[4]INV!$A$5:$D$8</definedName>
    <definedName name="____________________________________________BGC3">[4]INV!$F$5:$I$8</definedName>
    <definedName name="____________________________________________BGC5">[4]INV!$K$5:$N$8</definedName>
    <definedName name="____________________________________________CAC1">[4]INV!$A$19:$D$22</definedName>
    <definedName name="____________________________________________CAC3">[4]INV!$F$19:$I$22</definedName>
    <definedName name="____________________________________________CAC5">[4]INV!$K$19:$N$22</definedName>
    <definedName name="____________________________________________SBC1">[4]INV!$A$12:$D$15</definedName>
    <definedName name="____________________________________________SBC3">[4]INV!$F$12:$I$15</definedName>
    <definedName name="____________________________________________SBC5">[4]INV!$K$12:$N$15</definedName>
    <definedName name="___________________________________________AFC1">[4]INV!$A$25:$D$28</definedName>
    <definedName name="___________________________________________AFC3">[4]INV!$F$25:$I$28</definedName>
    <definedName name="___________________________________________AFC5">[4]INV!$K$25:$N$28</definedName>
    <definedName name="___________________________________________BGC1">[4]INV!$A$5:$D$8</definedName>
    <definedName name="___________________________________________BGC3">[4]INV!$F$5:$I$8</definedName>
    <definedName name="___________________________________________BGC5">[4]INV!$K$5:$N$8</definedName>
    <definedName name="___________________________________________CAC1">[4]INV!$A$19:$D$22</definedName>
    <definedName name="___________________________________________CAC3">[4]INV!$F$19:$I$22</definedName>
    <definedName name="___________________________________________CAC5">[4]INV!$K$19:$N$22</definedName>
    <definedName name="___________________________________________SBC1">[4]INV!$A$12:$D$15</definedName>
    <definedName name="___________________________________________SBC3">[4]INV!$F$12:$I$15</definedName>
    <definedName name="___________________________________________SBC5">[4]INV!$K$12:$N$15</definedName>
    <definedName name="__________________________________________AFC1">[4]INV!$A$25:$D$28</definedName>
    <definedName name="__________________________________________AFC3">[4]INV!$F$25:$I$28</definedName>
    <definedName name="__________________________________________AFC5">[4]INV!$K$25:$N$28</definedName>
    <definedName name="__________________________________________BGC1">[4]INV!$A$5:$D$8</definedName>
    <definedName name="__________________________________________BGC3">[4]INV!$F$5:$I$8</definedName>
    <definedName name="__________________________________________BGC5">[4]INV!$K$5:$N$8</definedName>
    <definedName name="__________________________________________CAC1">[4]INV!$A$19:$D$22</definedName>
    <definedName name="__________________________________________CAC3">[4]INV!$F$19:$I$22</definedName>
    <definedName name="__________________________________________CAC5">[4]INV!$K$19:$N$22</definedName>
    <definedName name="__________________________________________SBC1">[4]INV!$A$12:$D$15</definedName>
    <definedName name="__________________________________________SBC3">[4]INV!$F$12:$I$15</definedName>
    <definedName name="__________________________________________SBC5">[4]INV!$K$12:$N$15</definedName>
    <definedName name="_________________________________________AFC1">[4]INV!$A$25:$D$28</definedName>
    <definedName name="_________________________________________AFC3">[4]INV!$F$25:$I$28</definedName>
    <definedName name="_________________________________________AFC5">[4]INV!$K$25:$N$28</definedName>
    <definedName name="_________________________________________BGC1">[4]INV!$A$5:$D$8</definedName>
    <definedName name="_________________________________________BGC3">[4]INV!$F$5:$I$8</definedName>
    <definedName name="_________________________________________BGC5">[4]INV!$K$5:$N$8</definedName>
    <definedName name="_________________________________________CAC1">[4]INV!$A$19:$D$22</definedName>
    <definedName name="_________________________________________CAC3">[4]INV!$F$19:$I$22</definedName>
    <definedName name="_________________________________________CAC5">[4]INV!$K$19:$N$22</definedName>
    <definedName name="_________________________________________SBC1">[4]INV!$A$12:$D$15</definedName>
    <definedName name="_________________________________________SBC3">[4]INV!$F$12:$I$15</definedName>
    <definedName name="_________________________________________SBC5">[4]INV!$K$12:$N$15</definedName>
    <definedName name="________________________________________AFC1">[4]INV!$A$25:$D$28</definedName>
    <definedName name="________________________________________AFC3">[4]INV!$F$25:$I$28</definedName>
    <definedName name="________________________________________AFC5">[4]INV!$K$25:$N$28</definedName>
    <definedName name="________________________________________BGC1">[4]INV!$A$5:$D$8</definedName>
    <definedName name="________________________________________BGC3">[4]INV!$F$5:$I$8</definedName>
    <definedName name="________________________________________BGC5">[4]INV!$K$5:$N$8</definedName>
    <definedName name="________________________________________CAC1">[4]INV!$A$19:$D$22</definedName>
    <definedName name="________________________________________CAC3">[4]INV!$F$19:$I$22</definedName>
    <definedName name="________________________________________CAC5">[4]INV!$K$19:$N$22</definedName>
    <definedName name="________________________________________SBC1">[4]INV!$A$12:$D$15</definedName>
    <definedName name="________________________________________SBC3">[4]INV!$F$12:$I$15</definedName>
    <definedName name="________________________________________SBC5">[4]INV!$K$12:$N$15</definedName>
    <definedName name="_______________________________________AFC1">[4]INV!$A$25:$D$28</definedName>
    <definedName name="_______________________________________AFC3">[4]INV!$F$25:$I$28</definedName>
    <definedName name="_______________________________________AFC5">[4]INV!$K$25:$N$28</definedName>
    <definedName name="_______________________________________BGC1">[4]INV!$A$5:$D$8</definedName>
    <definedName name="_______________________________________BGC3">[4]INV!$F$5:$I$8</definedName>
    <definedName name="_______________________________________BGC5">[4]INV!$K$5:$N$8</definedName>
    <definedName name="_______________________________________CAC1">[4]INV!$A$19:$D$22</definedName>
    <definedName name="_______________________________________CAC3">[4]INV!$F$19:$I$22</definedName>
    <definedName name="_______________________________________CAC5">[4]INV!$K$19:$N$22</definedName>
    <definedName name="_______________________________________SBC1">[4]INV!$A$12:$D$15</definedName>
    <definedName name="_______________________________________SBC3">[4]INV!$F$12:$I$15</definedName>
    <definedName name="_______________________________________SBC5">[4]INV!$K$12:$N$15</definedName>
    <definedName name="______________________________________AFC1">[4]INV!$A$25:$D$28</definedName>
    <definedName name="______________________________________AFC3">[4]INV!$F$25:$I$28</definedName>
    <definedName name="______________________________________AFC5">[4]INV!$K$25:$N$28</definedName>
    <definedName name="______________________________________BGC1">[4]INV!$A$5:$D$8</definedName>
    <definedName name="______________________________________BGC3">[4]INV!$F$5:$I$8</definedName>
    <definedName name="______________________________________BGC5">[4]INV!$K$5:$N$8</definedName>
    <definedName name="______________________________________CAC1">[4]INV!$A$19:$D$22</definedName>
    <definedName name="______________________________________CAC3">[4]INV!$F$19:$I$22</definedName>
    <definedName name="______________________________________CAC5">[4]INV!$K$19:$N$22</definedName>
    <definedName name="______________________________________SBC1">[4]INV!$A$12:$D$15</definedName>
    <definedName name="______________________________________SBC3">[4]INV!$F$12:$I$15</definedName>
    <definedName name="______________________________________SBC5">[4]INV!$K$12:$N$15</definedName>
    <definedName name="_____________________________________AFC1">[4]INV!$A$25:$D$28</definedName>
    <definedName name="_____________________________________AFC3">[4]INV!$F$25:$I$28</definedName>
    <definedName name="_____________________________________AFC5">[4]INV!$K$25:$N$28</definedName>
    <definedName name="_____________________________________BGC1">[4]INV!$A$5:$D$8</definedName>
    <definedName name="_____________________________________BGC3">[4]INV!$F$5:$I$8</definedName>
    <definedName name="_____________________________________BGC5">[4]INV!$K$5:$N$8</definedName>
    <definedName name="_____________________________________CAC1">[4]INV!$A$19:$D$22</definedName>
    <definedName name="_____________________________________CAC3">[4]INV!$F$19:$I$22</definedName>
    <definedName name="_____________________________________CAC5">[4]INV!$K$19:$N$22</definedName>
    <definedName name="_____________________________________SBC1">[4]INV!$A$12:$D$15</definedName>
    <definedName name="_____________________________________SBC3">[4]INV!$F$12:$I$15</definedName>
    <definedName name="_____________________________________SBC5">[4]INV!$K$12:$N$15</definedName>
    <definedName name="____________________________________AFC1">[4]INV!$A$25:$D$28</definedName>
    <definedName name="____________________________________AFC3">[4]INV!$F$25:$I$28</definedName>
    <definedName name="____________________________________AFC5">[4]INV!$K$25:$N$28</definedName>
    <definedName name="____________________________________BGC1">[4]INV!$A$5:$D$8</definedName>
    <definedName name="____________________________________BGC3">[4]INV!$F$5:$I$8</definedName>
    <definedName name="____________________________________BGC5">[4]INV!$K$5:$N$8</definedName>
    <definedName name="____________________________________CAC1">[4]INV!$A$19:$D$22</definedName>
    <definedName name="____________________________________CAC3">[4]INV!$F$19:$I$22</definedName>
    <definedName name="____________________________________CAC5">[4]INV!$K$19:$N$22</definedName>
    <definedName name="____________________________________SBC1">[4]INV!$A$12:$D$15</definedName>
    <definedName name="____________________________________SBC3">[4]INV!$F$12:$I$15</definedName>
    <definedName name="____________________________________SBC5">[4]INV!$K$12:$N$15</definedName>
    <definedName name="___________________________________AFC1">[4]INV!$A$25:$D$28</definedName>
    <definedName name="___________________________________AFC3">[4]INV!$F$25:$I$28</definedName>
    <definedName name="___________________________________AFC5">[4]INV!$K$25:$N$28</definedName>
    <definedName name="___________________________________BGC1">[4]INV!$A$5:$D$8</definedName>
    <definedName name="___________________________________BGC3">[4]INV!$F$5:$I$8</definedName>
    <definedName name="___________________________________BGC5">[4]INV!$K$5:$N$8</definedName>
    <definedName name="___________________________________CAC1">[4]INV!$A$19:$D$22</definedName>
    <definedName name="___________________________________CAC3">[4]INV!$F$19:$I$22</definedName>
    <definedName name="___________________________________CAC5">[4]INV!$K$19:$N$22</definedName>
    <definedName name="___________________________________SBC1">[4]INV!$A$12:$D$15</definedName>
    <definedName name="___________________________________SBC3">[4]INV!$F$12:$I$15</definedName>
    <definedName name="___________________________________SBC5">[4]INV!$K$12:$N$15</definedName>
    <definedName name="__________________________________AFC1">[4]INV!$A$25:$D$28</definedName>
    <definedName name="__________________________________AFC3">[4]INV!$F$25:$I$28</definedName>
    <definedName name="__________________________________AFC5">[4]INV!$K$25:$N$28</definedName>
    <definedName name="__________________________________BGC1">[4]INV!$A$5:$D$8</definedName>
    <definedName name="__________________________________BGC3">[4]INV!$F$5:$I$8</definedName>
    <definedName name="__________________________________BGC5">[4]INV!$K$5:$N$8</definedName>
    <definedName name="__________________________________CAC1">[4]INV!$A$19:$D$22</definedName>
    <definedName name="__________________________________CAC3">[4]INV!$F$19:$I$22</definedName>
    <definedName name="__________________________________CAC5">[4]INV!$K$19:$N$22</definedName>
    <definedName name="__________________________________SBC1">[4]INV!$A$12:$D$15</definedName>
    <definedName name="__________________________________SBC3">[4]INV!$F$12:$I$15</definedName>
    <definedName name="__________________________________SBC5">[4]INV!$K$12:$N$15</definedName>
    <definedName name="_________________________________AFC1">[4]INV!$A$25:$D$28</definedName>
    <definedName name="_________________________________AFC3">[4]INV!$F$25:$I$28</definedName>
    <definedName name="_________________________________AFC5">[4]INV!$K$25:$N$28</definedName>
    <definedName name="_________________________________apu1">[2]INSUMOS!#REF!</definedName>
    <definedName name="_________________________________BGC1">[4]INV!$A$5:$D$8</definedName>
    <definedName name="_________________________________BGC3">[4]INV!$F$5:$I$8</definedName>
    <definedName name="_________________________________BGC5">[4]INV!$K$5:$N$8</definedName>
    <definedName name="_________________________________CAC1">[4]INV!$A$19:$D$22</definedName>
    <definedName name="_________________________________CAC3">[4]INV!$F$19:$I$22</definedName>
    <definedName name="_________________________________CAC5">[4]INV!$K$19:$N$22</definedName>
    <definedName name="_________________________________SBC1">[4]INV!$A$12:$D$15</definedName>
    <definedName name="_________________________________SBC3">[4]INV!$F$12:$I$15</definedName>
    <definedName name="_________________________________SBC5">[4]INV!$K$12:$N$15</definedName>
    <definedName name="________________________________AFC1">[4]INV!$A$25:$D$28</definedName>
    <definedName name="________________________________AFC3">[4]INV!$F$25:$I$28</definedName>
    <definedName name="________________________________AFC5">[4]INV!$K$25:$N$28</definedName>
    <definedName name="________________________________apu1">[2]INSUMOS!#REF!</definedName>
    <definedName name="________________________________BGC1">[4]INV!$A$5:$D$8</definedName>
    <definedName name="________________________________BGC3">[4]INV!$F$5:$I$8</definedName>
    <definedName name="________________________________BGC5">[4]INV!$K$5:$N$8</definedName>
    <definedName name="________________________________CAC1">[4]INV!$A$19:$D$22</definedName>
    <definedName name="________________________________CAC3">[4]INV!$F$19:$I$22</definedName>
    <definedName name="________________________________CAC5">[4]INV!$K$19:$N$22</definedName>
    <definedName name="________________________________SBC1">[4]INV!$A$12:$D$15</definedName>
    <definedName name="________________________________SBC3">[4]INV!$F$12:$I$15</definedName>
    <definedName name="________________________________SBC5">[4]INV!$K$12:$N$15</definedName>
    <definedName name="_______________________________AFC1">[4]INV!$A$25:$D$28</definedName>
    <definedName name="_______________________________AFC3">[4]INV!$F$25:$I$28</definedName>
    <definedName name="_______________________________AFC5">[4]INV!$K$25:$N$28</definedName>
    <definedName name="_______________________________apu1">[2]INSUMOS!#REF!</definedName>
    <definedName name="_______________________________BGC1">[4]INV!$A$5:$D$8</definedName>
    <definedName name="_______________________________BGC3">[4]INV!$F$5:$I$8</definedName>
    <definedName name="_______________________________BGC5">[4]INV!$K$5:$N$8</definedName>
    <definedName name="_______________________________CAC1">[4]INV!$A$19:$D$22</definedName>
    <definedName name="_______________________________CAC3">[4]INV!$F$19:$I$22</definedName>
    <definedName name="_______________________________CAC5">[4]INV!$K$19:$N$22</definedName>
    <definedName name="_______________________________SBC1">[4]INV!$A$12:$D$15</definedName>
    <definedName name="_______________________________SBC3">[4]INV!$F$12:$I$15</definedName>
    <definedName name="_______________________________SBC5">[4]INV!$K$12:$N$15</definedName>
    <definedName name="______________________________AFC1">[4]INV!$A$25:$D$28</definedName>
    <definedName name="______________________________AFC3">[4]INV!$F$25:$I$28</definedName>
    <definedName name="______________________________AFC5">[4]INV!$K$25:$N$28</definedName>
    <definedName name="______________________________apu1">[2]INSUMOS!#REF!</definedName>
    <definedName name="______________________________BGC1">[4]INV!$A$5:$D$8</definedName>
    <definedName name="______________________________BGC3">[4]INV!$F$5:$I$8</definedName>
    <definedName name="______________________________BGC5">[4]INV!$K$5:$N$8</definedName>
    <definedName name="______________________________CAC1">[4]INV!$A$19:$D$22</definedName>
    <definedName name="______________________________CAC3">[4]INV!$F$19:$I$22</definedName>
    <definedName name="______________________________CAC5">[4]INV!$K$19:$N$22</definedName>
    <definedName name="______________________________SBC1">[4]INV!$A$12:$D$15</definedName>
    <definedName name="______________________________SBC3">[4]INV!$F$12:$I$15</definedName>
    <definedName name="______________________________SBC5">[4]INV!$K$12:$N$15</definedName>
    <definedName name="_____________________________AFC1">[4]INV!$A$25:$D$28</definedName>
    <definedName name="_____________________________AFC3">[4]INV!$F$25:$I$28</definedName>
    <definedName name="_____________________________AFC5">[4]INV!$K$25:$N$28</definedName>
    <definedName name="_____________________________BGC1">[4]INV!$A$5:$D$8</definedName>
    <definedName name="_____________________________BGC3">[4]INV!$F$5:$I$8</definedName>
    <definedName name="_____________________________BGC5">[4]INV!$K$5:$N$8</definedName>
    <definedName name="_____________________________CAC1">[4]INV!$A$19:$D$22</definedName>
    <definedName name="_____________________________CAC3">[4]INV!$F$19:$I$22</definedName>
    <definedName name="_____________________________CAC5">[4]INV!$K$19:$N$22</definedName>
    <definedName name="_____________________________SBC1">[4]INV!$A$12:$D$15</definedName>
    <definedName name="_____________________________SBC3">[4]INV!$F$12:$I$15</definedName>
    <definedName name="_____________________________SBC5">[4]INV!$K$12:$N$15</definedName>
    <definedName name="____________________________AFC1">[4]INV!$A$25:$D$28</definedName>
    <definedName name="____________________________AFC3">[4]INV!$F$25:$I$28</definedName>
    <definedName name="____________________________AFC5">[4]INV!$K$25:$N$28</definedName>
    <definedName name="____________________________apu1">[2]INSUMOS!#REF!</definedName>
    <definedName name="____________________________BGC1">[4]INV!$A$5:$D$8</definedName>
    <definedName name="____________________________BGC3">[4]INV!$F$5:$I$8</definedName>
    <definedName name="____________________________BGC5">[4]INV!$K$5:$N$8</definedName>
    <definedName name="____________________________CAC1">[4]INV!$A$19:$D$22</definedName>
    <definedName name="____________________________CAC3">[4]INV!$F$19:$I$22</definedName>
    <definedName name="____________________________CAC5">[4]INV!$K$19:$N$22</definedName>
    <definedName name="____________________________SBC1">[4]INV!$A$12:$D$15</definedName>
    <definedName name="____________________________SBC3">[4]INV!$F$12:$I$15</definedName>
    <definedName name="____________________________SBC5">[4]INV!$K$12:$N$15</definedName>
    <definedName name="___________________________AFC1">[4]INV!$A$25:$D$28</definedName>
    <definedName name="___________________________AFC3">[4]INV!$F$25:$I$28</definedName>
    <definedName name="___________________________AFC5">[4]INV!$K$25:$N$28</definedName>
    <definedName name="___________________________apu1">[2]INSUMOS!#REF!</definedName>
    <definedName name="___________________________BGC1">[4]INV!$A$5:$D$8</definedName>
    <definedName name="___________________________BGC3">[4]INV!$F$5:$I$8</definedName>
    <definedName name="___________________________BGC5">[4]INV!$K$5:$N$8</definedName>
    <definedName name="___________________________CAC1">[4]INV!$A$19:$D$22</definedName>
    <definedName name="___________________________CAC3">[4]INV!$F$19:$I$22</definedName>
    <definedName name="___________________________CAC5">[4]INV!$K$19:$N$22</definedName>
    <definedName name="___________________________SBC1">[4]INV!$A$12:$D$15</definedName>
    <definedName name="___________________________SBC3">[4]INV!$F$12:$I$15</definedName>
    <definedName name="___________________________SBC5">[4]INV!$K$12:$N$15</definedName>
    <definedName name="__________________________AFC1">[4]INV!$A$25:$D$28</definedName>
    <definedName name="__________________________AFC3">[4]INV!$F$25:$I$28</definedName>
    <definedName name="__________________________AFC5">[4]INV!$K$25:$N$28</definedName>
    <definedName name="__________________________apu1">[2]INSUMOS!#REF!</definedName>
    <definedName name="__________________________BGC1">[4]INV!$A$5:$D$8</definedName>
    <definedName name="__________________________BGC3">[4]INV!$F$5:$I$8</definedName>
    <definedName name="__________________________BGC5">[4]INV!$K$5:$N$8</definedName>
    <definedName name="__________________________CAC1">[4]INV!$A$19:$D$22</definedName>
    <definedName name="__________________________CAC3">[4]INV!$F$19:$I$22</definedName>
    <definedName name="__________________________CAC5">[4]INV!$K$19:$N$22</definedName>
    <definedName name="__________________________SBC1">[4]INV!$A$12:$D$15</definedName>
    <definedName name="__________________________SBC3">[4]INV!$F$12:$I$15</definedName>
    <definedName name="__________________________SBC5">[4]INV!$K$12:$N$15</definedName>
    <definedName name="_________________________AFC1">[4]INV!$A$25:$D$28</definedName>
    <definedName name="_________________________AFC3">[4]INV!$F$25:$I$28</definedName>
    <definedName name="_________________________AFC5">[4]INV!$K$25:$N$28</definedName>
    <definedName name="_________________________apu1">[2]INSUMOS!#REF!</definedName>
    <definedName name="_________________________BGC1">[4]INV!$A$5:$D$8</definedName>
    <definedName name="_________________________BGC3">[4]INV!$F$5:$I$8</definedName>
    <definedName name="_________________________BGC5">[4]INV!$K$5:$N$8</definedName>
    <definedName name="_________________________CAC1">[4]INV!$A$19:$D$22</definedName>
    <definedName name="_________________________CAC3">[4]INV!$F$19:$I$22</definedName>
    <definedName name="_________________________CAC5">[4]INV!$K$19:$N$22</definedName>
    <definedName name="_________________________SBC1">[4]INV!$A$12:$D$15</definedName>
    <definedName name="_________________________SBC3">[4]INV!$F$12:$I$15</definedName>
    <definedName name="_________________________SBC5">[4]INV!$K$12:$N$15</definedName>
    <definedName name="________________________AFC1">[4]INV!$A$25:$D$28</definedName>
    <definedName name="________________________AFC3">[4]INV!$F$25:$I$28</definedName>
    <definedName name="________________________AFC5">[4]INV!$K$25:$N$28</definedName>
    <definedName name="________________________apu1">[2]INSUMOS!#REF!</definedName>
    <definedName name="________________________BGC1">[4]INV!$A$5:$D$8</definedName>
    <definedName name="________________________BGC3">[4]INV!$F$5:$I$8</definedName>
    <definedName name="________________________BGC5">[4]INV!$K$5:$N$8</definedName>
    <definedName name="________________________CAC1">[4]INV!$A$19:$D$22</definedName>
    <definedName name="________________________CAC3">[4]INV!$F$19:$I$22</definedName>
    <definedName name="________________________CAC5">[4]INV!$K$19:$N$22</definedName>
    <definedName name="________________________SBC1">[4]INV!$A$12:$D$15</definedName>
    <definedName name="________________________SBC3">[4]INV!$F$12:$I$15</definedName>
    <definedName name="________________________SBC5">[4]INV!$K$12:$N$15</definedName>
    <definedName name="_______________________AFC1">[4]INV!$A$25:$D$28</definedName>
    <definedName name="_______________________AFC3">[4]INV!$F$25:$I$28</definedName>
    <definedName name="_______________________AFC5">[4]INV!$K$25:$N$28</definedName>
    <definedName name="_______________________apu1">[2]INSUMOS!#REF!</definedName>
    <definedName name="_______________________BGC1">[4]INV!$A$5:$D$8</definedName>
    <definedName name="_______________________BGC3">[4]INV!$F$5:$I$8</definedName>
    <definedName name="_______________________BGC5">[4]INV!$K$5:$N$8</definedName>
    <definedName name="_______________________CAC1">[4]INV!$A$19:$D$22</definedName>
    <definedName name="_______________________CAC3">[4]INV!$F$19:$I$22</definedName>
    <definedName name="_______________________CAC5">[4]INV!$K$19:$N$22</definedName>
    <definedName name="_______________________SBC1">[4]INV!$A$12:$D$15</definedName>
    <definedName name="_______________________SBC3">[4]INV!$F$12:$I$15</definedName>
    <definedName name="_______________________SBC5">[4]INV!$K$12:$N$15</definedName>
    <definedName name="______________________AFC1">[4]INV!$A$25:$D$28</definedName>
    <definedName name="______________________AFC3">[4]INV!$F$25:$I$28</definedName>
    <definedName name="______________________AFC5">[4]INV!$K$25:$N$28</definedName>
    <definedName name="______________________BGC1">[4]INV!$A$5:$D$8</definedName>
    <definedName name="______________________BGC3">[4]INV!$F$5:$I$8</definedName>
    <definedName name="______________________BGC5">[4]INV!$K$5:$N$8</definedName>
    <definedName name="______________________CAC1">[4]INV!$A$19:$D$22</definedName>
    <definedName name="______________________CAC3">[4]INV!$F$19:$I$22</definedName>
    <definedName name="______________________CAC5">[4]INV!$K$19:$N$22</definedName>
    <definedName name="______________________SBC1">[4]INV!$A$12:$D$15</definedName>
    <definedName name="______________________SBC3">[4]INV!$F$12:$I$15</definedName>
    <definedName name="______________________SBC5">[4]INV!$K$12:$N$15</definedName>
    <definedName name="_____________________AFC1">[4]INV!$A$25:$D$28</definedName>
    <definedName name="_____________________AFC3">[4]INV!$F$25:$I$28</definedName>
    <definedName name="_____________________AFC5">[4]INV!$K$25:$N$28</definedName>
    <definedName name="_____________________apu1">[2]INSUMOS!#REF!</definedName>
    <definedName name="_____________________BGC1">[4]INV!$A$5:$D$8</definedName>
    <definedName name="_____________________BGC3">[4]INV!$F$5:$I$8</definedName>
    <definedName name="_____________________BGC5">[4]INV!$K$5:$N$8</definedName>
    <definedName name="_____________________CAC1">[4]INV!$A$19:$D$22</definedName>
    <definedName name="_____________________CAC3">[4]INV!$F$19:$I$22</definedName>
    <definedName name="_____________________CAC5">[4]INV!$K$19:$N$22</definedName>
    <definedName name="_____________________SBC1">[4]INV!$A$12:$D$15</definedName>
    <definedName name="_____________________SBC3">[4]INV!$F$12:$I$15</definedName>
    <definedName name="_____________________SBC5">[4]INV!$K$12:$N$15</definedName>
    <definedName name="____________________AFC1">[4]INV!$A$25:$D$28</definedName>
    <definedName name="____________________AFC3">[4]INV!$F$25:$I$28</definedName>
    <definedName name="____________________AFC5">[4]INV!$K$25:$N$28</definedName>
    <definedName name="____________________apu1">[2]INSUMOS!#REF!</definedName>
    <definedName name="____________________BGC1">[4]INV!$A$5:$D$8</definedName>
    <definedName name="____________________BGC3">[4]INV!$F$5:$I$8</definedName>
    <definedName name="____________________BGC5">[4]INV!$K$5:$N$8</definedName>
    <definedName name="____________________CAC1">[4]INV!$A$19:$D$22</definedName>
    <definedName name="____________________CAC3">[4]INV!$F$19:$I$22</definedName>
    <definedName name="____________________CAC5">[4]INV!$K$19:$N$22</definedName>
    <definedName name="____________________SBC1">[4]INV!$A$12:$D$15</definedName>
    <definedName name="____________________SBC3">[4]INV!$F$12:$I$15</definedName>
    <definedName name="____________________SBC5">[4]INV!$K$12:$N$15</definedName>
    <definedName name="___________________AFC1">[4]INV!$A$25:$D$28</definedName>
    <definedName name="___________________AFC3">[4]INV!$F$25:$I$28</definedName>
    <definedName name="___________________AFC5">[4]INV!$K$25:$N$28</definedName>
    <definedName name="___________________apu1">[2]INSUMOS!#REF!</definedName>
    <definedName name="___________________BGC1">[4]INV!$A$5:$D$8</definedName>
    <definedName name="___________________BGC3">[4]INV!$F$5:$I$8</definedName>
    <definedName name="___________________BGC5">[4]INV!$K$5:$N$8</definedName>
    <definedName name="___________________CAC1">[4]INV!$A$19:$D$22</definedName>
    <definedName name="___________________CAC3">[4]INV!$F$19:$I$22</definedName>
    <definedName name="___________________CAC5">[4]INV!$K$19:$N$22</definedName>
    <definedName name="___________________SBC1">[4]INV!$A$12:$D$15</definedName>
    <definedName name="___________________SBC3">[4]INV!$F$12:$I$15</definedName>
    <definedName name="___________________SBC5">[4]INV!$K$12:$N$15</definedName>
    <definedName name="__________________AFC1">[4]INV!$A$25:$D$28</definedName>
    <definedName name="__________________AFC3">[4]INV!$F$25:$I$28</definedName>
    <definedName name="__________________AFC5">[4]INV!$K$25:$N$28</definedName>
    <definedName name="__________________apu1">[2]INSUMOS!#REF!</definedName>
    <definedName name="__________________BGC1">[4]INV!$A$5:$D$8</definedName>
    <definedName name="__________________BGC3">[4]INV!$F$5:$I$8</definedName>
    <definedName name="__________________BGC5">[4]INV!$K$5:$N$8</definedName>
    <definedName name="__________________CAC1">[4]INV!$A$19:$D$22</definedName>
    <definedName name="__________________CAC3">[4]INV!$F$19:$I$22</definedName>
    <definedName name="__________________CAC5">[4]INV!$K$19:$N$22</definedName>
    <definedName name="__________________SBC1">[4]INV!$A$12:$D$15</definedName>
    <definedName name="__________________SBC3">[4]INV!$F$12:$I$15</definedName>
    <definedName name="__________________SBC5">[4]INV!$K$12:$N$15</definedName>
    <definedName name="_________________AFC1">[4]INV!$A$25:$D$28</definedName>
    <definedName name="_________________AFC3">[4]INV!$F$25:$I$28</definedName>
    <definedName name="_________________AFC5">[4]INV!$K$25:$N$28</definedName>
    <definedName name="_________________apu1">[2]INSUMOS!#REF!</definedName>
    <definedName name="_________________BGC1">[4]INV!$A$5:$D$8</definedName>
    <definedName name="_________________BGC3">[4]INV!$F$5:$I$8</definedName>
    <definedName name="_________________BGC5">[4]INV!$K$5:$N$8</definedName>
    <definedName name="_________________CAC1">[4]INV!$A$19:$D$22</definedName>
    <definedName name="_________________CAC3">[4]INV!$F$19:$I$22</definedName>
    <definedName name="_________________CAC5">[4]INV!$K$19:$N$22</definedName>
    <definedName name="_________________SBC1">[4]INV!$A$12:$D$15</definedName>
    <definedName name="_________________SBC3">[4]INV!$F$12:$I$15</definedName>
    <definedName name="_________________SBC5">[4]INV!$K$12:$N$15</definedName>
    <definedName name="________________AFC1">[4]INV!$A$25:$D$28</definedName>
    <definedName name="________________AFC3">[4]INV!$F$25:$I$28</definedName>
    <definedName name="________________AFC5">[4]INV!$K$25:$N$28</definedName>
    <definedName name="________________apu1">[2]INSUMOS!#REF!</definedName>
    <definedName name="________________BGC1">[4]INV!$A$5:$D$8</definedName>
    <definedName name="________________BGC3">[4]INV!$F$5:$I$8</definedName>
    <definedName name="________________BGC5">[4]INV!$K$5:$N$8</definedName>
    <definedName name="________________CAC1">[4]INV!$A$19:$D$22</definedName>
    <definedName name="________________CAC3">[4]INV!$F$19:$I$22</definedName>
    <definedName name="________________CAC5">[4]INV!$K$19:$N$22</definedName>
    <definedName name="________________SBC1">[4]INV!$A$12:$D$15</definedName>
    <definedName name="________________SBC3">[4]INV!$F$12:$I$15</definedName>
    <definedName name="________________SBC5">[4]INV!$K$12:$N$15</definedName>
    <definedName name="_______________AFC1">[4]INV!$A$25:$D$28</definedName>
    <definedName name="_______________AFC3">[4]INV!$F$25:$I$28</definedName>
    <definedName name="_______________AFC5">[4]INV!$K$25:$N$28</definedName>
    <definedName name="_______________apu1">[2]INSUMOS!#REF!</definedName>
    <definedName name="_______________BGC1">[4]INV!$A$5:$D$8</definedName>
    <definedName name="_______________BGC3">[4]INV!$F$5:$I$8</definedName>
    <definedName name="_______________BGC5">[4]INV!$K$5:$N$8</definedName>
    <definedName name="_______________CAC1">[4]INV!$A$19:$D$22</definedName>
    <definedName name="_______________CAC3">[4]INV!$F$19:$I$22</definedName>
    <definedName name="_______________CAC5">[4]INV!$K$19:$N$22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INF1" localSheetId="20">#REF!</definedName>
    <definedName name="_______________INF1">#REF!</definedName>
    <definedName name="_______________SBC1">[4]INV!$A$12:$D$15</definedName>
    <definedName name="_______________SBC3">[4]INV!$F$12:$I$15</definedName>
    <definedName name="_______________SBC5">[4]INV!$K$12:$N$15</definedName>
    <definedName name="______________AFC1">[4]INV!$A$25:$D$28</definedName>
    <definedName name="______________AFC3">[4]INV!$F$25:$I$28</definedName>
    <definedName name="______________AFC5">[4]INV!$K$25:$N$28</definedName>
    <definedName name="______________apu1">[2]INSUMOS!#REF!</definedName>
    <definedName name="______________BGC1">[4]INV!$A$5:$D$8</definedName>
    <definedName name="______________BGC3">[4]INV!$F$5:$I$8</definedName>
    <definedName name="______________BGC5">[4]INV!$K$5:$N$8</definedName>
    <definedName name="______________CAC1">[4]INV!$A$19:$D$22</definedName>
    <definedName name="______________CAC3">[4]INV!$F$19:$I$22</definedName>
    <definedName name="______________CAC5">[4]INV!$K$19:$N$22</definedName>
    <definedName name="______________SBC1">[4]INV!$A$12:$D$15</definedName>
    <definedName name="______________SBC3">[4]INV!$F$12:$I$15</definedName>
    <definedName name="______________SBC5">[4]INV!$K$12:$N$15</definedName>
    <definedName name="_____________AFC1">[4]INV!$A$25:$D$28</definedName>
    <definedName name="_____________AFC3">[4]INV!$F$25:$I$28</definedName>
    <definedName name="_____________AFC5">[4]INV!$K$25:$N$28</definedName>
    <definedName name="_____________apu1">[2]INSUMOS!#REF!</definedName>
    <definedName name="_____________BGC1">[4]INV!$A$5:$D$8</definedName>
    <definedName name="_____________BGC3">[4]INV!$F$5:$I$8</definedName>
    <definedName name="_____________BGC5">[4]INV!$K$5:$N$8</definedName>
    <definedName name="_____________CAC1">[4]INV!$A$19:$D$22</definedName>
    <definedName name="_____________CAC3">[4]INV!$F$19:$I$22</definedName>
    <definedName name="_____________CAC5">[4]INV!$K$19:$N$22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SBC1">[4]INV!$A$12:$D$15</definedName>
    <definedName name="_____________SBC3">[4]INV!$F$12:$I$15</definedName>
    <definedName name="_____________SBC5">[4]INV!$K$12:$N$15</definedName>
    <definedName name="____________AFC1">[4]INV!$A$25:$D$28</definedName>
    <definedName name="____________AFC3">[4]INV!$F$25:$I$28</definedName>
    <definedName name="____________AFC5">[4]INV!$K$25:$N$28</definedName>
    <definedName name="____________apu1">[2]INSUMOS!#REF!</definedName>
    <definedName name="____________BGC1">[4]INV!$A$5:$D$8</definedName>
    <definedName name="____________BGC3">[4]INV!$F$5:$I$8</definedName>
    <definedName name="____________BGC5">[4]INV!$K$5:$N$8</definedName>
    <definedName name="____________CAC1">[4]INV!$A$19:$D$22</definedName>
    <definedName name="____________CAC3">[4]INV!$F$19:$I$22</definedName>
    <definedName name="____________CAC5">[4]INV!$K$19:$N$22</definedName>
    <definedName name="____________EXC6">#REF!</definedName>
    <definedName name="____________EXC7">#REF!</definedName>
    <definedName name="____________SBC1">[4]INV!$A$12:$D$15</definedName>
    <definedName name="____________SBC3">[4]INV!$F$12:$I$15</definedName>
    <definedName name="____________SBC5">[4]INV!$K$12:$N$15</definedName>
    <definedName name="___________AFC1">[4]INV!$A$25:$D$28</definedName>
    <definedName name="___________AFC3">[4]INV!$F$25:$I$28</definedName>
    <definedName name="___________AFC5">[4]INV!$K$25:$N$28</definedName>
    <definedName name="___________apu1">[2]INSUMOS!#REF!</definedName>
    <definedName name="___________BGC1">[4]INV!$A$5:$D$8</definedName>
    <definedName name="___________BGC3">[4]INV!$F$5:$I$8</definedName>
    <definedName name="___________BGC5">[4]INV!$K$5:$N$8</definedName>
    <definedName name="___________CAC1">[4]INV!$A$19:$D$22</definedName>
    <definedName name="___________CAC3">[4]INV!$F$19:$I$22</definedName>
    <definedName name="___________CAC5">[4]INV!$K$19:$N$22</definedName>
    <definedName name="___________SBC1">[4]INV!$A$12:$D$15</definedName>
    <definedName name="___________SBC3">[4]INV!$F$12:$I$15</definedName>
    <definedName name="___________SBC5">[4]INV!$K$12:$N$15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FC1">[4]INV!$A$25:$D$28</definedName>
    <definedName name="__________AFC3">[4]INV!$F$25:$I$28</definedName>
    <definedName name="__________AFC5">[4]INV!$K$25:$N$28</definedName>
    <definedName name="__________apu1">[2]INSUMOS!#REF!</definedName>
    <definedName name="__________BGC1">[4]INV!$A$5:$D$8</definedName>
    <definedName name="__________BGC3">[4]INV!$F$5:$I$8</definedName>
    <definedName name="__________BGC5">[4]INV!$K$5:$N$8</definedName>
    <definedName name="__________CAC1">[4]INV!$A$19:$D$22</definedName>
    <definedName name="__________CAC3">[4]INV!$F$19:$I$22</definedName>
    <definedName name="__________CAC5">[4]INV!$K$19:$N$22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SBC1">[4]INV!$A$12:$D$15</definedName>
    <definedName name="__________SBC3">[4]INV!$F$12:$I$15</definedName>
    <definedName name="__________SBC5">[4]INV!$K$12:$N$15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FC1">[4]INV!$A$25:$D$28</definedName>
    <definedName name="_________AFC3">[4]INV!$F$25:$I$28</definedName>
    <definedName name="_________AFC5">[4]INV!$K$25:$N$28</definedName>
    <definedName name="_________apu1">[2]INSUMOS!#REF!</definedName>
    <definedName name="_________BGC1">[4]INV!$A$5:$D$8</definedName>
    <definedName name="_________BGC3">[4]INV!$F$5:$I$8</definedName>
    <definedName name="_________BGC5">[4]INV!$K$5:$N$8</definedName>
    <definedName name="_________CAC1">[4]INV!$A$19:$D$22</definedName>
    <definedName name="_________CAC3">[4]INV!$F$19:$I$22</definedName>
    <definedName name="_________CAC5">[4]INV!$K$19:$N$22</definedName>
    <definedName name="_________key2" hidden="1">[5]INST!#REF!</definedName>
    <definedName name="_________PJ50" localSheetId="20">#REF!</definedName>
    <definedName name="_________PJ50">#REF!</definedName>
    <definedName name="_________PMT5671">[6]MEMORIAS!#REF!</definedName>
    <definedName name="_________PMT5805">[6]MEMORIAS!#REF!</definedName>
    <definedName name="_________PMT5806">[6]MEMORIAS!#REF!</definedName>
    <definedName name="_________PMT5815">[6]MEMORIAS!#REF!</definedName>
    <definedName name="_________PMT5820">[6]MEMORIAS!#REF!</definedName>
    <definedName name="_________SBC1">[4]INV!$A$12:$D$15</definedName>
    <definedName name="_________SBC3">[4]INV!$F$12:$I$15</definedName>
    <definedName name="_________SBC5">[4]INV!$K$12:$N$15</definedName>
    <definedName name="________AFC1">[4]INV!$A$25:$D$28</definedName>
    <definedName name="________AFC3">[4]INV!$F$25:$I$28</definedName>
    <definedName name="________AFC5">[4]INV!$K$25:$N$28</definedName>
    <definedName name="________aiu2">[7]AIU!$J$105</definedName>
    <definedName name="________apu1">[2]INSUMOS!#REF!</definedName>
    <definedName name="________BGC1">[4]INV!$A$5:$D$8</definedName>
    <definedName name="________BGC3">[4]INV!$F$5:$I$8</definedName>
    <definedName name="________BGC5">[4]INV!$K$5:$N$8</definedName>
    <definedName name="________CAC1">[4]INV!$A$19:$D$22</definedName>
    <definedName name="________CAC3">[4]INV!$F$19:$I$22</definedName>
    <definedName name="________CAC5">[4]INV!$K$19:$N$22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8">#REF!</definedName>
    <definedName name="________EXC9">#REF!</definedName>
    <definedName name="________key2" hidden="1">[8]INST!#REF!</definedName>
    <definedName name="________key3" hidden="1">#REF!</definedName>
    <definedName name="________MA2">#REF!</definedName>
    <definedName name="________PJ50" localSheetId="20">#REF!</definedName>
    <definedName name="________PJ50">#REF!</definedName>
    <definedName name="________SBC1">[4]INV!$A$12:$D$15</definedName>
    <definedName name="________SBC3">[4]INV!$F$12:$I$15</definedName>
    <definedName name="________SBC5">[4]INV!$K$12:$N$15</definedName>
    <definedName name="_______AFC1">[4]INV!$A$25:$D$28</definedName>
    <definedName name="_______AFC3">[4]INV!$F$25:$I$28</definedName>
    <definedName name="_______AFC5">[4]INV!$K$25:$N$28</definedName>
    <definedName name="_______apu1">[2]INSUMOS!#REF!</definedName>
    <definedName name="_______BGC1">[4]INV!$A$5:$D$8</definedName>
    <definedName name="_______BGC3">[4]INV!$F$5:$I$8</definedName>
    <definedName name="_______BGC5">[4]INV!$K$5:$N$8</definedName>
    <definedName name="_______CAC1">[4]INV!$A$19:$D$22</definedName>
    <definedName name="_______CAC3">[4]INV!$F$19:$I$22</definedName>
    <definedName name="_______CAC5">[4]INV!$K$19:$N$22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MA2">#REF!</definedName>
    <definedName name="_______PJ50" localSheetId="20">#REF!</definedName>
    <definedName name="_______PJ50">#REF!</definedName>
    <definedName name="_______SBC1">[4]INV!$A$12:$D$15</definedName>
    <definedName name="_______SBC3">[4]INV!$F$12:$I$15</definedName>
    <definedName name="_______SBC5">[4]INV!$K$12:$N$15</definedName>
    <definedName name="______AFC1">[4]INV!$A$25:$D$28</definedName>
    <definedName name="______AFC3">[4]INV!$F$25:$I$28</definedName>
    <definedName name="______AFC5">[4]INV!$K$25:$N$28</definedName>
    <definedName name="______apu1">[2]INSUMOS!#REF!</definedName>
    <definedName name="______APU221" localSheetId="20">#REF!</definedName>
    <definedName name="______APU221">#REF!</definedName>
    <definedName name="______APU465" localSheetId="20">[9]!absc</definedName>
    <definedName name="______APU465">[9]!absc</definedName>
    <definedName name="______BGC1">[4]INV!$A$5:$D$8</definedName>
    <definedName name="______BGC3">[4]INV!$F$5:$I$8</definedName>
    <definedName name="______BGC5">[4]INV!$K$5:$N$8</definedName>
    <definedName name="______CAC1">[4]INV!$A$19:$D$22</definedName>
    <definedName name="______CAC3">[4]INV!$F$19:$I$22</definedName>
    <definedName name="______CAC5">[4]INV!$K$19:$N$22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MA2">#REF!</definedName>
    <definedName name="______PJ50" localSheetId="20">#REF!</definedName>
    <definedName name="______PJ50">#REF!</definedName>
    <definedName name="______pj51" localSheetId="20">#REF!</definedName>
    <definedName name="______pj51">#REF!</definedName>
    <definedName name="______SBC1">[4]INV!$A$12:$D$15</definedName>
    <definedName name="______SBC3">[4]INV!$F$12:$I$15</definedName>
    <definedName name="______SBC5">[4]INV!$K$12:$N$15</definedName>
    <definedName name="_____AFC1">[4]INV!$A$25:$D$28</definedName>
    <definedName name="_____AFC3">[4]INV!$F$25:$I$28</definedName>
    <definedName name="_____AFC5">[4]INV!$K$25:$N$28</definedName>
    <definedName name="_____aiu2">[7]AIU!$J$105</definedName>
    <definedName name="_____apu1">[2]INSUMOS!#REF!</definedName>
    <definedName name="_____APU221" localSheetId="20">#REF!</definedName>
    <definedName name="_____APU221">#REF!</definedName>
    <definedName name="_____APU465" localSheetId="20">[9]!absc</definedName>
    <definedName name="_____APU465">[9]!absc</definedName>
    <definedName name="_____BGC1">[4]INV!$A$5:$D$8</definedName>
    <definedName name="_____BGC3">[4]INV!$F$5:$I$8</definedName>
    <definedName name="_____BGC5">[4]INV!$K$5:$N$8</definedName>
    <definedName name="_____CAC1">[4]INV!$A$19:$D$22</definedName>
    <definedName name="_____CAC3">[4]INV!$F$19:$I$22</definedName>
    <definedName name="_____CAC5">[4]INV!$K$19:$N$22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ITM4" localSheetId="20">#REF!</definedName>
    <definedName name="_____ITM4">#REF!</definedName>
    <definedName name="_____MA2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J50" localSheetId="20">#REF!</definedName>
    <definedName name="_____PJ50">#REF!</definedName>
    <definedName name="_____pj51" localSheetId="20">#REF!</definedName>
    <definedName name="_____pj51">#REF!</definedName>
    <definedName name="_____PMT5671">[6]MEMORIAS!#REF!</definedName>
    <definedName name="_____PMT5805">[6]MEMORIAS!#REF!</definedName>
    <definedName name="_____PMT5806">[6]MEMORIAS!#REF!</definedName>
    <definedName name="_____PMT5815">[6]MEMORIAS!#REF!</definedName>
    <definedName name="_____PMT5820">[6]MEMORIAS!#REF!</definedName>
    <definedName name="_____r">#REF!</definedName>
    <definedName name="_____SBC1">[4]INV!$A$12:$D$15</definedName>
    <definedName name="_____SBC3">[4]INV!$F$12:$I$15</definedName>
    <definedName name="_____SBC5">[4]INV!$K$12:$N$15</definedName>
    <definedName name="_____tab1">#REF!</definedName>
    <definedName name="_____tab2">#REF!</definedName>
    <definedName name="_____tab3">#REF!</definedName>
    <definedName name="_____TAB4">#REF!</definedName>
    <definedName name="_____Vol1">[10]Item!$A:$D</definedName>
    <definedName name="____AFC1">[4]INV!$A$25:$D$28</definedName>
    <definedName name="____AFC3">[4]INV!$F$25:$I$28</definedName>
    <definedName name="____AFC5">[4]INV!$K$25:$N$28</definedName>
    <definedName name="____aiu2">[7]AIU!$J$105</definedName>
    <definedName name="____apu1">[2]INSUMOS!#REF!</definedName>
    <definedName name="____BGC1">[4]INV!$A$5:$D$8</definedName>
    <definedName name="____BGC3">[4]INV!$F$5:$I$8</definedName>
    <definedName name="____BGC5">[4]INV!$K$5:$N$8</definedName>
    <definedName name="____CAC1">[4]INV!$A$19:$D$22</definedName>
    <definedName name="____CAC3">[4]INV!$F$19:$I$22</definedName>
    <definedName name="____CAC5">[4]INV!$K$19:$N$22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ITM4" localSheetId="20">#REF!</definedName>
    <definedName name="____ITM4">#REF!</definedName>
    <definedName name="____MA2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J50" localSheetId="20">#REF!</definedName>
    <definedName name="____PJ50">#REF!</definedName>
    <definedName name="____pj51">#REF!</definedName>
    <definedName name="____PMT5671">[6]MEMORIAS!#REF!</definedName>
    <definedName name="____PMT5805">[6]MEMORIAS!#REF!</definedName>
    <definedName name="____PMT5806">[6]MEMORIAS!#REF!</definedName>
    <definedName name="____PMT5815">[6]MEMORIAS!#REF!</definedName>
    <definedName name="____PMT5820">[6]MEMORIAS!#REF!</definedName>
    <definedName name="____r">#REF!</definedName>
    <definedName name="____SAL1">#REF!</definedName>
    <definedName name="____SBC1">[4]INV!$A$12:$D$15</definedName>
    <definedName name="____SBC3">[4]INV!$F$12:$I$15</definedName>
    <definedName name="____SBC5">[4]INV!$K$12:$N$15</definedName>
    <definedName name="____tab1">#REF!</definedName>
    <definedName name="____tab2">#REF!</definedName>
    <definedName name="____tab3">#REF!</definedName>
    <definedName name="____TAB4">#REF!</definedName>
    <definedName name="____Vol1">[10]Item!$A:$D</definedName>
    <definedName name="___AFC1">[4]INV!$A$25:$D$28</definedName>
    <definedName name="___AFC3">[4]INV!$F$25:$I$28</definedName>
    <definedName name="___AFC5">[4]INV!$K$25:$N$28</definedName>
    <definedName name="___aiu2">[7]AIU!$J$105</definedName>
    <definedName name="___apu1">[2]INSUMOS!#REF!</definedName>
    <definedName name="___APU221" localSheetId="20">#REF!</definedName>
    <definedName name="___APU221">#REF!</definedName>
    <definedName name="___APU465" localSheetId="20">[9]!absc</definedName>
    <definedName name="___APU465">[9]!absc</definedName>
    <definedName name="___BGC1">[4]INV!$A$5:$D$8</definedName>
    <definedName name="___BGC3">[4]INV!$F$5:$I$8</definedName>
    <definedName name="___BGC5">[4]INV!$K$5:$N$8</definedName>
    <definedName name="___CAC1">[4]INV!$A$19:$D$22</definedName>
    <definedName name="___CAC3">[4]INV!$F$19:$I$22</definedName>
    <definedName name="___CAC5">[4]INV!$K$19:$N$22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ITM4" localSheetId="20">#REF!</definedName>
    <definedName name="___ITM4">#REF!</definedName>
    <definedName name="___key2" hidden="1">[8]INST!#REF!</definedName>
    <definedName name="___key3" hidden="1">#REF!</definedName>
    <definedName name="___key31" hidden="1">#REF!</definedName>
    <definedName name="___MA2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J50" localSheetId="20">#REF!</definedName>
    <definedName name="___PJ50">#REF!</definedName>
    <definedName name="___pj51" localSheetId="20">#REF!</definedName>
    <definedName name="___pj51">#REF!</definedName>
    <definedName name="___PMT5671">[6]MEMORIAS!#REF!</definedName>
    <definedName name="___PMT5805">[6]MEMORIAS!#REF!</definedName>
    <definedName name="___PMT5806">[6]MEMORIAS!#REF!</definedName>
    <definedName name="___PMT5815">[6]MEMORIAS!#REF!</definedName>
    <definedName name="___PMT5820">[6]MEMORIAS!#REF!</definedName>
    <definedName name="___r">#REF!</definedName>
    <definedName name="___SBC1">[4]INV!$A$12:$D$15</definedName>
    <definedName name="___SBC3">[4]INV!$F$12:$I$15</definedName>
    <definedName name="___SBC5">[4]INV!$K$12:$N$15</definedName>
    <definedName name="___tab1">#REF!</definedName>
    <definedName name="___tab2">#REF!</definedName>
    <definedName name="___tab3">#REF!</definedName>
    <definedName name="___TAB4">#REF!</definedName>
    <definedName name="___Vol1">[10]Item!$A:$D</definedName>
    <definedName name="__123Graph_A" localSheetId="20" hidden="1">[11]AIU!$D$338:$D$357</definedName>
    <definedName name="__123Graph_A" hidden="1">[9]AIU!$D$338:$D$357</definedName>
    <definedName name="__123Graph_Acaja" localSheetId="20" hidden="1">[11]EVA!$D$39:$AD$39</definedName>
    <definedName name="__123Graph_Acaja" hidden="1">[9]EVA!$D$39:$AD$39</definedName>
    <definedName name="__123Graph_ACart_AnticAdic" localSheetId="20" hidden="1">[11]EVA!$F$95:$I$95</definedName>
    <definedName name="__123Graph_ACart_AnticAdic" hidden="1">[9]EVA!$F$95:$I$95</definedName>
    <definedName name="__123Graph_AFACTURAC" localSheetId="20" hidden="1">[11]Program!$B$120:$Y$120</definedName>
    <definedName name="__123Graph_AFACTURAC" hidden="1">[9]Program!$B$120:$Y$120</definedName>
    <definedName name="__123Graph_AGraph2" localSheetId="20" hidden="1">[11]AIU!$D$338:$D$357</definedName>
    <definedName name="__123Graph_AGraph2" hidden="1">[9]AIU!$D$338:$D$357</definedName>
    <definedName name="__123Graph_B" hidden="1">#REF!</definedName>
    <definedName name="__123Graph_Bcaja" localSheetId="20" hidden="1">[11]EVA!$D$56:$AD$56</definedName>
    <definedName name="__123Graph_Bcaja" hidden="1">[9]EVA!$D$56:$AD$56</definedName>
    <definedName name="__123Graph_BCart_AnticAdic" localSheetId="20" hidden="1">[11]EVA!$F$96:$I$96</definedName>
    <definedName name="__123Graph_BCart_AnticAdic" hidden="1">[9]EVA!$F$96:$I$96</definedName>
    <definedName name="__123Graph_BINGPDM" hidden="1">'[12]VENTAS REALES'!#REF!</definedName>
    <definedName name="__123Graph_C" hidden="1">'[12]FLUJO DE FONDOS'!#REF!</definedName>
    <definedName name="__123Graph_Ccaja" localSheetId="20" hidden="1">[11]EVA!$D$58:$AD$58</definedName>
    <definedName name="__123Graph_Ccaja" hidden="1">[9]EVA!$D$58:$AD$58</definedName>
    <definedName name="__123Graph_CCart_AnticAdic" localSheetId="20" hidden="1">[11]EVA!$F$97:$I$97</definedName>
    <definedName name="__123Graph_CCart_AnticAdic" hidden="1">[9]EVA!$F$97:$I$97</definedName>
    <definedName name="__123Graph_CIEPDM" hidden="1">'[12]FLUJO DE FONDOS'!#REF!</definedName>
    <definedName name="__123Graph_CINGPDM" hidden="1">'[12]FLUJO DE FONDOS'!#REF!</definedName>
    <definedName name="__123Graph_Dcaja" localSheetId="20" hidden="1">[11]EVA!$D$61:$AD$61</definedName>
    <definedName name="__123Graph_Dcaja" hidden="1">[9]EVA!$D$61:$AD$61</definedName>
    <definedName name="__123Graph_DCart_AnticAdic" localSheetId="20" hidden="1">[11]EVA!$F$99:$I$99</definedName>
    <definedName name="__123Graph_DCart_AnticAdic" hidden="1">[9]EVA!$F$99:$I$99</definedName>
    <definedName name="__123Graph_ECart_AnticAdic" localSheetId="20" hidden="1">[11]EVA!$F$99:$I$99</definedName>
    <definedName name="__123Graph_ECart_AnticAdic" hidden="1">[9]EVA!$F$99:$I$99</definedName>
    <definedName name="__123Graph_LBL_ACart_AnticAdic" localSheetId="20" hidden="1">[11]EVA!$J$95:$K$95</definedName>
    <definedName name="__123Graph_LBL_ACart_AnticAdic" hidden="1">[9]EVA!$J$95:$K$95</definedName>
    <definedName name="__123Graph_LBL_Ccaja" localSheetId="20" hidden="1">[11]EVA!$D$58:$AD$58</definedName>
    <definedName name="__123Graph_LBL_Ccaja" hidden="1">[9]EVA!$D$58:$AD$58</definedName>
    <definedName name="__123Graph_LBL_DCart_AnticAdic" localSheetId="20" hidden="1">[11]EVA!$F$98:$I$98</definedName>
    <definedName name="__123Graph_LBL_DCart_AnticAdic" hidden="1">[9]EVA!$F$98:$I$98</definedName>
    <definedName name="__123Graph_X" localSheetId="20" hidden="1">[11]AIU!$C$338:$C$357</definedName>
    <definedName name="__123Graph_X" hidden="1">[9]AIU!$C$338:$C$357</definedName>
    <definedName name="__123Graph_Xcaja" localSheetId="20" hidden="1">[11]EVA!$D$6:$AD$6</definedName>
    <definedName name="__123Graph_Xcaja" hidden="1">[9]EVA!$D$6:$AD$6</definedName>
    <definedName name="__1Excel_BuiltIn_Print_Area_1_1_1">#REF!</definedName>
    <definedName name="__2Excel_BuiltIn_Print_Titles_1_1_1_1">#REF!</definedName>
    <definedName name="__a1" localSheetId="20" hidden="1">{"TAB1",#N/A,TRUE,"GENERAL";"TAB2",#N/A,TRUE,"GENERAL";"TAB3",#N/A,TRUE,"GENERAL";"TAB4",#N/A,TRUE,"GENERAL";"TAB5",#N/A,TRUE,"GENERAL"}</definedName>
    <definedName name="__a1" localSheetId="2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 localSheetId="20">#REF!</definedName>
    <definedName name="__A17000">#REF!</definedName>
    <definedName name="__A20000" localSheetId="20">#REF!</definedName>
    <definedName name="__A20000">#REF!</definedName>
    <definedName name="__a3" localSheetId="20" hidden="1">{"TAB1",#N/A,TRUE,"GENERAL";"TAB2",#N/A,TRUE,"GENERAL";"TAB3",#N/A,TRUE,"GENERAL";"TAB4",#N/A,TRUE,"GENERAL";"TAB5",#N/A,TRUE,"GENERAL"}</definedName>
    <definedName name="__a3" localSheetId="2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 localSheetId="20">#REF!</definedName>
    <definedName name="__A30000">#REF!</definedName>
    <definedName name="__a4" localSheetId="20" hidden="1">{"via1",#N/A,TRUE,"general";"via2",#N/A,TRUE,"general";"via3",#N/A,TRUE,"general"}</definedName>
    <definedName name="__a4" localSheetId="2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20" hidden="1">{"TAB1",#N/A,TRUE,"GENERAL";"TAB2",#N/A,TRUE,"GENERAL";"TAB3",#N/A,TRUE,"GENERAL";"TAB4",#N/A,TRUE,"GENERAL";"TAB5",#N/A,TRUE,"GENERAL"}</definedName>
    <definedName name="__a5" localSheetId="2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20" hidden="1">{"TAB1",#N/A,TRUE,"GENERAL";"TAB2",#N/A,TRUE,"GENERAL";"TAB3",#N/A,TRUE,"GENERAL";"TAB4",#N/A,TRUE,"GENERAL";"TAB5",#N/A,TRUE,"GENERAL"}</definedName>
    <definedName name="__a6" localSheetId="2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[4]INV!$A$25:$D$28</definedName>
    <definedName name="__AFC3">[4]INV!$F$25:$I$28</definedName>
    <definedName name="__AFC5">[4]INV!$K$25:$N$28</definedName>
    <definedName name="__aiu2">[7]AIU!$J$105</definedName>
    <definedName name="__apu1">[2]INSUMOS!#REF!</definedName>
    <definedName name="__APU221" localSheetId="20">#REF!</definedName>
    <definedName name="__APU221">#REF!</definedName>
    <definedName name="__APU465" localSheetId="20">[9]!absc</definedName>
    <definedName name="__APU465">[9]!absc</definedName>
    <definedName name="__b2" localSheetId="20" hidden="1">{"TAB1",#N/A,TRUE,"GENERAL";"TAB2",#N/A,TRUE,"GENERAL";"TAB3",#N/A,TRUE,"GENERAL";"TAB4",#N/A,TRUE,"GENERAL";"TAB5",#N/A,TRUE,"GENERAL"}</definedName>
    <definedName name="__b2" localSheetId="2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20" hidden="1">{"TAB1",#N/A,TRUE,"GENERAL";"TAB2",#N/A,TRUE,"GENERAL";"TAB3",#N/A,TRUE,"GENERAL";"TAB4",#N/A,TRUE,"GENERAL";"TAB5",#N/A,TRUE,"GENERAL"}</definedName>
    <definedName name="__b3" localSheetId="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20" hidden="1">{"TAB1",#N/A,TRUE,"GENERAL";"TAB2",#N/A,TRUE,"GENERAL";"TAB3",#N/A,TRUE,"GENERAL";"TAB4",#N/A,TRUE,"GENERAL";"TAB5",#N/A,TRUE,"GENERAL"}</definedName>
    <definedName name="__b4" localSheetId="2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20" hidden="1">{"TAB1",#N/A,TRUE,"GENERAL";"TAB2",#N/A,TRUE,"GENERAL";"TAB3",#N/A,TRUE,"GENERAL";"TAB4",#N/A,TRUE,"GENERAL";"TAB5",#N/A,TRUE,"GENERAL"}</definedName>
    <definedName name="__b5" localSheetId="2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20" hidden="1">{"TAB1",#N/A,TRUE,"GENERAL";"TAB2",#N/A,TRUE,"GENERAL";"TAB3",#N/A,TRUE,"GENERAL";"TAB4",#N/A,TRUE,"GENERAL";"TAB5",#N/A,TRUE,"GENERAL"}</definedName>
    <definedName name="__b6" localSheetId="2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20" hidden="1">{"via1",#N/A,TRUE,"general";"via2",#N/A,TRUE,"general";"via3",#N/A,TRUE,"general"}</definedName>
    <definedName name="__b7" localSheetId="2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20" hidden="1">{"via1",#N/A,TRUE,"general";"via2",#N/A,TRUE,"general";"via3",#N/A,TRUE,"general"}</definedName>
    <definedName name="__b8" localSheetId="2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20" hidden="1">{"TAB1",#N/A,TRUE,"GENERAL";"TAB2",#N/A,TRUE,"GENERAL";"TAB3",#N/A,TRUE,"GENERAL";"TAB4",#N/A,TRUE,"GENERAL";"TAB5",#N/A,TRUE,"GENERAL"}</definedName>
    <definedName name="__bb9" localSheetId="2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20" hidden="1">{"TAB1",#N/A,TRUE,"GENERAL";"TAB2",#N/A,TRUE,"GENERAL";"TAB3",#N/A,TRUE,"GENERAL";"TAB4",#N/A,TRUE,"GENERAL";"TAB5",#N/A,TRUE,"GENERAL"}</definedName>
    <definedName name="__bgb5" localSheetId="2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[4]INV!$A$5:$D$8</definedName>
    <definedName name="__BGC3">[4]INV!$F$5:$I$8</definedName>
    <definedName name="__BGC5">[4]INV!$K$5:$N$8</definedName>
    <definedName name="__CAC1">[4]INV!$A$19:$D$22</definedName>
    <definedName name="__CAC3">[4]INV!$F$19:$I$22</definedName>
    <definedName name="__CAC5">[4]INV!$K$19:$N$22</definedName>
    <definedName name="__Cod1">#REF!</definedName>
    <definedName name="__EST1" localSheetId="20">#REF!</definedName>
    <definedName name="__EST1">#REF!</definedName>
    <definedName name="__EST10" localSheetId="20">#REF!</definedName>
    <definedName name="__EST10">#REF!</definedName>
    <definedName name="__EST11" localSheetId="2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[3]!err</definedName>
    <definedName name="__FS01">[3]!err</definedName>
    <definedName name="__g2" localSheetId="20" hidden="1">{"TAB1",#N/A,TRUE,"GENERAL";"TAB2",#N/A,TRUE,"GENERAL";"TAB3",#N/A,TRUE,"GENERAL";"TAB4",#N/A,TRUE,"GENERAL";"TAB5",#N/A,TRUE,"GENERAL"}</definedName>
    <definedName name="__g2" localSheetId="2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20" hidden="1">{"via1",#N/A,TRUE,"general";"via2",#N/A,TRUE,"general";"via3",#N/A,TRUE,"general"}</definedName>
    <definedName name="__g3" localSheetId="2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20" hidden="1">{"via1",#N/A,TRUE,"general";"via2",#N/A,TRUE,"general";"via3",#N/A,TRUE,"general"}</definedName>
    <definedName name="__g4" localSheetId="2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20" hidden="1">{"via1",#N/A,TRUE,"general";"via2",#N/A,TRUE,"general";"via3",#N/A,TRUE,"general"}</definedName>
    <definedName name="__g5" localSheetId="2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20" hidden="1">{"via1",#N/A,TRUE,"general";"via2",#N/A,TRUE,"general";"via3",#N/A,TRUE,"general"}</definedName>
    <definedName name="__g6" localSheetId="2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20" hidden="1">{"TAB1",#N/A,TRUE,"GENERAL";"TAB2",#N/A,TRUE,"GENERAL";"TAB3",#N/A,TRUE,"GENERAL";"TAB4",#N/A,TRUE,"GENERAL";"TAB5",#N/A,TRUE,"GENERAL"}</definedName>
    <definedName name="__g7" localSheetId="2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20" hidden="1">{"TAB1",#N/A,TRUE,"GENERAL";"TAB2",#N/A,TRUE,"GENERAL";"TAB3",#N/A,TRUE,"GENERAL";"TAB4",#N/A,TRUE,"GENERAL";"TAB5",#N/A,TRUE,"GENERAL"}</definedName>
    <definedName name="__GR1" localSheetId="2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20" hidden="1">{"via1",#N/A,TRUE,"general";"via2",#N/A,TRUE,"general";"via3",#N/A,TRUE,"general"}</definedName>
    <definedName name="__gtr4" localSheetId="2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20" hidden="1">{"via1",#N/A,TRUE,"general";"via2",#N/A,TRUE,"general";"via3",#N/A,TRUE,"general"}</definedName>
    <definedName name="__h2" localSheetId="2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20" hidden="1">{"via1",#N/A,TRUE,"general";"via2",#N/A,TRUE,"general";"via3",#N/A,TRUE,"general"}</definedName>
    <definedName name="__h3" localSheetId="2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20" hidden="1">{"TAB1",#N/A,TRUE,"GENERAL";"TAB2",#N/A,TRUE,"GENERAL";"TAB3",#N/A,TRUE,"GENERAL";"TAB4",#N/A,TRUE,"GENERAL";"TAB5",#N/A,TRUE,"GENERAL"}</definedName>
    <definedName name="__h4" localSheetId="2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20" hidden="1">{"TAB1",#N/A,TRUE,"GENERAL";"TAB2",#N/A,TRUE,"GENERAL";"TAB3",#N/A,TRUE,"GENERAL";"TAB4",#N/A,TRUE,"GENERAL";"TAB5",#N/A,TRUE,"GENERAL"}</definedName>
    <definedName name="__h5" localSheetId="2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20" hidden="1">{"via1",#N/A,TRUE,"general";"via2",#N/A,TRUE,"general";"via3",#N/A,TRUE,"general"}</definedName>
    <definedName name="__h6" localSheetId="2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20" hidden="1">{"TAB1",#N/A,TRUE,"GENERAL";"TAB2",#N/A,TRUE,"GENERAL";"TAB3",#N/A,TRUE,"GENERAL";"TAB4",#N/A,TRUE,"GENERAL";"TAB5",#N/A,TRUE,"GENERAL"}</definedName>
    <definedName name="__h7" localSheetId="2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20" hidden="1">{"via1",#N/A,TRUE,"general";"via2",#N/A,TRUE,"general";"via3",#N/A,TRUE,"general"}</definedName>
    <definedName name="__h8" localSheetId="2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20" hidden="1">{"via1",#N/A,TRUE,"general";"via2",#N/A,TRUE,"general";"via3",#N/A,TRUE,"general"}</definedName>
    <definedName name="__hfh7" localSheetId="2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20" hidden="1">{"via1",#N/A,TRUE,"general";"via2",#N/A,TRUE,"general";"via3",#N/A,TRUE,"general"}</definedName>
    <definedName name="__i4" localSheetId="2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20" hidden="1">{"TAB1",#N/A,TRUE,"GENERAL";"TAB2",#N/A,TRUE,"GENERAL";"TAB3",#N/A,TRUE,"GENERAL";"TAB4",#N/A,TRUE,"GENERAL";"TAB5",#N/A,TRUE,"GENERAL"}</definedName>
    <definedName name="__i5" localSheetId="2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20" hidden="1">{"TAB1",#N/A,TRUE,"GENERAL";"TAB2",#N/A,TRUE,"GENERAL";"TAB3",#N/A,TRUE,"GENERAL";"TAB4",#N/A,TRUE,"GENERAL";"TAB5",#N/A,TRUE,"GENERAL"}</definedName>
    <definedName name="__i6" localSheetId="2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20" hidden="1">{"via1",#N/A,TRUE,"general";"via2",#N/A,TRUE,"general";"via3",#N/A,TRUE,"general"}</definedName>
    <definedName name="__i7" localSheetId="2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20" hidden="1">{"TAB1",#N/A,TRUE,"GENERAL";"TAB2",#N/A,TRUE,"GENERAL";"TAB3",#N/A,TRUE,"GENERAL";"TAB4",#N/A,TRUE,"GENERAL";"TAB5",#N/A,TRUE,"GENERAL"}</definedName>
    <definedName name="__i77" localSheetId="2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20" hidden="1">{"via1",#N/A,TRUE,"general";"via2",#N/A,TRUE,"general";"via3",#N/A,TRUE,"general"}</definedName>
    <definedName name="__i8" localSheetId="2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20" hidden="1">{"TAB1",#N/A,TRUE,"GENERAL";"TAB2",#N/A,TRUE,"GENERAL";"TAB3",#N/A,TRUE,"GENERAL";"TAB4",#N/A,TRUE,"GENERAL";"TAB5",#N/A,TRUE,"GENERAL"}</definedName>
    <definedName name="__i9" localSheetId="2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PC2002">#REF!</definedName>
    <definedName name="__ITM4" localSheetId="20">#REF!</definedName>
    <definedName name="__ITM4">#REF!</definedName>
    <definedName name="__k3" localSheetId="20" hidden="1">{"TAB1",#N/A,TRUE,"GENERAL";"TAB2",#N/A,TRUE,"GENERAL";"TAB3",#N/A,TRUE,"GENERAL";"TAB4",#N/A,TRUE,"GENERAL";"TAB5",#N/A,TRUE,"GENERAL"}</definedName>
    <definedName name="__k3" localSheetId="2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20" hidden="1">{"via1",#N/A,TRUE,"general";"via2",#N/A,TRUE,"general";"via3",#N/A,TRUE,"general"}</definedName>
    <definedName name="__k4" localSheetId="2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20" hidden="1">{"via1",#N/A,TRUE,"general";"via2",#N/A,TRUE,"general";"via3",#N/A,TRUE,"general"}</definedName>
    <definedName name="__k5" localSheetId="2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20" hidden="1">{"TAB1",#N/A,TRUE,"GENERAL";"TAB2",#N/A,TRUE,"GENERAL";"TAB3",#N/A,TRUE,"GENERAL";"TAB4",#N/A,TRUE,"GENERAL";"TAB5",#N/A,TRUE,"GENERAL"}</definedName>
    <definedName name="__k6" localSheetId="2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20" hidden="1">{"via1",#N/A,TRUE,"general";"via2",#N/A,TRUE,"general";"via3",#N/A,TRUE,"general"}</definedName>
    <definedName name="__k7" localSheetId="2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20" hidden="1">{"via1",#N/A,TRUE,"general";"via2",#N/A,TRUE,"general";"via3",#N/A,TRUE,"general"}</definedName>
    <definedName name="__k8" localSheetId="2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20" hidden="1">{"TAB1",#N/A,TRUE,"GENERAL";"TAB2",#N/A,TRUE,"GENERAL";"TAB3",#N/A,TRUE,"GENERAL";"TAB4",#N/A,TRUE,"GENERAL";"TAB5",#N/A,TRUE,"GENERAL"}</definedName>
    <definedName name="__k9" localSheetId="2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[13]INST!#REF!</definedName>
    <definedName name="__key21" hidden="1">[8]INST!#REF!</definedName>
    <definedName name="__key3" hidden="1">#REF!</definedName>
    <definedName name="__key31" hidden="1">#REF!</definedName>
    <definedName name="__kjk6" localSheetId="20" hidden="1">{"TAB1",#N/A,TRUE,"GENERAL";"TAB2",#N/A,TRUE,"GENERAL";"TAB3",#N/A,TRUE,"GENERAL";"TAB4",#N/A,TRUE,"GENERAL";"TAB5",#N/A,TRUE,"GENERAL"}</definedName>
    <definedName name="__kjk6" localSheetId="2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20" hidden="1">{"via1",#N/A,TRUE,"general";"via2",#N/A,TRUE,"general";"via3",#N/A,TRUE,"general"}</definedName>
    <definedName name="__m3" localSheetId="2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20" hidden="1">{"TAB1",#N/A,TRUE,"GENERAL";"TAB2",#N/A,TRUE,"GENERAL";"TAB3",#N/A,TRUE,"GENERAL";"TAB4",#N/A,TRUE,"GENERAL";"TAB5",#N/A,TRUE,"GENERAL"}</definedName>
    <definedName name="__m4" localSheetId="2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20" hidden="1">{"via1",#N/A,TRUE,"general";"via2",#N/A,TRUE,"general";"via3",#N/A,TRUE,"general"}</definedName>
    <definedName name="__m5" localSheetId="2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20" hidden="1">{"TAB1",#N/A,TRUE,"GENERAL";"TAB2",#N/A,TRUE,"GENERAL";"TAB3",#N/A,TRUE,"GENERAL";"TAB4",#N/A,TRUE,"GENERAL";"TAB5",#N/A,TRUE,"GENERAL"}</definedName>
    <definedName name="__m6" localSheetId="2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20" hidden="1">{"TAB1",#N/A,TRUE,"GENERAL";"TAB2",#N/A,TRUE,"GENERAL";"TAB3",#N/A,TRUE,"GENERAL";"TAB4",#N/A,TRUE,"GENERAL";"TAB5",#N/A,TRUE,"GENERAL"}</definedName>
    <definedName name="__m7" localSheetId="2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20" hidden="1">{"via1",#N/A,TRUE,"general";"via2",#N/A,TRUE,"general";"via3",#N/A,TRUE,"general"}</definedName>
    <definedName name="__m8" localSheetId="2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20" hidden="1">{"via1",#N/A,TRUE,"general";"via2",#N/A,TRUE,"general";"via3",#N/A,TRUE,"general"}</definedName>
    <definedName name="__m9" localSheetId="2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n3" localSheetId="20" hidden="1">{"TAB1",#N/A,TRUE,"GENERAL";"TAB2",#N/A,TRUE,"GENERAL";"TAB3",#N/A,TRUE,"GENERAL";"TAB4",#N/A,TRUE,"GENERAL";"TAB5",#N/A,TRUE,"GENERAL"}</definedName>
    <definedName name="__n3" localSheetId="2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20" hidden="1">{"via1",#N/A,TRUE,"general";"via2",#N/A,TRUE,"general";"via3",#N/A,TRUE,"general"}</definedName>
    <definedName name="__n4" localSheetId="2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20" hidden="1">{"TAB1",#N/A,TRUE,"GENERAL";"TAB2",#N/A,TRUE,"GENERAL";"TAB3",#N/A,TRUE,"GENERAL";"TAB4",#N/A,TRUE,"GENERAL";"TAB5",#N/A,TRUE,"GENERAL"}</definedName>
    <definedName name="__n5" localSheetId="2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20" hidden="1">{"via1",#N/A,TRUE,"general";"via2",#N/A,TRUE,"general";"via3",#N/A,TRUE,"general"}</definedName>
    <definedName name="__nyn7" localSheetId="2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20" hidden="1">{"via1",#N/A,TRUE,"general";"via2",#N/A,TRUE,"general";"via3",#N/A,TRUE,"general"}</definedName>
    <definedName name="__o4" localSheetId="2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20" hidden="1">{"TAB1",#N/A,TRUE,"GENERAL";"TAB2",#N/A,TRUE,"GENERAL";"TAB3",#N/A,TRUE,"GENERAL";"TAB4",#N/A,TRUE,"GENERAL";"TAB5",#N/A,TRUE,"GENERAL"}</definedName>
    <definedName name="__o5" localSheetId="2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20" hidden="1">{"TAB1",#N/A,TRUE,"GENERAL";"TAB2",#N/A,TRUE,"GENERAL";"TAB3",#N/A,TRUE,"GENERAL";"TAB4",#N/A,TRUE,"GENERAL";"TAB5",#N/A,TRUE,"GENERAL"}</definedName>
    <definedName name="__o6" localSheetId="2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20" hidden="1">{"TAB1",#N/A,TRUE,"GENERAL";"TAB2",#N/A,TRUE,"GENERAL";"TAB3",#N/A,TRUE,"GENERAL";"TAB4",#N/A,TRUE,"GENERAL";"TAB5",#N/A,TRUE,"GENERAL"}</definedName>
    <definedName name="__o7" localSheetId="2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20" hidden="1">{"via1",#N/A,TRUE,"general";"via2",#N/A,TRUE,"general";"via3",#N/A,TRUE,"general"}</definedName>
    <definedName name="__o8" localSheetId="2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20" hidden="1">{"TAB1",#N/A,TRUE,"GENERAL";"TAB2",#N/A,TRUE,"GENERAL";"TAB3",#N/A,TRUE,"GENERAL";"TAB4",#N/A,TRUE,"GENERAL";"TAB5",#N/A,TRUE,"GENERAL"}</definedName>
    <definedName name="__o9" localSheetId="2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localSheetId="20" hidden="1">{"via1",#N/A,TRUE,"general";"via2",#N/A,TRUE,"general";"via3",#N/A,TRUE,"general"}</definedName>
    <definedName name="__p6" localSheetId="2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20" hidden="1">{"via1",#N/A,TRUE,"general";"via2",#N/A,TRUE,"general";"via3",#N/A,TRUE,"general"}</definedName>
    <definedName name="__p7" localSheetId="2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20" hidden="1">{"TAB1",#N/A,TRUE,"GENERAL";"TAB2",#N/A,TRUE,"GENERAL";"TAB3",#N/A,TRUE,"GENERAL";"TAB4",#N/A,TRUE,"GENERAL";"TAB5",#N/A,TRUE,"GENERAL"}</definedName>
    <definedName name="__p8" localSheetId="2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20">#REF!</definedName>
    <definedName name="__PJ50">#REF!</definedName>
    <definedName name="__pj51" localSheetId="20">#REF!</definedName>
    <definedName name="__pj51">#REF!</definedName>
    <definedName name="__PMT5671">[6]MEMORIAS!#REF!</definedName>
    <definedName name="__PMT5805">[6]MEMORIAS!#REF!</definedName>
    <definedName name="__PMT5806">[6]MEMORIAS!#REF!</definedName>
    <definedName name="__PMT5815">[6]MEMORIAS!#REF!</definedName>
    <definedName name="__PMT5820">[6]MEMORIAS!#REF!</definedName>
    <definedName name="__r" localSheetId="20" hidden="1">{"TAB1",#N/A,TRUE,"GENERAL";"TAB2",#N/A,TRUE,"GENERAL";"TAB3",#N/A,TRUE,"GENERAL";"TAB4",#N/A,TRUE,"GENERAL";"TAB5",#N/A,TRUE,"GENERAL"}</definedName>
    <definedName name="__r" localSheetId="2" hidden="1">{"TAB1",#N/A,TRUE,"GENERAL";"TAB2",#N/A,TRUE,"GENERAL";"TAB3",#N/A,TRUE,"GENERAL";"TAB4",#N/A,TRUE,"GENERAL";"TAB5",#N/A,TRUE,"GENERAL"}</definedName>
    <definedName name="__r">#REF!</definedName>
    <definedName name="__r4r" localSheetId="20" hidden="1">{"via1",#N/A,TRUE,"general";"via2",#N/A,TRUE,"general";"via3",#N/A,TRUE,"general"}</definedName>
    <definedName name="__r4r" localSheetId="2" hidden="1">{"via1",#N/A,TRUE,"general";"via2",#N/A,TRUE,"general";"via3",#N/A,TRUE,"general"}</definedName>
    <definedName name="__r4r" hidden="1">{"via1",#N/A,TRUE,"general";"via2",#N/A,TRUE,"general";"via3",#N/A,TRUE,"general"}</definedName>
    <definedName name="__rc" localSheetId="20">#REF!</definedName>
    <definedName name="__rc">#REF!</definedName>
    <definedName name="__ref4">#REF!</definedName>
    <definedName name="__rtu6" localSheetId="20" hidden="1">{"via1",#N/A,TRUE,"general";"via2",#N/A,TRUE,"general";"via3",#N/A,TRUE,"general"}</definedName>
    <definedName name="__rtu6" localSheetId="2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20" hidden="1">{"via1",#N/A,TRUE,"general";"via2",#N/A,TRUE,"general";"via3",#N/A,TRUE,"general"}</definedName>
    <definedName name="__s1" localSheetId="2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20" hidden="1">{"TAB1",#N/A,TRUE,"GENERAL";"TAB2",#N/A,TRUE,"GENERAL";"TAB3",#N/A,TRUE,"GENERAL";"TAB4",#N/A,TRUE,"GENERAL";"TAB5",#N/A,TRUE,"GENERAL"}</definedName>
    <definedName name="__s2" localSheetId="2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20" hidden="1">{"TAB1",#N/A,TRUE,"GENERAL";"TAB2",#N/A,TRUE,"GENERAL";"TAB3",#N/A,TRUE,"GENERAL";"TAB4",#N/A,TRUE,"GENERAL";"TAB5",#N/A,TRUE,"GENERAL"}</definedName>
    <definedName name="__s3" localSheetId="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20" hidden="1">{"via1",#N/A,TRUE,"general";"via2",#N/A,TRUE,"general";"via3",#N/A,TRUE,"general"}</definedName>
    <definedName name="__s4" localSheetId="2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20" hidden="1">{"via1",#N/A,TRUE,"general";"via2",#N/A,TRUE,"general";"via3",#N/A,TRUE,"general"}</definedName>
    <definedName name="__s5" localSheetId="2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20" hidden="1">{"TAB1",#N/A,TRUE,"GENERAL";"TAB2",#N/A,TRUE,"GENERAL";"TAB3",#N/A,TRUE,"GENERAL";"TAB4",#N/A,TRUE,"GENERAL";"TAB5",#N/A,TRUE,"GENERAL"}</definedName>
    <definedName name="__s6" localSheetId="2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20" hidden="1">{"via1",#N/A,TRUE,"general";"via2",#N/A,TRUE,"general";"via3",#N/A,TRUE,"general"}</definedName>
    <definedName name="__s7" localSheetId="2" hidden="1">{"via1",#N/A,TRUE,"general";"via2",#N/A,TRUE,"general";"via3",#N/A,TRUE,"general"}</definedName>
    <definedName name="__s7" hidden="1">{"via1",#N/A,TRUE,"general";"via2",#N/A,TRUE,"general";"via3",#N/A,TRUE,"general"}</definedName>
    <definedName name="__SBC1">[4]INV!$A$12:$D$15</definedName>
    <definedName name="__SBC3">[4]INV!$F$12:$I$15</definedName>
    <definedName name="__SBC5">[4]INV!$K$12:$N$15</definedName>
    <definedName name="__t3" localSheetId="20" hidden="1">{"TAB1",#N/A,TRUE,"GENERAL";"TAB2",#N/A,TRUE,"GENERAL";"TAB3",#N/A,TRUE,"GENERAL";"TAB4",#N/A,TRUE,"GENERAL";"TAB5",#N/A,TRUE,"GENERAL"}</definedName>
    <definedName name="__t3" localSheetId="2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20" hidden="1">{"via1",#N/A,TRUE,"general";"via2",#N/A,TRUE,"general";"via3",#N/A,TRUE,"general"}</definedName>
    <definedName name="__t4" localSheetId="2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20" hidden="1">{"TAB1",#N/A,TRUE,"GENERAL";"TAB2",#N/A,TRUE,"GENERAL";"TAB3",#N/A,TRUE,"GENERAL";"TAB4",#N/A,TRUE,"GENERAL";"TAB5",#N/A,TRUE,"GENERAL"}</definedName>
    <definedName name="__t5" localSheetId="2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20" hidden="1">{"via1",#N/A,TRUE,"general";"via2",#N/A,TRUE,"general";"via3",#N/A,TRUE,"general"}</definedName>
    <definedName name="__t6" localSheetId="2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20" hidden="1">{"TAB1",#N/A,TRUE,"GENERAL";"TAB2",#N/A,TRUE,"GENERAL";"TAB3",#N/A,TRUE,"GENERAL";"TAB4",#N/A,TRUE,"GENERAL";"TAB5",#N/A,TRUE,"GENERAL"}</definedName>
    <definedName name="__t66" localSheetId="2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20" hidden="1">{"via1",#N/A,TRUE,"general";"via2",#N/A,TRUE,"general";"via3",#N/A,TRUE,"general"}</definedName>
    <definedName name="__t7" localSheetId="2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20" hidden="1">{"TAB1",#N/A,TRUE,"GENERAL";"TAB2",#N/A,TRUE,"GENERAL";"TAB3",#N/A,TRUE,"GENERAL";"TAB4",#N/A,TRUE,"GENERAL";"TAB5",#N/A,TRUE,"GENERAL"}</definedName>
    <definedName name="__t77" localSheetId="2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20" hidden="1">{"TAB1",#N/A,TRUE,"GENERAL";"TAB2",#N/A,TRUE,"GENERAL";"TAB3",#N/A,TRUE,"GENERAL";"TAB4",#N/A,TRUE,"GENERAL";"TAB5",#N/A,TRUE,"GENERAL"}</definedName>
    <definedName name="__t8" localSheetId="2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20" hidden="1">{"via1",#N/A,TRUE,"general";"via2",#N/A,TRUE,"general";"via3",#N/A,TRUE,"general"}</definedName>
    <definedName name="__t88" localSheetId="2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20" hidden="1">{"TAB1",#N/A,TRUE,"GENERAL";"TAB2",#N/A,TRUE,"GENERAL";"TAB3",#N/A,TRUE,"GENERAL";"TAB4",#N/A,TRUE,"GENERAL";"TAB5",#N/A,TRUE,"GENERAL"}</definedName>
    <definedName name="__t9" localSheetId="2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20" hidden="1">{"via1",#N/A,TRUE,"general";"via2",#N/A,TRUE,"general";"via3",#N/A,TRUE,"general"}</definedName>
    <definedName name="__t99" localSheetId="2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20" hidden="1">{"TAB1",#N/A,TRUE,"GENERAL";"TAB2",#N/A,TRUE,"GENERAL";"TAB3",#N/A,TRUE,"GENERAL";"TAB4",#N/A,TRUE,"GENERAL";"TAB5",#N/A,TRUE,"GENERAL"}</definedName>
    <definedName name="__u4" localSheetId="2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20" hidden="1">{"TAB1",#N/A,TRUE,"GENERAL";"TAB2",#N/A,TRUE,"GENERAL";"TAB3",#N/A,TRUE,"GENERAL";"TAB4",#N/A,TRUE,"GENERAL";"TAB5",#N/A,TRUE,"GENERAL"}</definedName>
    <definedName name="__u5" localSheetId="2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20" hidden="1">{"TAB1",#N/A,TRUE,"GENERAL";"TAB2",#N/A,TRUE,"GENERAL";"TAB3",#N/A,TRUE,"GENERAL";"TAB4",#N/A,TRUE,"GENERAL";"TAB5",#N/A,TRUE,"GENERAL"}</definedName>
    <definedName name="__u6" localSheetId="2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20" hidden="1">{"via1",#N/A,TRUE,"general";"via2",#N/A,TRUE,"general";"via3",#N/A,TRUE,"general"}</definedName>
    <definedName name="__u7" localSheetId="2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20" hidden="1">{"TAB1",#N/A,TRUE,"GENERAL";"TAB2",#N/A,TRUE,"GENERAL";"TAB3",#N/A,TRUE,"GENERAL";"TAB4",#N/A,TRUE,"GENERAL";"TAB5",#N/A,TRUE,"GENERAL"}</definedName>
    <definedName name="__u8" localSheetId="2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20" hidden="1">{"TAB1",#N/A,TRUE,"GENERAL";"TAB2",#N/A,TRUE,"GENERAL";"TAB3",#N/A,TRUE,"GENERAL";"TAB4",#N/A,TRUE,"GENERAL";"TAB5",#N/A,TRUE,"GENERAL"}</definedName>
    <definedName name="__u9" localSheetId="2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20" hidden="1">{"TAB1",#N/A,TRUE,"GENERAL";"TAB2",#N/A,TRUE,"GENERAL";"TAB3",#N/A,TRUE,"GENERAL";"TAB4",#N/A,TRUE,"GENERAL";"TAB5",#N/A,TRUE,"GENERAL"}</definedName>
    <definedName name="__ur7" localSheetId="2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20" hidden="1">{"via1",#N/A,TRUE,"general";"via2",#N/A,TRUE,"general";"via3",#N/A,TRUE,"general"}</definedName>
    <definedName name="__v2" localSheetId="2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20" hidden="1">{"TAB1",#N/A,TRUE,"GENERAL";"TAB2",#N/A,TRUE,"GENERAL";"TAB3",#N/A,TRUE,"GENERAL";"TAB4",#N/A,TRUE,"GENERAL";"TAB5",#N/A,TRUE,"GENERAL"}</definedName>
    <definedName name="__v3" localSheetId="2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20" hidden="1">{"TAB1",#N/A,TRUE,"GENERAL";"TAB2",#N/A,TRUE,"GENERAL";"TAB3",#N/A,TRUE,"GENERAL";"TAB4",#N/A,TRUE,"GENERAL";"TAB5",#N/A,TRUE,"GENERAL"}</definedName>
    <definedName name="__v4" localSheetId="2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20" hidden="1">{"TAB1",#N/A,TRUE,"GENERAL";"TAB2",#N/A,TRUE,"GENERAL";"TAB3",#N/A,TRUE,"GENERAL";"TAB4",#N/A,TRUE,"GENERAL";"TAB5",#N/A,TRUE,"GENERAL"}</definedName>
    <definedName name="__v5" localSheetId="2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20" hidden="1">{"TAB1",#N/A,TRUE,"GENERAL";"TAB2",#N/A,TRUE,"GENERAL";"TAB3",#N/A,TRUE,"GENERAL";"TAB4",#N/A,TRUE,"GENERAL";"TAB5",#N/A,TRUE,"GENERAL"}</definedName>
    <definedName name="__v6" localSheetId="2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20" hidden="1">{"via1",#N/A,TRUE,"general";"via2",#N/A,TRUE,"general";"via3",#N/A,TRUE,"general"}</definedName>
    <definedName name="__v7" localSheetId="2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20" hidden="1">{"TAB1",#N/A,TRUE,"GENERAL";"TAB2",#N/A,TRUE,"GENERAL";"TAB3",#N/A,TRUE,"GENERAL";"TAB4",#N/A,TRUE,"GENERAL";"TAB5",#N/A,TRUE,"GENERAL"}</definedName>
    <definedName name="__v8" localSheetId="2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20" hidden="1">{"TAB1",#N/A,TRUE,"GENERAL";"TAB2",#N/A,TRUE,"GENERAL";"TAB3",#N/A,TRUE,"GENERAL";"TAB4",#N/A,TRUE,"GENERAL";"TAB5",#N/A,TRUE,"GENERAL"}</definedName>
    <definedName name="__v9" localSheetId="2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20" hidden="1">{"via1",#N/A,TRUE,"general";"via2",#N/A,TRUE,"general";"via3",#N/A,TRUE,"general"}</definedName>
    <definedName name="__vfv4" localSheetId="2" hidden="1">{"via1",#N/A,TRUE,"general";"via2",#N/A,TRUE,"general";"via3",#N/A,TRUE,"general"}</definedName>
    <definedName name="__vfv4" hidden="1">{"via1",#N/A,TRUE,"general";"via2",#N/A,TRUE,"general";"via3",#N/A,TRUE,"general"}</definedName>
    <definedName name="__Vol1">[10]Item!$A:$D</definedName>
    <definedName name="__x1" localSheetId="20" hidden="1">{"TAB1",#N/A,TRUE,"GENERAL";"TAB2",#N/A,TRUE,"GENERAL";"TAB3",#N/A,TRUE,"GENERAL";"TAB4",#N/A,TRUE,"GENERAL";"TAB5",#N/A,TRUE,"GENERAL"}</definedName>
    <definedName name="__x1" localSheetId="2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20" hidden="1">{"via1",#N/A,TRUE,"general";"via2",#N/A,TRUE,"general";"via3",#N/A,TRUE,"general"}</definedName>
    <definedName name="__x2" localSheetId="2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20" hidden="1">{"via1",#N/A,TRUE,"general";"via2",#N/A,TRUE,"general";"via3",#N/A,TRUE,"general"}</definedName>
    <definedName name="__x3" localSheetId="2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20" hidden="1">{"via1",#N/A,TRUE,"general";"via2",#N/A,TRUE,"general";"via3",#N/A,TRUE,"general"}</definedName>
    <definedName name="__x4" localSheetId="2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20" hidden="1">{"TAB1",#N/A,TRUE,"GENERAL";"TAB2",#N/A,TRUE,"GENERAL";"TAB3",#N/A,TRUE,"GENERAL";"TAB4",#N/A,TRUE,"GENERAL";"TAB5",#N/A,TRUE,"GENERAL"}</definedName>
    <definedName name="__x5" localSheetId="2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20" hidden="1">{"TAB1",#N/A,TRUE,"GENERAL";"TAB2",#N/A,TRUE,"GENERAL";"TAB3",#N/A,TRUE,"GENERAL";"TAB4",#N/A,TRUE,"GENERAL";"TAB5",#N/A,TRUE,"GENERAL"}</definedName>
    <definedName name="__x6" localSheetId="2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20" hidden="1">{"TAB1",#N/A,TRUE,"GENERAL";"TAB2",#N/A,TRUE,"GENERAL";"TAB3",#N/A,TRUE,"GENERAL";"TAB4",#N/A,TRUE,"GENERAL";"TAB5",#N/A,TRUE,"GENERAL"}</definedName>
    <definedName name="__x7" localSheetId="2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20" hidden="1">{"via1",#N/A,TRUE,"general";"via2",#N/A,TRUE,"general";"via3",#N/A,TRUE,"general"}</definedName>
    <definedName name="__x8" localSheetId="2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20" hidden="1">{"TAB1",#N/A,TRUE,"GENERAL";"TAB2",#N/A,TRUE,"GENERAL";"TAB3",#N/A,TRUE,"GENERAL";"TAB4",#N/A,TRUE,"GENERAL";"TAB5",#N/A,TRUE,"GENERAL"}</definedName>
    <definedName name="__x9" localSheetId="2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y2" localSheetId="20" hidden="1">{"TAB1",#N/A,TRUE,"GENERAL";"TAB2",#N/A,TRUE,"GENERAL";"TAB3",#N/A,TRUE,"GENERAL";"TAB4",#N/A,TRUE,"GENERAL";"TAB5",#N/A,TRUE,"GENERAL"}</definedName>
    <definedName name="__y2" localSheetId="2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20" hidden="1">{"via1",#N/A,TRUE,"general";"via2",#N/A,TRUE,"general";"via3",#N/A,TRUE,"general"}</definedName>
    <definedName name="__y3" localSheetId="2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20" hidden="1">{"via1",#N/A,TRUE,"general";"via2",#N/A,TRUE,"general";"via3",#N/A,TRUE,"general"}</definedName>
    <definedName name="__y4" localSheetId="2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20" hidden="1">{"TAB1",#N/A,TRUE,"GENERAL";"TAB2",#N/A,TRUE,"GENERAL";"TAB3",#N/A,TRUE,"GENERAL";"TAB4",#N/A,TRUE,"GENERAL";"TAB5",#N/A,TRUE,"GENERAL"}</definedName>
    <definedName name="__y5" localSheetId="2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20" hidden="1">{"via1",#N/A,TRUE,"general";"via2",#N/A,TRUE,"general";"via3",#N/A,TRUE,"general"}</definedName>
    <definedName name="__y6" localSheetId="2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20" hidden="1">{"via1",#N/A,TRUE,"general";"via2",#N/A,TRUE,"general";"via3",#N/A,TRUE,"general"}</definedName>
    <definedName name="__y7" localSheetId="2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20" hidden="1">{"via1",#N/A,TRUE,"general";"via2",#N/A,TRUE,"general";"via3",#N/A,TRUE,"general"}</definedName>
    <definedName name="__y8" localSheetId="2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20" hidden="1">{"TAB1",#N/A,TRUE,"GENERAL";"TAB2",#N/A,TRUE,"GENERAL";"TAB3",#N/A,TRUE,"GENERAL";"TAB4",#N/A,TRUE,"GENERAL";"TAB5",#N/A,TRUE,"GENERAL"}</definedName>
    <definedName name="__y9" localSheetId="2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20" hidden="1">{"TAB1",#N/A,TRUE,"GENERAL";"TAB2",#N/A,TRUE,"GENERAL";"TAB3",#N/A,TRUE,"GENERAL";"TAB4",#N/A,TRUE,"GENERAL";"TAB5",#N/A,TRUE,"GENERAL"}</definedName>
    <definedName name="__z1" localSheetId="2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20" hidden="1">{"via1",#N/A,TRUE,"general";"via2",#N/A,TRUE,"general";"via3",#N/A,TRUE,"general"}</definedName>
    <definedName name="__z2" localSheetId="2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20" hidden="1">{"via1",#N/A,TRUE,"general";"via2",#N/A,TRUE,"general";"via3",#N/A,TRUE,"general"}</definedName>
    <definedName name="__z3" localSheetId="2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20" hidden="1">{"TAB1",#N/A,TRUE,"GENERAL";"TAB2",#N/A,TRUE,"GENERAL";"TAB3",#N/A,TRUE,"GENERAL";"TAB4",#N/A,TRUE,"GENERAL";"TAB5",#N/A,TRUE,"GENERAL"}</definedName>
    <definedName name="__z4" localSheetId="2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20" hidden="1">{"via1",#N/A,TRUE,"general";"via2",#N/A,TRUE,"general";"via3",#N/A,TRUE,"general"}</definedName>
    <definedName name="__z5" localSheetId="2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20" hidden="1">{"TAB1",#N/A,TRUE,"GENERAL";"TAB2",#N/A,TRUE,"GENERAL";"TAB3",#N/A,TRUE,"GENERAL";"TAB4",#N/A,TRUE,"GENERAL";"TAB5",#N/A,TRUE,"GENERAL"}</definedName>
    <definedName name="__z6" localSheetId="2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__123Graph_ACart_Utilidad" localSheetId="20" hidden="1">[11]EVA!$F$104:$I$104</definedName>
    <definedName name="_1__123Graph_ACart_Utilidad" hidden="1">[9]EVA!$F$104:$I$104</definedName>
    <definedName name="_18.1">'[14]00'!$A$5</definedName>
    <definedName name="_18.10">'[14]00'!$A$20</definedName>
    <definedName name="_18.11">'[14]00'!$A$21</definedName>
    <definedName name="_18.12">'[14]00'!$A$22</definedName>
    <definedName name="_18.13">'[14]00'!$A$23</definedName>
    <definedName name="_18.14">'[14]00'!$A$26</definedName>
    <definedName name="_18.15">'[14]00'!$A$27</definedName>
    <definedName name="_18.16">'[14]00'!$A$28</definedName>
    <definedName name="_18.17">'[14]00'!$A$31</definedName>
    <definedName name="_18.18">'[14]00'!$A$32</definedName>
    <definedName name="_18.19">'[14]00'!$A$33</definedName>
    <definedName name="_18.2">'[14]00'!$A$6</definedName>
    <definedName name="_18.20">'[14]00'!$A$34</definedName>
    <definedName name="_18.21">'[14]00'!$A$35</definedName>
    <definedName name="_18.22">'[14]00'!$A$36</definedName>
    <definedName name="_18.23">'[14]00'!$A$38</definedName>
    <definedName name="_18.24">'[14]00'!$A$39</definedName>
    <definedName name="_18.25">'[14]00'!$A$40</definedName>
    <definedName name="_18.26">'[14]00'!$A$41</definedName>
    <definedName name="_18.27">'[14]00'!$A$42</definedName>
    <definedName name="_18.28">'[14]00'!$A$43</definedName>
    <definedName name="_18.29">'[14]00'!$A$45</definedName>
    <definedName name="_18.3">'[14]00'!$A$7</definedName>
    <definedName name="_18.30">'[14]00'!$A$46</definedName>
    <definedName name="_18.31">'[14]00'!$A$47</definedName>
    <definedName name="_18.32">'[14]00'!$A$48</definedName>
    <definedName name="_18.33">'[14]00'!$A$49</definedName>
    <definedName name="_18.34">'[14]00'!$A$50</definedName>
    <definedName name="_18.35">'[14]00'!$A$57</definedName>
    <definedName name="_18.36">'[14]00'!$A$58</definedName>
    <definedName name="_18.37">'[14]00'!$A$63</definedName>
    <definedName name="_18.38">'[14]00'!$A$64</definedName>
    <definedName name="_18.39">'[14]00'!$A$65</definedName>
    <definedName name="_18.4">'[14]00'!$A$8</definedName>
    <definedName name="_18.40">'[14]00'!$A$66</definedName>
    <definedName name="_18.41">'[14]00'!$A$67</definedName>
    <definedName name="_18.5">'[14]00'!$A$9</definedName>
    <definedName name="_18.6">'[14]00'!$A$10</definedName>
    <definedName name="_18.7">'[14]00'!$A$11</definedName>
    <definedName name="_18.8">'[14]00'!$A$12</definedName>
    <definedName name="_18.9">'[14]00'!$A$19</definedName>
    <definedName name="_19Excel_BuiltIn_Print_Area_1_1_1">#REF!</definedName>
    <definedName name="_1Excel_BuiltIn_Print_Area_1_1">#REF!</definedName>
    <definedName name="_1Excel_BuiltIn_Print_Area_1_1_1">#REF!</definedName>
    <definedName name="_2__123Graph_BCart_Utilidad" localSheetId="20" hidden="1">[11]EVA!$F$105:$I$105</definedName>
    <definedName name="_2__123Graph_BCart_Utilidad" hidden="1">[9]EVA!$F$105:$I$105</definedName>
    <definedName name="_25Excel_BuiltIn_Print_Titles_1_1_1_1">#REF!</definedName>
    <definedName name="_2Excel_BuiltIn_Print_Titles_1_1_1_1">#REF!</definedName>
    <definedName name="_3__123Graph_CCart_Utilidad" localSheetId="20" hidden="1">[11]EVA!$F$106:$I$106</definedName>
    <definedName name="_3__123Graph_CCart_Utilidad" hidden="1">[9]EVA!$F$106:$I$106</definedName>
    <definedName name="_4__123Graph_LBL_ACart_Utilidad" localSheetId="20" hidden="1">[11]EVA!$F$109:$I$109</definedName>
    <definedName name="_4__123Graph_LBL_ACart_Utilidad" hidden="1">[9]EVA!$F$109:$I$109</definedName>
    <definedName name="_42C">#REF!</definedName>
    <definedName name="_42D">#REF!</definedName>
    <definedName name="_42E">#REF!</definedName>
    <definedName name="_44">#REF!</definedName>
    <definedName name="_5__123Graph_LBL_BCart_Utilidad" localSheetId="20" hidden="1">[11]EVA!$F$110:$I$110</definedName>
    <definedName name="_5__123Graph_LBL_BCart_Utilidad" hidden="1">[9]EVA!$F$110:$I$110</definedName>
    <definedName name="_6">#REF!</definedName>
    <definedName name="_6__123Graph_LBL_CCart_Utilidad" localSheetId="20" hidden="1">[11]EVA!$F$111:$I$111</definedName>
    <definedName name="_6__123Graph_LBL_CCart_Utilidad" hidden="1">[9]EVA!$F$111:$I$111</definedName>
    <definedName name="_7__123Graph_XCart_Utilidad" localSheetId="20" hidden="1">[11]EVA!$F$103:$I$103</definedName>
    <definedName name="_7__123Graph_XCart_Utilidad" hidden="1">[9]EVA!$F$103:$I$103</definedName>
    <definedName name="_a1" localSheetId="20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 localSheetId="20">#REF!</definedName>
    <definedName name="_A17000">#REF!</definedName>
    <definedName name="_A20000" localSheetId="20">#REF!</definedName>
    <definedName name="_A20000">#REF!</definedName>
    <definedName name="_a3" localSheetId="20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 localSheetId="20">#REF!</definedName>
    <definedName name="_A30000">#REF!</definedName>
    <definedName name="_a4" localSheetId="20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0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0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2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20" hidden="1">{#N/A,#N/A,TRUE,"1842CWN0"}</definedName>
    <definedName name="_ABC1" hidden="1">{#N/A,#N/A,TRUE,"1842CWN0"}</definedName>
    <definedName name="_abc2" localSheetId="20" hidden="1">{#N/A,#N/A,TRUE,"1842CWN0"}</definedName>
    <definedName name="_abc2" hidden="1">{#N/A,#N/A,TRUE,"1842CWN0"}</definedName>
    <definedName name="_AFC1">[4]INV!$A$25:$D$28</definedName>
    <definedName name="_AFC3">[4]INV!$F$25:$I$28</definedName>
    <definedName name="_AFC5">[4]INV!$K$25:$N$28</definedName>
    <definedName name="_aiu2">[7]AIU!$J$105</definedName>
    <definedName name="_apu1">[2]INSUMOS!#REF!</definedName>
    <definedName name="_APU221" localSheetId="20">#REF!</definedName>
    <definedName name="_APU221">#REF!</definedName>
    <definedName name="_APU465" localSheetId="20">[9]!absc</definedName>
    <definedName name="_APU465">[15]!absc</definedName>
    <definedName name="_b2" localSheetId="20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0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0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0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0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0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0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0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0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[4]INV!$A$5:$D$8</definedName>
    <definedName name="_BGC3">[4]INV!$F$5:$I$8</definedName>
    <definedName name="_BGC5">[4]INV!$K$5:$N$8</definedName>
    <definedName name="_CAC1">[4]INV!$A$19:$D$22</definedName>
    <definedName name="_CAC3">[4]INV!$F$19:$I$22</definedName>
    <definedName name="_CAC5">[4]INV!$K$19:$N$22</definedName>
    <definedName name="_CAL2">#REF!</definedName>
    <definedName name="_CCT1">'[16]Reajustes estimados'!$B$6</definedName>
    <definedName name="_CCT2">'[16]Reajustes estimados'!$C$6</definedName>
    <definedName name="_CCT3">'[16]Reajustes estimados'!$D$6</definedName>
    <definedName name="_CCT4">'[16]Reajustes estimados'!$E$6</definedName>
    <definedName name="_Cod1">#REF!</definedName>
    <definedName name="_EST1" localSheetId="20">#REF!</definedName>
    <definedName name="_EST1">#REF!</definedName>
    <definedName name="_EST10" localSheetId="20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[3]!err</definedName>
    <definedName name="_FC">#REF!</definedName>
    <definedName name="_Fill" localSheetId="20" hidden="1">#REF!</definedName>
    <definedName name="_Fill" localSheetId="2" hidden="1">#REF!</definedName>
    <definedName name="_Fill" hidden="1">#REF!</definedName>
    <definedName name="_Fill2" hidden="1">#REF!</definedName>
    <definedName name="_xlnm._FilterDatabase" localSheetId="20" hidden="1">'[17]46W9'!#REF!</definedName>
    <definedName name="_xlnm._FilterDatabase" hidden="1">'[17]46W9'!#REF!</definedName>
    <definedName name="_FOR1" localSheetId="20">#REF!</definedName>
    <definedName name="_FOR1">#REF!</definedName>
    <definedName name="_FS01">[3]!err</definedName>
    <definedName name="_g2" localSheetId="20" hidden="1">{"TAB1",#N/A,TRUE,"GENERAL";"TAB2",#N/A,TRUE,"GENERAL";"TAB3",#N/A,TRUE,"GENERAL";"TAB4",#N/A,TRUE,"GENERAL";"TAB5",#N/A,TRUE,"GENERAL"}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0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0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0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0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0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EO1600">[18]INSUMOS!$D$67</definedName>
    <definedName name="_GR1" localSheetId="20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0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0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0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0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0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0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0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0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0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20" hidden="1">{#N/A,#N/A,TRUE,"1842CWN0"}</definedName>
    <definedName name="_hhg1" hidden="1">{#N/A,#N/A,TRUE,"1842CWN0"}</definedName>
    <definedName name="_i4" localSheetId="20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0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0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0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0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0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0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 localSheetId="20">#REF!</definedName>
    <definedName name="_INF1">#REF!</definedName>
    <definedName name="_IPC2">'[16]Reajustes estimados'!$C$7</definedName>
    <definedName name="_IPC2002" localSheetId="20">#REF!</definedName>
    <definedName name="_IPC2002">#REF!</definedName>
    <definedName name="_IPC3">'[16]Reajustes estimados'!$D$7</definedName>
    <definedName name="_IPC4">'[16]Reajustes estimados'!$E$7</definedName>
    <definedName name="_ITM4" localSheetId="20">#REF!</definedName>
    <definedName name="_ITM4">#REF!</definedName>
    <definedName name="_k3" localSheetId="20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0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0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0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0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0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0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ay1" hidden="1">#REF!</definedName>
    <definedName name="_Key1" localSheetId="20" hidden="1">[19]OCTUBRE!#REF!</definedName>
    <definedName name="_Key1" localSheetId="2" hidden="1">[11]OCTUBRE!#REF!</definedName>
    <definedName name="_Key1" hidden="1">#REF!</definedName>
    <definedName name="_Key11" hidden="1">[20]INST!#REF!</definedName>
    <definedName name="_Key12" hidden="1">#REF!</definedName>
    <definedName name="_Key2" localSheetId="20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0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m3" localSheetId="20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0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0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0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0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0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0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n3" localSheetId="20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0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0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20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0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0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0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0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0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0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localSheetId="20" hidden="1">0</definedName>
    <definedName name="_Order1" localSheetId="2" hidden="1">0</definedName>
    <definedName name="_Order1" hidden="1">255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localSheetId="20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0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0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rse_Out" hidden="1">'[21]7422CW00'!#REF!</definedName>
    <definedName name="_PJ50" localSheetId="20">#REF!</definedName>
    <definedName name="_PJ50">#REF!</definedName>
    <definedName name="_pj51" localSheetId="20">#REF!</definedName>
    <definedName name="_pj51">#REF!</definedName>
    <definedName name="_PMT5671">[6]MEMORIAS!#REF!</definedName>
    <definedName name="_PMT5805">[6]MEMORIAS!#REF!</definedName>
    <definedName name="_PMT5806">[6]MEMORIAS!#REF!</definedName>
    <definedName name="_PMT5815">[6]MEMORIAS!#REF!</definedName>
    <definedName name="_PMT5820">[6]MEMORIAS!#REF!</definedName>
    <definedName name="_PRE1">#REF!</definedName>
    <definedName name="_Print_Area">#N/A</definedName>
    <definedName name="_Print_Titles">#N/A</definedName>
    <definedName name="_r" localSheetId="20" hidden="1">{"TAB1",#N/A,TRUE,"GENERAL";"TAB2",#N/A,TRUE,"GENERAL";"TAB3",#N/A,TRUE,"GENERAL";"TAB4",#N/A,TRUE,"GENERAL";"TAB5",#N/A,TRUE,"GENERAL"}</definedName>
    <definedName name="_r" localSheetId="2" hidden="1">{"TAB1",#N/A,TRUE,"GENERAL";"TAB2",#N/A,TRUE,"GENERAL";"TAB3",#N/A,TRUE,"GENERAL";"TAB4",#N/A,TRUE,"GENERAL";"TAB5",#N/A,TRUE,"GENERAL"}</definedName>
    <definedName name="_r">#REF!</definedName>
    <definedName name="_R1_">#REF!</definedName>
    <definedName name="_r4r" localSheetId="20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c" localSheetId="20">#REF!</definedName>
    <definedName name="_rc">#REF!</definedName>
    <definedName name="_REF37">#REF!</definedName>
    <definedName name="_ref4">#REF!</definedName>
    <definedName name="_REF60">'[18]A.P.U.'!$G$118</definedName>
    <definedName name="_Regression_X" hidden="1">#REF!</definedName>
    <definedName name="_rtu6" localSheetId="20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0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0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0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0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0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0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0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AL1">#REF!</definedName>
    <definedName name="_SBC1">[4]INV!$A$12:$D$15</definedName>
    <definedName name="_SBC3">[4]INV!$F$12:$I$15</definedName>
    <definedName name="_SBC5">[4]INV!$K$12:$N$15</definedName>
    <definedName name="_Sort" localSheetId="20" hidden="1">[19]OCTUBRE!#REF!</definedName>
    <definedName name="_Sort" localSheetId="2" hidden="1">[11]OCTUBRE!#REF!</definedName>
    <definedName name="_Sort" hidden="1">#REF!</definedName>
    <definedName name="_srn001">#REF!</definedName>
    <definedName name="_t3" localSheetId="20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0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0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0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0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0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0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0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0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0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0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20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0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0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0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0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0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0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0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0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0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0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0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0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0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0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1">#REF!</definedName>
    <definedName name="_VA2">#REF!</definedName>
    <definedName name="_VA21">#REF!</definedName>
    <definedName name="_vfv4" localSheetId="20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ol1">[10]Item!$A:$D</definedName>
    <definedName name="_x1" localSheetId="20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0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0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0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0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0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0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0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0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0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0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0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0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0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0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0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0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0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0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0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0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0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0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0">#REF!</definedName>
    <definedName name="A" localSheetId="3">#REF!</definedName>
    <definedName name="a">#REF!</definedName>
    <definedName name="A.GONZALEZ" localSheetId="20" hidden="1">{#N/A,#N/A,FALSE,"310.1";#N/A,#N/A,FALSE,"321.1";#N/A,#N/A,FALSE,"320.3";#N/A,#N/A,FALSE,"330.1"}</definedName>
    <definedName name="A.GONZALEZ" hidden="1">{#N/A,#N/A,FALSE,"310.1";#N/A,#N/A,FALSE,"321.1";#N/A,#N/A,FALSE,"320.3";#N/A,#N/A,FALSE,"330.1"}</definedName>
    <definedName name="A_impresión_IM" localSheetId="20">#REF!</definedName>
    <definedName name="A_impresión_IM" localSheetId="3">#REF!</definedName>
    <definedName name="A_impresión_IM">#REF!</definedName>
    <definedName name="A_impresión_IM_2">#REF!</definedName>
    <definedName name="a1..056">#REF!</definedName>
    <definedName name="A1S">#REF!</definedName>
    <definedName name="A1XO56">#REF!</definedName>
    <definedName name="a2a" localSheetId="20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2S">#REF!</definedName>
    <definedName name="aa" localSheetId="20">[3]!err</definedName>
    <definedName name="AA">#REF!</definedName>
    <definedName name="AAA" localSheetId="20">'[22]AC2-AG96'!#REF!</definedName>
    <definedName name="AAA">#REF!</definedName>
    <definedName name="aaaa" localSheetId="20">'[22]AC2-AG96'!#REF!</definedName>
    <definedName name="aaaa">'[22]AC2-AG96'!#REF!</definedName>
    <definedName name="aaaaa" localSheetId="20">'[22]AC2-AG96'!#REF!</definedName>
    <definedName name="aaaaa">'[22]AC2-AG96'!#REF!</definedName>
    <definedName name="aaaaaa">[23]otros!$C$5</definedName>
    <definedName name="AAAAAAAAAA">#REF!</definedName>
    <definedName name="AAAAAAAAAAAAAAAAAAAA">#REF!</definedName>
    <definedName name="aaaaas" localSheetId="20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[4]AASHTO!$A$14:$F$17</definedName>
    <definedName name="AADOQUINVEH">#REF!</definedName>
    <definedName name="AANDENES">#REF!</definedName>
    <definedName name="aas" localSheetId="20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c" localSheetId="20">#REF!</definedName>
    <definedName name="abc">#REF!</definedName>
    <definedName name="ABCD" hidden="1">#REF!</definedName>
    <definedName name="ABCDE" hidden="1">#REF!</definedName>
    <definedName name="ABG">[4]AASHTO!$A$2:$F$5</definedName>
    <definedName name="ABR">#REF!</definedName>
    <definedName name="absc">#N/A</definedName>
    <definedName name="absc1">[24]!absc</definedName>
    <definedName name="AC">#REF!</definedName>
    <definedName name="ACALZADA">#REF!</definedName>
    <definedName name="AccessDatabase" hidden="1">"C:\C-314\VOLUMENES\volfin4.mdb"</definedName>
    <definedName name="ACER">#REF!</definedName>
    <definedName name="acero" localSheetId="20">#REF!</definedName>
    <definedName name="acero">PRESUPUESTO!$M$8</definedName>
    <definedName name="ACERO_DE_REFUERZO_60000">'[25]Acero de 60.000psi'!$I$53</definedName>
    <definedName name="ACOM">#N/A</definedName>
    <definedName name="acometida_domiciliaria">#REF!</definedName>
    <definedName name="actual" localSheetId="20">'[26]ESTADO RED'!#REF!</definedName>
    <definedName name="actual">'[26]ESTADO RED'!#REF!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" localSheetId="20">#REF!</definedName>
    <definedName name="ad">#REF!</definedName>
    <definedName name="adasd">#REF!</definedName>
    <definedName name="adfasdfsa">[27]Insumos!#REF!</definedName>
    <definedName name="adfasfadfa">[27]Insumos!#REF!</definedName>
    <definedName name="ADFGSDB" localSheetId="20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[23]otros!$C$2</definedName>
    <definedName name="ADMINISTRADOR">[28]CUMPLIMIENTO!$C$5</definedName>
    <definedName name="ADMINISTRADOR_VIAL__ARMANDO_SANCHEZ_SANCHEZ">[29]INDICMICROEMP!$A$20</definedName>
    <definedName name="admon" localSheetId="20">[30]DATOS!$B$16</definedName>
    <definedName name="ADMON">#REF!</definedName>
    <definedName name="admon1">[31]DATOS!$B$16</definedName>
    <definedName name="adoc1">[24]!absc</definedName>
    <definedName name="adoq" localSheetId="20">[32]!absc</definedName>
    <definedName name="adoq">[24]!absc</definedName>
    <definedName name="ADSAD" localSheetId="20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sfadsfasdfafdasfdasfd">[2]INSUMOS!#REF!</definedName>
    <definedName name="adsfadsfasfasdfasfdasdfadsfdsafdsa">[27]Insumos!#REF!</definedName>
    <definedName name="AE">'[16]Reajustes estimados'!$E$14</definedName>
    <definedName name="aefa" localSheetId="20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affaf">[27]Insumos!#REF!</definedName>
    <definedName name="afdsw" localSheetId="20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0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GO">#REF!</definedName>
    <definedName name="AGUA">[33]INSUMOS!$D$4</definedName>
    <definedName name="ah" localSheetId="20">#REF!</definedName>
    <definedName name="ah">#REF!</definedName>
    <definedName name="ahe" localSheetId="20">#REF!</definedName>
    <definedName name="ahe">#REF!</definedName>
    <definedName name="AIU" localSheetId="20">'[34]Prestaciones  80%  CORREGIR '!#REF!</definedName>
    <definedName name="aiu">#REF!</definedName>
    <definedName name="AIU_ADMON">[35]DATOS!$D$8</definedName>
    <definedName name="AIU_IMP">[35]DATOS!$D$9</definedName>
    <definedName name="AIU_UTIL">[35]DATOS!$D$10</definedName>
    <definedName name="aj" localSheetId="20">#REF!</definedName>
    <definedName name="aj">#REF!</definedName>
    <definedName name="AjustDelAIU">#REF!</definedName>
    <definedName name="Ajuste">[36]Datos!$B$11</definedName>
    <definedName name="ALAMB">[33]INSUMOS!$D$169</definedName>
    <definedName name="ALAMBRE">#REF!</definedName>
    <definedName name="alc">[37]!absc</definedName>
    <definedName name="ALFAJ">#REF!</definedName>
    <definedName name="AM">'[16]Reajustes estimados'!$E$15</definedName>
    <definedName name="AMBIENTAL">#REF!</definedName>
    <definedName name="AMO">'[16]Reajustes estimados'!$E$17</definedName>
    <definedName name="ANDAM">[18]INSUMOS!$D$146</definedName>
    <definedName name="ANDEN">#REF!</definedName>
    <definedName name="ANDENESV">#REF!</definedName>
    <definedName name="anscount" hidden="1">1</definedName>
    <definedName name="Antic">[38]BASES!$B$33</definedName>
    <definedName name="ANTICIPO">[39]BASES!$B$33</definedName>
    <definedName name="ANTISB">[33]INSUMOS!$D$181</definedName>
    <definedName name="ANTONIA">#N/A</definedName>
    <definedName name="año" localSheetId="20">'[26]ESTADO RED'!#REF!</definedName>
    <definedName name="año">'[26]ESTADO RED'!#REF!</definedName>
    <definedName name="año1" localSheetId="20">'[40]ESTADO RED'!#REF!</definedName>
    <definedName name="año1">'[40]ESTADO RED'!#REF!</definedName>
    <definedName name="AÑOWUIE" localSheetId="20">'[41]Res-Accide-10'!$R$2:$R$7</definedName>
    <definedName name="AÑOWUIE">'[40]Res-Accide-10'!$R$2:$R$7</definedName>
    <definedName name="ao" localSheetId="20">#REF!</definedName>
    <definedName name="Ao">[42]Indices!#REF!</definedName>
    <definedName name="APU" localSheetId="20">[32]!absc</definedName>
    <definedName name="APU" localSheetId="3">[43]!absc</definedName>
    <definedName name="apu">[27]Insumos!#REF!</definedName>
    <definedName name="APU_directos">#REF!</definedName>
    <definedName name="APU221.1" localSheetId="20">#REF!</definedName>
    <definedName name="APU221.1">#REF!</definedName>
    <definedName name="APU221.2" localSheetId="20">#REF!</definedName>
    <definedName name="APU221.2">#REF!</definedName>
    <definedName name="APUS">[44]APU!$A$1:$H$65536</definedName>
    <definedName name="aq">[3]!err</definedName>
    <definedName name="aqaq" localSheetId="20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">#REF!</definedName>
    <definedName name="AREA" localSheetId="20">#REF!</definedName>
    <definedName name="AREA">#REF!</definedName>
    <definedName name="_xlnm.Extract" localSheetId="20">'[22]AC2-AG96'!#REF!</definedName>
    <definedName name="_xlnm.Extract">'[22]AC2-AG96'!#REF!</definedName>
    <definedName name="_xlnm.Print_Area" localSheetId="20">'CONCRETOS Y MORTEROS '!$B$1:$H$547</definedName>
    <definedName name="_xlnm.Print_Area" localSheetId="3">#REF!</definedName>
    <definedName name="_xlnm.Print_Area" localSheetId="0">PRESUPUESTO!$A$1:$K$57</definedName>
    <definedName name="_xlnm.Print_Area">#REF!</definedName>
    <definedName name="AREAS_PISOS">#REF!</definedName>
    <definedName name="ARENA">#REF!</definedName>
    <definedName name="armuve">[3]!err</definedName>
    <definedName name="as" localSheetId="20">#REF!</definedName>
    <definedName name="as">#REF!</definedName>
    <definedName name="ASB">[4]AASHTO!$A$8:$F$11</definedName>
    <definedName name="ASD" localSheetId="20" hidden="1">{"via1",#N/A,TRUE,"general";"via2",#N/A,TRUE,"general";"via3",#N/A,TRUE,"general"}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0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0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0" hidden="1">{"via1",#N/A,TRUE,"general";"via2",#N/A,TRUE,"general";"via3",#N/A,TRUE,"general"}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0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adsfadsfafda">[27]Insumos!#REF!</definedName>
    <definedName name="asdfasdf">[2]INSUMOS!#REF!</definedName>
    <definedName name="ASDFGHJKLÑ">[3]!err</definedName>
    <definedName name="asdfñk" localSheetId="20">[45]!absc</definedName>
    <definedName name="asdfñk">#N/A</definedName>
    <definedName name="asfasd" localSheetId="20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0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2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20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0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0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>'[16]Reajustes estimados'!$E$16</definedName>
    <definedName name="ATenerEnCuenta">#REF!</definedName>
    <definedName name="au" localSheetId="20">#REF!</definedName>
    <definedName name="AU">'[46]CIRCUITOS CODENSA'!#REF!</definedName>
    <definedName name="aur" localSheetId="20">#REF!</definedName>
    <definedName name="aur">#REF!</definedName>
    <definedName name="auto1" localSheetId="20">#REF!</definedName>
    <definedName name="auto1">#REF!</definedName>
    <definedName name="auto123">#REF!</definedName>
    <definedName name="auto2" localSheetId="20">#REF!</definedName>
    <definedName name="auto2">#REF!</definedName>
    <definedName name="AUTOPISTA">'[46]CIRCUITOS CODENSA'!#REF!</definedName>
    <definedName name="av" localSheetId="20">#REF!</definedName>
    <definedName name="av">#REF!</definedName>
    <definedName name="AW">#REF!</definedName>
    <definedName name="ax" localSheetId="20">#REF!</definedName>
    <definedName name="ax">#REF!</definedName>
    <definedName name="AYU">#REF!</definedName>
    <definedName name="azaz" localSheetId="20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0" hidden="1">{"via1",#N/A,TRUE,"general";"via2",#N/A,TRUE,"general";"via3",#N/A,TRUE,"general"}</definedName>
    <definedName name="B" localSheetId="2" hidden="1">{"via1",#N/A,TRUE,"general";"via2",#N/A,TRUE,"general";"via3",#N/A,TRUE,"general"}</definedName>
    <definedName name="b" localSheetId="3">#REF!</definedName>
    <definedName name="b">#REF!</definedName>
    <definedName name="B.T1">#REF!</definedName>
    <definedName name="B_impresión_IM">#REF!</definedName>
    <definedName name="B_T1">#REF!</definedName>
    <definedName name="BAJA">#REF!</definedName>
    <definedName name="BALAST">[47]INSUMOS!$D$199</definedName>
    <definedName name="BANCO">#REF!</definedName>
    <definedName name="BASBOX">#REF!</definedName>
    <definedName name="base" localSheetId="20">[48]BaseDatos!$A$2:$F$505</definedName>
    <definedName name="BASE">#REF!</definedName>
    <definedName name="Base_datos_IM">[27]Insumos!#REF!</definedName>
    <definedName name="BASE2">#REF!</definedName>
    <definedName name="_xlnm.Database" localSheetId="20">#REF!</definedName>
    <definedName name="_xlnm.Database" localSheetId="3">#REF!</definedName>
    <definedName name="_xlnm.Database">#REF!</definedName>
    <definedName name="BASEGRAV">#REF!</definedName>
    <definedName name="bb" localSheetId="20">#REF!</definedName>
    <definedName name="BB">#REF!</definedName>
    <definedName name="bbbbbb" localSheetId="20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0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0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20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FB" localSheetId="20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0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0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20">#REF!</definedName>
    <definedName name="Beg_Bal">#REF!</definedName>
    <definedName name="bfnfv" localSheetId="20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0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0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0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h" localSheetId="20">#REF!</definedName>
    <definedName name="bgh">#REF!</definedName>
    <definedName name="bgvfcdx" localSheetId="20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" localSheetId="20">#REF!</definedName>
    <definedName name="BHT">#REF!</definedName>
    <definedName name="biblio">'[49]O &amp; M P. Parque Recreodeportiv '!#REF!</definedName>
    <definedName name="bimestre">'[50]ESTADO RED'!$E$8</definedName>
    <definedName name="BJHVVHGH" localSheetId="20">DATE(YEAR('CONCRETOS Y MORTEROS '!Loan_Start),MONTH('CONCRETOS Y MORTEROS '!Loan_Start)+Payment_Number,DAY('CONCRETOS Y MORTEROS '!Loan_Start))</definedName>
    <definedName name="BJHVVHGH">DATE(YEAR(Loan_Start),MONTH(Loan_Start)+Payment_Number,DAY(Loan_Start))</definedName>
    <definedName name="bl" localSheetId="20">#REF!</definedName>
    <definedName name="BL">'[46]CIRCUITOS CODENSA'!#REF!</definedName>
    <definedName name="BLPH1" hidden="1">#REF!</definedName>
    <definedName name="bn">#REF!</definedName>
    <definedName name="bnm" localSheetId="20">#REF!</definedName>
    <definedName name="bnm">#REF!</definedName>
    <definedName name="BO">'[46]CIRCUITOS CODENSA'!#REF!</definedName>
    <definedName name="BOMBAS">#N/A</definedName>
    <definedName name="BOMBEO">[18]INSUMOS!$D$28</definedName>
    <definedName name="BORDE1">#N/A</definedName>
    <definedName name="br" localSheetId="20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20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0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20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0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4006" localSheetId="20">#REF!</definedName>
    <definedName name="BUENO4006">#REF!</definedName>
    <definedName name="BUENO4006A" localSheetId="20">#REF!</definedName>
    <definedName name="BUENO4006A">#REF!</definedName>
    <definedName name="BUENO40CN01" localSheetId="20">#REF!</definedName>
    <definedName name="BUENO40CN01">#REF!</definedName>
    <definedName name="BUENO40CNA" localSheetId="20">#REF!</definedName>
    <definedName name="BUENO40CNA">#REF!</definedName>
    <definedName name="BUENO40CNB" localSheetId="20">#REF!</definedName>
    <definedName name="BUENO40CNB">#REF!</definedName>
    <definedName name="BUENO55CN01" localSheetId="20">#REF!</definedName>
    <definedName name="BUENO55CN01">#REF!</definedName>
    <definedName name="BUENO55CN03" localSheetId="20">#REF!</definedName>
    <definedName name="BUENO55CN03">#REF!</definedName>
    <definedName name="BUENO5607" localSheetId="20">#REF!</definedName>
    <definedName name="BUENO5607">#REF!</definedName>
    <definedName name="BUENOAFIR5607" localSheetId="20">#REF!</definedName>
    <definedName name="BUENOAFIR5607">#REF!</definedName>
    <definedName name="bvbc" localSheetId="20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0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0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w" localSheetId="20">#REF!</definedName>
    <definedName name="bw">#REF!</definedName>
    <definedName name="by" localSheetId="20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_" localSheetId="20">#REF!</definedName>
    <definedName name="C_">#REF!</definedName>
    <definedName name="C_1">'[14]00'!$D$5</definedName>
    <definedName name="C_10">'[14]00'!$D$20</definedName>
    <definedName name="C_11">'[14]00'!$D$21</definedName>
    <definedName name="C_12">'[14]00'!$D$22</definedName>
    <definedName name="C_13">'[14]00'!$D$23</definedName>
    <definedName name="C_14">'[14]00'!$D$26</definedName>
    <definedName name="C_15">'[14]00'!$D$27</definedName>
    <definedName name="C_16">'[14]00'!$D$28</definedName>
    <definedName name="C_17">'[14]00'!$D$31</definedName>
    <definedName name="C_18">'[14]00'!$D$32</definedName>
    <definedName name="C_19">'[14]00'!$D$33</definedName>
    <definedName name="C_2">'[14]00'!$D$6</definedName>
    <definedName name="C_20">'[14]00'!$D$34</definedName>
    <definedName name="C_21">'[14]00'!$D$35</definedName>
    <definedName name="C_22">'[14]00'!$D$36</definedName>
    <definedName name="C_23">'[14]00'!$D$38</definedName>
    <definedName name="C_24">'[14]00'!$D$39</definedName>
    <definedName name="C_25">'[14]00'!$D$40</definedName>
    <definedName name="C_26">'[14]00'!$D$41</definedName>
    <definedName name="C_27">'[14]00'!$D$42</definedName>
    <definedName name="C_28">'[14]00'!$D$43</definedName>
    <definedName name="C_29">'[14]00'!$D$45</definedName>
    <definedName name="C_3">'[14]00'!$D$7</definedName>
    <definedName name="C_30">'[14]00'!$D$46</definedName>
    <definedName name="C_31">'[14]00'!$D$47</definedName>
    <definedName name="C_32">'[14]00'!$D$48</definedName>
    <definedName name="C_33">'[14]00'!$D$49</definedName>
    <definedName name="C_34">'[14]00'!$D$50</definedName>
    <definedName name="C_35">'[14]00'!$D$57</definedName>
    <definedName name="C_36">'[14]00'!$D$58</definedName>
    <definedName name="C_37">'[14]00'!$D$63</definedName>
    <definedName name="C_38">'[14]00'!$D$64</definedName>
    <definedName name="C_39">'[14]00'!$D$65</definedName>
    <definedName name="C_4">'[14]00'!$D$8</definedName>
    <definedName name="C_40">'[14]00'!$D$66</definedName>
    <definedName name="C_41">'[14]00'!$D$67</definedName>
    <definedName name="C_5">'[14]00'!$D$9</definedName>
    <definedName name="C_6">'[14]00'!$D$10</definedName>
    <definedName name="C_7">'[14]00'!$D$11</definedName>
    <definedName name="C_9">'[14]00'!$D$19</definedName>
    <definedName name="C_Apus" comment="Codigo Apus">'[51]1_Preliminares'!$A$26</definedName>
    <definedName name="C_LOM">#REF!</definedName>
    <definedName name="CAB">#N/A</definedName>
    <definedName name="CACM">#REF!</definedName>
    <definedName name="CADENERO">[52]CUADRILLAS!$C$19</definedName>
    <definedName name="Caimo">#REF!</definedName>
    <definedName name="Calarcá">#REF!</definedName>
    <definedName name="Calidad">#REF!</definedName>
    <definedName name="CAM_CAIDA" localSheetId="20">#REF!</definedName>
    <definedName name="CAM_CAIDA">#REF!</definedName>
    <definedName name="Campamento">#REF!</definedName>
    <definedName name="CAMRF">'[18]A.P.U.'!$G$589</definedName>
    <definedName name="CANGURO">#REF!</definedName>
    <definedName name="CANT" localSheetId="20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era">PRESUPUESTO!$L$7</definedName>
    <definedName name="CAP" localSheetId="20">#REF!</definedName>
    <definedName name="cap">#REF!</definedName>
    <definedName name="Capitulo">[53]Capitulos!$B$1:$B$65536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RGA">#N/A</definedName>
    <definedName name="CARLOS" localSheetId="20">DATE(YEAR('CONCRETOS Y MORTEROS '!Loan_Start),MONTH('CONCRETOS Y MORTEROS '!Loan_Start)+Payment_Number,DAY('CONCRETOS Y MORTEROS '!Loan_Start))</definedName>
    <definedName name="CARLOS">DATE(YEAR(Loan_Start),MONTH(Loan_Start)+Payment_Number,DAY(Loan_Start))</definedName>
    <definedName name="CAROL">'[30]precios-básicos2002'!$C$12:$C$56</definedName>
    <definedName name="carol1">'[31]precios-básicos2002'!$C$12:$C$56</definedName>
    <definedName name="CARRETERAS">[30]DATOS!$A$9</definedName>
    <definedName name="CASET">#REF!</definedName>
    <definedName name="causa" localSheetId="20">#REF!</definedName>
    <definedName name="causa">#REF!</definedName>
    <definedName name="CBWorkbookPriority" hidden="1">-1602700874</definedName>
    <definedName name="cc" localSheetId="20">#REF!</definedName>
    <definedName name="cc">[54]PERSONAL!$D$8</definedName>
    <definedName name="ccccc" localSheetId="20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0">'[55]A. P. U.'!#REF!</definedName>
    <definedName name="CCCCCC">'[50]A. P. U.'!#REF!</definedName>
    <definedName name="CCONTECH">[18]INSUMOS!$D$21</definedName>
    <definedName name="CCTO123">#REF!</definedName>
    <definedName name="CCTO124">#REF!</definedName>
    <definedName name="ccto210" localSheetId="20">#REF!</definedName>
    <definedName name="ccto210">#REF!</definedName>
    <definedName name="CCTOPR21">[18]INSUMOS!$D$9</definedName>
    <definedName name="CCTOPR24.5">[18]INSUMOS!$D$11</definedName>
    <definedName name="CCTOPR28">[18]INSUMOS!$D$12</definedName>
    <definedName name="cd" localSheetId="20">#REF!</definedName>
    <definedName name="cd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dc" localSheetId="20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[38]CDItem!$G$8</definedName>
    <definedName name="cdfgrtfd" localSheetId="20" hidden="1">#REF!</definedName>
    <definedName name="cdfgrtfd" hidden="1">#REF!</definedName>
    <definedName name="CDS_V_INDICES_CIRCUITO_CAUSA">#REF!</definedName>
    <definedName name="ceerf" localSheetId="20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">[33]INSUMOS!$D$275</definedName>
    <definedName name="CEMENTO" localSheetId="20">[56]Insum!$A$3:$H$63</definedName>
    <definedName name="CEMENTO">#REF!</definedName>
    <definedName name="CERCHA">[18]INSUMOS!$D$154</definedName>
    <definedName name="CERRAM">#REF!</definedName>
    <definedName name="cesped">[57]Mater!#REF!</definedName>
    <definedName name="CHECK">IF(AND('[58]Ppto completo'!$D1='[58]Ppto completo'!$D1,'[58]Ppto completo'!$E1='[58]Ppto completo'!$E1,'[58]Ppto completo'!$F1='[58]Ppto completo'!$F1),"ok","ojo")</definedName>
    <definedName name="CICLOP">'[47]A.P.U. (2)'!$F$74</definedName>
    <definedName name="CINTA" localSheetId="20">#REF!</definedName>
    <definedName name="CINTA">#REF!</definedName>
    <definedName name="CIR">IF([59]!LG=9,IF(ISERROR([59]!PVT),"",[59]!PVT),"")</definedName>
    <definedName name="CIRCUITOS">[60]Circuitos!$C$2:$C$891</definedName>
    <definedName name="CIRCUNVALAR">#REF!</definedName>
    <definedName name="Ciudades">[61]Insumos!$B$1813:$B$1912</definedName>
    <definedName name="cjsa" hidden="1">#REF!</definedName>
    <definedName name="CL" localSheetId="20">#REF!</definedName>
    <definedName name="CL">'[46]CIRCUITOS CODENSA'!#REF!</definedName>
    <definedName name="clase" localSheetId="20">#REF!</definedName>
    <definedName name="clase">#REF!</definedName>
    <definedName name="co" localSheetId="20">#REF!</definedName>
    <definedName name="co">#REF!</definedName>
    <definedName name="COBC">#REF!</definedName>
    <definedName name="Cod">#REF!</definedName>
    <definedName name="Codigo" comment="Codigo Insumo">[51]Insumos!$A$4:$A$1772</definedName>
    <definedName name="Codigo_M.Obra" comment="Mano de obra ">[51]M.Obra!$A$35:$A$43</definedName>
    <definedName name="codigos">[62]Banderas!$A:$A</definedName>
    <definedName name="CODOS">#REF!</definedName>
    <definedName name="COL_A_APU">IF([58]apu!$B1="","",IF(LEN([58]apu!$B1)=9,[58]apu!$B1,[58]apu!$A1048576))</definedName>
    <definedName name="COL_A_AUX">IF([58]Auxiliares!$B1="","",IF([58]Auxiliares!$B1048576="",[58]Auxiliares!$B1,[58]Auxiliares!$A1048576))</definedName>
    <definedName name="COL_B">IF(LEFT('[58]Ppto completo'!$D1,5)='[58]Ppto completo'!$D1,"",(LEFT('[58]Ppto completo'!$D1,5)))</definedName>
    <definedName name="COL_C">LEFT('[58]Ppto completo'!$D1,2)</definedName>
    <definedName name="COL_G">IFERROR(VLOOKUP('[58]Ppto completo'!$D1,'[58]CO Teatro'!$A$1:$AB$65536,7,0),0)</definedName>
    <definedName name="COL_H">IF(LEN('[58]Ppto completo'!$D1)=9,ROUNDUP(SUM('[58]Ppto completo'!$G1:$G1),0),"")</definedName>
    <definedName name="COL_J">IF(LEN('[58]Ppto completo'!$D1)=9,'[58]Ppto completo'!$G1*'[58]Ppto completo'!$I1,"")</definedName>
    <definedName name="COL_J_APU">IF([58]apu!$B1="","",IF(VLOOKUP([58]apu!$B1,[58]Insumos!$D$1:$J$65536,7,FALSE)="",LEFT([58]apu!$B1,2),VLOOKUP([58]apu!$B1,[58]Insumos!$D$1:$J$65536,7,FALSE)))</definedName>
    <definedName name="COL_J_AUX">IF([58]Auxiliares!$B1="","",IF(VLOOKUP([58]Auxiliares!XEW1,[58]Insumos!XEY$1:A$65536,7,FALSE)="",LEFT([58]Auxiliares!$B1,2),VLOOKUP([58]Auxiliares!XEW1,[58]Insumos!XEY$1:A$65536,7,FALSE)))</definedName>
    <definedName name="COL_K_PPTO">IF(LEN('[58]Ppto completo'!XEX1)=5,SUMIF('[58]Ppto completo'!$B$1:$B$65536,'[58]Ppto completo'!$D1,'[58]Ppto completo'!$J$1:$J$65536),"")</definedName>
    <definedName name="COL_L">IF('[58]Ppto completo'!$K1="",SUMIF('[58]Ppto completo'!$C$1:$C$65536,'[58]Ppto completo'!$D1,'[58]Ppto completo'!$K$1:$K$65536),"")</definedName>
    <definedName name="COL_M">IF(LEN('[58]Ppto completo'!$D1)=2,'[58]Ppto completo'!$L1/SUMIF('[58]Ppto completo'!$C$1:$C$65536,"&gt;&lt;""",'[58]Ppto completo'!$L$1:$L$65536),"")</definedName>
    <definedName name="COL_M_APU">IF([58]apu!$B1="","",IF(VLOOKUP([58]apu!$B1,[58]Insumos!$D$1:$J$65536,7,FALSE)="",LEFT([58]apu!$B1,2),VLOOKUP([58]apu!$B1,[58]Insumos!$D$1:$J$65536,7,FALSE)))</definedName>
    <definedName name="COLAM20">#REF!</definedName>
    <definedName name="COLAMURO">#REF!</definedName>
    <definedName name="COLCIRC">'[18]A.P.U.'!$G$353</definedName>
    <definedName name="COLUMNA2">'[18]A.P.U.'!$G$313</definedName>
    <definedName name="COLUMNETA">'[18]A.P.U.'!$G$597</definedName>
    <definedName name="COM.LIM">#REF!</definedName>
    <definedName name="COMPRE">#REF!</definedName>
    <definedName name="CON.FUN">#REF!</definedName>
    <definedName name="CON.LIM">#REF!</definedName>
    <definedName name="CON.POZ">#REF!</definedName>
    <definedName name="CON_HTA">SUMIFS([58]Auxiliares!$G$1:$G$65536,[58]Auxiliares!$A$1:$A$65536,[58]Auxiliares!$A1,[58]Auxiliares!$J$1:$J$65536,"mo")</definedName>
    <definedName name="CON_HTA_APU">SUMIFS([58]apu!$G$1:$G$65536,[58]apu!$A$1:$A$65536,[58]apu!$A1048576,[58]apu!$M$1:$M$65536,"mo")</definedName>
    <definedName name="CONC">#REF!</definedName>
    <definedName name="CONCRETO">#REF!</definedName>
    <definedName name="CONCRETO_2000">'[25]Concreto de 2000 psi'!$I$53</definedName>
    <definedName name="Concreto_3000_0.40" localSheetId="20">#REF!</definedName>
    <definedName name="Concreto_3000_0.40">#REF!</definedName>
    <definedName name="Concreto_4000" localSheetId="20">#REF!</definedName>
    <definedName name="Concreto_4000">#REF!</definedName>
    <definedName name="Concreto_4000_0.40" localSheetId="20">#REF!</definedName>
    <definedName name="Concreto_4000_0.40">#REF!</definedName>
    <definedName name="Concreto_4000_0.40_Auto" localSheetId="20">#REF!</definedName>
    <definedName name="Concreto_4000_0.40_Auto">#REF!</definedName>
    <definedName name="Concreto_4000_0.40_Auto_Retrac_Fibra" localSheetId="20">#REF!</definedName>
    <definedName name="Concreto_4000_0.40_Auto_Retrac_Fibra">#REF!</definedName>
    <definedName name="CONCRETO_F.C_4">#REF!</definedName>
    <definedName name="concreto_FC_2.2">#REF!</definedName>
    <definedName name="CONCRETO25">#REF!</definedName>
    <definedName name="Concreto2500v">#REF!</definedName>
    <definedName name="CONCRETO3">#REF!</definedName>
    <definedName name="concreto5">#REF!</definedName>
    <definedName name="Concreto5500v">#REF!</definedName>
    <definedName name="concretomuro">#REF!</definedName>
    <definedName name="COND">#REF!</definedName>
    <definedName name="CONDI1">#REF!</definedName>
    <definedName name="CONST">#REF!</definedName>
    <definedName name="Consultor">[63]Datos!$B$3</definedName>
    <definedName name="CONTP">#REF!</definedName>
    <definedName name="Contrato">[63]Datos!$B$2</definedName>
    <definedName name="Contreto_3000" localSheetId="20">#REF!</definedName>
    <definedName name="Contreto_3000">#REF!</definedName>
    <definedName name="Coordinador">[63]Datos!$B$6</definedName>
    <definedName name="COPIA">[3]!err</definedName>
    <definedName name="copiao4">[3]!err</definedName>
    <definedName name="corri">[3]!err</definedName>
    <definedName name="CosteoConsultoria">#REF!</definedName>
    <definedName name="costo2" hidden="1">#REF!</definedName>
    <definedName name="COSTODIRECTO" localSheetId="20">#REF!</definedName>
    <definedName name="CostoDirecto">#REF!</definedName>
    <definedName name="CostoDirectoObra">'[64]COSTEO TOTAL OBRA'!$D$7</definedName>
    <definedName name="Costopérdidas">[65]Modelo!#REF!</definedName>
    <definedName name="COSTOS">[66]TARIFAS!$A$1:$F$52</definedName>
    <definedName name="CotizacionARP">#REF!</definedName>
    <definedName name="cp" localSheetId="20">#REF!</definedName>
    <definedName name="cp">#REF!</definedName>
    <definedName name="CPVCO22">[18]INSUMOS!#REF!</definedName>
    <definedName name="_xlnm.Criteria" localSheetId="20">'[22]AC2-AG96'!#REF!</definedName>
    <definedName name="_xlnm.Criteria">[2]INSUMOS!#REF!</definedName>
    <definedName name="Criterios_IM">[2]INSUMOS!#REF!</definedName>
    <definedName name="Criticos" localSheetId="20">#REF!</definedName>
    <definedName name="Criticos">#REF!</definedName>
    <definedName name="Cronograma">[2]INSUMOS!#REF!</definedName>
    <definedName name="CT">'[46]CIRCUITOS CODENSA'!#REF!</definedName>
    <definedName name="CTA">#REF!</definedName>
    <definedName name="CU">'[46]CIRCUITOS CODENSA'!#REF!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[36]Cuadrillas!$C$13:$F$43</definedName>
    <definedName name="Cuadrillas" localSheetId="20">#REF!</definedName>
    <definedName name="Cuadrillas">[67]Cuadrillas!$A$11:$I$77</definedName>
    <definedName name="cual" localSheetId="20">#REF!</definedName>
    <definedName name="cual">#REF!</definedName>
    <definedName name="CUARTÓN">[18]INSUMOS!$D$64</definedName>
    <definedName name="CUBS">#REF!</definedName>
    <definedName name="CUE">#REF!</definedName>
    <definedName name="CUER">#REF!</definedName>
    <definedName name="CUERDA">#REF!</definedName>
    <definedName name="CUNET" localSheetId="20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20">#REF!</definedName>
    <definedName name="cv">#REF!</definedName>
    <definedName name="cvbcvbf" localSheetId="2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20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0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0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cx" localSheetId="20">#REF!</definedName>
    <definedName name="cx">#REF!</definedName>
    <definedName name="d" localSheetId="20" hidden="1">{"TAB1",#N/A,TRUE,"GENERAL";"TAB2",#N/A,TRUE,"GENERAL";"TAB3",#N/A,TRUE,"GENERAL";"TAB4",#N/A,TRUE,"GENERAL";"TAB5",#N/A,TRUE,"GENERAL"}</definedName>
    <definedName name="d" localSheetId="2" hidden="1">{"TAB1",#N/A,TRUE,"GENERAL";"TAB2",#N/A,TRUE,"GENERAL";"TAB3",#N/A,TRUE,"GENERAL";"TAB4",#N/A,TRUE,"GENERAL";"TAB5",#N/A,TRUE,"GENERAL"}</definedName>
    <definedName name="D">#REF!</definedName>
    <definedName name="D_18_1">'[14]00'!$B$5</definedName>
    <definedName name="D_18_10">'[14]00'!$B$20</definedName>
    <definedName name="D_18_11">'[14]00'!$B$21</definedName>
    <definedName name="D_18_12">'[14]00'!$B$22</definedName>
    <definedName name="D_18_13">'[14]00'!$B$23</definedName>
    <definedName name="D_18_14">'[14]00'!$B$26</definedName>
    <definedName name="D_18_15">'[14]00'!$B$27</definedName>
    <definedName name="D_18_16">'[14]00'!$B$28</definedName>
    <definedName name="D_18_17">'[14]00'!$B$31</definedName>
    <definedName name="D_18_18">'[14]00'!$B$32</definedName>
    <definedName name="D_18_19">'[14]00'!$B$33</definedName>
    <definedName name="D_18_2">'[14]00'!$B$6</definedName>
    <definedName name="D_18_20">'[14]00'!$B$34</definedName>
    <definedName name="D_18_21">'[14]00'!$B$35</definedName>
    <definedName name="D_18_22">'[14]00'!$B$36</definedName>
    <definedName name="D_18_23">'[14]00'!$B$38</definedName>
    <definedName name="D_18_24">'[14]00'!$B$39</definedName>
    <definedName name="D_18_25">'[14]00'!$B$40</definedName>
    <definedName name="D_18_26">'[14]00'!$B$41</definedName>
    <definedName name="D_18_27">'[14]00'!$B$42</definedName>
    <definedName name="D_18_28">'[14]00'!$B$43</definedName>
    <definedName name="D_18_29">'[14]00'!$B$45</definedName>
    <definedName name="D_18_3">'[14]00'!$B$7</definedName>
    <definedName name="D_18_30">'[14]00'!$B$46</definedName>
    <definedName name="D_18_31">'[14]00'!$B$47</definedName>
    <definedName name="D_18_32">'[14]00'!$B$48</definedName>
    <definedName name="D_18_33">'[14]00'!$B$49</definedName>
    <definedName name="D_18_34">'[14]00'!$B$50</definedName>
    <definedName name="D_18_35">'[14]00'!$B$57</definedName>
    <definedName name="D_18_36">'[14]00'!$B$58</definedName>
    <definedName name="D_18_37">'[14]00'!$B$63</definedName>
    <definedName name="D_18_38">'[14]00'!$B$64</definedName>
    <definedName name="D_18_39">'[14]00'!$B$65</definedName>
    <definedName name="D_18_4">'[14]00'!$B$8</definedName>
    <definedName name="D_18_40">'[14]00'!$B$66</definedName>
    <definedName name="D_18_41">'[14]00'!$B$67</definedName>
    <definedName name="D_18_5">'[14]00'!$B$9</definedName>
    <definedName name="D_18_6">'[14]00'!$B$10</definedName>
    <definedName name="D_18_7">'[14]00'!$B$11</definedName>
    <definedName name="D_18_8">'[14]00'!$B$12</definedName>
    <definedName name="D_18_9">'[14]00'!$B$19</definedName>
    <definedName name="D_EXT">#REF!</definedName>
    <definedName name="D_INT">#REF!</definedName>
    <definedName name="D1S">#REF!</definedName>
    <definedName name="D2S">#REF!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DADAD" localSheetId="20" hidden="1">{#N/A,#N/A,TRUE,"CODIGO DEPENDENCIA"}</definedName>
    <definedName name="DADADAD" hidden="1">{#N/A,#N/A,TRUE,"CODIGO DEPENDENCIA"}</definedName>
    <definedName name="DANI">[30]ITEMS!$B$6:$B$176</definedName>
    <definedName name="dario" localSheetId="20">'[68]GPI 526'!#REF!</definedName>
    <definedName name="dario">'[68]GPI 526'!#REF!</definedName>
    <definedName name="DASD" localSheetId="20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 localSheetId="20">#REF!</definedName>
    <definedName name="Data">#REF!</definedName>
    <definedName name="datos" localSheetId="20">#REF!</definedName>
    <definedName name="Datos">#REF!</definedName>
    <definedName name="dbfdfbi" localSheetId="20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 localSheetId="20">#REF!</definedName>
    <definedName name="dc">#REF!</definedName>
    <definedName name="Dcacm">#REF!</definedName>
    <definedName name="DCAF">#REF!</definedName>
    <definedName name="DCF" localSheetId="20">#REF!</definedName>
    <definedName name="DCF">#REF!</definedName>
    <definedName name="DCSDCTV" localSheetId="20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0">#REF!</definedName>
    <definedName name="DD">#REF!</definedName>
    <definedName name="DDD" localSheetId="20">'[22]AC2-AG96'!#REF!</definedName>
    <definedName name="DDD">#REF!</definedName>
    <definedName name="DDDD">#N/A</definedName>
    <definedName name="DDDDDDD" localSheetId="2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20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0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0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0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_6">#REF!</definedName>
    <definedName name="De_8">#REF!</definedName>
    <definedName name="Decision">#REF!</definedName>
    <definedName name="deded" localSheetId="20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" localSheetId="20">#REF!</definedName>
    <definedName name="def">#REF!</definedName>
    <definedName name="defd" localSheetId="20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0">#REF!</definedName>
    <definedName name="demanto">#REF!</definedName>
    <definedName name="DEMOLICIONANDEN">#REF!</definedName>
    <definedName name="demolicionladrillo">#REF!</definedName>
    <definedName name="DEMOLICIONMURO">#REF!</definedName>
    <definedName name="demolicionpav">#REF!</definedName>
    <definedName name="Departamento">#REF!</definedName>
    <definedName name="DERF" localSheetId="20" hidden="1">{#N/A,#N/A,FALSE,"310.1";#N/A,#N/A,FALSE,"321.1";#N/A,#N/A,FALSE,"320.3";#N/A,#N/A,FALSE,"330.1"}</definedName>
    <definedName name="DERF" hidden="1">{#N/A,#N/A,FALSE,"310.1";#N/A,#N/A,FALSE,"321.1";#N/A,#N/A,FALSE,"320.3";#N/A,#N/A,FALSE,"330.1"}</definedName>
    <definedName name="DESC_APU">IF([58]apu!XFC1="",IF([58]apu!XFD1="",IF([58]apu!XFC1048576="","",DIRECTO),""),DESCRIPCION_APU)</definedName>
    <definedName name="DESC_AUX">IF([58]Auxiliares!$A1="",IF([58]Auxiliares!$A1048576="","","DIRECTO:  "&amp;TEXT(ROUNDUP(SUMIF([58]Auxiliares!$A$1:$A$65536,[58]Auxiliares!$A1048576,[58]Auxiliares!$G$1:$G$65536)/2,0),"#,##0")&amp;" / "&amp;VLOOKUP([58]Auxiliares!$A1048576,[58]Insumos!$D$1:$F$65536,3,FALSE)),IF([58]Auxiliares!$A1="","",VLOOKUP([58]Auxiliares!$B1,[58]Insumos!$D$1:$E$65536,2,FALSE)))</definedName>
    <definedName name="DESC1">[69]ITEMS!$B$2</definedName>
    <definedName name="DESC521">[70]ITEMS!$B$522</definedName>
    <definedName name="Descrip_cuadrillas" localSheetId="20">#REF!</definedName>
    <definedName name="Descrip_cuadrillas">[67]Cuadrillas!$A$15:$A$77</definedName>
    <definedName name="Descrip_equipos" localSheetId="20">#REF!</definedName>
    <definedName name="Descrip_equipos">[67]Equ!$A$15:$A$102</definedName>
    <definedName name="Descrip_transporte" localSheetId="20">#REF!</definedName>
    <definedName name="Descrip_transporte">[67]Trans!$A$18:$A$65</definedName>
    <definedName name="Descripción" localSheetId="20">#REF!</definedName>
    <definedName name="Descripción">[67]Mat!$A$11:$A$1041</definedName>
    <definedName name="DESCRIPCION_APU">IF(ISERROR(SEARCH("-",[58]apu!$B1,3)),INSUMO,'[59]AIU (2)'!item)</definedName>
    <definedName name="DESCRP1">[35]DATOS!$D$2</definedName>
    <definedName name="DESCRP2">[35]DATOS!$D$3</definedName>
    <definedName name="DESM">[18]INSUMOS!$D$108</definedName>
    <definedName name="DestinoConsultoria">#REF!</definedName>
    <definedName name="DestinoObra">#REF!</definedName>
    <definedName name="DEX">#REF!</definedName>
    <definedName name="df" localSheetId="20">#REF!</definedName>
    <definedName name="df">#REF!</definedName>
    <definedName name="dfa" localSheetId="20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0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fdasdfadsfasdfas">[27]Insumos!#REF!</definedName>
    <definedName name="DFBNJ" localSheetId="20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0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0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0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0" hidden="1">{"via1",#N/A,TRUE,"general";"via2",#N/A,TRUE,"general";"via3",#N/A,TRUE,"general"}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0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0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0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0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0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0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0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0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0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0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0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0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20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0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0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0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0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0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0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0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0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20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0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0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0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0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" localSheetId="20">#REF!</definedName>
    <definedName name="di">#REF!</definedName>
    <definedName name="DIA" localSheetId="20">[23]PRESUPUESTO!$B$13</definedName>
    <definedName name="DIA">#REF!</definedName>
    <definedName name="DIAGON">[18]INSUMOS!$D$162</definedName>
    <definedName name="diametros" localSheetId="20">#REF!</definedName>
    <definedName name="diametros">#REF!</definedName>
    <definedName name="DIC">#REF!</definedName>
    <definedName name="diego" localSheetId="20">#REF!</definedName>
    <definedName name="diego">#REF!</definedName>
    <definedName name="diego1" localSheetId="20">#REF!</definedName>
    <definedName name="diego1">#REF!</definedName>
    <definedName name="DIF">#REF!</definedName>
    <definedName name="DifConsultoriaFM">#REF!</definedName>
    <definedName name="dife" localSheetId="20">#REF!</definedName>
    <definedName name="dife">#REF!</definedName>
    <definedName name="DIRECTO">"DIRECTO:  "&amp;TEXT(ROUNDUP(SUMIF([58]apu!$A$1:$A$65536,[58]apu!$A1048576,[58]apu!$G$1:$G$65536)/2,0),"#,##0")&amp;" / "&amp;VLOOKUP([58]apu!$A1048576,'[58]Ppto completo'!$D$1:$F$65536,3,FALSE)</definedName>
    <definedName name="DIRECTO1">[71]APU!$U$132</definedName>
    <definedName name="DIRECTO10">[71]APU!$U$681</definedName>
    <definedName name="DIRECTO100">[71]APU!$U$6171</definedName>
    <definedName name="DIRECTO101">[71]APU!$U$6232</definedName>
    <definedName name="DIRECTO102">[71]APU!$U$6293</definedName>
    <definedName name="DIRECTO103">[71]APU!$U$6354</definedName>
    <definedName name="DIRECTO104">[71]APU!$U$6415</definedName>
    <definedName name="DIRECTO105">[71]APU!$U$6476</definedName>
    <definedName name="DIRECTO11">[71]APU!$U$742</definedName>
    <definedName name="DIRECTO12">[71]APU!$U$803</definedName>
    <definedName name="DIRECTO124">[71]APU!$U$7635</definedName>
    <definedName name="DIRECTO125">[71]APU!$U$7696</definedName>
    <definedName name="DIRECTO126">[71]APU!$U$7757</definedName>
    <definedName name="DIRECTO127">[71]APU!$U$7818</definedName>
    <definedName name="DIRECTO128">[71]APU!$U$7879</definedName>
    <definedName name="DIRECTO129">[71]APU!$U$7940</definedName>
    <definedName name="DIRECTO13">[71]APU!$U$864</definedName>
    <definedName name="DIRECTO130">[71]APU!$U$8001</definedName>
    <definedName name="DIRECTO131">[71]APU!$U$8062</definedName>
    <definedName name="DIRECTO132">[71]APU!$U$8123</definedName>
    <definedName name="DIRECTO133">[71]APU!$U$8184</definedName>
    <definedName name="DIRECTO134">[71]APU!$U$8245</definedName>
    <definedName name="DIRECTO14">[71]APU!$U$925</definedName>
    <definedName name="DIRECTO15">[71]APU!$U$986</definedName>
    <definedName name="DIRECTO16">[71]APU!$U$1047</definedName>
    <definedName name="DIRECTO17">[71]APU!$U$1108</definedName>
    <definedName name="DIRECTO18">[71]APU!$U$1169</definedName>
    <definedName name="DIRECTO2">[71]APU!$U$193</definedName>
    <definedName name="DIRECTO2.10">[71]APU!$U$14889</definedName>
    <definedName name="DIRECTO2.11">[71]APU!$U$14950</definedName>
    <definedName name="DIRECTO2.12">[71]APU!$U$15011</definedName>
    <definedName name="DIRECTO2.9">[71]APU!$U$11839</definedName>
    <definedName name="DIRECTO21">[71]APU!$U$1352</definedName>
    <definedName name="DIRECTO22">[71]APU!$U$1413</definedName>
    <definedName name="DIRECTO23">[71]APU!$U$1474</definedName>
    <definedName name="DIRECTO24">[71]APU!$U$1535</definedName>
    <definedName name="DIRECTO25">[71]APU!$U$1596</definedName>
    <definedName name="DIRECTO26">[71]APU!$U$1657</definedName>
    <definedName name="DIRECTO27">[71]APU!$U$1718</definedName>
    <definedName name="DIRECTO28">[71]APU!$U$1779</definedName>
    <definedName name="DIRECTO29">[71]APU!$U$1840</definedName>
    <definedName name="DIRECTO3">[71]APU!$U$254</definedName>
    <definedName name="DIRECTO3.15">[71]APU!$U$8667</definedName>
    <definedName name="DIRECTO3.16">[71]APU!$U$8728</definedName>
    <definedName name="DIRECTO3.17">[71]APU!$U$8789</definedName>
    <definedName name="DIRECTO3.18">[71]APU!$U$8850</definedName>
    <definedName name="DIRECTO3.19">[71]APU!$U$8911</definedName>
    <definedName name="DIRECTO3.20">[71]APU!$U$8972</definedName>
    <definedName name="DIRECTO3.21">[71]APU!$U$11961</definedName>
    <definedName name="DIRECTO3.22">[71]APU!$U$14523</definedName>
    <definedName name="DIRECTO3.23">[71]APU!$U$15133</definedName>
    <definedName name="DIRECTO3.24">[71]APU!$U$16292</definedName>
    <definedName name="DIRECTO3.25">[71]APU!$U$16353</definedName>
    <definedName name="DIRECTO3.26">[71]APU!$U$16414</definedName>
    <definedName name="DIRECTO3.27">[71]APU!$U$16475</definedName>
    <definedName name="DIRECTO3.28">[71]APU!$U$16536</definedName>
    <definedName name="DIRECTO30">[71]APU!$U$1901</definedName>
    <definedName name="DIRECTO31">[71]APU!$U$1962</definedName>
    <definedName name="DIRECTO32">[71]APU!$U$2023</definedName>
    <definedName name="DIRECTO33">[71]APU!$U$2084</definedName>
    <definedName name="DIRECTO34">[71]APU!$U$2145</definedName>
    <definedName name="DIRECTO35">[71]APU!$U$2206</definedName>
    <definedName name="DIRECTO36">[71]APU!$U$2267</definedName>
    <definedName name="DIRECTO37">[71]APU!$U$2328</definedName>
    <definedName name="DIRECTO38">[71]APU!$U$2389</definedName>
    <definedName name="DIRECTO39">[71]APU!$U$2450</definedName>
    <definedName name="DIRECTO4">[71]APU!$U$315</definedName>
    <definedName name="DIRECTO4.20">[71]APU!$U$9216</definedName>
    <definedName name="DIRECTO4.21">[71]APU!$U$9277</definedName>
    <definedName name="DIRECTO4.22">[71]APU!$U$9338</definedName>
    <definedName name="DIRECTO4.23">[71]APU!$U$9399</definedName>
    <definedName name="DIRECTO4.24">[71]APU!$U$9460</definedName>
    <definedName name="DIRECTO4.25">[71]APU!$U$9521</definedName>
    <definedName name="DIRECTO4.26">[71]APU!$U$9582</definedName>
    <definedName name="DIRECTO4.27">[71]APU!$U$9643</definedName>
    <definedName name="DIRECTO4.28">[71]APU!$U$9704</definedName>
    <definedName name="DIRECTO4.29">[71]APU!$U$9765</definedName>
    <definedName name="DIRECTO4.30">[71]APU!$U$9826</definedName>
    <definedName name="DIRECTO4.31">[71]APU!$U$9887</definedName>
    <definedName name="DIRECTO4.32">[71]APU!$U$9948</definedName>
    <definedName name="DIRECTO4.33">[71]APU!$U$10009</definedName>
    <definedName name="DIRECTO4.34">[71]APU!$U$10070</definedName>
    <definedName name="DIRECTO4.35">[71]APU!$U$11595</definedName>
    <definedName name="DIRECTO4.36">[71]APU!$U$11656</definedName>
    <definedName name="DIRECTO4.37">[71]APU!$U$15987</definedName>
    <definedName name="DIRECTO4.38">[71]APU!$U$15194</definedName>
    <definedName name="DIRECTO4.39">[71]APU!$U$14279</definedName>
    <definedName name="DIRECTO4.40">[71]APU!$U$14340</definedName>
    <definedName name="DIRECTO4.41">[71]APU!$U$14401</definedName>
    <definedName name="DIRECTO4.42">[71]APU!$U$14462</definedName>
    <definedName name="DIRECTO4.43">[71]APU!$U$14584</definedName>
    <definedName name="DIRECTO4.44">[71]APU!$U$16048</definedName>
    <definedName name="DIRECTO4.45">[71]APU!$U$16109</definedName>
    <definedName name="DIRECTO4.46">[71]APU!$U$14706</definedName>
    <definedName name="DIRECTO4.47">[71]APU!$U$15926</definedName>
    <definedName name="DIRECTO4.48">[71]APU!$U$16170</definedName>
    <definedName name="DIRECTO4.49">[71]APU!$U$16231</definedName>
    <definedName name="DIRECTO4.50">[71]APU!$U$16902</definedName>
    <definedName name="DIRECTO4.51">[71]APU!$U$17634</definedName>
    <definedName name="DIRECTO4.52">[71]APU!$U$17695</definedName>
    <definedName name="DIRECTO40">[71]APU!$U$2511</definedName>
    <definedName name="DIRECTO41">[71]APU!$U$2572</definedName>
    <definedName name="DIRECTO42">[71]APU!$U$2633</definedName>
    <definedName name="DIRECTO43">[71]APU!$U$2694</definedName>
    <definedName name="DIRECTO44">[71]APU!$U$2755</definedName>
    <definedName name="DIRECTO45">[71]APU!$U$2816</definedName>
    <definedName name="DIRECTO46">[71]APU!$U$2877</definedName>
    <definedName name="DIRECTO47">[71]APU!$U$2938</definedName>
    <definedName name="DIRECTO48">[71]APU!$U$2999</definedName>
    <definedName name="DIRECTO49">[71]APU!$U$3060</definedName>
    <definedName name="DIRECTO5">[71]APU!$U$376</definedName>
    <definedName name="DIRECTO5.100">[71]APU!$U$12449</definedName>
    <definedName name="DIRECTO5.101">[71]APU!$U$12510</definedName>
    <definedName name="DIRECTO5.104">[71]APU!$U$12571</definedName>
    <definedName name="DIRECTO5.105">[71]APU!$U$12632</definedName>
    <definedName name="DIRECTO5.106">[71]APU!$U$12693</definedName>
    <definedName name="DIRECTO5.107">[71]APU!$U$12754</definedName>
    <definedName name="DIRECTO5.108">[71]APU!$U$12815</definedName>
    <definedName name="DIRECTO5.109">[71]APU!$U$12876</definedName>
    <definedName name="DIRECTO5.111">[71]APU!$U$12937</definedName>
    <definedName name="DIRECTO5.112">[71]APU!$U$12998</definedName>
    <definedName name="DIRECTO5.113">[71]APU!$U$14767</definedName>
    <definedName name="DIRECTO5.114">[71]APU!$U$14828</definedName>
    <definedName name="DIRECTO5.115">[71]APU!$U$15072</definedName>
    <definedName name="DIRECTO5.53">[71]APU!$U$10131</definedName>
    <definedName name="DIRECTO5.54">[71]APU!$U$10192</definedName>
    <definedName name="DIRECTO5.55">[71]APU!$U$10253</definedName>
    <definedName name="DIRECTO5.56">[71]APU!$U$10314</definedName>
    <definedName name="DIRECTO5.57">[71]APU!$U$10375</definedName>
    <definedName name="DIRECTO5.58">[71]APU!$U$10436</definedName>
    <definedName name="DIRECTO5.59">[71]APU!$U$10497</definedName>
    <definedName name="DIRECTO5.60">[71]APU!$U$10558</definedName>
    <definedName name="DIRECTO5.61">[71]APU!$U$10619</definedName>
    <definedName name="DIRECTO5.62">[71]APU!$U$10680</definedName>
    <definedName name="DIRECTO5.63">[71]APU!$U$10741</definedName>
    <definedName name="DIRECTO5.64">[71]APU!$U$10802</definedName>
    <definedName name="DIRECTO5.65">[71]APU!$U$10863</definedName>
    <definedName name="DIRECTO5.66">[71]APU!$U$10924</definedName>
    <definedName name="DIRECTO5.67">[71]APU!$U$10985</definedName>
    <definedName name="DIRECTO5.68">[71]APU!$U$11046</definedName>
    <definedName name="DIRECTO5.69">[71]APU!$U$11107</definedName>
    <definedName name="DIRECTO5.70">[71]APU!$U$11168</definedName>
    <definedName name="DIRECTO5.71">[71]APU!$U$11229</definedName>
    <definedName name="DIRECTO5.72">[71]APU!$U$12022</definedName>
    <definedName name="DIRECTO5.73">[71]APU!$U$12083</definedName>
    <definedName name="DIRECTO5.74">[71]APU!$U$12144</definedName>
    <definedName name="DIRECTO5.77">[71]APU!$U$12205</definedName>
    <definedName name="DIRECTO5.78">[71]APU!$U$12327</definedName>
    <definedName name="DIRECTO5.79">[71]APU!$U$12388</definedName>
    <definedName name="DIRECTO5.80">[71]APU!$U$12266</definedName>
    <definedName name="DIRECTO5.82">[71]APU!$U$14035</definedName>
    <definedName name="DIRECTO5.83">[71]APU!$U$14096</definedName>
    <definedName name="DIRECTO5.84">[71]APU!$U$13364</definedName>
    <definedName name="DIRECTO5.85">[71]APU!$U$13425</definedName>
    <definedName name="DIRECTO5.86">[71]APU!$U$13486</definedName>
    <definedName name="DIRECTO5.87">[71]APU!$U$13547</definedName>
    <definedName name="DIRECTO5.88">[71]APU!$U$13608</definedName>
    <definedName name="DIRECTO5.89">[71]APU!$U$13669</definedName>
    <definedName name="DIRECTO5.90">[71]APU!$U$13730</definedName>
    <definedName name="DIRECTO5.91">[71]APU!$U$13791</definedName>
    <definedName name="DIRECTO5.92">[71]APU!$U$13852</definedName>
    <definedName name="DIRECTO5.93">[71]APU!$U$13913</definedName>
    <definedName name="DIRECTO5.94">[71]APU!$U$13974</definedName>
    <definedName name="DIRECTO5.95">[71]APU!$U$13059</definedName>
    <definedName name="DIRECTO5.96">[71]APU!$U$13120</definedName>
    <definedName name="DIRECTO5.97">[71]APU!$U$13181</definedName>
    <definedName name="DIRECTO5.98">[71]APU!$U$13242</definedName>
    <definedName name="DIRECTO5.99">[71]APU!$U$13303</definedName>
    <definedName name="DIRECTO50">[71]APU!$U$3121</definedName>
    <definedName name="DIRECTO51">[71]APU!$U$3182</definedName>
    <definedName name="DIRECTO52">[71]APU!$U$3243</definedName>
    <definedName name="DIRECTO53">[71]APU!$U$3304</definedName>
    <definedName name="DIRECTO54">[71]APU!$U$3365</definedName>
    <definedName name="DIRECTO55">[71]APU!$U$3426</definedName>
    <definedName name="DIRECTO56">[71]APU!$U$3487</definedName>
    <definedName name="DIRECTO57">[71]APU!$U$3548</definedName>
    <definedName name="DIRECTO58">[71]APU!$U$3609</definedName>
    <definedName name="DIRECTO59">[71]APU!$U$3670</definedName>
    <definedName name="DIRECTO6">[71]APU!$U$437</definedName>
    <definedName name="DIRECTO60">[71]APU!$U$3731</definedName>
    <definedName name="DIRECTO61">[71]APU!$U$3792</definedName>
    <definedName name="DIRECTO62">[71]APU!$U$3853</definedName>
    <definedName name="DIRECTO63">[71]APU!$U$3914</definedName>
    <definedName name="DIRECTO64">[71]APU!$U$3975</definedName>
    <definedName name="DIRECTO65">[71]APU!$U$4036</definedName>
    <definedName name="DIRECTO66">[71]APU!$U$4097</definedName>
    <definedName name="DIRECTO67">[71]APU!$U$4158</definedName>
    <definedName name="DIRECTO68">[71]APU!$U$4219</definedName>
    <definedName name="DIRECTO69">[71]APU!$U$4280</definedName>
    <definedName name="DIRECTO7">[71]APU!$U$498</definedName>
    <definedName name="DIRECTO7.12">[71]APU!$U$8305</definedName>
    <definedName name="DIRECTO7.13">[71]APU!$U$8366</definedName>
    <definedName name="DIRECTO7.14">[71]APU!$U$8427</definedName>
    <definedName name="DIRECTO7.15">[71]APU!$U$8488</definedName>
    <definedName name="DIRECTO7.16">[71]APU!$U$8606</definedName>
    <definedName name="DIRECTO7.17">[71]APU!$U$11290</definedName>
    <definedName name="DIRECTO7.18">[71]APU!$U$11351</definedName>
    <definedName name="DIRECTO7.19">[71]APU!$U$11412</definedName>
    <definedName name="DIRECTO7.20">[71]APU!$U$11473</definedName>
    <definedName name="DIRECTO7.21">[71]APU!$U$11534</definedName>
    <definedName name="DIRECTO7.22">[71]APU!$U$11717</definedName>
    <definedName name="DIRECTO7.23">[71]APU!$U$11778</definedName>
    <definedName name="DIRECTO7.24">[71]APU!$U$14645</definedName>
    <definedName name="DIRECTO7.25">[71]APU!$U$15255</definedName>
    <definedName name="DIRECTO7.26">[71]APU!$U$15316</definedName>
    <definedName name="DIRECTO7.27">[71]APU!$U$15377</definedName>
    <definedName name="DIRECTO7.28">[71]APU!$U$15438</definedName>
    <definedName name="DIRECTO7.29">[71]APU!$U$15499</definedName>
    <definedName name="DIRECTO7.30">[71]APU!$U$15560</definedName>
    <definedName name="DIRECTO7.31">[71]APU!$U$15621</definedName>
    <definedName name="DIRECTO7.32">[71]APU!$U$15682</definedName>
    <definedName name="DIRECTO7.33">[71]APU!$U$15743</definedName>
    <definedName name="DIRECTO7.34">[71]APU!$U$15804</definedName>
    <definedName name="DIRECTO7.35">[71]APU!$U$15865</definedName>
    <definedName name="DIRECTO7.36">[71]APU!$U$17085</definedName>
    <definedName name="DIRECTO7.37">[71]APU!$U$17268</definedName>
    <definedName name="DIRECTO7.38">[71]APU!$U$17207</definedName>
    <definedName name="DIRECTO7.39">[71]APU!$U$17390</definedName>
    <definedName name="DIRECTO7.40">[71]APU!$U$17451</definedName>
    <definedName name="DIRECTO7.41">[71]APU!$U$17512</definedName>
    <definedName name="DIRECTO7.42">[71]APU!$U$17146</definedName>
    <definedName name="DIRECTO7.43">[71]APU!$U$17573</definedName>
    <definedName name="DIRECTO7.44">[71]APU!$U$17329</definedName>
    <definedName name="DIRECTO70">[71]APU!$U$4341</definedName>
    <definedName name="DIRECTO71">[71]APU!$U$4402</definedName>
    <definedName name="DIRECTO72">[71]APU!$U$4463</definedName>
    <definedName name="DIRECTO73">[71]APU!$U$4524</definedName>
    <definedName name="DIRECTO74">[71]APU!$U$4585</definedName>
    <definedName name="DIRECTO75">[71]APU!$U$4646</definedName>
    <definedName name="DIRECTO76">[71]APU!$U$4707</definedName>
    <definedName name="DIRECTO77">[71]APU!$U$4768</definedName>
    <definedName name="DIRECTO78">[71]APU!$U$4829</definedName>
    <definedName name="DIRECTO79">[71]APU!$U$4890</definedName>
    <definedName name="DIRECTO8">[71]APU!$U$559</definedName>
    <definedName name="DIRECTO80">[71]APU!$U$4951</definedName>
    <definedName name="DIRECTO81">[71]APU!$U$5012</definedName>
    <definedName name="DIRECTO82">[71]APU!$U$5073</definedName>
    <definedName name="DIRECTO83">[71]APU!$U$5134</definedName>
    <definedName name="DIRECTO84">[71]APU!$U$5195</definedName>
    <definedName name="DIRECTO85">[71]APU!$U$5256</definedName>
    <definedName name="DIRECTO86">[71]APU!$U$5317</definedName>
    <definedName name="DIRECTO87">[71]APU!$U$5378</definedName>
    <definedName name="DIRECTO88">[71]APU!$U$5439</definedName>
    <definedName name="DIRECTO89">[71]APU!$U$5500</definedName>
    <definedName name="DIRECTO9">[71]APU!$U$620</definedName>
    <definedName name="DIRECTO9.1">[71]APU!$U$16597</definedName>
    <definedName name="DIRECTO9.2">[71]APU!$U$16658</definedName>
    <definedName name="DIRECTO9.3">[71]APU!$U$16719</definedName>
    <definedName name="DIRECTO9.4">[71]APU!$U$16780</definedName>
    <definedName name="DIRECTO9.5">[71]APU!$U$16841</definedName>
    <definedName name="DIRECTO90">[71]APU!$U$5561</definedName>
    <definedName name="DIRECTO91">[71]APU!$U$5622</definedName>
    <definedName name="DIRECTO92">[71]APU!$U$5683</definedName>
    <definedName name="DIRECTO93">[71]APU!$U$5744</definedName>
    <definedName name="DIRECTO94">[71]APU!$U$5805</definedName>
    <definedName name="DIRECTO95">[71]APU!$U$5866</definedName>
    <definedName name="DIRECTO96">[71]APU!$U$5927</definedName>
    <definedName name="DIRECTO97">[71]APU!$U$5988</definedName>
    <definedName name="DIRECTO98">[71]APU!$U$6049</definedName>
    <definedName name="DIRECTO99">[71]APU!$U$6110</definedName>
    <definedName name="Distribuciondeaceros">'[72]640,1 Acero Muros. Fy 420 M '!$M$58:$N$70</definedName>
    <definedName name="dj" localSheetId="20">#REF!</definedName>
    <definedName name="dj">#REF!</definedName>
    <definedName name="djdytj" localSheetId="20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 localSheetId="20">#REF!</definedName>
    <definedName name="dl">#REF!</definedName>
    <definedName name="dm" localSheetId="20">#REF!</definedName>
    <definedName name="dm">#REF!</definedName>
    <definedName name="do" localSheetId="20">#REF!</definedName>
    <definedName name="do">#REF!</definedName>
    <definedName name="DOR" localSheetId="20">#REF!</definedName>
    <definedName name="DOR">#REF!</definedName>
    <definedName name="DR">#REF!</definedName>
    <definedName name="drf" localSheetId="20">#REF!</definedName>
    <definedName name="drf">#REF!</definedName>
    <definedName name="dry" localSheetId="20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A" localSheetId="20">#REF!</definedName>
    <definedName name="DSA">#REF!</definedName>
    <definedName name="DSAD" localSheetId="20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0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20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0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0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0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0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0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0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0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0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0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t" localSheetId="20">#REF!</definedName>
    <definedName name="dt">#REF!</definedName>
    <definedName name="dtrhj" localSheetId="20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TS" localSheetId="20">#REF!</definedName>
    <definedName name="DTS">#REF!</definedName>
    <definedName name="Duitama">#REF!</definedName>
    <definedName name="duraci">PRESUPUESTO!$M$4</definedName>
    <definedName name="duracii">PRESUPUESTO!$M$5</definedName>
    <definedName name="duracioni">[73]PPTO!$P$4</definedName>
    <definedName name="duracionii">[73]PPTO!$P$5</definedName>
    <definedName name="DuracionMeses">#REF!</definedName>
    <definedName name="DuracionSemanas">#REF!</definedName>
    <definedName name="dxfgg" localSheetId="20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.MARTINEZ" localSheetId="20" hidden="1">{#N/A,#N/A,FALSE,"310.1";#N/A,#N/A,FALSE,"321.1";#N/A,#N/A,FALSE,"320.3";#N/A,#N/A,FALSE,"330.1"}</definedName>
    <definedName name="E.MARTINEZ" hidden="1">{#N/A,#N/A,FALSE,"310.1";#N/A,#N/A,FALSE,"321.1";#N/A,#N/A,FALSE,"320.3";#N/A,#N/A,FALSE,"330.1"}</definedName>
    <definedName name="e3e33" localSheetId="20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7_" comment="mezcladora de concreto">#REF!</definedName>
    <definedName name="EDEDWSWQA" localSheetId="20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0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0">#REF!</definedName>
    <definedName name="EE">#REF!</definedName>
    <definedName name="eeedfr" localSheetId="20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0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0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20">#REF!</definedName>
    <definedName name="EF">[74]AIU!$A$1:$IU$4</definedName>
    <definedName name="efef" localSheetId="20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0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0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0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[23]PRESUPUESTO!$E$7</definedName>
    <definedName name="el" localSheetId="20">#REF!</definedName>
    <definedName name="el">#REF!</definedName>
    <definedName name="emanto" localSheetId="20">#REF!</definedName>
    <definedName name="emanto">#REF!</definedName>
    <definedName name="eme">[3]!err</definedName>
    <definedName name="End_Bal" localSheetId="20">#REF!</definedName>
    <definedName name="End_Bal">#REF!</definedName>
    <definedName name="ENE">#REF!</definedName>
    <definedName name="Ensayos">#REF!</definedName>
    <definedName name="ENTIB">#REF!</definedName>
    <definedName name="ENTRADASP">#REF!</definedName>
    <definedName name="equi" localSheetId="20">'[30]precios-básicos2002'!$C$12:$C$56</definedName>
    <definedName name="EQUI">[75]EQUIPO!$B$2:$B$36</definedName>
    <definedName name="equipo" localSheetId="20">[76]Equipo!$A$7:$A$65536</definedName>
    <definedName name="EQUIPO" localSheetId="3">#REF!</definedName>
    <definedName name="EQUIPO" comment="EQUIPO Y TRANSPORTE">'[51]Equipo_Trans '!$A$1:$A$51</definedName>
    <definedName name="EQUIPO_1">[75]EQUIPO!$B$2:$D$36</definedName>
    <definedName name="EQUIPO_2">[77]Equipo!$A$7:$A$65536</definedName>
    <definedName name="EQUIPOS" localSheetId="20">[16]Database!$A$33:$G$76</definedName>
    <definedName name="EQUIPOS">[25]Equipo!$A$16:$G$79</definedName>
    <definedName name="eqw" localSheetId="20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" localSheetId="20">#REF!</definedName>
    <definedName name="er">#REF!</definedName>
    <definedName name="ere" localSheetId="20">#REF!</definedName>
    <definedName name="ere">#REF!</definedName>
    <definedName name="EREE">#REF!</definedName>
    <definedName name="erfg" localSheetId="20" hidden="1">{#N/A,#N/A,FALSE,"Hoja1";#N/A,#N/A,FALSE,"Hoja2"}</definedName>
    <definedName name="erfg" hidden="1">{#N/A,#N/A,FALSE,"Hoja1";#N/A,#N/A,FALSE,"Hoja2"}</definedName>
    <definedName name="erg" localSheetId="20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0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0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0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0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0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0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0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0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0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0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0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2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0" hidden="1">{"TAB1",#N/A,TRUE,"GENERAL";"TAB2",#N/A,TRUE,"GENERAL";"TAB3",#N/A,TRUE,"GENERAL";"TAB4",#N/A,TRUE,"GENERAL";"TAB5",#N/A,TRUE,"GENERAL"}</definedName>
    <definedName name="err" localSheetId="2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localSheetId="20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0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0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0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0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0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0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0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0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0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0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0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0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0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0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0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0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0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0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0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0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0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0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0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0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0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0">[3]!err</definedName>
    <definedName name="ES">'[46]CIRCUITOS CODENSA'!#REF!</definedName>
    <definedName name="ESC">IF([59]!LG=9,[59]!FES,"")</definedName>
    <definedName name="ESCALERA">'[18]A.P.U.'!$G$367</definedName>
    <definedName name="escombro">PRESUPUESTO!$M$7</definedName>
    <definedName name="ESP_PAV">#REF!</definedName>
    <definedName name="ESP1S">#REF!</definedName>
    <definedName name="ESP2S">#REF!</definedName>
    <definedName name="ESPECIFICACION" localSheetId="20">#REF!</definedName>
    <definedName name="ESPECIFICACION">#REF!</definedName>
    <definedName name="Especificación" localSheetId="20">#REF!</definedName>
    <definedName name="Especificación">#REF!</definedName>
    <definedName name="espejo">[27]Insumos!#REF!</definedName>
    <definedName name="ESPESOR">#REF!</definedName>
    <definedName name="ESPR">#REF!</definedName>
    <definedName name="EST10A">#REF!</definedName>
    <definedName name="EST10V1">#REF!</definedName>
    <definedName name="EST11A">#REF!</definedName>
    <definedName name="ESTACA">#REF!</definedName>
    <definedName name="ESTMETC">[18]INSUMOS!$D$66</definedName>
    <definedName name="ESTRUCTURA" localSheetId="2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tertgg" localSheetId="20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20" hidden="1">{#N/A,#N/A,TRUE,"1842CWN0"}</definedName>
    <definedName name="etertt" hidden="1">{#N/A,#N/A,TRUE,"1842CWN0"}</definedName>
    <definedName name="etewt" localSheetId="20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0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0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0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0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0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0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0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20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0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0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0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0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0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0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0">#REF!</definedName>
    <definedName name="EXC">#REF!</definedName>
    <definedName name="EXC.POZ">#REF!</definedName>
    <definedName name="EXC.ZAN">#REF!</definedName>
    <definedName name="EXCAV">#REF!</definedName>
    <definedName name="excavaconglomerado">#REF!</definedName>
    <definedName name="EXCAVAMANOV">#REF!</definedName>
    <definedName name="EXCAVAMAQUINAV">#REF!</definedName>
    <definedName name="EXCAVATIERRA">#REF!</definedName>
    <definedName name="exCEL" localSheetId="20">#REF!</definedName>
    <definedName name="exCEL">#REF!</definedName>
    <definedName name="Excel_BuiltIn__FilterDatabase_2">'[78]Presup Av 1o de mayo con 73a '!$A$17:$N$110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 localSheetId="20">#REF!</definedName>
    <definedName name="Excel_BuiltIn_Print_Area_3">#REF!</definedName>
    <definedName name="Excel_BuiltIn_Print_Area_3_X" localSheetId="20">#REF!</definedName>
    <definedName name="Excel_BuiltIn_Print_Area_3_X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 localSheetId="20">[68]SKJ452!#REF!</definedName>
    <definedName name="Excel_BuiltIn_Print_Titles_10">[68]SKJ452!#REF!</definedName>
    <definedName name="Excel_BuiltIn_Print_Titles_11" localSheetId="20">[68]ITA878!#REF!</definedName>
    <definedName name="Excel_BuiltIn_Print_Titles_11">[68]ITA878!#REF!</definedName>
    <definedName name="Excel_BuiltIn_Print_Titles_12" localSheetId="20">'[68]AEA-944'!#REF!</definedName>
    <definedName name="Excel_BuiltIn_Print_Titles_12">'[68]AEA-944'!#REF!</definedName>
    <definedName name="Excel_BuiltIn_Print_Titles_13" localSheetId="20">'[68]DUB-823'!#REF!</definedName>
    <definedName name="Excel_BuiltIn_Print_Titles_13">'[68]DUB-823'!#REF!</definedName>
    <definedName name="Excel_BuiltIn_Print_Titles_14" localSheetId="20">'[68]GPI 526'!#REF!</definedName>
    <definedName name="Excel_BuiltIn_Print_Titles_14">'[68]GPI 526'!#REF!</definedName>
    <definedName name="Excel_BuiltIn_Print_Titles_15" localSheetId="20">#REF!</definedName>
    <definedName name="Excel_BuiltIn_Print_Titles_15">#REF!</definedName>
    <definedName name="Excel_BuiltIn_Print_Titles_16" localSheetId="20">#REF!</definedName>
    <definedName name="Excel_BuiltIn_Print_Titles_16">#REF!</definedName>
    <definedName name="Excel_BuiltIn_Print_Titles_17" localSheetId="20">#REF!</definedName>
    <definedName name="Excel_BuiltIn_Print_Titles_17">#REF!</definedName>
    <definedName name="Excel_BuiltIn_Print_Titles_18" localSheetId="20">#REF!</definedName>
    <definedName name="Excel_BuiltIn_Print_Titles_18">#REF!</definedName>
    <definedName name="Excel_BuiltIn_Print_Titles_19" localSheetId="20">[68]XXJ617!#REF!</definedName>
    <definedName name="Excel_BuiltIn_Print_Titles_19">[68]XXJ617!#REF!</definedName>
    <definedName name="Excel_BuiltIn_Print_Titles_20" localSheetId="20">#REF!</definedName>
    <definedName name="Excel_BuiltIn_Print_Titles_20">#REF!</definedName>
    <definedName name="Excel_BuiltIn_Print_Titles_21" localSheetId="20">[68]SNG_855!#REF!</definedName>
    <definedName name="Excel_BuiltIn_Print_Titles_21">[68]SNG_855!#REF!</definedName>
    <definedName name="Excel_BuiltIn_Print_Titles_23" localSheetId="20">#REF!</definedName>
    <definedName name="Excel_BuiltIn_Print_Titles_23">#REF!</definedName>
    <definedName name="Excel_BuiltIn_Print_Titles_3" localSheetId="20">#REF!</definedName>
    <definedName name="Excel_BuiltIn_Print_Titles_3">'[79]COSTOS OFICINA'!#REF!</definedName>
    <definedName name="Excel_BuiltIn_Print_Titles_4">'[79]COSTOS CAMPAMENTO'!#REF!</definedName>
    <definedName name="Excel_BuiltIn_Print_Titles_5" localSheetId="20">'[68]VEA 374'!#REF!</definedName>
    <definedName name="Excel_BuiltIn_Print_Titles_5">'[68]VEA 374'!#REF!</definedName>
    <definedName name="Excel_BuiltIn_Print_Titles_5_XX" localSheetId="20">'[68]VEA 374'!#REF!</definedName>
    <definedName name="Excel_BuiltIn_Print_Titles_5_XX">'[68]VEA 374'!#REF!</definedName>
    <definedName name="Excel_BuiltIn_Print_Titles_6" localSheetId="20">#REF!</definedName>
    <definedName name="Excel_BuiltIn_Print_Titles_6">#REF!</definedName>
    <definedName name="Excel_BuiltIn_Print_Titles_7" localSheetId="20">[68]HFB024!#REF!</definedName>
    <definedName name="Excel_BuiltIn_Print_Titles_7">[68]HFB024!#REF!</definedName>
    <definedName name="Excel_BuiltIn_Print_Titles_8" localSheetId="20">#REF!</definedName>
    <definedName name="Excel_BuiltIn_Print_Titles_8">#REF!</definedName>
    <definedName name="Excel_BuiltIn_Print_Titles_9" localSheetId="20">[68]PAJ825!#REF!</definedName>
    <definedName name="Excel_BuiltIn_Print_Titles_9">[68]PAJ825!#REF!</definedName>
    <definedName name="EXCROC" localSheetId="20">'[80]Análisis de precios'!$H$52</definedName>
    <definedName name="EXCROC">'[77]Análisis de precios'!$H$52</definedName>
    <definedName name="EXPL">#REF!</definedName>
    <definedName name="Extra_Pay" localSheetId="20">#REF!</definedName>
    <definedName name="Extra_Pay">#REF!</definedName>
    <definedName name="fa" localSheetId="20">#REF!</definedName>
    <definedName name="fa">#REF!</definedName>
    <definedName name="FABI" localSheetId="20">Scheduled_Payment+Extra_Payment</definedName>
    <definedName name="FABI">Scheduled_Payment+Extra_Payment</definedName>
    <definedName name="FABIAN">#N/A</definedName>
    <definedName name="FAC" localSheetId="20" hidden="1">#REF!</definedName>
    <definedName name="FAC" hidden="1">#REF!</definedName>
    <definedName name="FACTOR" localSheetId="20">[81]Par_Dise!#REF!</definedName>
    <definedName name="FACTOR">[81]Par_Dise!#REF!</definedName>
    <definedName name="FactorCostoPotencia">[65]Modelo!#REF!</definedName>
    <definedName name="FactorMultFinal">#REF!</definedName>
    <definedName name="FactorMultiplicaCalculado">#REF!</definedName>
    <definedName name="FAN" localSheetId="20">#REF!</definedName>
    <definedName name="FAN">#REF!</definedName>
    <definedName name="fb" localSheetId="20">#REF!</definedName>
    <definedName name="fb">#REF!</definedName>
    <definedName name="fcc">#REF!</definedName>
    <definedName name="FCEI">#REF!</definedName>
    <definedName name="fd" localSheetId="20">'[55]A. P. U.'!#REF!</definedName>
    <definedName name="fd">'[50]A. P. U.'!#REF!</definedName>
    <definedName name="fda" localSheetId="20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0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0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0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0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0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0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0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0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0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0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0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0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D">#REF!</definedName>
    <definedName name="fdwssf">#REF!</definedName>
    <definedName name="FEB">#REF!</definedName>
    <definedName name="FECH">[35]DATOS!$D$6</definedName>
    <definedName name="Fecha">[63]Datos!$B$7</definedName>
    <definedName name="ferfer" localSheetId="20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estivos">'[82]días habiles 2015'!$D$2:$D$21</definedName>
    <definedName name="ff" localSheetId="20">#REF!</definedName>
    <definedName name="ff">#REF!</definedName>
    <definedName name="fff" localSheetId="20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" localSheetId="20" hidden="1">#REF!</definedName>
    <definedName name="FFFF" hidden="1">#REF!</definedName>
    <definedName name="ffffd" localSheetId="20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0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0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0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0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0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0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0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RANC">#REF!</definedName>
    <definedName name="fg" localSheetId="20">#REF!</definedName>
    <definedName name="fg">#REF!</definedName>
    <definedName name="fgdfg" localSheetId="20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0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0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0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0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20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0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0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0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0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0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0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0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 localSheetId="20">#REF!</definedName>
    <definedName name="FGV">#REF!</definedName>
    <definedName name="fhfg" localSheetId="20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0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20" hidden="1">{#N/A,#N/A,TRUE,"1842CWN0"}</definedName>
    <definedName name="fhg" hidden="1">{#N/A,#N/A,TRUE,"1842CWN0"}</definedName>
    <definedName name="fhgh" localSheetId="20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0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20">#REF!</definedName>
    <definedName name="fi">#REF!</definedName>
    <definedName name="fill1" hidden="1">#REF!</definedName>
    <definedName name="FILTRO">#REF!</definedName>
    <definedName name="filtrov">#REF!</definedName>
    <definedName name="fin" localSheetId="20">#REF!</definedName>
    <definedName name="fin">#REF!</definedName>
    <definedName name="Fin_de_semana">'[82]días habiles 2015'!$M$1:$M$2</definedName>
    <definedName name="final" hidden="1">#REF!</definedName>
    <definedName name="FINANCIACION">[3]!err</definedName>
    <definedName name="fk" localSheetId="20">#REF!</definedName>
    <definedName name="fk">#REF!</definedName>
    <definedName name="flq" localSheetId="20">#REF!</definedName>
    <definedName name="flq">#REF!</definedName>
    <definedName name="fm">#REF!</definedName>
    <definedName name="FO">'[46]CIRCUITOS CODENSA'!#REF!</definedName>
    <definedName name="FORMA">#REF!</definedName>
    <definedName name="FORMAL">#REF!</definedName>
    <definedName name="FORMALETA">[83]INSUMOS!$D$1398</definedName>
    <definedName name="Format">#REF!</definedName>
    <definedName name="FORMULARIO" hidden="1">#REF!</definedName>
    <definedName name="formularioCantidades">#REF!</definedName>
    <definedName name="FORMVA">#REF!</definedName>
    <definedName name="frbgsd" localSheetId="20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0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0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0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u" localSheetId="20">#REF!</definedName>
    <definedName name="fu">#REF!</definedName>
    <definedName name="Full_Print" localSheetId="20">#REF!</definedName>
    <definedName name="Full_Print">#REF!</definedName>
    <definedName name="fv" localSheetId="20">#REF!</definedName>
    <definedName name="fv">#REF!</definedName>
    <definedName name="fwff" localSheetId="20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0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fy" localSheetId="20">#REF!</definedName>
    <definedName name="fy">#REF!</definedName>
    <definedName name="fyy">#REF!</definedName>
    <definedName name="ga" localSheetId="20">#REF!</definedName>
    <definedName name="ga">#REF!</definedName>
    <definedName name="GAJ">#REF!</definedName>
    <definedName name="GALON">#REF!</definedName>
    <definedName name="GastosViajes">#REF!</definedName>
    <definedName name="gb" localSheetId="20">#REF!</definedName>
    <definedName name="gb">#REF!</definedName>
    <definedName name="gba" localSheetId="2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2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0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 localSheetId="20">#REF!</definedName>
    <definedName name="gc">#REF!</definedName>
    <definedName name="gd" localSheetId="20">#REF!</definedName>
    <definedName name="gd">#REF!</definedName>
    <definedName name="gdj" localSheetId="20">#REF!</definedName>
    <definedName name="gdj">#REF!</definedName>
    <definedName name="gdt" localSheetId="20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20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O">#REF!</definedName>
    <definedName name="Geotex">#REF!</definedName>
    <definedName name="gerg" localSheetId="20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0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0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0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 localSheetId="20">#REF!</definedName>
    <definedName name="gf">#REF!</definedName>
    <definedName name="gfd" localSheetId="20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0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2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20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0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0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0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0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0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t" localSheetId="20">#REF!</definedName>
    <definedName name="gft">#REF!</definedName>
    <definedName name="gfutyj6" localSheetId="20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0" hidden="1">{"TAB1",#N/A,TRUE,"GENERAL";"TAB2",#N/A,TRUE,"GENERAL";"TAB3",#N/A,TRUE,"GENERAL";"TAB4",#N/A,TRUE,"GENERAL";"TAB5",#N/A,TRUE,"GENERAL"}</definedName>
    <definedName name="gg" localSheetId="2" hidden="1">{"TAB1",#N/A,TRUE,"GENERAL";"TAB2",#N/A,TRUE,"GENERAL";"TAB3",#N/A,TRUE,"GENERAL";"TAB4",#N/A,TRUE,"GENERAL";"TAB5",#N/A,TRUE,"GENERAL"}</definedName>
    <definedName name="GG">'[46]CIRCUITOS CODENSA'!#REF!</definedName>
    <definedName name="ggdr" localSheetId="20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0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[3]!err</definedName>
    <definedName name="gggb" localSheetId="20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0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0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">#REF!</definedName>
    <definedName name="gggggt" localSheetId="20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0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0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0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0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20" hidden="1">{#N/A,#N/A,TRUE,"1842CWN0"}</definedName>
    <definedName name="ggjgjkg" hidden="1">{#N/A,#N/A,TRUE,"1842CWN0"}</definedName>
    <definedName name="ggtgt" localSheetId="20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" localSheetId="20">#REF!</definedName>
    <definedName name="gh">'[84]A. P. U.'!#REF!</definedName>
    <definedName name="ghdghuy" localSheetId="20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0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20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2">#REF!</definedName>
    <definedName name="ghjghj" localSheetId="20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0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20" hidden="1">{#N/A,#N/A,TRUE,"1842CWN0"}</definedName>
    <definedName name="ghnbbfr" hidden="1">{#N/A,#N/A,TRUE,"1842CWN0"}</definedName>
    <definedName name="ghu" localSheetId="20">#REF!</definedName>
    <definedName name="ghu">#REF!</definedName>
    <definedName name="gj" localSheetId="20">#REF!</definedName>
    <definedName name="gj">#REF!</definedName>
    <definedName name="GJHVCB" localSheetId="20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0" hidden="1">{"via1",#N/A,TRUE,"general";"via2",#N/A,TRUE,"general";"via3",#N/A,TRUE,"general"}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20">#REF!</definedName>
    <definedName name="gl">#REF!</definedName>
    <definedName name="gmt" localSheetId="20">#REF!</definedName>
    <definedName name="gmt">#REF!</definedName>
    <definedName name="gn" localSheetId="20">#REF!</definedName>
    <definedName name="gn">#REF!</definedName>
    <definedName name="gnm" localSheetId="20">#REF!</definedName>
    <definedName name="gnm">#REF!</definedName>
    <definedName name="gñ" localSheetId="20">#REF!</definedName>
    <definedName name="gñ">#REF!</definedName>
    <definedName name="gp" localSheetId="20">#REF!</definedName>
    <definedName name="gp">#REF!</definedName>
    <definedName name="_xlnm.Recorder">#REF!</definedName>
    <definedName name="GRAF1ANO" localSheetId="20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0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ILLA">#REF!</definedName>
    <definedName name="gregds" localSheetId="20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0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0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l" localSheetId="20">#REF!</definedName>
    <definedName name="grl">#REF!</definedName>
    <definedName name="grtyerh" localSheetId="20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0">#REF!</definedName>
    <definedName name="GRUPO1">#REF!</definedName>
    <definedName name="GRUPO123">#REF!</definedName>
    <definedName name="GRUPO13">#REF!</definedName>
    <definedName name="GRUPO2" localSheetId="20">#REF!</definedName>
    <definedName name="GRUPO2">#REF!</definedName>
    <definedName name="GSDG" localSheetId="20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0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20">[85]BASE!$C$4:$H$255</definedName>
    <definedName name="GT">IF([59]!LG=9,[59]!FES,"")</definedName>
    <definedName name="gte" localSheetId="20">#REF!</definedName>
    <definedName name="gte">#REF!</definedName>
    <definedName name="gtgt" localSheetId="20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0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0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0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0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 localSheetId="20">#REF!</definedName>
    <definedName name="GTI">#REF!</definedName>
    <definedName name="GTRE">#REF!</definedName>
    <definedName name="GUADUA">[18]INSUMOS!$D$71</definedName>
    <definedName name="gy" localSheetId="20">#REF!</definedName>
    <definedName name="gy">#REF!</definedName>
    <definedName name="h" localSheetId="20">#REF!</definedName>
    <definedName name="h">#REF!</definedName>
    <definedName name="h.EXC">#REF!</definedName>
    <definedName name="h.LOM">#REF!</definedName>
    <definedName name="h.POZ">#REF!</definedName>
    <definedName name="h9h" localSheetId="20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" localSheetId="20">#REF!</definedName>
    <definedName name="ha">#REF!</definedName>
    <definedName name="HACER">#REF!</definedName>
    <definedName name="hbfdhrw" localSheetId="20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0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0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0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0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0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 localSheetId="20">ROW(#REF!)</definedName>
    <definedName name="Header_Row">ROW(#REF!)</definedName>
    <definedName name="hernan" localSheetId="20">'[86]Itemes Renovación'!#REF!</definedName>
    <definedName name="hernan">'[86]Itemes Renovación'!#REF!</definedName>
    <definedName name="hfgh" localSheetId="20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0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0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0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0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0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0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0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0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0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0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0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 localSheetId="20">#REF!</definedName>
    <definedName name="hgt">#REF!</definedName>
    <definedName name="hgu" localSheetId="20">#REF!</definedName>
    <definedName name="hgu">#REF!</definedName>
    <definedName name="hh" localSheetId="20">#REF!</definedName>
    <definedName name="hh">#REF!</definedName>
    <definedName name="hhg" localSheetId="20" hidden="1">{#N/A,#N/A,TRUE,"1842CWN0"}</definedName>
    <definedName name="hhg" hidden="1">{#N/A,#N/A,TRUE,"1842CWN0"}</definedName>
    <definedName name="hhh" localSheetId="20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0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0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0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0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0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0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60v">#REF!</definedName>
    <definedName name="hj" localSheetId="20">#REF!</definedName>
    <definedName name="hj">#REF!</definedName>
    <definedName name="hjfg" localSheetId="20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0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0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0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 localSheetId="20">#REF!</definedName>
    <definedName name="hjk">#REF!</definedName>
    <definedName name="HJKH" localSheetId="20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0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>[3]!err</definedName>
    <definedName name="hl" localSheetId="20">#REF!</definedName>
    <definedName name="hl">#REF!</definedName>
    <definedName name="HMEN">#REF!</definedName>
    <definedName name="hn" localSheetId="20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 localSheetId="20">#REF!</definedName>
    <definedName name="hnt">#REF!</definedName>
    <definedName name="HOJA" localSheetId="20">DATE(YEAR([3]!Loan_Start),MONTH([3]!Loan_Start)+Payment_Number,DAY([3]!Loan_Start))</definedName>
    <definedName name="HOJA">DATE(YEAR([3]!Loan_Start),MONTH([3]!Loan_Start)+Payment_Number,DAY([3]!Loan_Start))</definedName>
    <definedName name="HOJA1" localSheetId="20">#REF!</definedName>
    <definedName name="HOJA1">#REF!</definedName>
    <definedName name="HOJA444" localSheetId="20">DATE(YEAR([3]!Loan_Start),MONTH([3]!Loan_Start)+Payment_Number,DAY([3]!Loan_Start))</definedName>
    <definedName name="HOJA444">DATE(YEAR([3]!Loan_Start),MONTH([3]!Loan_Start)+Payment_Number,DAY([3]!Loan_Start))</definedName>
    <definedName name="HonoraProfesionales">#REF!</definedName>
    <definedName name="HonoraTecnicos">#REF!</definedName>
    <definedName name="horat" localSheetId="20">'[87]Itemes Renovación'!#REF!</definedName>
    <definedName name="horat">'[87]Itemes Renovación'!#REF!</definedName>
    <definedName name="horat2" localSheetId="20">'[88]Itemes Renovación'!#REF!</definedName>
    <definedName name="horat2">'[88]Itemes Renovación'!#REF!</definedName>
    <definedName name="hp" localSheetId="20">#REF!</definedName>
    <definedName name="hp">#REF!</definedName>
    <definedName name="hqi" localSheetId="20">#REF!</definedName>
    <definedName name="hqi">#REF!</definedName>
    <definedName name="hreer" localSheetId="20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0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20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20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" localSheetId="20">#REF!</definedName>
    <definedName name="ht">#REF!</definedName>
    <definedName name="hthdrf" localSheetId="20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 localSheetId="20">#REF!</definedName>
    <definedName name="htk">#REF!</definedName>
    <definedName name="HTML_CodePage" hidden="1">1252</definedName>
    <definedName name="HTML_Control" localSheetId="20" hidden="1">{"'A'!$A$1:$L$120"}</definedName>
    <definedName name="HTML_Control" hidden="1">{"'A'!$A$1:$L$120"}</definedName>
    <definedName name="HTML_Description" hidden="1">""</definedName>
    <definedName name="HTML_Email" hidden="1">""</definedName>
    <definedName name="HTML_Header" hidden="1">"A"</definedName>
    <definedName name="HTML_LastUpdate" hidden="1">"4/01/80"</definedName>
    <definedName name="HTML_LineAfter" hidden="1">FALSE</definedName>
    <definedName name="HTML_LineBefore" hidden="1">FALSE</definedName>
    <definedName name="HTML_Name" hidden="1">"Gabriel Jaime Martz Solis"</definedName>
    <definedName name="HTML_OBDlg2" hidden="1">TRUE</definedName>
    <definedName name="HTML_OBDlg4" hidden="1">TRUE</definedName>
    <definedName name="HTML_OS" hidden="1">0</definedName>
    <definedName name="HTML_PathFile" hidden="1">"C:\A Mis documentos\GABRIEL JAIME\Web Personal\Ejemplos\Existente\HTML.htm"</definedName>
    <definedName name="HTML_Title" hidden="1">"Diseño Estructural"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20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20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0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 localSheetId="20">#REF!</definedName>
    <definedName name="HYT">#REF!</definedName>
    <definedName name="hytirs" localSheetId="20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0">#REF!</definedName>
    <definedName name="I" localSheetId="3">#REF!</definedName>
    <definedName name="i">#REF!</definedName>
    <definedName name="i8i" localSheetId="20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 localSheetId="20">#REF!</definedName>
    <definedName name="id">#REF!</definedName>
    <definedName name="IE">'[16]Reajustes estimados'!$F$14</definedName>
    <definedName name="IF" localSheetId="20">'[55]A. P. U.'!#REF!</definedName>
    <definedName name="IF">'[50]A. P. U.'!#REF!</definedName>
    <definedName name="ig" localSheetId="20">#REF!</definedName>
    <definedName name="ig">#REF!</definedName>
    <definedName name="ii" localSheetId="20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0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0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0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0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 localSheetId="20">#REF!</definedName>
    <definedName name="ik">#REF!</definedName>
    <definedName name="ikj" localSheetId="20">#REF!</definedName>
    <definedName name="ikj">#REF!</definedName>
    <definedName name="iktgvfmu" localSheetId="20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">'[16]Reajustes estimados'!$F$15</definedName>
    <definedName name="IMO">'[16]Reajustes estimados'!$F$17</definedName>
    <definedName name="IMP" localSheetId="20">[23]otros!$C$3</definedName>
    <definedName name="IMP">#REF!</definedName>
    <definedName name="Impacto">#REF!</definedName>
    <definedName name="IMPERM">#REF!</definedName>
    <definedName name="ImpPolizasConsultoria">#REF!</definedName>
    <definedName name="ImpPolizasObra">#REF!</definedName>
    <definedName name="Imprev">[89]PRESUPUESTO!$F$485</definedName>
    <definedName name="imprevistos">[30]DATOS!$B$17</definedName>
    <definedName name="IMPRIM">#REF!</definedName>
    <definedName name="Imprimir_área_IM_1">#REF!</definedName>
    <definedName name="IND">[90]items!$C$4:$J$247</definedName>
    <definedName name="INDICE" localSheetId="20">#REF!</definedName>
    <definedName name="INDICE">#REF!</definedName>
    <definedName name="inf" localSheetId="20">#REF!</definedName>
    <definedName name="inf" localSheetId="3">#REF!</definedName>
    <definedName name="inf">#REF!</definedName>
    <definedName name="INFG">#REF!</definedName>
    <definedName name="INGENIERIA1" hidden="1">#REF!</definedName>
    <definedName name="INGENIERIA11" hidden="1">#REF!</definedName>
    <definedName name="Inicio">[38]BASES!$E$26</definedName>
    <definedName name="inme" localSheetId="20">#REF!</definedName>
    <definedName name="inme">#REF!</definedName>
    <definedName name="Instalacion">#REF!</definedName>
    <definedName name="INSUMO">VLOOKUP([58]apu!$B1,[58]Insumos!$D$1:$E$65536,2,FALSE)</definedName>
    <definedName name="Insumos">#REF!</definedName>
    <definedName name="Insumos_basicos">#REF!</definedName>
    <definedName name="Int" localSheetId="20">#REF!</definedName>
    <definedName name="Int">#REF!</definedName>
    <definedName name="Interest_Rate" localSheetId="20">#REF!</definedName>
    <definedName name="Interest_Rate">#REF!</definedName>
    <definedName name="INTERV" localSheetId="20" hidden="1">{"via1",#N/A,TRUE,"general";"via2",#N/A,TRUE,"general";"via3",#N/A,TRUE,"general"}</definedName>
    <definedName name="INTERV" hidden="1">{"via1",#N/A,TRUE,"general";"via2",#N/A,TRUE,"general";"via3",#N/A,TRUE,"general"}</definedName>
    <definedName name="Interventor">[63]Datos!$B$5</definedName>
    <definedName name="INV_11" localSheetId="20">'[91]PR 1'!$A$2:$N$655</definedName>
    <definedName name="INV_11">'[92]PR 1'!$A$2:$N$655</definedName>
    <definedName name="io" localSheetId="20">#REF!</definedName>
    <definedName name="Io">#REF!</definedName>
    <definedName name="IOUHH">[3]!err</definedName>
    <definedName name="ir" localSheetId="20">#REF!</definedName>
    <definedName name="ir">#REF!</definedName>
    <definedName name="irng" hidden="1">#REF!</definedName>
    <definedName name="IT">'[16]Reajustes estimados'!$F$16</definedName>
    <definedName name="it." localSheetId="20">#REF!</definedName>
    <definedName name="it.">#REF!</definedName>
    <definedName name="item" localSheetId="20">#REF!</definedName>
    <definedName name="ITEM" localSheetId="3">#REF!</definedName>
    <definedName name="item">[67]PRESUPUESTO!$A$10:$G$830</definedName>
    <definedName name="ITEM1" localSheetId="20">#REF!</definedName>
    <definedName name="ITEM1">#REF!</definedName>
    <definedName name="ITEM15" localSheetId="20">#REF!</definedName>
    <definedName name="ITEM15">#REF!</definedName>
    <definedName name="ITEM16" localSheetId="20">#REF!</definedName>
    <definedName name="ITEM16">#REF!</definedName>
    <definedName name="ITEM2" localSheetId="20">#REF!</definedName>
    <definedName name="ITEM2">#REF!</definedName>
    <definedName name="ITEM2.10">[71]APU!$E$14843</definedName>
    <definedName name="ITEM2.11">[71]APU!$E$14904</definedName>
    <definedName name="ITEM2.12">[71]APU!$E$14965</definedName>
    <definedName name="item210.3">#REF!</definedName>
    <definedName name="item230.1">#REF!</definedName>
    <definedName name="ITEM3" localSheetId="20">#REF!</definedName>
    <definedName name="ITEM3">#REF!</definedName>
    <definedName name="ITEM3.15">[71]APU!$E$8621</definedName>
    <definedName name="ITEM3.16">[71]APU!$E$8682</definedName>
    <definedName name="ITEM3.17">[71]APU!$E$8743</definedName>
    <definedName name="ITEM3.18">[71]APU!$E$8804</definedName>
    <definedName name="ITEM3.19">[71]APU!$E$8865</definedName>
    <definedName name="ITEM3.20">[71]APU!$E$8926</definedName>
    <definedName name="ITEM3.21">[71]APU!$E$11915</definedName>
    <definedName name="ITEM3.22">[71]APU!$E$14477</definedName>
    <definedName name="ITEM3.23">[71]APU!$E$15087</definedName>
    <definedName name="item310">#REF!</definedName>
    <definedName name="ITEM32" localSheetId="20">#REF!</definedName>
    <definedName name="ITEM32">#REF!</definedName>
    <definedName name="item320.2">#REF!</definedName>
    <definedName name="item330.1">#REF!</definedName>
    <definedName name="ITEM4" localSheetId="20">#REF!</definedName>
    <definedName name="ITEM4">#REF!</definedName>
    <definedName name="ITEM4.20">[71]APU!$E$9170</definedName>
    <definedName name="ITEM4.21">[71]APU!$E$9231</definedName>
    <definedName name="ITEM4.22">[71]APU!$E$9292</definedName>
    <definedName name="ITEM4.23">[71]APU!$E$9353</definedName>
    <definedName name="ITEM4.24">[71]APU!$E$9414</definedName>
    <definedName name="ITEM4.25">[71]APU!$E$9475</definedName>
    <definedName name="ITEM4.26">[71]APU!$E$9536</definedName>
    <definedName name="ITEM4.27">[71]APU!$E$9597</definedName>
    <definedName name="ITEM4.28">[71]APU!$E$9658</definedName>
    <definedName name="ITEM4.29">[71]APU!$E$9719</definedName>
    <definedName name="ITEM4.30">[71]APU!$E$9780</definedName>
    <definedName name="ITEM4.31">[71]APU!$E$9841</definedName>
    <definedName name="ITEM4.32">[71]APU!$E$9902</definedName>
    <definedName name="ITEM4.33">[71]APU!$E$9963</definedName>
    <definedName name="ITEM4.34">[71]APU!$E$10024</definedName>
    <definedName name="ITEM4.35">[71]APU!$E$11549</definedName>
    <definedName name="ITEM4.36">[71]APU!$E$11610</definedName>
    <definedName name="ITEM4.37">[71]APU!$E$15941</definedName>
    <definedName name="ITEM4.38">[71]APU!$E$15148</definedName>
    <definedName name="ITEM4.39">[71]APU!$E$14233</definedName>
    <definedName name="ITEM4.40">[71]APU!$E$14294</definedName>
    <definedName name="ITEM4.41">[71]APU!$E$14355</definedName>
    <definedName name="ITEM4.42">[71]APU!$E$14416</definedName>
    <definedName name="ITEM4.43">[71]APU!$E$14538</definedName>
    <definedName name="ITEM4.44">[71]APU!$E$16002</definedName>
    <definedName name="ITEM4.45">[71]APU!$E$16063</definedName>
    <definedName name="ITEM4.46">[71]APU!$E$14660</definedName>
    <definedName name="item420">#REF!</definedName>
    <definedName name="item450.2P">#REF!</definedName>
    <definedName name="ITEM5.100">[71]APU!$E$12403</definedName>
    <definedName name="ITEM5.101">[71]APU!$E$12464</definedName>
    <definedName name="ITEM5.104">[71]APU!$E$12525</definedName>
    <definedName name="ITEM5.105">[71]APU!$E$12586</definedName>
    <definedName name="ITEM5.106">[71]APU!$E$12647</definedName>
    <definedName name="ITEM5.107">[71]APU!$E$12708</definedName>
    <definedName name="ITEM5.108">[71]APU!$E$12769</definedName>
    <definedName name="ITEM5.109">[71]APU!$E$12830</definedName>
    <definedName name="ITEM5.111">[71]APU!$E$12891</definedName>
    <definedName name="ITEM5.112">[71]APU!$E$12952</definedName>
    <definedName name="ITEM5.113">[71]APU!$E$14721</definedName>
    <definedName name="ITEM5.114">[71]APU!$E$14782</definedName>
    <definedName name="ITEM5.115">[71]APU!$E$15026</definedName>
    <definedName name="ITEM5.53">[71]APU!$E$10085</definedName>
    <definedName name="ITEM5.54">[71]APU!$E$10146</definedName>
    <definedName name="ITEM5.55">[71]APU!$E$10207</definedName>
    <definedName name="ITEM5.56">[71]APU!$E$10268</definedName>
    <definedName name="ITEM5.57">[71]APU!$E$10329</definedName>
    <definedName name="ITEM5.58">[71]APU!$E$10390</definedName>
    <definedName name="ITEM5.59">[71]APU!$E$10451</definedName>
    <definedName name="ITEM5.60">[71]APU!$E$10512</definedName>
    <definedName name="ITEM5.61">[71]APU!$E$10573</definedName>
    <definedName name="ITEM5.62">[71]APU!$E$10634</definedName>
    <definedName name="ITEM5.63">[71]APU!$E$10695</definedName>
    <definedName name="ITEM5.64">[71]APU!$E$10756</definedName>
    <definedName name="ITEM5.65">[71]APU!$E$10817</definedName>
    <definedName name="ITEM5.66">[71]APU!$E$10878</definedName>
    <definedName name="ITEM5.67">[71]APU!$E$10939</definedName>
    <definedName name="ITEM5.68">[71]APU!$E$11000</definedName>
    <definedName name="ITEM5.69">[71]APU!$E$11061</definedName>
    <definedName name="ITEM5.70">[71]APU!$E$11122</definedName>
    <definedName name="ITEM5.71">[71]APU!$E$11183</definedName>
    <definedName name="ITEM5.72">[71]APU!$E$11976</definedName>
    <definedName name="ITEM5.73">[71]APU!$E$12037</definedName>
    <definedName name="ITEM5.74">[71]APU!$E$12098</definedName>
    <definedName name="ITEM5.77">[71]APU!$E$12159</definedName>
    <definedName name="ITEM5.78">[71]APU!$E$12281</definedName>
    <definedName name="ITEM5.79">[71]APU!$E$12342</definedName>
    <definedName name="ITEM5.80">[71]APU!$E$12220</definedName>
    <definedName name="ITEM5.82">[71]APU!$E$13989</definedName>
    <definedName name="ITEM5.83">[71]APU!$E$14050</definedName>
    <definedName name="ITEM5.84">[71]APU!$E$13318</definedName>
    <definedName name="ITEM5.85">[71]APU!$E$13379</definedName>
    <definedName name="ITEM5.86">[71]APU!$E$13440</definedName>
    <definedName name="ITEM5.87">[71]APU!$E$13501</definedName>
    <definedName name="ITEM5.88">[71]APU!$E$13562</definedName>
    <definedName name="ITEM5.89">[71]APU!$E$13623</definedName>
    <definedName name="ITEM5.90">[71]APU!$E$13684</definedName>
    <definedName name="ITEM5.91">[71]APU!$E$13745</definedName>
    <definedName name="ITEM5.92">[71]APU!$E$13806</definedName>
    <definedName name="ITEM5.93">[71]APU!$E$13867</definedName>
    <definedName name="ITEM5.94">[71]APU!$E$13928</definedName>
    <definedName name="ITEM5.95">[71]APU!$E$13013</definedName>
    <definedName name="ITEM5.96">[71]APU!$E$13074</definedName>
    <definedName name="ITEM5.97">[71]APU!$E$13135</definedName>
    <definedName name="ITEM5.98">[71]APU!$E$13196</definedName>
    <definedName name="ITEM5.99">[71]APU!$E$13257</definedName>
    <definedName name="ITEM521">[70]ITEMS!$A$522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[71]APU!$E$7589</definedName>
    <definedName name="ITEM7.10">[71]APU!$E$8138</definedName>
    <definedName name="ITEM7.11">[71]APU!$E$8199</definedName>
    <definedName name="ITEM7.12">[71]APU!$E$8259</definedName>
    <definedName name="ITEM7.13">[71]APU!$E$8320</definedName>
    <definedName name="ITEM7.14">[71]APU!$E$8381</definedName>
    <definedName name="ITEM7.15">[71]APU!$E$8442</definedName>
    <definedName name="ITEM7.16">[71]APU!$E$8560</definedName>
    <definedName name="ITEM7.17">[71]APU!$E$11244</definedName>
    <definedName name="ITEM7.18">[71]APU!$E$11305</definedName>
    <definedName name="ITEM7.19">[71]APU!$E$11366</definedName>
    <definedName name="ITEM7.2">[71]APU!$E$7650</definedName>
    <definedName name="ITEM7.20">[71]APU!$E$11427</definedName>
    <definedName name="ITEM7.21">[71]APU!$E$11488</definedName>
    <definedName name="ITEM7.22">[71]APU!$E$11671</definedName>
    <definedName name="ITEM7.23">[71]APU!$E$11732</definedName>
    <definedName name="ITEM7.24">[71]APU!$E$14599</definedName>
    <definedName name="ITEM7.25">[71]APU!$E$15209</definedName>
    <definedName name="ITEM7.26">[71]APU!$E$15270</definedName>
    <definedName name="ITEM7.27">[71]APU!$E$15331</definedName>
    <definedName name="ITEM7.28">[71]APU!$E$15392</definedName>
    <definedName name="ITEM7.29">[71]APU!$E$15453</definedName>
    <definedName name="ITEM7.3">[71]APU!$E$7711</definedName>
    <definedName name="ITEM7.30">[71]APU!$E$15514</definedName>
    <definedName name="ITEM7.31">[71]APU!$E$15575</definedName>
    <definedName name="ITEM7.32">[71]APU!$E$15636</definedName>
    <definedName name="ITEM7.33">[71]APU!$E$15697</definedName>
    <definedName name="ITEM7.34">[71]APU!$E$15758</definedName>
    <definedName name="ITEM7.35">[71]APU!$E$15819</definedName>
    <definedName name="ITEM7.4">[71]APU!$E$7772</definedName>
    <definedName name="ITEM7.5">[71]APU!$E$7833</definedName>
    <definedName name="ITEM7.6">[71]APU!$E$7894</definedName>
    <definedName name="ITEM7.7">[71]APU!$E$7955</definedName>
    <definedName name="ITEM7.8">[71]APU!$E$8016</definedName>
    <definedName name="ITEM7.9">[71]APU!$E$8077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>[30]ITEMS!$B$6:$B$176</definedName>
    <definedName name="ITT">#REF!</definedName>
    <definedName name="IUI" localSheetId="20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0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0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0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0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0">#REF!</definedName>
    <definedName name="IVA">'[58]ELE-APU'!$L$1</definedName>
    <definedName name="IVA_UTIL">[35]DATOS!$D$11</definedName>
    <definedName name="IVAConsultoria">#REF!</definedName>
    <definedName name="IVASobreUtilidad">#REF!</definedName>
    <definedName name="IvaSUtl" localSheetId="20">[89]PRESUPUESTO!$F$488</definedName>
    <definedName name="IvaSUtl">[93]PRESUPUESTO!#REF!</definedName>
    <definedName name="iyuiuyi" localSheetId="20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IZQ_AUX">LEFT([58]Auxiliares!$B1,2)</definedName>
    <definedName name="j" localSheetId="20" hidden="1">{"TAB1",#N/A,TRUE,"GENERAL";"TAB2",#N/A,TRUE,"GENERAL";"TAB3",#N/A,TRUE,"GENERAL";"TAB4",#N/A,TRUE,"GENERAL";"TAB5",#N/A,TRUE,"GENERAL"}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RZ">#REF!</definedName>
    <definedName name="jd" localSheetId="20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0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0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0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0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0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0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 localSheetId="20">#REF!</definedName>
    <definedName name="jh">#REF!</definedName>
    <definedName name="jhg" localSheetId="20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0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0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0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0" hidden="1">{"via1",#N/A,TRUE,"general";"via2",#N/A,TRUE,"general";"via3",#N/A,TRUE,"general"}</definedName>
    <definedName name="jj" localSheetId="2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20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20" hidden="1">{#N/A,#N/A,FALSE,"Hoja1";#N/A,#N/A,FALSE,"Hoja2"}</definedName>
    <definedName name="JJJ" hidden="1">{#N/A,#N/A,FALSE,"Hoja1";#N/A,#N/A,FALSE,"Hoja2"}</definedName>
    <definedName name="jjjhjddfg" localSheetId="20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0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0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0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" localSheetId="20">#REF!</definedName>
    <definedName name="jk">#REF!</definedName>
    <definedName name="jkk" localSheetId="20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0" hidden="1">{"TAB1",#N/A,TRUE,"GENERAL";"TAB2",#N/A,TRUE,"GENERAL";"TAB3",#N/A,TRUE,"GENERAL";"TAB4",#N/A,TRUE,"GENERAL";"TAB5",#N/A,TRUE,"GENERAL"}</definedName>
    <definedName name="jkl" localSheetId="2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 localSheetId="20">#REF!</definedName>
    <definedName name="jn">#REF!</definedName>
    <definedName name="jñ" localSheetId="20">#REF!</definedName>
    <definedName name="jñ">#REF!</definedName>
    <definedName name="jo" localSheetId="20">#REF!</definedName>
    <definedName name="jo">#REF!</definedName>
    <definedName name="JOHNNY">[3]!err</definedName>
    <definedName name="jornal">'salarios y prestaciones'!$G$10</definedName>
    <definedName name="JRYJ" localSheetId="20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" localSheetId="20">#REF!</definedName>
    <definedName name="jt">#REF!</definedName>
    <definedName name="jtyj" localSheetId="20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0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 localSheetId="20">#REF!</definedName>
    <definedName name="jui">#REF!</definedName>
    <definedName name="juj" localSheetId="20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0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0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0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 localSheetId="20">#REF!</definedName>
    <definedName name="JUN">#REF!</definedName>
    <definedName name="juuuhb" localSheetId="20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 localSheetId="20">#REF!</definedName>
    <definedName name="juy">#REF!</definedName>
    <definedName name="jvv">#REF!</definedName>
    <definedName name="jyjt7" localSheetId="20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0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0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0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0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0">#REF!</definedName>
    <definedName name="K0F1">#REF!</definedName>
    <definedName name="K0F2" localSheetId="20">#REF!</definedName>
    <definedName name="K0F2">#REF!</definedName>
    <definedName name="K10ALO" localSheetId="20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HGGH" localSheetId="20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0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0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io" localSheetId="20">#REF!</definedName>
    <definedName name="kio">#REF!</definedName>
    <definedName name="kip" localSheetId="20">#REF!</definedName>
    <definedName name="kip">#REF!</definedName>
    <definedName name="KJH" localSheetId="20">#REF!</definedName>
    <definedName name="KJH">#REF!</definedName>
    <definedName name="kjhkd" localSheetId="20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20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0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0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0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0">#REF!</definedName>
    <definedName name="kl">#REF!</definedName>
    <definedName name="klklk">#REF!</definedName>
    <definedName name="kñy" localSheetId="20">#REF!</definedName>
    <definedName name="kñy">#REF!</definedName>
    <definedName name="ko" localSheetId="20">[94]items!$C$4:$J$247</definedName>
    <definedName name="KO" hidden="1">#REF!</definedName>
    <definedName name="krtrk" localSheetId="20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TES_AL">#REF!</definedName>
    <definedName name="kuh" localSheetId="20">#REF!</definedName>
    <definedName name="kuh">#REF!</definedName>
    <definedName name="kuy" localSheetId="20">#REF!</definedName>
    <definedName name="kuy">#REF!</definedName>
    <definedName name="kyr" localSheetId="20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comment="Codigo Insumo">[95]Insumos!$A$4:$A$1761</definedName>
    <definedName name="L.CARCAMO">#REF!</definedName>
    <definedName name="L.CIL">#REF!</definedName>
    <definedName name="L_">#REF!</definedName>
    <definedName name="L_L">#N/A</definedName>
    <definedName name="L_TUB">#REF!</definedName>
    <definedName name="lame" hidden="1">#REF!</definedName>
    <definedName name="Last_Row">#N/A</definedName>
    <definedName name="Lavamanos">[27]Insumos!#REF!</definedName>
    <definedName name="LEBM">#REF!</definedName>
    <definedName name="LICITACION" localSheetId="20">#REF!</definedName>
    <definedName name="LICITACION">#REF!</definedName>
    <definedName name="LIMA">#REF!</definedName>
    <definedName name="LIMPIO">#REF!</definedName>
    <definedName name="LINEA">[30]DATOS!$B$16</definedName>
    <definedName name="LISBASE1">'[96]Lista Base'!$A$4:$C$2691</definedName>
    <definedName name="LISBASE2">'[97]Lista Base'!$A$4:$D$1999</definedName>
    <definedName name="List_cuadrillas" localSheetId="20">[98]Salarios!$D$8:$P$8</definedName>
    <definedName name="List_cuadrillas">[67]Salarios!$D$8:$P$8</definedName>
    <definedName name="lista">[99]lista!$A$5:$D$105</definedName>
    <definedName name="ListaCantidad" localSheetId="20">#REF!</definedName>
    <definedName name="ListaCantidad">#REF!</definedName>
    <definedName name="LISTADOEQUIPOS">[25]Equipo!$A$16:$A$80</definedName>
    <definedName name="LISTADOMATERIALES">[25]Material!$A$11:$A$1009</definedName>
    <definedName name="LISTADOMO">[25]M.Obra!$A$21:$A$50</definedName>
    <definedName name="LISTADOTRANSPORTES">[25]Transp.!$A$16:$A$50</definedName>
    <definedName name="ListaItem" localSheetId="20">#REF!</definedName>
    <definedName name="ListaItem">#REF!</definedName>
    <definedName name="LISTON">[83]INSUMOS!$D$563</definedName>
    <definedName name="liuoo" localSheetId="20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0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0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20">#REF!</definedName>
    <definedName name="ll">[67]PRESUPUESTO!#REF!</definedName>
    <definedName name="LLANTAS">#REF!</definedName>
    <definedName name="llenov">#REF!</definedName>
    <definedName name="lllllh" localSheetId="20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0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ÑP" localSheetId="20">#REF!</definedName>
    <definedName name="LÑP">#REF!</definedName>
    <definedName name="LO">#REF!,#REF!,#REF!,#REF!,#REF!,#REF!,#REF!</definedName>
    <definedName name="Loan_Amount" localSheetId="20">#REF!</definedName>
    <definedName name="Loan_Amount">#REF!</definedName>
    <definedName name="Loan_Start" localSheetId="20">#REF!</definedName>
    <definedName name="Loan_Start">#REF!</definedName>
    <definedName name="Loan_Years" localSheetId="20">#REF!</definedName>
    <definedName name="Loan_Years">#REF!</definedName>
    <definedName name="LOCA" localSheetId="20">[32]!absc</definedName>
    <definedName name="LOCA">[100]!absc</definedName>
    <definedName name="LOCA1" localSheetId="20">[32]!absc</definedName>
    <definedName name="LOCA1">[100]!absc</definedName>
    <definedName name="LOCALIZACION_Y_REPLANTEO">#REF!</definedName>
    <definedName name="LOCALIZACIONV">#REF!</definedName>
    <definedName name="localizamuro">#REF!</definedName>
    <definedName name="LOGO">[3]!err</definedName>
    <definedName name="LOI" localSheetId="20">#REF!</definedName>
    <definedName name="LOI">#REF!</definedName>
    <definedName name="lolol" localSheetId="20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PE" localSheetId="20">#REF!</definedName>
    <definedName name="LOPE">#REF!</definedName>
    <definedName name="LP">'[46]CIRCUITOS CODENSA'!#REF!</definedName>
    <definedName name="lplpl" localSheetId="20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UCY">#N/A</definedName>
    <definedName name="LUISA">#REF!</definedName>
    <definedName name="m" localSheetId="20">Scheduled_Payment+Extra_Payment</definedName>
    <definedName name="m">#REF!</definedName>
    <definedName name="M.O" comment="Mano de obra">[51]M.Obra!$B$35:$B$42</definedName>
    <definedName name="mac">#REF!</definedName>
    <definedName name="mafdsf" localSheetId="20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L">'[101]Estado Resumen'!#REF!&lt;2.5</definedName>
    <definedName name="MALLA">#REF!</definedName>
    <definedName name="MALLA2">#REF!</definedName>
    <definedName name="MALO" localSheetId="20">'[102]ESTADO VÍA-CRIT.TECNICO'!#REF!&lt;2.5</definedName>
    <definedName name="MALO">'[102]ESTADO VÍA-CRIT.TECNICO'!#REF!&lt;2.5</definedName>
    <definedName name="MALO4006" localSheetId="20">#REF!</definedName>
    <definedName name="MALO4006">#REF!</definedName>
    <definedName name="MALO4006A" localSheetId="20">#REF!</definedName>
    <definedName name="MALO4006A">#REF!</definedName>
    <definedName name="MALO40CN01" localSheetId="20">#REF!</definedName>
    <definedName name="MALO40CN01">#REF!</definedName>
    <definedName name="MALO40CNA" localSheetId="20">#REF!</definedName>
    <definedName name="MALO40CNA">#REF!</definedName>
    <definedName name="MALO40CNB" localSheetId="20">#REF!</definedName>
    <definedName name="MALO40CNB">#REF!</definedName>
    <definedName name="MALO55CN01" localSheetId="20">#REF!</definedName>
    <definedName name="MALO55CN01">#REF!</definedName>
    <definedName name="MALO55CN03" localSheetId="20">#REF!</definedName>
    <definedName name="MALO55CN03">#REF!</definedName>
    <definedName name="MALO5607" localSheetId="20">#REF!</definedName>
    <definedName name="MALO5607">#REF!</definedName>
    <definedName name="MALOAFIR5607" localSheetId="20">#REF!</definedName>
    <definedName name="MALOAFIR5607">#REF!</definedName>
    <definedName name="MANODEOBRA">[25]M.Obra!$A$21:$I$50</definedName>
    <definedName name="MANOOBRA">[16]Database!$A$6:$G$31</definedName>
    <definedName name="mantenimiento">'[103]COSTOS OFICINA'!#REF!</definedName>
    <definedName name="mao" localSheetId="20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0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0">[56]Insum!$A$68:$H$98</definedName>
    <definedName name="MAQUINAR">[104]Insum!$A$68:$H$98</definedName>
    <definedName name="Maquinaria">'[53]Maqui Equip'!$B$1:$B$65536</definedName>
    <definedName name="MAR">#REF!</definedName>
    <definedName name="MARS">#REF!</definedName>
    <definedName name="MARTA" localSheetId="20">IF('CONCRETOS Y MORTEROS '!Loan_Amount*'CONCRETOS Y MORTEROS '!Interest_Rate*'CONCRETOS Y MORTEROS '!Loan_Years*'CONCRETOS Y MORTEROS '!Loan_Start&gt;0,1,0)</definedName>
    <definedName name="MARTA">IF(Loan_Amount*Interest_Rate*Loan_Years*Loan_Start&gt;0,1,0)</definedName>
    <definedName name="MARTHA">[30]DATOS!$A$9</definedName>
    <definedName name="masor" localSheetId="20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0">#REF!</definedName>
    <definedName name="MAT">#REF!</definedName>
    <definedName name="mater" localSheetId="20">'[30]precios-básicos2002'!$C$59:$C$127</definedName>
    <definedName name="MATER">[75]MATERIAL!$B$3:$B$580</definedName>
    <definedName name="materiales" localSheetId="20">[76]materiales!$A$7:$A$1317</definedName>
    <definedName name="MATERIALES">[75]MATERIAL!$B$2:$D$580</definedName>
    <definedName name="MATERIALES_2">[77]materiales!$A$7:$A$1317</definedName>
    <definedName name="MaterialTub" localSheetId="20">#REF!</definedName>
    <definedName name="MaterialTub">#REF!</definedName>
    <definedName name="MATSUB">[18]INSUMOS!$D$115</definedName>
    <definedName name="MAY">#REF!</definedName>
    <definedName name="MDC">#REF!</definedName>
    <definedName name="mdd" localSheetId="20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do">'[30]precios-básicos2002'!$C$131:$C$140</definedName>
    <definedName name="ME">#REF!</definedName>
    <definedName name="meg" localSheetId="20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[23]PRESUPUESTO!$C$13</definedName>
    <definedName name="MESES" localSheetId="20">#REF!</definedName>
    <definedName name="meses">#REF!</definedName>
    <definedName name="MEZASF">#REF!</definedName>
    <definedName name="MEZCL">[18]INSUMOS!$D$158</definedName>
    <definedName name="MEZCLADORA">#REF!</definedName>
    <definedName name="mf" localSheetId="20">#REF!</definedName>
    <definedName name="mf">#REF!</definedName>
    <definedName name="mfgjrdt" localSheetId="20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0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hg" localSheetId="20">#REF!</definedName>
    <definedName name="mhg">#REF!</definedName>
    <definedName name="mht" localSheetId="20">#REF!</definedName>
    <definedName name="mht">#REF!</definedName>
    <definedName name="mhy" localSheetId="20">#REF!</definedName>
    <definedName name="mhy">#REF!</definedName>
    <definedName name="MI">#REF!,#REF!,#REF!,#REF!,#REF!,#REF!,#REF!</definedName>
    <definedName name="Mínimo">#REF!</definedName>
    <definedName name="mjmj" localSheetId="20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0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0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20">#REF!</definedName>
    <definedName name="mju">#REF!</definedName>
    <definedName name="mku" localSheetId="20">#REF!</definedName>
    <definedName name="mku">#REF!</definedName>
    <definedName name="ML">#REF!,#REF!,#REF!,#REF!,#REF!,#REF!,#REF!</definedName>
    <definedName name="mm" localSheetId="20">#REF!</definedName>
    <definedName name="mm">#REF!</definedName>
    <definedName name="mmjmjh" localSheetId="20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0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0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0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0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0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">'[46]CIRCUITOS CODENSA'!#REF!</definedName>
    <definedName name="MOA" localSheetId="20" hidden="1">{#N/A,#N/A,FALSE,"Hoja1";#N/A,#N/A,FALSE,"Hoja2"}</definedName>
    <definedName name="MOA" hidden="1">{#N/A,#N/A,FALSE,"Hoja1";#N/A,#N/A,FALSE,"Hoja2"}</definedName>
    <definedName name="mobra">'[30]precios-básicos2002'!$C$131:$E$140</definedName>
    <definedName name="MODIVejec" localSheetId="20" hidden="1">{#N/A,#N/A,FALSE,"Hoja1";#N/A,#N/A,FALSE,"Hoja2"}</definedName>
    <definedName name="MODIVejec" hidden="1">{#N/A,#N/A,FALSE,"Hoja1";#N/A,#N/A,FALSE,"Hoja2"}</definedName>
    <definedName name="MOE" localSheetId="20" hidden="1">{#N/A,#N/A,FALSE,"Hoja1";#N/A,#N/A,FALSE,"Hoja2"}</definedName>
    <definedName name="MOE" hidden="1">{#N/A,#N/A,FALSE,"Hoja1";#N/A,#N/A,FALSE,"Hoja2"}</definedName>
    <definedName name="Montenegro">#REF!</definedName>
    <definedName name="MORT13">#REF!</definedName>
    <definedName name="MOTO">#REF!</definedName>
    <definedName name="motosierra">[57]Mater!#REF!</definedName>
    <definedName name="mr" localSheetId="20">#REF!</definedName>
    <definedName name="mr">#REF!</definedName>
    <definedName name="MU">'[46]CIRCUITOS CODENSA'!#REF!</definedName>
    <definedName name="MUROCV">#REF!</definedName>
    <definedName name="MURTOLETE">#REF!</definedName>
    <definedName name="MZ">'[46]CIRCUITOS CODENSA'!#REF!</definedName>
    <definedName name="n" localSheetId="20" hidden="1">{"via1",#N/A,TRUE,"general";"via2",#N/A,TRUE,"general";"via3",#N/A,TRUE,"general"}</definedName>
    <definedName name="n" localSheetId="2" hidden="1">{"via1",#N/A,TRUE,"general";"via2",#N/A,TRUE,"general";"via3",#N/A,TRUE,"general"}</definedName>
    <definedName name="N">IF(ISERROR(NA),"",NA)</definedName>
    <definedName name="NANA" hidden="1">#REF!</definedName>
    <definedName name="nb" localSheetId="20">#REF!</definedName>
    <definedName name="nb">#REF!</definedName>
    <definedName name="nbv" localSheetId="20">#REF!</definedName>
    <definedName name="nbv">#REF!</definedName>
    <definedName name="nbvnv" localSheetId="20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0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 localSheetId="20">#REF!</definedName>
    <definedName name="nece.cab">#REF!</definedName>
    <definedName name="NEWJ">#REF!</definedName>
    <definedName name="nf" localSheetId="20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0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0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20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0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G" localSheetId="20">#REF!</definedName>
    <definedName name="NHG">#REF!</definedName>
    <definedName name="nhn" localSheetId="20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0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0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nguno">#REF!</definedName>
    <definedName name="NJH" localSheetId="20">#REF!</definedName>
    <definedName name="NJH">#REF!</definedName>
    <definedName name="nm" localSheetId="20">#REF!</definedName>
    <definedName name="NM">#REF!</definedName>
    <definedName name="nmmmm" localSheetId="20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0" hidden="1">{"TAB1",#N/A,TRUE,"GENERAL";"TAB2",#N/A,TRUE,"GENERAL";"TAB3",#N/A,TRUE,"GENERAL";"TAB4",#N/A,TRUE,"GENERAL";"TAB5",#N/A,TRUE,"GENERAL"}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0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0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localSheetId="3">[15]!absc</definedName>
    <definedName name="nnn" hidden="1">{"TAB1",#N/A,TRUE,"GENERAL";"TAB2",#N/A,TRUE,"GENERAL";"TAB3",#N/A,TRUE,"GENERAL";"TAB4",#N/A,TRUE,"GENERAL";"TAB5",#N/A,TRUE,"GENERAL"}</definedName>
    <definedName name="nnnhd" localSheetId="20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0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0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0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0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>[3]!err</definedName>
    <definedName name="NoFacturable">#REF!</definedName>
    <definedName name="NOMBRE" localSheetId="20">#REF!</definedName>
    <definedName name="NOMBRE">#REF!</definedName>
    <definedName name="Norte">#REF!</definedName>
    <definedName name="NOV">#REF!</definedName>
    <definedName name="nr" localSheetId="20">#REF!</definedName>
    <definedName name="nr">#REF!</definedName>
    <definedName name="nt" localSheetId="20">#REF!</definedName>
    <definedName name="nt">#REF!</definedName>
    <definedName name="Nueva">#REF!</definedName>
    <definedName name="NUEVO">#REF!</definedName>
    <definedName name="Num_Pmt_Per_Year" localSheetId="20">#REF!</definedName>
    <definedName name="Num_Pmt_Per_Year">#REF!</definedName>
    <definedName name="Number_of_Payments" localSheetId="20">MATCH(0.01,'CONCRETOS Y MORTEROS '!End_Bal,-1)+1</definedName>
    <definedName name="Number_of_Payments">MATCH(0.01,End_Bal,-1)+1</definedName>
    <definedName name="NUNI">#REF!</definedName>
    <definedName name="nxn" localSheetId="20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l" localSheetId="20">#REF!</definedName>
    <definedName name="ñl">#REF!</definedName>
    <definedName name="ññ" localSheetId="20">#REF!</definedName>
    <definedName name="ññ">#REF!</definedName>
    <definedName name="ÑÑÑ" localSheetId="20">#REF!</definedName>
    <definedName name="ÑÑÑ">#REF!</definedName>
    <definedName name="ñok" localSheetId="20">#REF!</definedName>
    <definedName name="ñok">#REF!</definedName>
    <definedName name="ñp" localSheetId="20">#REF!</definedName>
    <definedName name="ñp">#REF!</definedName>
    <definedName name="ñpñpñ" localSheetId="20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ñpo" localSheetId="20">#REF!</definedName>
    <definedName name="ñpo">#REF!</definedName>
    <definedName name="º1">#REF!</definedName>
    <definedName name="o9o9" localSheetId="20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[23]PRESUPUESTO!$C$10</definedName>
    <definedName name="Obra" localSheetId="20">#REF!</definedName>
    <definedName name="Obra">[63]Datos!$B$1</definedName>
    <definedName name="obras" localSheetId="20" hidden="1">#REF!</definedName>
    <definedName name="OBRAS">#REF!</definedName>
    <definedName name="obras11" hidden="1">#REF!</definedName>
    <definedName name="OBRERO">[52]CUADRILLAS!$C$21</definedName>
    <definedName name="OBSERV" localSheetId="20">#REF!</definedName>
    <definedName name="OBSERV">#REF!</definedName>
    <definedName name="OCT">#REF!</definedName>
    <definedName name="OCTUBRE" localSheetId="2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FI">#REF!</definedName>
    <definedName name="ofic">'salarios y prestaciones'!$I$10</definedName>
    <definedName name="OFICIAL">[52]CUADRILLAS!$C$22</definedName>
    <definedName name="Oficina">#REF!</definedName>
    <definedName name="oiret" localSheetId="20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0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0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o" localSheetId="20">#REF!</definedName>
    <definedName name="oo">#REF!</definedName>
    <definedName name="ooo" localSheetId="20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 localSheetId="3">#REF!</definedName>
    <definedName name="ooo" hidden="1">{"via1",#N/A,TRUE,"general";"via2",#N/A,TRUE,"general";"via3",#N/A,TRUE,"general"}</definedName>
    <definedName name="ooooiii" localSheetId="20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0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rigenConsultoria">#REF!</definedName>
    <definedName name="OrigenObra">#REF!</definedName>
    <definedName name="ORIGINAL" localSheetId="2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">#REF!</definedName>
    <definedName name="OROZCO" hidden="1">[5]INST!#REF!</definedName>
    <definedName name="os" localSheetId="20">#REF!</definedName>
    <definedName name="os">#REF!</definedName>
    <definedName name="OSCAR" hidden="1">#REF!</definedName>
    <definedName name="otros">[76]otros!$A$6:$A$1235</definedName>
    <definedName name="OTROS_2">[77]otros!$A$6:$A$1235</definedName>
    <definedName name="p">[76]otros!$A$6:$A$1235</definedName>
    <definedName name="p0p0" localSheetId="20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1_">#REF!</definedName>
    <definedName name="P2_">#REF!</definedName>
    <definedName name="P3_">#REF!</definedName>
    <definedName name="P4_">#REF!</definedName>
    <definedName name="P5_">#REF!</definedName>
    <definedName name="P6_">#REF!</definedName>
    <definedName name="P7_">#REF!</definedName>
    <definedName name="P8_">#REF!</definedName>
    <definedName name="PA">[67]PRESUPUESTO!#REF!</definedName>
    <definedName name="PAG">#N/A</definedName>
    <definedName name="PALETEROS">[52]CUADRILLAS!$C$25</definedName>
    <definedName name="Paraguaycito">#REF!</definedName>
    <definedName name="PARAMETROS">#N/A</definedName>
    <definedName name="PARBOX">#REF!</definedName>
    <definedName name="pasamanos">#REF!</definedName>
    <definedName name="PATIOS">[105]INDICE!$A$9:$G$290</definedName>
    <definedName name="pav" localSheetId="20">#REF!</definedName>
    <definedName name="pav">#REF!</definedName>
    <definedName name="pavimento">#REF!</definedName>
    <definedName name="PAVRIG20">#REF!</definedName>
    <definedName name="Pay_Date" localSheetId="20">#REF!</definedName>
    <definedName name="Pay_Date">#REF!</definedName>
    <definedName name="Pay_Num" localSheetId="20">#REF!</definedName>
    <definedName name="Pay_Num">#REF!</definedName>
    <definedName name="Payment_Date" localSheetId="20">DATE(YEAR('CONCRETOS Y MORTEROS '!Loan_Start),MONTH('CONCRETOS Y MORTEROS '!Loan_Start)+Payment_Number,DAY('CONCRETOS Y MORTEROS '!Loan_Start))</definedName>
    <definedName name="Payment_Date">DATE(YEAR(Loan_Start),MONTH(Loan_Start)+Payment_Number,DAY(Loan_Start))</definedName>
    <definedName name="PAZ">[106]INDICE!$A$3:$F$9</definedName>
    <definedName name="PB">[67]PRESUPUESTO!#REF!</definedName>
    <definedName name="PC">[67]PRESUPUESTO!#REF!</definedName>
    <definedName name="PE">[67]PRESUPUESTO!#REF!</definedName>
    <definedName name="PEPE">[3]!err</definedName>
    <definedName name="PER_PAV">#REF!</definedName>
    <definedName name="periodo" localSheetId="20">#REF!</definedName>
    <definedName name="periodo">#REF!</definedName>
    <definedName name="PersonalProfesional">#REF!</definedName>
    <definedName name="PersonalTecnico">#REF!</definedName>
    <definedName name="PESO14.2">#REF!</definedName>
    <definedName name="PESO14.3">#REF!</definedName>
    <definedName name="PESO14.4">#REF!</definedName>
    <definedName name="PILOTE" localSheetId="20">#REF!</definedName>
    <definedName name="PILOTE">#REF!</definedName>
    <definedName name="Pinos">#REF!</definedName>
    <definedName name="pk">#REF!</definedName>
    <definedName name="PKHK" localSheetId="20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0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">[67]PRESUPUESTO!#REF!</definedName>
    <definedName name="PLACALIG50">'[18]A.P.U.'!$G$482</definedName>
    <definedName name="PLAD" localSheetId="20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>[38]BASES!$E$27</definedName>
    <definedName name="PlazoAIU">#REF!</definedName>
    <definedName name="PlazoEnMeses">#REF!</definedName>
    <definedName name="PLDM">[83]INSUMOS!$D$683</definedName>
    <definedName name="Plegable">#REF!</definedName>
    <definedName name="PLPLUNN" localSheetId="20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T">#REF!</definedName>
    <definedName name="pñ" localSheetId="20">#REF!</definedName>
    <definedName name="pñ">#REF!</definedName>
    <definedName name="po" localSheetId="20">#REF!</definedName>
    <definedName name="po">#REF!</definedName>
    <definedName name="POCA" localSheetId="20">'[16]U-P1'!$D$12:$D$18,'[16]U-P1'!$D$22:$D$31,'[16]U-P1'!$C$35:$D$38,'[16]U-P1'!$C$42:$D$50,'[16]U-P1'!#REF!,'[16]U-P1'!#REF!,'[16]U-P1'!#REF!,'[16]U-P1'!#REF!,'[16]U-P1'!$D$68:$D$74,'[16]U-P1'!$D$78:$D$87,'[16]U-P1'!$C$91:$D$94,'[16]U-P1'!$C$98:$D$106,'[16]U-P1'!#REF!,'[16]U-P1'!#REF!,'[16]U-P1'!#REF!,'[16]U-P1'!#REF!,'[16]U-P1'!$D$124:$D$130,'[16]U-P1'!$D$134:$D$143,'[16]U-P1'!$C$147:$D$150</definedName>
    <definedName name="POCA">'[16]U-P1'!$D$12:$D$18,'[16]U-P1'!$D$22:$D$31,'[16]U-P1'!$C$35:$D$38,'[16]U-P1'!$C$42:$D$50,'[16]U-P1'!#REF!,'[16]U-P1'!#REF!,'[16]U-P1'!#REF!,'[16]U-P1'!#REF!,'[16]U-P1'!$D$68:$D$74,'[16]U-P1'!$D$78:$D$87,'[16]U-P1'!$C$91:$D$94,'[16]U-P1'!$C$98:$D$106,'[16]U-P1'!#REF!,'[16]U-P1'!#REF!,'[16]U-P1'!#REF!,'[16]U-P1'!#REF!,'[16]U-P1'!$D$124:$D$130,'[16]U-P1'!$D$134:$D$143,'[16]U-P1'!$C$147:$D$150</definedName>
    <definedName name="POCETAS" localSheetId="20">#REF!</definedName>
    <definedName name="POCETAS">#REF!</definedName>
    <definedName name="POF">#REF!</definedName>
    <definedName name="poi" localSheetId="20">#REF!</definedName>
    <definedName name="poi">#REF!</definedName>
    <definedName name="POIUP" localSheetId="20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O" localSheetId="20">#REF!</definedName>
    <definedName name="POO">#REF!</definedName>
    <definedName name="popop" localSheetId="20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0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20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[39]BASES!$E$26</definedName>
    <definedName name="pouig" localSheetId="20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">#REF!</definedName>
    <definedName name="POZO">#REF!</definedName>
    <definedName name="POZO1.2">#REF!</definedName>
    <definedName name="POZOS">#REF!</definedName>
    <definedName name="pp" localSheetId="20">#REF!</definedName>
    <definedName name="pp">#REF!</definedName>
    <definedName name="ppp" localSheetId="20">#REF!</definedName>
    <definedName name="ppp">#REF!</definedName>
    <definedName name="pppp" localSheetId="20">#REF!</definedName>
    <definedName name="pppp">#REF!</definedName>
    <definedName name="ppppp9" localSheetId="20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0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0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20">#REF!</definedName>
    <definedName name="PRE" localSheetId="3">#REF!</definedName>
    <definedName name="pre">#REF!</definedName>
    <definedName name="PRECIO">[107]PRECIOS!$A$5:$M$161</definedName>
    <definedName name="precio2" localSheetId="20">#REF!</definedName>
    <definedName name="precio2">#REF!</definedName>
    <definedName name="precios" localSheetId="20">#REF!</definedName>
    <definedName name="precios">#REF!</definedName>
    <definedName name="PRELIMINAR">#REF!</definedName>
    <definedName name="PREST">#REF!</definedName>
    <definedName name="prestaciones">[30]DATOS!$B$14</definedName>
    <definedName name="PrestacionesSeguridadOtros">#REF!</definedName>
    <definedName name="PRESUPUESTADO">#REF!</definedName>
    <definedName name="PRIMER" localSheetId="20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20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20">#REF!</definedName>
    <definedName name="Princ">#REF!</definedName>
    <definedName name="Print_Area_MI" localSheetId="20">#REF!</definedName>
    <definedName name="Print_Area_MI">#REF!</definedName>
    <definedName name="Print_Area_Reset" localSheetId="20">OFFSET('CONCRETOS Y MORTEROS '!Full_Print,0,0,[108]!Last_Row)</definedName>
    <definedName name="Print_Area_Reset">OFFSET(Full_Print,0,0,Last_Row)</definedName>
    <definedName name="PRINT_TITLES_MI">#N/A</definedName>
    <definedName name="Profesional">#REF!</definedName>
    <definedName name="PrOfic">[38]BASES!$B$31</definedName>
    <definedName name="programainv">[3]!err</definedName>
    <definedName name="PROP">[35]DATOS!$D$7</definedName>
    <definedName name="PROPONE">#REF!</definedName>
    <definedName name="Proponente" localSheetId="20">#REF!</definedName>
    <definedName name="Proponente">#REF!</definedName>
    <definedName name="PROYECCION">#REF!</definedName>
    <definedName name="prs" localSheetId="20" hidden="1">{#N/A,#N/A,FALSE,"310.1";#N/A,#N/A,FALSE,"321.1";#N/A,#N/A,FALSE,"320.3";#N/A,#N/A,FALSE,"330.1"}</definedName>
    <definedName name="prs" hidden="1">{#N/A,#N/A,FALSE,"310.1";#N/A,#N/A,FALSE,"321.1";#N/A,#N/A,FALSE,"320.3";#N/A,#N/A,FALSE,"330.1"}</definedName>
    <definedName name="PRUEBA" localSheetId="20">#N/A</definedName>
    <definedName name="prueba">#REF!</definedName>
    <definedName name="prueba1">[109]!absc</definedName>
    <definedName name="PRUEBA2" localSheetId="20">#REF!</definedName>
    <definedName name="PRUEBA2">#REF!</definedName>
    <definedName name="PTAR" localSheetId="2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0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0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UERTAS_PISO_1">#REF!</definedName>
    <definedName name="PUERTAS_PISO_2">#REF!</definedName>
    <definedName name="PUERTAS_PISO_3">#REF!</definedName>
    <definedName name="PUERTAS_PISO_4">#REF!</definedName>
    <definedName name="PUERTAS_PISO_5">#REF!</definedName>
    <definedName name="PUERTAS_Y_VENTANAS">#REF!</definedName>
    <definedName name="PUNT">[33]INSUMOS!$D$688</definedName>
    <definedName name="q" localSheetId="20" hidden="1">{"via1",#N/A,TRUE,"general";"via2",#N/A,TRUE,"general";"via3",#N/A,TRUE,"general"}</definedName>
    <definedName name="q" localSheetId="2" hidden="1">{"via1",#N/A,TRUE,"general";"via2",#N/A,TRUE,"general";"via3",#N/A,TRUE,"general"}</definedName>
    <definedName name="Q">#REF!</definedName>
    <definedName name="q1q1q" localSheetId="20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0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0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0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defqfqwreqwerqw">[27]Insumos!#REF!</definedName>
    <definedName name="qedcd" localSheetId="20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0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0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q" localSheetId="20">#REF!</definedName>
    <definedName name="qq">#REF!</definedName>
    <definedName name="qqq">#REF!</definedName>
    <definedName name="qqqqqw" localSheetId="20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uimbaya">#REF!</definedName>
    <definedName name="qw" localSheetId="20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0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20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[3]!err</definedName>
    <definedName name="qwewertet" localSheetId="20" hidden="1">{#N/A,#N/A,TRUE,"1842CWN0"}</definedName>
    <definedName name="qwewertet" hidden="1">{#N/A,#N/A,TRUE,"1842CWN0"}</definedName>
    <definedName name="qwqwqwj" localSheetId="20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JON">#REF!</definedName>
    <definedName name="RANA">[18]INSUMOS!$D$168</definedName>
    <definedName name="RASTRILLEROS">[52]CUADRILLAS!$C$26</definedName>
    <definedName name="RD_Restrepo" localSheetId="20">#REF!</definedName>
    <definedName name="RD_Restrepo">#REF!</definedName>
    <definedName name="rds" localSheetId="20">#REF!</definedName>
    <definedName name="rds">#REF!</definedName>
    <definedName name="RECEBO">#REF!</definedName>
    <definedName name="RECURSOS">'[110]REC-COD,'!$A$1:$D$962</definedName>
    <definedName name="REFPISC">#REF!</definedName>
    <definedName name="REG">'[101]Estado Resumen'!XFC1&gt;2.5</definedName>
    <definedName name="REGBT">#N/A</definedName>
    <definedName name="rege" localSheetId="20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 localSheetId="20">[50]CARRETERAS!$A$2</definedName>
    <definedName name="Regional">#REF!</definedName>
    <definedName name="regresd" localSheetId="20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0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'[102]ESTADO VÍA-CRIT.TECNICO'!XFC1&gt;2.5</definedName>
    <definedName name="REGULAR4006" localSheetId="20">#REF!</definedName>
    <definedName name="REGULAR4006">#REF!</definedName>
    <definedName name="REGULAR4006A" localSheetId="20">#REF!</definedName>
    <definedName name="REGULAR4006A">#REF!</definedName>
    <definedName name="REGULAR40CN01" localSheetId="20">#REF!</definedName>
    <definedName name="REGULAR40CN01">#REF!</definedName>
    <definedName name="REGULAR40CNA" localSheetId="20">#REF!</definedName>
    <definedName name="REGULAR40CNA">#REF!</definedName>
    <definedName name="REGULAR40CNB" localSheetId="20">#REF!</definedName>
    <definedName name="REGULAR40CNB">#REF!</definedName>
    <definedName name="REGULAR55CN01" localSheetId="20">#REF!</definedName>
    <definedName name="REGULAR55CN01">#REF!</definedName>
    <definedName name="REGULAR55CN03" localSheetId="20">#REF!</definedName>
    <definedName name="REGULAR55CN03">#REF!</definedName>
    <definedName name="REGULAR5607" localSheetId="20">#REF!</definedName>
    <definedName name="REGULAR5607">#REF!</definedName>
    <definedName name="REGULARAFIR5607" localSheetId="20">#REF!</definedName>
    <definedName name="REGULARAFIR5607">#REF!</definedName>
    <definedName name="REICIO">[3]!err</definedName>
    <definedName name="reinicio">[3]!err</definedName>
    <definedName name="REJHE" localSheetId="20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0">#REF!</definedName>
    <definedName name="rell">#REF!</definedName>
    <definedName name="RELLG" localSheetId="20">#REF!</definedName>
    <definedName name="RELLG">#REF!</definedName>
    <definedName name="rer" localSheetId="20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0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0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0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'[50]GENERALIDADES '!$E$9</definedName>
    <definedName name="Resistenciaconductor">[65]Modelo!#REF!</definedName>
    <definedName name="RESTIT">#REF!</definedName>
    <definedName name="RESU" localSheetId="20">#REF!</definedName>
    <definedName name="RESU">#REF!</definedName>
    <definedName name="RESUMEN">#N/A</definedName>
    <definedName name="Retenc">[38]BASES!$E$31</definedName>
    <definedName name="RETIROV">#REF!</definedName>
    <definedName name="RETRO">#REF!</definedName>
    <definedName name="RETT">#REF!</definedName>
    <definedName name="RETTRE" localSheetId="20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0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0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0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0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0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0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0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0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0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localSheetId="20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20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0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0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0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0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O" localSheetId="20">IF('CONCRETOS Y MORTEROS '!Loan_Amount*'CONCRETOS Y MORTEROS '!Interest_Rate*'CONCRETOS Y MORTEROS '!Loan_Years*'CONCRETOS Y MORTEROS '!Loan_Start&gt;0,1,0)</definedName>
    <definedName name="RICO">IF(Loan_Amount*Interest_Rate*Loan_Years*Loan_Start&gt;0,1,0)</definedName>
    <definedName name="rj" localSheetId="20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0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0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0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0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0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 localSheetId="20">#REF!</definedName>
    <definedName name="rl">#REF!</definedName>
    <definedName name="rlo" localSheetId="20">#REF!</definedName>
    <definedName name="rlo">#REF!</definedName>
    <definedName name="rm" localSheetId="20">#REF!</definedName>
    <definedName name="rm">#REF!</definedName>
    <definedName name="rñ" localSheetId="20">#REF!</definedName>
    <definedName name="rñ">#REF!</definedName>
    <definedName name="rr" localSheetId="20">#REF!</definedName>
    <definedName name="rr">#REF!</definedName>
    <definedName name="RRC">#REF!</definedName>
    <definedName name="rrr" localSheetId="20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b" localSheetId="20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0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0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20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20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0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0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0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0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0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0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0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0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0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0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0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0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0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0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0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0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0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0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" localSheetId="20">#REF!</definedName>
    <definedName name="rty">#REF!</definedName>
    <definedName name="rtyhr" localSheetId="20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0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0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0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0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0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0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0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A" localSheetId="20">DATE(YEAR([3]!Loan_Start),MONTH([3]!Loan_Start)+Payment_Number,DAY([3]!Loan_Start))</definedName>
    <definedName name="RUTA">DATE(YEAR([3]!Loan_Start),MONTH([3]!Loan_Start)+Payment_Number,DAY([3]!Loan_Start))</definedName>
    <definedName name="rutu" localSheetId="20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">[111]items!$C$4:$J$248</definedName>
    <definedName name="rwt" localSheetId="20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0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0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0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0">[3]!err</definedName>
    <definedName name="S">#REF!</definedName>
    <definedName name="SA">[67]PRESUPUESTO!#REF!</definedName>
    <definedName name="saa" localSheetId="20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0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0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0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0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0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0">[3]!err</definedName>
    <definedName name="Salarios">#REF!</definedName>
    <definedName name="SalMinimo">[38]BASES!$E$41</definedName>
    <definedName name="sara">#REF!</definedName>
    <definedName name="SARD40">#REF!</definedName>
    <definedName name="SARDINELV">#REF!</definedName>
    <definedName name="SB">[67]PRESUPUESTO!#REF!</definedName>
    <definedName name="sbe" localSheetId="20">#REF!</definedName>
    <definedName name="sbe">#REF!</definedName>
    <definedName name="sbgfbgdr" localSheetId="20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tPpto">[89]PRESUPUESTO!$G$455</definedName>
    <definedName name="sc" localSheetId="20">#REF!</definedName>
    <definedName name="SC">[67]PRESUPUESTO!#REF!</definedName>
    <definedName name="Sched_Pay" localSheetId="20">#REF!</definedName>
    <definedName name="Sched_Pay">#REF!</definedName>
    <definedName name="Scheduled_Extra_Payments" localSheetId="20">#REF!</definedName>
    <definedName name="Scheduled_Extra_Payments">#REF!</definedName>
    <definedName name="Scheduled_Interest_Rate" localSheetId="20">#REF!</definedName>
    <definedName name="Scheduled_Interest_Rate">#REF!</definedName>
    <definedName name="Scheduled_Monthly_Payment" localSheetId="20">#REF!</definedName>
    <definedName name="Scheduled_Monthly_Payment">#REF!</definedName>
    <definedName name="sd" localSheetId="20" hidden="1">{"TAB1",#N/A,TRUE,"GENERAL";"TAB2",#N/A,TRUE,"GENERAL";"TAB3",#N/A,TRUE,"GENERAL";"TAB4",#N/A,TRUE,"GENERAL";"TAB5",#N/A,TRUE,"GENERAL"}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0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0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0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0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20" hidden="1">{#N/A,#N/A,TRUE,"1842CWN0"}</definedName>
    <definedName name="SDDSAFF" hidden="1">{#N/A,#N/A,TRUE,"1842CWN0"}</definedName>
    <definedName name="SDE" localSheetId="20">#REF!</definedName>
    <definedName name="SDE">#REF!</definedName>
    <definedName name="sdf">#REF!</definedName>
    <definedName name="SDFCE" localSheetId="20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0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20" hidden="1">{#N/A,#N/A,TRUE,"1842CWN0"}</definedName>
    <definedName name="SDFDG" hidden="1">{#N/A,#N/A,TRUE,"1842CWN0"}</definedName>
    <definedName name="sdfds" localSheetId="20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0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0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0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0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0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0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0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0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0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0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2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20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0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0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0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0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0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0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0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0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20" hidden="1">{#N/A,#N/A,TRUE,"1842CWN0"}</definedName>
    <definedName name="sdsdfsdff" hidden="1">{#N/A,#N/A,TRUE,"1842CWN0"}</definedName>
    <definedName name="SE" localSheetId="20">[112]Datos!$B$3:$D$72</definedName>
    <definedName name="SE">[67]PRESUPUESTO!#REF!</definedName>
    <definedName name="SECTOR" localSheetId="20">#REF!</definedName>
    <definedName name="SECTOR">#REF!</definedName>
    <definedName name="segundo" localSheetId="20">'[26]ESTADO RED'!#REF!</definedName>
    <definedName name="segundo">'[26]ESTADO RED'!#REF!</definedName>
    <definedName name="SEÑP">[113]TOTAL!$I$43</definedName>
    <definedName name="SEP">#REF!</definedName>
    <definedName name="SERO">[3]!err</definedName>
    <definedName name="setrj" localSheetId="20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0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'[46]CIRCUITOS CODENSA'!#REF!</definedName>
    <definedName name="sfasf" localSheetId="20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0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0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0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0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0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I_V_INDICES_CIRCUITO_CAUSA">#REF!</definedName>
    <definedName name="si" localSheetId="20">#REF!</definedName>
    <definedName name="si">#REF!</definedName>
    <definedName name="SIKA1">#REF!</definedName>
    <definedName name="SISISIS">[3]!err</definedName>
    <definedName name="SJ">'[46]CIRCUITOS CODENSA'!#REF!</definedName>
    <definedName name="sk" localSheetId="20">#REF!</definedName>
    <definedName name="sk">#REF!</definedName>
    <definedName name="SL">[67]PRESUPUESTO!#REF!</definedName>
    <definedName name="sm" localSheetId="20">#REF!</definedName>
    <definedName name="SM">'[46]CIRCUITOS CODENSA'!#REF!</definedName>
    <definedName name="sn" localSheetId="20">#REF!</definedName>
    <definedName name="sn">#REF!</definedName>
    <definedName name="snw" localSheetId="20">#REF!</definedName>
    <definedName name="snw">#REF!</definedName>
    <definedName name="sñ" localSheetId="20">#REF!</definedName>
    <definedName name="sñ">#REF!</definedName>
    <definedName name="so" localSheetId="20">#REF!</definedName>
    <definedName name="so">#REF!</definedName>
    <definedName name="SOCIAL">#REF!</definedName>
    <definedName name="SOLAD">#REF!</definedName>
    <definedName name="soladov">#REF!</definedName>
    <definedName name="sr" localSheetId="20">#REF!</definedName>
    <definedName name="sr">#REF!</definedName>
    <definedName name="srwrwr" localSheetId="20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0">#REF!</definedName>
    <definedName name="Ss">#REF!</definedName>
    <definedName name="sss" localSheetId="20">#REF!</definedName>
    <definedName name="sss">#REF!</definedName>
    <definedName name="SSSS">[3]!err</definedName>
    <definedName name="sssss7" localSheetId="20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0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S" localSheetId="20">IF('CONCRETOS Y MORTEROS '!Loan_Amount*'CONCRETOS Y MORTEROS '!Interest_Rate*'CONCRETOS Y MORTEROS '!Loan_Years*'CONCRETOS Y MORTEROS '!Loan_Start&gt;0,1,0)</definedName>
    <definedName name="SSSSSSS">IF(Loan_Amount*Interest_Rate*Loan_Years*Loan_Start&gt;0,1,0)</definedName>
    <definedName name="sssssy" localSheetId="20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EEL">'[18]A.P.U.'!$G$453</definedName>
    <definedName name="stt" localSheetId="20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">'[46]CIRCUITOS CODENSA'!#REF!</definedName>
    <definedName name="SUBA">#REF!</definedName>
    <definedName name="SUBB">#REF!</definedName>
    <definedName name="SUBBASE">#REF!</definedName>
    <definedName name="SUBESTACIONES">'[114]OBRAS SES'!#REF!</definedName>
    <definedName name="SUBPRODUCTOS">#REF!</definedName>
    <definedName name="SUBR">#REF!</definedName>
    <definedName name="SUBTOTAL">#REF!</definedName>
    <definedName name="SUBTOTALMAT">'[67]2,2,6,1 Pilotes 0,30'!$I$19</definedName>
    <definedName name="suma">[115]Hoja1!$F$60</definedName>
    <definedName name="Summary" localSheetId="20">#REF!</definedName>
    <definedName name="Summary">#REF!</definedName>
    <definedName name="SUSTIT">#REF!</definedName>
    <definedName name="sw">[3]!err</definedName>
    <definedName name="swsw" localSheetId="20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0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" localSheetId="20">[9]!absc</definedName>
    <definedName name="t" localSheetId="3">[15]!absc</definedName>
    <definedName name="t">#REF!</definedName>
    <definedName name="T___2_.3_FC_2.2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POZ">#REF!</definedName>
    <definedName name="T2_RAS">#REF!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5t5" localSheetId="20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">[67]PRESUPUESTO!#REF!</definedName>
    <definedName name="TABLA" localSheetId="20">#REF!</definedName>
    <definedName name="TABLA" localSheetId="3">#REF!</definedName>
    <definedName name="TABLA">[33]INSUMOS!$D$793</definedName>
    <definedName name="TABLA_DE_CONTENIDO__A1" comment="VOLVER A TABLA DE CONTENIDO" localSheetId="20">#REF!</definedName>
    <definedName name="TABLA_DE_CONTENIDO__A1" comment="VOLVER A TABLA DE CONTENIDO">#REF!</definedName>
    <definedName name="tabla2">#REF!</definedName>
    <definedName name="TABLAB">[83]INSUMOS!$D$801</definedName>
    <definedName name="tabladatos">#REF!</definedName>
    <definedName name="TABLERO">[18]INSUMOS!$D$177</definedName>
    <definedName name="TACO">[18]INSUMOS!$D$179</definedName>
    <definedName name="TANQUE">#REF!</definedName>
    <definedName name="TARIFAS">[116]TARIFAS!$A$1:$F$52</definedName>
    <definedName name="Tasa_Cambio" localSheetId="20">[117]PRESUPUESTO!#REF!</definedName>
    <definedName name="Tasa_Cambio">[117]PRESUPUESTO!#REF!</definedName>
    <definedName name="tb" localSheetId="20">#REF!</definedName>
    <definedName name="TB">[67]PRESUPUESTO!#REF!</definedName>
    <definedName name="TC">[67]PRESUPUESTO!#REF!</definedName>
    <definedName name="TCD">'[118]Presupuesto '!$G$161</definedName>
    <definedName name="tdy" localSheetId="20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[67]PRESUPUESTO!#REF!</definedName>
    <definedName name="TECN" localSheetId="20">DATE(YEAR('CONCRETOS Y MORTEROS '!Loan_Start),MONTH('CONCRETOS Y MORTEROS '!Loan_Start)+Payment_Number,DAY('CONCRETOS Y MORTEROS '!Loan_Start))</definedName>
    <definedName name="TECN">DATE(YEAR(Loan_Start),MONTH(Loan_Start)+Payment_Number,DAY(Loan_Start))</definedName>
    <definedName name="Tecnico">#REF!</definedName>
    <definedName name="TELERA">[18]INSUMOS!$D$120</definedName>
    <definedName name="TER">[3]!err</definedName>
    <definedName name="TERM">[3]!err</definedName>
    <definedName name="TERMINADORA">#REF!</definedName>
    <definedName name="TÉRMINOS">[3]!err</definedName>
    <definedName name="TERR">[23]PRESUPUESTO!$I$7</definedName>
    <definedName name="tewst" localSheetId="20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0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h" localSheetId="20">#REF!</definedName>
    <definedName name="th">#REF!</definedName>
    <definedName name="thdh" localSheetId="20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20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[39]BASES!$E$27</definedName>
    <definedName name="TIPO">#REF!</definedName>
    <definedName name="TipoCosteo">#REF!</definedName>
    <definedName name="TipoCosteoNivelRiesgo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pov" localSheetId="20">#REF!</definedName>
    <definedName name="tipov">#REF!</definedName>
    <definedName name="TIT">#REF!</definedName>
    <definedName name="titi" localSheetId="20">IF('CONCRETOS Y MORTEROS '!Loan_Amount*'CONCRETOS Y MORTEROS '!Interest_Rate*'CONCRETOS Y MORTEROS '!Loan_Years*'CONCRETOS Y MORTEROS '!Loan_Start&gt;0,1,0)</definedName>
    <definedName name="titi">IF(Loan_Amount*Interest_Rate*Loan_Years*Loan_Start&gt;0,1,0)</definedName>
    <definedName name="TITO">#N/A</definedName>
    <definedName name="TITOF">#N/A</definedName>
    <definedName name="TITULO" localSheetId="20">#REF!</definedName>
    <definedName name="TITULO">#REF!</definedName>
    <definedName name="_xlnm.Print_Titles">#N/A</definedName>
    <definedName name="Títulos_a_imprimir_IM">#REF!</definedName>
    <definedName name="tj" localSheetId="20">#REF!</definedName>
    <definedName name="tj">#REF!</definedName>
    <definedName name="TK_1" hidden="1">[20]INST!#REF!</definedName>
    <definedName name="tl" localSheetId="20">#REF!</definedName>
    <definedName name="TL">[67]PRESUPUESTO!#REF!</definedName>
    <definedName name="tn" localSheetId="20">#REF!</definedName>
    <definedName name="tn">#REF!</definedName>
    <definedName name="To">#REF!</definedName>
    <definedName name="TOPO">#REF!</definedName>
    <definedName name="TOPOGRAFO">[52]CUADRILLAS!$C$28</definedName>
    <definedName name="tortas" localSheetId="20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0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0">#REF!</definedName>
    <definedName name="TOTAL" localSheetId="3">#REF!</definedName>
    <definedName name="Total">#REF!</definedName>
    <definedName name="Total_Interest" localSheetId="20">#REF!</definedName>
    <definedName name="Total_Interest">#REF!</definedName>
    <definedName name="Total_Kilometro_típico_aereo_11.4_kV">'[119]c2.5y2.6'!#REF!</definedName>
    <definedName name="Total_Kilometro_típico_aereo_34.5_kV">'[119]c2.5y2.6'!#REF!</definedName>
    <definedName name="Total_Kilometro_típico_aereo_rural_11.4kV">'[119]c2.5y2.6'!#REF!</definedName>
    <definedName name="Total_Kilometro_típico_aereo_rural_34.5kV">'[119]c2.5y2.6'!#REF!</definedName>
    <definedName name="Total_Kilometro_típico_subterraneo_11.4_kV">'[119]c2.5y2.6'!#REF!</definedName>
    <definedName name="Total_Kilometro_típico_subterraneo_34.5_kV">'[119]c2.5y2.6'!#REF!</definedName>
    <definedName name="Total_Pay" localSheetId="20">#REF!</definedName>
    <definedName name="Total_Pay">#REF!</definedName>
    <definedName name="Total_Payment" localSheetId="20">Scheduled_Payment+Extra_Payment</definedName>
    <definedName name="Total_Payment">Scheduled_Payment+Extra_Payment</definedName>
    <definedName name="TOTALAFIR4006" localSheetId="20">#REF!</definedName>
    <definedName name="TOTALAFIR4006">#REF!</definedName>
    <definedName name="TOTALAFIR4006A" localSheetId="20">#REF!</definedName>
    <definedName name="TOTALAFIR4006A">#REF!</definedName>
    <definedName name="TOTALAFIR40CN01" localSheetId="20">#REF!</definedName>
    <definedName name="TOTALAFIR40CN01">#REF!</definedName>
    <definedName name="TOTALAFIR55CN01" localSheetId="20">#REF!</definedName>
    <definedName name="TOTALAFIR55CN01">#REF!</definedName>
    <definedName name="TOTALAFIR55CN03" localSheetId="20">#REF!</definedName>
    <definedName name="TOTALAFIR55CN03">#REF!</definedName>
    <definedName name="TOTALAFIR5607" localSheetId="20">#REF!</definedName>
    <definedName name="TOTALAFIR5607">#REF!</definedName>
    <definedName name="TotalCalidad">#REF!</definedName>
    <definedName name="TotalCam">#REF!</definedName>
    <definedName name="TotalContratoConIva">'[64]COSTEO TOTAL OBRA'!$D$37</definedName>
    <definedName name="TotalContratoSinIVA">'[64]COSTEO TOTAL OBRA'!$D$33</definedName>
    <definedName name="TotalEns">#REF!</definedName>
    <definedName name="TotalEqu">#REF!</definedName>
    <definedName name="TotalImpuestosObra">#REF!</definedName>
    <definedName name="TotalNoFacturable">#REF!</definedName>
    <definedName name="TotalOfi">#REF!</definedName>
    <definedName name="TotalPaginaPersonal">#REF!</definedName>
    <definedName name="TOTALPAV4006" localSheetId="20">#REF!</definedName>
    <definedName name="TOTALPAV4006">#REF!</definedName>
    <definedName name="TOTALPAV4006A" localSheetId="20">#REF!</definedName>
    <definedName name="TOTALPAV4006A">#REF!</definedName>
    <definedName name="TOTALPAV40CN01" localSheetId="20">#REF!</definedName>
    <definedName name="TOTALPAV40CN01">#REF!</definedName>
    <definedName name="TOTALPAV40CNA" localSheetId="20">#REF!</definedName>
    <definedName name="TOTALPAV40CNA">#REF!</definedName>
    <definedName name="TOTALPAV40CNB" localSheetId="20">#REF!</definedName>
    <definedName name="TOTALPAV40CNB">#REF!</definedName>
    <definedName name="TOTALPAV55CN01" localSheetId="20">#REF!</definedName>
    <definedName name="TOTALPAV55CN01">#REF!</definedName>
    <definedName name="TOTALPAV55CN03" localSheetId="20">#REF!</definedName>
    <definedName name="TOTALPAV55CN03">#REF!</definedName>
    <definedName name="TOTALPAV55CNO3" localSheetId="20">#REF!</definedName>
    <definedName name="TOTALPAV55CNO3">#REF!</definedName>
    <definedName name="TOTALPAV5607" localSheetId="20">#REF!</definedName>
    <definedName name="TOTALPAV5607">#REF!</definedName>
    <definedName name="TotalPro">#REF!</definedName>
    <definedName name="TotalTec">#REF!</definedName>
    <definedName name="TotalTram">#REF!</definedName>
    <definedName name="TotalVia">#REF!</definedName>
    <definedName name="tr" localSheetId="20" hidden="1">{"TAB1",#N/A,TRUE,"GENERAL";"TAB2",#N/A,TRUE,"GENERAL";"TAB3",#N/A,TRUE,"GENERAL";"TAB4",#N/A,TRUE,"GENERAL";"TAB5",#N/A,TRUE,"GENERAL"}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B">[33]INSUMOS!$D$932</definedName>
    <definedName name="TRAFO">#N/A</definedName>
    <definedName name="Tramite">#REF!</definedName>
    <definedName name="TRAMO">#REF!</definedName>
    <definedName name="Transporte" localSheetId="20">#REF!</definedName>
    <definedName name="Transporte">[67]Trans!$A$12:$I$65</definedName>
    <definedName name="TRAT" localSheetId="20">[120]desmonte!$E$48</definedName>
    <definedName name="TRAT">[117]desmonte!$E$48</definedName>
    <definedName name="trest" localSheetId="20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0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0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0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ANG">#REF!</definedName>
    <definedName name="trimestre1">'[40]ESTADO RED'!$E$8</definedName>
    <definedName name="trjfgjh" localSheetId="20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'[16]Reajustes estimados'!$D$28</definedName>
    <definedName name="tru" localSheetId="20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0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0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0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0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0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0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0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0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 localSheetId="20">#REF!</definedName>
    <definedName name="tt">#REF!</definedName>
    <definedName name="TTA">[67]PRESUPUESTO!#REF!</definedName>
    <definedName name="TTB">[67]PRESUPUESTO!#REF!</definedName>
    <definedName name="TTC">[67]PRESUPUESTO!#REF!</definedName>
    <definedName name="TtCD">#REF!</definedName>
    <definedName name="TTE">[67]PRESUPUESTO!#REF!</definedName>
    <definedName name="TTL">[67]PRESUPUESTO!#REF!</definedName>
    <definedName name="TtlCD" localSheetId="20">[89]PRESUPUESTO!$G$483</definedName>
    <definedName name="TtlCD">[93]PRESUPUESTO!$G$541</definedName>
    <definedName name="TTR" localSheetId="20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0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0" hidden="1">{"TAB1",#N/A,TRUE,"GENERAL";"TAB2",#N/A,TRUE,"GENERAL";"TAB3",#N/A,TRUE,"GENERAL";"TAB4",#N/A,TRUE,"GENERAL";"TAB5",#N/A,TRUE,"GENERAL"}</definedName>
    <definedName name="ttt" localSheetId="2" hidden="1">{"TAB1",#N/A,TRUE,"GENERAL";"TAB2",#N/A,TRUE,"GENERAL";"TAB3",#N/A,TRUE,"GENERAL";"TAB4",#N/A,TRUE,"GENERAL";"TAB5",#N/A,TRUE,"GENERAL"}</definedName>
    <definedName name="TTT">#REF!</definedName>
    <definedName name="tttt7" localSheetId="20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0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0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0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0" hidden="1">{"via1",#N/A,TRUE,"general";"via2",#N/A,TRUE,"general";"via3",#N/A,TRUE,"general"}</definedName>
    <definedName name="tu" localSheetId="2" hidden="1">{"via1",#N/A,TRUE,"general";"via2",#N/A,TRUE,"general";"via3",#N/A,TRUE,"general"}</definedName>
    <definedName name="TU">'[46]CIRCUITOS CODENSA'!#REF!</definedName>
    <definedName name="TUBERIA" hidden="1">#REF!</definedName>
    <definedName name="TUBERIA1" hidden="1">#REF!</definedName>
    <definedName name="TUBO">#REF!</definedName>
    <definedName name="TUPI" localSheetId="20">MATCH(0.01,'CONCRETOS Y MORTEROS '!End_Bal,-1)+1</definedName>
    <definedName name="TUPI">MATCH(0.01,End_Bal,-1)+1</definedName>
    <definedName name="tur" localSheetId="20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0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20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0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0" hidden="1">{"via1",#N/A,TRUE,"general";"via2",#N/A,TRUE,"general";"via3",#N/A,TRUE,"general"}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0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0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0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0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0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0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0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0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0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 localSheetId="20">#REF!</definedName>
    <definedName name="tyu">#REF!</definedName>
    <definedName name="TYUIYI" localSheetId="20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0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0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0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0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0">#REF!</definedName>
    <definedName name="U">#REF!</definedName>
    <definedName name="u3u" localSheetId="20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0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ON">#REF!</definedName>
    <definedName name="Ubicación" localSheetId="20">#REF!</definedName>
    <definedName name="Ubicación">#REF!</definedName>
    <definedName name="UE">'[16]Reajustes estimados'!$G$14</definedName>
    <definedName name="UI" localSheetId="20" hidden="1">{"via1",#N/A,TRUE,"general";"via2",#N/A,TRUE,"general";"via3",#N/A,TRUE,"general"}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20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0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0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0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0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0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0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0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M" localSheetId="20">'[16]Reajustes estimados'!$G$15</definedName>
    <definedName name="UM">'[46]CIRCUITOS CODENSA'!#REF!</definedName>
    <definedName name="UMO">'[16]Reajustes estimados'!$G$17</definedName>
    <definedName name="UN_APU">IF(LEN([58]apu!XFB1)=2,"",IF([58]apu!XFB1="","",IF(ISERROR(SEARCH("-",[58]apu!$B1,3)),VLOOKUP([58]apu!$B1,[58]Insumos!XFD$1:B$65536,3,0),VLOOKUP([58]apu!XFB1,'[58]Ppto completo'!$D$1:$F$65536,3,FALSE))))</definedName>
    <definedName name="UN_AUX">IF([58]Auxiliares!$B1="","",VLOOKUP([58]Auxiliares!$B1,[58]Insumos!$D$1:$F$65536,3,FALSE))</definedName>
    <definedName name="UNIDAD1">[69]ITEMS!$C$2</definedName>
    <definedName name="UNIDAD521">[70]ITEMS!$C$522</definedName>
    <definedName name="Unidades">[121]Presup_Cancha!$J$14:$J$18</definedName>
    <definedName name="UNITARIO" localSheetId="20">[122]Unitarios!$A$3:$D$13</definedName>
    <definedName name="UNITARIO">[123]Unitarios!$A$3:$D$13</definedName>
    <definedName name="Unitarios" localSheetId="20">#REF!</definedName>
    <definedName name="Unitarios">#REF!</definedName>
    <definedName name="unj" hidden="1">[13]INST!#REF!</definedName>
    <definedName name="uno">[3]!err</definedName>
    <definedName name="UOUIV" localSheetId="20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>[3]!err</definedName>
    <definedName name="uryur" localSheetId="20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'[46]CIRCUITOS CODENSA'!#REF!</definedName>
    <definedName name="ut" localSheetId="20">#REF!</definedName>
    <definedName name="ut">#REF!</definedName>
    <definedName name="UTIL">#REF!</definedName>
    <definedName name="Utilidad" localSheetId="20">#REF!</definedName>
    <definedName name="Utilidad">#REF!</definedName>
    <definedName name="UtilidadObra">#REF!</definedName>
    <definedName name="Utilidadrev" localSheetId="20">#REF!</definedName>
    <definedName name="Utilidadrev">#REF!</definedName>
    <definedName name="UTJG">#REF!</definedName>
    <definedName name="UTL">[23]otros!$C$4</definedName>
    <definedName name="uu" localSheetId="20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0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0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0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20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 localSheetId="20">#REF!</definedName>
    <definedName name="uxd">#REF!</definedName>
    <definedName name="uy" localSheetId="20">#REF!</definedName>
    <definedName name="uy">#REF!</definedName>
    <definedName name="uyiyiy" localSheetId="20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0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0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0" hidden="1">{"TAB1",#N/A,TRUE,"GENERAL";"TAB2",#N/A,TRUE,"GENERAL";"TAB3",#N/A,TRUE,"GENERAL";"TAB4",#N/A,TRUE,"GENERAL";"TAB5",#N/A,TRUE,"GENERAL"}</definedName>
    <definedName name="v" localSheetId="2" hidden="1">{"TAB1",#N/A,TRUE,"GENERAL";"TAB2",#N/A,TRUE,"GENERAL";"TAB3",#N/A,TRUE,"GENERAL";"TAB4",#N/A,TRUE,"GENERAL";"TAB5",#N/A,TRUE,"GENERAL"}</definedName>
    <definedName name="v">#REF!</definedName>
    <definedName name="V1_">#REF!</definedName>
    <definedName name="V10_">#REF!</definedName>
    <definedName name="V11_">#REF!</definedName>
    <definedName name="V12_">#REF!</definedName>
    <definedName name="V13_">#REF!</definedName>
    <definedName name="V14_">#REF!</definedName>
    <definedName name="V15_">#REF!</definedName>
    <definedName name="V16_">#REF!</definedName>
    <definedName name="V17_">#REF!</definedName>
    <definedName name="V2_">#REF!</definedName>
    <definedName name="V3_">#REF!</definedName>
    <definedName name="V4_">#REF!</definedName>
    <definedName name="V5_">#REF!</definedName>
    <definedName name="V6_">#REF!</definedName>
    <definedName name="V7_">#REF!</definedName>
    <definedName name="V8_">#REF!</definedName>
    <definedName name="V9_">#REF!</definedName>
    <definedName name="VALDES">#REF!</definedName>
    <definedName name="valor1" localSheetId="20">#REF!</definedName>
    <definedName name="valor1">#REF!</definedName>
    <definedName name="valor2" localSheetId="20">#REF!</definedName>
    <definedName name="valor2">#REF!</definedName>
    <definedName name="VALOR3" localSheetId="20">#REF!</definedName>
    <definedName name="VALOR3">#REF!</definedName>
    <definedName name="Valoracion">#REF!</definedName>
    <definedName name="VALORACIÓN">#REF!</definedName>
    <definedName name="ValorTotConsultoria">#REF!</definedName>
    <definedName name="Values_Entered" localSheetId="20">IF('CONCRETOS Y MORTEROS '!Loan_Amount*'CONCRETOS Y MORTEROS '!Interest_Rate*'CONCRETOS Y MORTEROS '!Loan_Years*'CONCRETOS Y MORTEROS '!Loan_Start&gt;0,1,0)</definedName>
    <definedName name="Values_Entered">IF(Loan_Amount*Interest_Rate*Loan_Years*Loan_Start&gt;0,1,0)</definedName>
    <definedName name="VAMC">#REF!</definedName>
    <definedName name="VAMRF">'[18]A.P.U.'!$G$593</definedName>
    <definedName name="VAMURO">#REF!</definedName>
    <definedName name="variacion">[36]Datos!$B$8</definedName>
    <definedName name="vb" localSheetId="20">#REF!</definedName>
    <definedName name="vb">#REF!</definedName>
    <definedName name="vbvbvbvb" localSheetId="20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20">#REF!</definedName>
    <definedName name="vc">#REF!</definedName>
    <definedName name="VCANAL">'[18]A.P.U.'!$G$429</definedName>
    <definedName name="vck" localSheetId="20">#REF!</definedName>
    <definedName name="vck">#REF!</definedName>
    <definedName name="vcvvc" localSheetId="2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 localSheetId="20">#REF!</definedName>
    <definedName name="vd">#REF!</definedName>
    <definedName name="vdfvuio" localSheetId="20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0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">'[46]CIRCUITOS CODENSA'!#REF!</definedName>
    <definedName name="VentaAiu">#REF!</definedName>
    <definedName name="VENTANAS_PISO_1">#REF!</definedName>
    <definedName name="VENTANAS_PISO_2">#REF!</definedName>
    <definedName name="VENTANAS_PISO_3">#REF!</definedName>
    <definedName name="VENTANAS_PISO_4">#REF!</definedName>
    <definedName name="VENTANAS_PISO_5">#REF!</definedName>
    <definedName name="Version4OK" localSheetId="20" hidden="1">{"Datos de las Curvas",#N/A,TRUE,"TABLA-CALCULOS"}</definedName>
    <definedName name="Version4OK" localSheetId="2" hidden="1">{"Datos de las Curvas",#N/A,TRUE,"TABLA-CALCULOS"}</definedName>
    <definedName name="Version4OK" hidden="1">{"Datos de las Curvas",#N/A,TRUE,"TABLA-CALCULOS"}</definedName>
    <definedName name="vfbgnhyt" localSheetId="20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n" localSheetId="20">#REF!</definedName>
    <definedName name="vfn">#REF!</definedName>
    <definedName name="vfvdv" localSheetId="20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0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 localSheetId="20">#REF!</definedName>
    <definedName name="vg">#REF!</definedName>
    <definedName name="VI">'[46]CIRCUITOS CODENSA'!#REF!</definedName>
    <definedName name="VIA">#REF!</definedName>
    <definedName name="Viajes">#REF!</definedName>
    <definedName name="vias">[112]Datos!$H$2:$H$6</definedName>
    <definedName name="VIBRA">[33]INSUMOS!$D$1404</definedName>
    <definedName name="VIBRADOR">#REF!</definedName>
    <definedName name="VIBRO">#REF!</definedName>
    <definedName name="VIGAER">'[18]A.P.U.'!$G$415</definedName>
    <definedName name="VJ">#REF!,#REF!,#REF!,#REF!,#REF!,#REF!,#REF!</definedName>
    <definedName name="vk" localSheetId="20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m" localSheetId="20">#REF!</definedName>
    <definedName name="vm">#REF!</definedName>
    <definedName name="vnbvxb" localSheetId="20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0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Q">[18]INSUMOS!$D$185</definedName>
    <definedName name="VOLQH">[18]INSUMOS!$D$184</definedName>
    <definedName name="VOLQUETA">#REF!</definedName>
    <definedName name="VR_CON_IVA">[58]Insumos!$I1*(1+[58]Insumos!$H1)</definedName>
    <definedName name="VR_SIN_IVA">VLOOKUP([58]Insumos!$D1,[58]Auxiliares!$B$1:$G$65536,6,FALSE)</definedName>
    <definedName name="VR_TOT">IF(LG=2,IF(SCQ=0,"",SCQ/2),"")</definedName>
    <definedName name="VR_TOT_APU">IF([58]apu!$E1="","",IF([58]apu!$B1=[58]apu!$A1,SUMIF([58]apu!XEY2:XEY10001,[58]apu!XEY1,[58]apu!A2:A10001),ROUNDUP([58]apu!$D1*[58]apu!$F1,0)))</definedName>
    <definedName name="VR_TOT_AUX">IF([58]Auxiliares!XFC1="","",IF([58]Auxiliares!$B1=[58]Auxiliares!$A1,SUMIF([58]Auxiliares!XEY2:XEY9997,[58]Auxiliares!XEY1,[58]Auxiliares!A2:A9997),ROUNDUP([58]Auxiliares!$D1*[58]Auxiliares!$F1,0)))</definedName>
    <definedName name="VR_UN">IF(ISERROR(V_U),"",V_U)</definedName>
    <definedName name="VR_UN_APU">IF(LEN([58]apu!$B1)=2,"",IF([58]apu!$B1="","",IF(ISERROR(SEARCH("-",[58]apu!$B1,3)),VLOOKUP([58]apu!$B1,[58]Insumos!$D$1:$I$65536,4,FALSE),"")))</definedName>
    <definedName name="VR_UN_AUX">IF([58]Auxiliares!$D1="","",VLOOKUP([58]Auxiliares!$B1,[58]Insumos!$D$1:$J$65536,4,0))</definedName>
    <definedName name="VR_UN_PPTO">IF(LEN('[58]Ppto completo'!$D1)=9,VLOOKUP('[58]Ppto completo'!$D1,[58]apu!$B$1:$G$65536,6,FALSE),"")</definedName>
    <definedName name="vsdfj" localSheetId="20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20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v" localSheetId="20">#REF!</definedName>
    <definedName name="vv">#REF!</definedName>
    <definedName name="vvcxv" localSheetId="20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20">#REF!</definedName>
    <definedName name="VVV">#REF!</definedName>
    <definedName name="vvvvt" localSheetId="20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0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0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localSheetId="20">Scheduled_Payment+Extra_Payment</definedName>
    <definedName name="w" hidden="1">#REF!</definedName>
    <definedName name="w2w2w" localSheetId="20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DD" localSheetId="2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e" localSheetId="20">#REF!</definedName>
    <definedName name="we">#REF!</definedName>
    <definedName name="WER" localSheetId="20">'[41]Res-Accide-10'!$S$2:$S$7</definedName>
    <definedName name="WER">'[40]Res-Accide-10'!$S$2:$S$7</definedName>
    <definedName name="werew" localSheetId="20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0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0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0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0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0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0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0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0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0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0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0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0">'[41]Res-Accide-10'!#REF!</definedName>
    <definedName name="WILSON">'[40]Res-Accide-10'!#REF!</definedName>
    <definedName name="wj" localSheetId="20">#REF!</definedName>
    <definedName name="wj">#REF!</definedName>
    <definedName name="wl" localSheetId="20">#REF!</definedName>
    <definedName name="wl">#REF!</definedName>
    <definedName name="WQEEWQ" localSheetId="20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r." localSheetId="20" hidden="1">{#N/A,#N/A,TRUE,"CODIGO DEPENDENCIA"}</definedName>
    <definedName name="wrn.ar." hidden="1">{#N/A,#N/A,TRUE,"CODIGO DEPENDENCIA"}</definedName>
    <definedName name="wrn.civil._.works." localSheetId="20" hidden="1">{#N/A,#N/A,TRUE,"1842CWN0"}</definedName>
    <definedName name="wrn.civil._.works." hidden="1">{#N/A,#N/A,TRUE,"1842CWN0"}</definedName>
    <definedName name="wrn.FINAN97." localSheetId="2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2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0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2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Impresion._.Datos._.de._.las._.Curvas." localSheetId="20" hidden="1">{"Datos de las Curvas",#N/A,TRUE,"TABLA-CALCULOS"}</definedName>
    <definedName name="wrn.Impresion._.Datos._.de._.las._.Curvas." localSheetId="2" hidden="1">{"Datos de las Curvas",#N/A,TRUE,"TABLA-CALCULOS"}</definedName>
    <definedName name="wrn.Impresion._.Datos._.de._.las._.Curvas." hidden="1">{"Datos de las Curvas",#N/A,TRUE,"TABLA-CALCULOS"}</definedName>
    <definedName name="wrn.julio24." localSheetId="20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  <definedName name="wrn.jun06." localSheetId="20" hidden="1">{#N/A,#N/A,FALSE,"310.1";#N/A,#N/A,FALSE,"321.1";#N/A,#N/A,FALSE,"320.3";#N/A,#N/A,FALSE,"330.1"}</definedName>
    <definedName name="wrn.jun06." hidden="1">{#N/A,#N/A,FALSE,"310.1";#N/A,#N/A,FALSE,"321.1";#N/A,#N/A,FALSE,"320.3";#N/A,#N/A,FALSE,"330.1"}</definedName>
    <definedName name="wrn.OPERADORES." localSheetId="20" hidden="1">{#N/A,#N/A,TRUE,"T1"}</definedName>
    <definedName name="wrn.OPERADORES." hidden="1">{#N/A,#N/A,TRUE,"T1"}</definedName>
    <definedName name="wrn.res7" localSheetId="20" hidden="1">{#N/A,#N/A,FALSE,"Hoja1";#N/A,#N/A,FALSE,"Hoja2"}</definedName>
    <definedName name="wrn.res7" hidden="1">{#N/A,#N/A,FALSE,"Hoja1";#N/A,#N/A,FALSE,"Hoja2"}</definedName>
    <definedName name="wrn.Resumen." localSheetId="20" hidden="1">{#N/A,#N/A,FALSE,"Hoja1";#N/A,#N/A,FALSE,"Hoja2"}</definedName>
    <definedName name="wrn.Resumen." hidden="1">{#N/A,#N/A,FALSE,"Hoja1";#N/A,#N/A,FALSE,"Hoja2"}</definedName>
    <definedName name="wrn.TRABFENO." localSheetId="2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0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" localSheetId="20">#REF!</definedName>
    <definedName name="ws">#REF!</definedName>
    <definedName name="WSERWEER">'[79]COSTOS OFICINA'!#REF!</definedName>
    <definedName name="wsnhed" localSheetId="20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0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20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TAB1." localSheetId="20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localSheetId="20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localSheetId="20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localSheetId="20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localSheetId="20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 localSheetId="20">#REF!</definedName>
    <definedName name="ww">#REF!</definedName>
    <definedName name="wwded3" localSheetId="20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">#REF!</definedName>
    <definedName name="wwwwe" localSheetId="20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0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 localSheetId="20">#REF!</definedName>
    <definedName name="xb">#REF!</definedName>
    <definedName name="xcbvbs" localSheetId="20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o" localSheetId="20">#REF!</definedName>
    <definedName name="xo">#REF!</definedName>
    <definedName name="XSW" localSheetId="20" hidden="1">{#N/A,#N/A,TRUE,"1842CWN0"}</definedName>
    <definedName name="XSW" hidden="1">{#N/A,#N/A,TRUE,"1842CWN0"}</definedName>
    <definedName name="xsxs" localSheetId="20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0">#REF!</definedName>
    <definedName name="xx">[124]PERSONAL!$D$10</definedName>
    <definedName name="xxfg" localSheetId="20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" localSheetId="20">#REF!</definedName>
    <definedName name="xxx">#REF!</definedName>
    <definedName name="XXXX" hidden="1">#REF!</definedName>
    <definedName name="xxxxx">[109]!absc</definedName>
    <definedName name="xxxxxds" localSheetId="20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20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20">#REF!</definedName>
    <definedName name="XXXXXXXXXX">#REF!</definedName>
    <definedName name="xxxxxxxxxx29" localSheetId="20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0">#REF!</definedName>
    <definedName name="XXXXXXXXXXXX">#REF!</definedName>
    <definedName name="XZS" hidden="1">#REF!</definedName>
    <definedName name="XZXZV" localSheetId="20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>#REF!</definedName>
    <definedName name="y6y6" localSheetId="20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20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20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20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 localSheetId="20">#REF!</definedName>
    <definedName name="yn">#REF!</definedName>
    <definedName name="yrey" localSheetId="20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0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20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0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0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0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0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0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0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0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0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0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0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0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0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0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0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0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 localSheetId="20">#REF!</definedName>
    <definedName name="yui">#REF!</definedName>
    <definedName name="yutu" localSheetId="20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0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0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UYUYHNBVVVCFDDDSAASXV">#REF!</definedName>
    <definedName name="yy" localSheetId="20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0" hidden="1">{"TAB1",#N/A,TRUE,"GENERAL";"TAB2",#N/A,TRUE,"GENERAL";"TAB3",#N/A,TRUE,"GENERAL";"TAB4",#N/A,TRUE,"GENERAL";"TAB5",#N/A,TRUE,"GENERAL"}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0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0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0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6A872D_15DF_436A_8459_CE22F6819FF4_.wvu.Rows" hidden="1">[17]Presentacion!#REF!</definedName>
    <definedName name="Z_0890F28A_A8C8_451C_A3E6_C3AFDD239B64_.wvu.FilterData" localSheetId="20" hidden="1">#REF!</definedName>
    <definedName name="Z_0890F28A_A8C8_451C_A3E6_C3AFDD239B64_.wvu.FilterData" hidden="1">#REF!</definedName>
    <definedName name="Z_0890F28A_A8C8_451C_A3E6_C3AFDD239B64_.wvu.PrintArea" localSheetId="20" hidden="1">#REF!</definedName>
    <definedName name="Z_0890F28A_A8C8_451C_A3E6_C3AFDD239B64_.wvu.PrintArea" hidden="1">#REF!</definedName>
    <definedName name="Z_0890F28A_A8C8_451C_A3E6_C3AFDD239B64_.wvu.PrintTitles" localSheetId="20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55C8B2E_861A_459E_9D09_3AF38A1DE99E_.wvu.Rows" hidden="1">[17]Presentacion!#REF!</definedName>
    <definedName name="Z_DA4D5A8F_12FA_42F5_A8BB_526600E97433_.wvu.FilterData" localSheetId="20" hidden="1">#REF!</definedName>
    <definedName name="Z_DA4D5A8F_12FA_42F5_A8BB_526600E97433_.wvu.FilterData" hidden="1">#REF!</definedName>
    <definedName name="Z_DA4D5A8F_12FA_42F5_A8BB_526600E97433_.wvu.PrintArea" localSheetId="20" hidden="1">#REF!</definedName>
    <definedName name="Z_DA4D5A8F_12FA_42F5_A8BB_526600E97433_.wvu.PrintArea" hidden="1">#REF!</definedName>
    <definedName name="Z_DA4D5A8F_12FA_42F5_A8BB_526600E97433_.wvu.PrintTitles" localSheetId="20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540D718_D9AA_403F_AE49_60D937FD77E5_.wvu.Rows" hidden="1">[17]Presentacion!#REF!</definedName>
    <definedName name="Z_F9482E1F_92B8_43D8_949A_7DDCF2E63A19_.wvu.FilterData" localSheetId="20" hidden="1">#REF!</definedName>
    <definedName name="Z_F9482E1F_92B8_43D8_949A_7DDCF2E63A19_.wvu.FilterData" hidden="1">#REF!</definedName>
    <definedName name="Z_F9482E1F_92B8_43D8_949A_7DDCF2E63A19_.wvu.PrintArea" localSheetId="20" hidden="1">#REF!</definedName>
    <definedName name="Z_F9482E1F_92B8_43D8_949A_7DDCF2E63A19_.wvu.PrintArea" hidden="1">#REF!</definedName>
    <definedName name="Z_F9482E1F_92B8_43D8_949A_7DDCF2E63A19_.wvu.PrintTitles" localSheetId="20" hidden="1">#REF!</definedName>
    <definedName name="Z_F9482E1F_92B8_43D8_949A_7DDCF2E63A19_.wvu.PrintTitles" hidden="1">#REF!</definedName>
    <definedName name="ZAPATA">#REF!</definedName>
    <definedName name="ZAQ" localSheetId="2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 localSheetId="20">#REF!</definedName>
    <definedName name="zc">#REF!</definedName>
    <definedName name="zd" localSheetId="20">#REF!</definedName>
    <definedName name="zd">#REF!</definedName>
    <definedName name="zdervr" localSheetId="20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 localSheetId="20">#REF!</definedName>
    <definedName name="zdr">#REF!</definedName>
    <definedName name="zx" localSheetId="20">#REF!</definedName>
    <definedName name="zx">#REF!</definedName>
    <definedName name="zxczds" localSheetId="20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0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0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" localSheetId="20">#REF!</definedName>
    <definedName name="zz">#REF!</definedName>
    <definedName name="ZZZZZZZZZZZ" localSheetId="20">'[55]A. P. U.'!#REF!</definedName>
    <definedName name="ZZZZZZZZZZZ">'[50]A.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2" i="34" l="1"/>
  <c r="H36" i="34"/>
  <c r="H27" i="34"/>
  <c r="H26" i="34"/>
  <c r="H23" i="34"/>
  <c r="H22" i="34"/>
  <c r="H21" i="34"/>
  <c r="H20" i="34"/>
  <c r="H19" i="34"/>
  <c r="H18" i="34"/>
  <c r="H15" i="34"/>
  <c r="H12" i="34"/>
  <c r="H9" i="34"/>
  <c r="H8" i="34"/>
  <c r="D23" i="45" l="1"/>
  <c r="E38" i="5" l="1"/>
  <c r="E38" i="6"/>
  <c r="E34" i="26"/>
  <c r="E34" i="28"/>
  <c r="E20" i="28"/>
  <c r="E35" i="23"/>
  <c r="E34" i="23"/>
  <c r="E35" i="32"/>
  <c r="E36" i="2"/>
  <c r="E35" i="2"/>
  <c r="G18" i="55"/>
  <c r="E20" i="11"/>
  <c r="E19" i="11"/>
  <c r="E13" i="11"/>
  <c r="E12" i="11"/>
  <c r="E11" i="11"/>
  <c r="E10" i="11"/>
  <c r="E9" i="11"/>
  <c r="E8" i="11"/>
  <c r="E35" i="3"/>
  <c r="E34" i="3"/>
  <c r="F23" i="45" l="1"/>
  <c r="F10" i="45"/>
  <c r="F11" i="45"/>
  <c r="F12" i="45"/>
  <c r="F9" i="45"/>
  <c r="M24" i="49"/>
  <c r="M25" i="49"/>
  <c r="M23" i="49"/>
  <c r="M11" i="49"/>
  <c r="I17" i="49"/>
  <c r="M17" i="49" s="1"/>
  <c r="I16" i="49"/>
  <c r="M16" i="49" s="1"/>
  <c r="I13" i="49"/>
  <c r="M13" i="49" s="1"/>
  <c r="I14" i="49"/>
  <c r="M14" i="49" s="1"/>
  <c r="I15" i="49"/>
  <c r="M15" i="49" s="1"/>
  <c r="I12" i="49"/>
  <c r="M12" i="49" s="1"/>
  <c r="C35" i="50"/>
  <c r="C19" i="50"/>
  <c r="F14" i="45" l="1"/>
  <c r="M26" i="49"/>
  <c r="F43" i="36" l="1"/>
  <c r="F42" i="36"/>
  <c r="F41" i="36"/>
  <c r="F19" i="55"/>
  <c r="F18" i="55"/>
  <c r="F17" i="55"/>
  <c r="G81" i="54"/>
  <c r="H81" i="54" s="1"/>
  <c r="G82" i="54"/>
  <c r="H82" i="54" s="1"/>
  <c r="G83" i="54"/>
  <c r="H83" i="54" s="1"/>
  <c r="F506" i="54"/>
  <c r="F507" i="54"/>
  <c r="F508" i="54"/>
  <c r="F505" i="54"/>
  <c r="F455" i="54"/>
  <c r="F456" i="54"/>
  <c r="F457" i="54"/>
  <c r="F454" i="54"/>
  <c r="F399" i="54"/>
  <c r="F400" i="54"/>
  <c r="F401" i="54"/>
  <c r="F402" i="54"/>
  <c r="F289" i="54"/>
  <c r="F290" i="54"/>
  <c r="F291" i="54"/>
  <c r="F233" i="54"/>
  <c r="F234" i="54"/>
  <c r="F235" i="54"/>
  <c r="F178" i="54"/>
  <c r="H178" i="54" s="1"/>
  <c r="F179" i="54"/>
  <c r="H179" i="54" s="1"/>
  <c r="F180" i="54"/>
  <c r="H180" i="54" s="1"/>
  <c r="F123" i="54"/>
  <c r="H123" i="54" s="1"/>
  <c r="F124" i="54"/>
  <c r="H124" i="54" s="1"/>
  <c r="F125" i="54"/>
  <c r="H125" i="54" s="1"/>
  <c r="B506" i="54"/>
  <c r="B507" i="54"/>
  <c r="B508" i="54"/>
  <c r="B505" i="54"/>
  <c r="B454" i="54"/>
  <c r="B455" i="54"/>
  <c r="B456" i="54"/>
  <c r="B457" i="54"/>
  <c r="B400" i="54"/>
  <c r="B401" i="54"/>
  <c r="B402" i="54"/>
  <c r="B399" i="54"/>
  <c r="B289" i="54"/>
  <c r="B290" i="54"/>
  <c r="B291" i="54"/>
  <c r="B233" i="54"/>
  <c r="B234" i="54"/>
  <c r="B235" i="54"/>
  <c r="B178" i="54"/>
  <c r="B179" i="54"/>
  <c r="B180" i="54"/>
  <c r="B123" i="54"/>
  <c r="B124" i="54"/>
  <c r="B125" i="54"/>
  <c r="G26" i="55"/>
  <c r="C28" i="26"/>
  <c r="E28" i="26"/>
  <c r="B28" i="26"/>
  <c r="F10" i="55"/>
  <c r="D28" i="26" l="1"/>
  <c r="F28" i="26" s="1"/>
  <c r="E28" i="28" l="1"/>
  <c r="G10" i="18"/>
  <c r="D429" i="54" s="1"/>
  <c r="D481" i="54" l="1"/>
  <c r="I10" i="18"/>
  <c r="E33" i="55" s="1"/>
  <c r="D533" i="54"/>
  <c r="D375" i="54"/>
  <c r="E32" i="55"/>
  <c r="B39" i="5"/>
  <c r="B39" i="6"/>
  <c r="B35" i="28"/>
  <c r="B35" i="23"/>
  <c r="B35" i="4"/>
  <c r="B36" i="7"/>
  <c r="B35" i="3"/>
  <c r="D482" i="54"/>
  <c r="D318" i="54"/>
  <c r="D263" i="54"/>
  <c r="D262" i="54"/>
  <c r="D208" i="54"/>
  <c r="D207" i="54"/>
  <c r="D153" i="54"/>
  <c r="D152" i="54"/>
  <c r="D98" i="54"/>
  <c r="B37" i="11"/>
  <c r="D97" i="54"/>
  <c r="D42" i="54"/>
  <c r="C27" i="3"/>
  <c r="D41" i="54" l="1"/>
  <c r="D374" i="54"/>
  <c r="B36" i="2"/>
  <c r="B35" i="26"/>
  <c r="G98" i="54"/>
  <c r="G97" i="54"/>
  <c r="G42" i="54"/>
  <c r="G41" i="54"/>
  <c r="C27" i="23"/>
  <c r="E27" i="3" l="1"/>
  <c r="I18" i="54"/>
  <c r="I17" i="54"/>
  <c r="I16" i="54"/>
  <c r="I15" i="54"/>
  <c r="I14" i="54"/>
  <c r="I13" i="54"/>
  <c r="I12" i="54"/>
  <c r="I11" i="54"/>
  <c r="I10" i="54"/>
  <c r="I9" i="54"/>
  <c r="G528" i="54" l="1"/>
  <c r="G527" i="54"/>
  <c r="G526" i="54"/>
  <c r="G525" i="54"/>
  <c r="E526" i="54"/>
  <c r="D526" i="54"/>
  <c r="B526" i="54"/>
  <c r="B527" i="54"/>
  <c r="B528" i="54"/>
  <c r="B525" i="54"/>
  <c r="G475" i="54"/>
  <c r="G476" i="54"/>
  <c r="G477" i="54"/>
  <c r="G474" i="54"/>
  <c r="E475" i="54"/>
  <c r="D475" i="54"/>
  <c r="B475" i="54"/>
  <c r="B476" i="54"/>
  <c r="B477" i="54"/>
  <c r="B474" i="54"/>
  <c r="G421" i="54"/>
  <c r="G422" i="54"/>
  <c r="G423" i="54"/>
  <c r="G424" i="54"/>
  <c r="G420" i="54"/>
  <c r="E421" i="54"/>
  <c r="D421" i="54"/>
  <c r="B421" i="54"/>
  <c r="B422" i="54"/>
  <c r="B423" i="54"/>
  <c r="B424" i="54"/>
  <c r="B420" i="54"/>
  <c r="E368" i="54"/>
  <c r="D368" i="54"/>
  <c r="G366" i="54"/>
  <c r="G367" i="54"/>
  <c r="G368" i="54"/>
  <c r="G369" i="54"/>
  <c r="G365" i="54"/>
  <c r="B366" i="54"/>
  <c r="B367" i="54"/>
  <c r="B368" i="54"/>
  <c r="B369" i="54"/>
  <c r="B365" i="54"/>
  <c r="G313" i="54"/>
  <c r="G312" i="54"/>
  <c r="G311" i="54"/>
  <c r="G310" i="54"/>
  <c r="G309" i="54"/>
  <c r="E311" i="54"/>
  <c r="D311" i="54"/>
  <c r="B310" i="54"/>
  <c r="B311" i="54"/>
  <c r="B312" i="54"/>
  <c r="B313" i="54"/>
  <c r="B309" i="54"/>
  <c r="G254" i="54"/>
  <c r="G255" i="54"/>
  <c r="G256" i="54"/>
  <c r="G257" i="54"/>
  <c r="G253" i="54"/>
  <c r="E255" i="54"/>
  <c r="D255" i="54"/>
  <c r="B254" i="54"/>
  <c r="B255" i="54"/>
  <c r="B256" i="54"/>
  <c r="B257" i="54"/>
  <c r="B253" i="54"/>
  <c r="E200" i="54"/>
  <c r="D200" i="54"/>
  <c r="G199" i="54"/>
  <c r="G200" i="54"/>
  <c r="G201" i="54"/>
  <c r="G202" i="54"/>
  <c r="G198" i="54"/>
  <c r="B199" i="54"/>
  <c r="B200" i="54"/>
  <c r="B201" i="54"/>
  <c r="B202" i="54"/>
  <c r="B198" i="54"/>
  <c r="E145" i="54"/>
  <c r="D145" i="54"/>
  <c r="G144" i="54"/>
  <c r="G145" i="54"/>
  <c r="G146" i="54"/>
  <c r="G147" i="54"/>
  <c r="G143" i="54"/>
  <c r="B144" i="54"/>
  <c r="B145" i="54"/>
  <c r="B146" i="54"/>
  <c r="B147" i="54"/>
  <c r="B143" i="54"/>
  <c r="G89" i="54"/>
  <c r="G90" i="54"/>
  <c r="G91" i="54"/>
  <c r="G92" i="54"/>
  <c r="G88" i="54"/>
  <c r="B89" i="54"/>
  <c r="B90" i="54"/>
  <c r="B91" i="54"/>
  <c r="B92" i="54"/>
  <c r="B88" i="54"/>
  <c r="G33" i="54"/>
  <c r="G34" i="54"/>
  <c r="G35" i="54"/>
  <c r="G36" i="54"/>
  <c r="G32" i="54"/>
  <c r="E34" i="54"/>
  <c r="D34" i="54"/>
  <c r="B33" i="54"/>
  <c r="B34" i="54"/>
  <c r="B35" i="54"/>
  <c r="B36" i="54"/>
  <c r="B32" i="54"/>
  <c r="G515" i="54"/>
  <c r="G516" i="54"/>
  <c r="G517" i="54"/>
  <c r="G518" i="54"/>
  <c r="G519" i="54"/>
  <c r="G520" i="54"/>
  <c r="G514" i="54"/>
  <c r="G464" i="54"/>
  <c r="G465" i="54"/>
  <c r="G466" i="54"/>
  <c r="G467" i="54"/>
  <c r="G468" i="54"/>
  <c r="G469" i="54"/>
  <c r="G463" i="54"/>
  <c r="G409" i="54"/>
  <c r="G410" i="54"/>
  <c r="G411" i="54"/>
  <c r="G412" i="54"/>
  <c r="G413" i="54"/>
  <c r="G414" i="54"/>
  <c r="G415" i="54"/>
  <c r="G408" i="54"/>
  <c r="G354" i="54"/>
  <c r="G355" i="54"/>
  <c r="G356" i="54"/>
  <c r="G357" i="54"/>
  <c r="G358" i="54"/>
  <c r="G359" i="54"/>
  <c r="G360" i="54"/>
  <c r="G353" i="54"/>
  <c r="G298" i="54"/>
  <c r="G299" i="54"/>
  <c r="G300" i="54"/>
  <c r="G301" i="54"/>
  <c r="G302" i="54"/>
  <c r="G303" i="54"/>
  <c r="G304" i="54"/>
  <c r="G297" i="54"/>
  <c r="G242" i="54"/>
  <c r="G243" i="54"/>
  <c r="G244" i="54"/>
  <c r="G245" i="54"/>
  <c r="G246" i="54"/>
  <c r="G247" i="54"/>
  <c r="G248" i="54"/>
  <c r="G241" i="54"/>
  <c r="G187" i="54"/>
  <c r="G188" i="54"/>
  <c r="G189" i="54"/>
  <c r="G190" i="54"/>
  <c r="G191" i="54"/>
  <c r="G192" i="54"/>
  <c r="G193" i="54"/>
  <c r="G186" i="54"/>
  <c r="G132" i="54"/>
  <c r="G133" i="54"/>
  <c r="G134" i="54"/>
  <c r="G135" i="54"/>
  <c r="G136" i="54"/>
  <c r="H136" i="54" s="1"/>
  <c r="G137" i="54"/>
  <c r="H137" i="54" s="1"/>
  <c r="G138" i="54"/>
  <c r="H138" i="54" s="1"/>
  <c r="G131" i="54"/>
  <c r="G77" i="54"/>
  <c r="G78" i="54"/>
  <c r="G79" i="54"/>
  <c r="G80" i="54"/>
  <c r="G76" i="54"/>
  <c r="G27" i="54"/>
  <c r="G26" i="54"/>
  <c r="G25" i="54"/>
  <c r="G24" i="54"/>
  <c r="G23" i="54"/>
  <c r="G22" i="54"/>
  <c r="G21" i="54"/>
  <c r="B515" i="54"/>
  <c r="D515" i="54"/>
  <c r="B516" i="54"/>
  <c r="D516" i="54"/>
  <c r="B517" i="54"/>
  <c r="D517" i="54"/>
  <c r="B518" i="54"/>
  <c r="D518" i="54"/>
  <c r="B519" i="54"/>
  <c r="D519" i="54"/>
  <c r="B520" i="54"/>
  <c r="D520" i="54"/>
  <c r="D514" i="54"/>
  <c r="B514" i="54"/>
  <c r="B464" i="54"/>
  <c r="D464" i="54"/>
  <c r="B465" i="54"/>
  <c r="D465" i="54"/>
  <c r="B466" i="54"/>
  <c r="D466" i="54"/>
  <c r="B467" i="54"/>
  <c r="D467" i="54"/>
  <c r="B468" i="54"/>
  <c r="D468" i="54"/>
  <c r="B469" i="54"/>
  <c r="D469" i="54"/>
  <c r="D463" i="54"/>
  <c r="B463" i="54"/>
  <c r="B409" i="54"/>
  <c r="D409" i="54"/>
  <c r="B410" i="54"/>
  <c r="D410" i="54"/>
  <c r="B411" i="54"/>
  <c r="D411" i="54"/>
  <c r="B412" i="54"/>
  <c r="D412" i="54"/>
  <c r="B413" i="54"/>
  <c r="D413" i="54"/>
  <c r="B414" i="54"/>
  <c r="D414" i="54"/>
  <c r="B415" i="54"/>
  <c r="D415" i="54"/>
  <c r="D408" i="54"/>
  <c r="B408" i="54"/>
  <c r="B357" i="54"/>
  <c r="D357" i="54"/>
  <c r="B358" i="54"/>
  <c r="D358" i="54"/>
  <c r="B359" i="54"/>
  <c r="D359" i="54"/>
  <c r="B360" i="54"/>
  <c r="D360" i="54"/>
  <c r="B354" i="54"/>
  <c r="D354" i="54"/>
  <c r="B355" i="54"/>
  <c r="D355" i="54"/>
  <c r="B356" i="54"/>
  <c r="D356" i="54"/>
  <c r="D353" i="54"/>
  <c r="B353" i="54"/>
  <c r="B302" i="54"/>
  <c r="D302" i="54"/>
  <c r="B303" i="54"/>
  <c r="D303" i="54"/>
  <c r="B304" i="54"/>
  <c r="D304" i="54"/>
  <c r="B298" i="54"/>
  <c r="D298" i="54"/>
  <c r="B299" i="54"/>
  <c r="D299" i="54"/>
  <c r="B300" i="54"/>
  <c r="D300" i="54"/>
  <c r="B301" i="54"/>
  <c r="D301" i="54"/>
  <c r="D297" i="54"/>
  <c r="B297" i="54"/>
  <c r="B246" i="54"/>
  <c r="D246" i="54"/>
  <c r="B247" i="54"/>
  <c r="D247" i="54"/>
  <c r="B248" i="54"/>
  <c r="D248" i="54"/>
  <c r="B242" i="54"/>
  <c r="D242" i="54"/>
  <c r="B243" i="54"/>
  <c r="D243" i="54"/>
  <c r="B244" i="54"/>
  <c r="D244" i="54"/>
  <c r="B245" i="54"/>
  <c r="D245" i="54"/>
  <c r="D241" i="54"/>
  <c r="B241" i="54"/>
  <c r="B191" i="54"/>
  <c r="D191" i="54"/>
  <c r="B192" i="54"/>
  <c r="D192" i="54"/>
  <c r="B193" i="54"/>
  <c r="D193" i="54"/>
  <c r="B187" i="54"/>
  <c r="D187" i="54"/>
  <c r="B188" i="54"/>
  <c r="D188" i="54"/>
  <c r="B189" i="54"/>
  <c r="D189" i="54"/>
  <c r="B190" i="54"/>
  <c r="D190" i="54"/>
  <c r="D186" i="54"/>
  <c r="B186" i="54"/>
  <c r="B136" i="54"/>
  <c r="D136" i="54"/>
  <c r="B137" i="54"/>
  <c r="D137" i="54"/>
  <c r="B138" i="54"/>
  <c r="D138" i="54"/>
  <c r="B133" i="54"/>
  <c r="D133" i="54"/>
  <c r="B134" i="54"/>
  <c r="D134" i="54"/>
  <c r="B135" i="54"/>
  <c r="D135" i="54"/>
  <c r="B132" i="54"/>
  <c r="D132" i="54"/>
  <c r="D131" i="54"/>
  <c r="B131" i="54"/>
  <c r="B81" i="54"/>
  <c r="D81" i="54"/>
  <c r="B82" i="54"/>
  <c r="D82" i="54"/>
  <c r="B83" i="54"/>
  <c r="D83" i="54"/>
  <c r="B79" i="54"/>
  <c r="D79" i="54"/>
  <c r="B80" i="54"/>
  <c r="D80" i="54"/>
  <c r="B77" i="54"/>
  <c r="D77" i="54"/>
  <c r="B78" i="54"/>
  <c r="D78" i="54"/>
  <c r="D76" i="54"/>
  <c r="B76" i="54"/>
  <c r="B25" i="54"/>
  <c r="B26" i="54"/>
  <c r="B27" i="54"/>
  <c r="D25" i="54"/>
  <c r="D26" i="54"/>
  <c r="D27" i="54"/>
  <c r="B24" i="54"/>
  <c r="D24" i="54"/>
  <c r="B23" i="54"/>
  <c r="D23" i="54"/>
  <c r="B22" i="54"/>
  <c r="D22" i="54"/>
  <c r="B21" i="54"/>
  <c r="D21" i="54"/>
  <c r="G20" i="54"/>
  <c r="H20" i="54" s="1"/>
  <c r="D20" i="54"/>
  <c r="B20" i="54"/>
  <c r="F344" i="54"/>
  <c r="B344" i="54"/>
  <c r="F288" i="54"/>
  <c r="B288" i="54"/>
  <c r="F232" i="54"/>
  <c r="B232" i="54"/>
  <c r="F177" i="54"/>
  <c r="B177" i="54"/>
  <c r="F122" i="54"/>
  <c r="B122" i="54"/>
  <c r="F70" i="54"/>
  <c r="H70" i="54" s="1"/>
  <c r="B70" i="54"/>
  <c r="F69" i="54"/>
  <c r="H69" i="54" s="1"/>
  <c r="B69" i="54"/>
  <c r="F68" i="54"/>
  <c r="H68" i="54" s="1"/>
  <c r="B68" i="54"/>
  <c r="F14" i="54"/>
  <c r="H14" i="54" s="1"/>
  <c r="B14" i="54"/>
  <c r="F13" i="54"/>
  <c r="H13" i="54" s="1"/>
  <c r="B13" i="54"/>
  <c r="F12" i="54"/>
  <c r="H12" i="54" s="1"/>
  <c r="B12" i="54"/>
  <c r="F67" i="54"/>
  <c r="B67" i="54"/>
  <c r="D90" i="54"/>
  <c r="P12" i="18" l="1"/>
  <c r="P11" i="18"/>
  <c r="G35" i="5" l="1"/>
  <c r="G31" i="4"/>
  <c r="C28" i="28" l="1"/>
  <c r="B27" i="26"/>
  <c r="E482" i="54" l="1"/>
  <c r="H18" i="55"/>
  <c r="H19" i="55"/>
  <c r="E26" i="55"/>
  <c r="F16" i="55"/>
  <c r="H16" i="55" s="1"/>
  <c r="F9" i="55"/>
  <c r="H9" i="55" s="1"/>
  <c r="F33" i="55"/>
  <c r="D33" i="55"/>
  <c r="C33" i="55"/>
  <c r="F32" i="55"/>
  <c r="D32" i="55"/>
  <c r="C32" i="55"/>
  <c r="F26" i="55"/>
  <c r="D26" i="55"/>
  <c r="C26" i="55"/>
  <c r="H17" i="55"/>
  <c r="G10" i="55"/>
  <c r="H10" i="55" s="1"/>
  <c r="C4" i="55"/>
  <c r="H26" i="55" l="1"/>
  <c r="H28" i="55" s="1"/>
  <c r="H22" i="55"/>
  <c r="F210" i="54"/>
  <c r="H210" i="54" s="1"/>
  <c r="F209" i="54"/>
  <c r="H209" i="54" s="1"/>
  <c r="G208" i="54"/>
  <c r="E208" i="54"/>
  <c r="G207" i="54"/>
  <c r="E207" i="54"/>
  <c r="F202" i="54"/>
  <c r="H202" i="54" s="1"/>
  <c r="F201" i="54"/>
  <c r="H201" i="54" s="1"/>
  <c r="F200" i="54"/>
  <c r="E199" i="54"/>
  <c r="D199" i="54"/>
  <c r="E198" i="54"/>
  <c r="D198" i="54"/>
  <c r="H192" i="54"/>
  <c r="H191" i="54"/>
  <c r="H190" i="54"/>
  <c r="H189" i="54"/>
  <c r="H188" i="54"/>
  <c r="H187" i="54"/>
  <c r="H186" i="54"/>
  <c r="H177" i="54"/>
  <c r="E367" i="54"/>
  <c r="D367" i="54"/>
  <c r="H357" i="54"/>
  <c r="F345" i="54"/>
  <c r="H345" i="54" s="1"/>
  <c r="H344" i="54"/>
  <c r="F377" i="54"/>
  <c r="H377" i="54" s="1"/>
  <c r="F376" i="54"/>
  <c r="H376" i="54" s="1"/>
  <c r="G375" i="54"/>
  <c r="E375" i="54"/>
  <c r="G374" i="54"/>
  <c r="E374" i="54"/>
  <c r="F369" i="54"/>
  <c r="F368" i="54"/>
  <c r="E366" i="54"/>
  <c r="D366" i="54"/>
  <c r="E365" i="54"/>
  <c r="D365" i="54"/>
  <c r="H359" i="54"/>
  <c r="H358" i="54"/>
  <c r="H356" i="54"/>
  <c r="H355" i="54"/>
  <c r="H354" i="54"/>
  <c r="H353" i="54"/>
  <c r="H297" i="54"/>
  <c r="F321" i="54"/>
  <c r="H321" i="54" s="1"/>
  <c r="F320" i="54"/>
  <c r="H320" i="54" s="1"/>
  <c r="E319" i="54"/>
  <c r="E318" i="54"/>
  <c r="F313" i="54"/>
  <c r="H313" i="54" s="1"/>
  <c r="F312" i="54"/>
  <c r="F311" i="54"/>
  <c r="E310" i="54"/>
  <c r="D310" i="54"/>
  <c r="E309" i="54"/>
  <c r="D309" i="54"/>
  <c r="H303" i="54"/>
  <c r="H302" i="54"/>
  <c r="H301" i="54"/>
  <c r="H300" i="54"/>
  <c r="H299" i="54"/>
  <c r="H298" i="54"/>
  <c r="H289" i="54"/>
  <c r="H288" i="54"/>
  <c r="H232" i="54"/>
  <c r="H122" i="54"/>
  <c r="H67" i="54"/>
  <c r="H516" i="54"/>
  <c r="H465" i="54"/>
  <c r="H410" i="54"/>
  <c r="H244" i="54"/>
  <c r="H79" i="54"/>
  <c r="H23" i="54"/>
  <c r="H133" i="54"/>
  <c r="H78" i="54"/>
  <c r="H22" i="54"/>
  <c r="H515" i="54"/>
  <c r="H464" i="54"/>
  <c r="H409" i="54"/>
  <c r="H242" i="54"/>
  <c r="H132" i="54"/>
  <c r="H77" i="54"/>
  <c r="H21" i="54"/>
  <c r="H514" i="54"/>
  <c r="H408" i="54"/>
  <c r="H241" i="54"/>
  <c r="H131" i="54"/>
  <c r="E525" i="54"/>
  <c r="E474" i="54"/>
  <c r="E420" i="54"/>
  <c r="E254" i="54"/>
  <c r="E253" i="54"/>
  <c r="E144" i="54"/>
  <c r="E143" i="54"/>
  <c r="E33" i="54"/>
  <c r="E32" i="54"/>
  <c r="E89" i="54"/>
  <c r="E88" i="54"/>
  <c r="H76" i="54"/>
  <c r="C2" i="54"/>
  <c r="C58" i="54" s="1"/>
  <c r="C114" i="54" s="1"/>
  <c r="C224" i="54" s="1"/>
  <c r="C279" i="54" s="1"/>
  <c r="C335" i="54" s="1"/>
  <c r="C391" i="54" s="1"/>
  <c r="C446" i="54" s="1"/>
  <c r="C497" i="54" s="1"/>
  <c r="F535" i="54"/>
  <c r="H535" i="54" s="1"/>
  <c r="F534" i="54"/>
  <c r="H534" i="54" s="1"/>
  <c r="E533" i="54"/>
  <c r="F528" i="54"/>
  <c r="F527" i="54"/>
  <c r="F526" i="54"/>
  <c r="D525" i="54"/>
  <c r="H519" i="54"/>
  <c r="H518" i="54"/>
  <c r="H517" i="54"/>
  <c r="H506" i="54"/>
  <c r="H505" i="54"/>
  <c r="F483" i="54"/>
  <c r="H483" i="54" s="1"/>
  <c r="E481" i="54"/>
  <c r="F477" i="54"/>
  <c r="F476" i="54"/>
  <c r="F475" i="54"/>
  <c r="D474" i="54"/>
  <c r="H468" i="54"/>
  <c r="H467" i="54"/>
  <c r="H466" i="54"/>
  <c r="H463" i="54"/>
  <c r="H455" i="54"/>
  <c r="H454" i="54"/>
  <c r="F432" i="54"/>
  <c r="H432" i="54" s="1"/>
  <c r="F431" i="54"/>
  <c r="H431" i="54" s="1"/>
  <c r="G430" i="54"/>
  <c r="F430" i="54"/>
  <c r="H430" i="54" s="1"/>
  <c r="E429" i="54"/>
  <c r="F424" i="54"/>
  <c r="H424" i="54" s="1"/>
  <c r="F423" i="54"/>
  <c r="F422" i="54"/>
  <c r="F421" i="54"/>
  <c r="D420" i="54"/>
  <c r="H414" i="54"/>
  <c r="H413" i="54"/>
  <c r="H412" i="54"/>
  <c r="H411" i="54"/>
  <c r="H400" i="54"/>
  <c r="H399" i="54"/>
  <c r="F265" i="54"/>
  <c r="H265" i="54" s="1"/>
  <c r="F264" i="54"/>
  <c r="H264" i="54" s="1"/>
  <c r="G263" i="54"/>
  <c r="E263" i="54"/>
  <c r="G262" i="54"/>
  <c r="E262" i="54"/>
  <c r="F257" i="54"/>
  <c r="F256" i="54"/>
  <c r="F255" i="54"/>
  <c r="D254" i="54"/>
  <c r="D253" i="54"/>
  <c r="H247" i="54"/>
  <c r="H246" i="54"/>
  <c r="H245" i="54"/>
  <c r="H243" i="54"/>
  <c r="H233" i="54"/>
  <c r="F155" i="54"/>
  <c r="H155" i="54" s="1"/>
  <c r="F154" i="54"/>
  <c r="H154" i="54" s="1"/>
  <c r="G153" i="54"/>
  <c r="E153" i="54"/>
  <c r="G152" i="54"/>
  <c r="E152" i="54"/>
  <c r="F147" i="54"/>
  <c r="F146" i="54"/>
  <c r="F145" i="54"/>
  <c r="H145" i="54" s="1"/>
  <c r="D144" i="54"/>
  <c r="D143" i="54"/>
  <c r="H135" i="54"/>
  <c r="H134" i="54"/>
  <c r="F100" i="54"/>
  <c r="H100" i="54" s="1"/>
  <c r="F99" i="54"/>
  <c r="H99" i="54" s="1"/>
  <c r="E98" i="54"/>
  <c r="E97" i="54"/>
  <c r="F92" i="54"/>
  <c r="F91" i="54"/>
  <c r="F90" i="54"/>
  <c r="D89" i="54"/>
  <c r="D88" i="54"/>
  <c r="H80" i="54"/>
  <c r="F44" i="54"/>
  <c r="H44" i="54" s="1"/>
  <c r="F43" i="54"/>
  <c r="H43" i="54" s="1"/>
  <c r="E42" i="54"/>
  <c r="E41" i="54"/>
  <c r="F36" i="54"/>
  <c r="F35" i="54"/>
  <c r="F34" i="54"/>
  <c r="D33" i="54"/>
  <c r="D32" i="54"/>
  <c r="F32" i="54" s="1"/>
  <c r="H26" i="54"/>
  <c r="H25" i="54"/>
  <c r="H24" i="54"/>
  <c r="F33" i="54" l="1"/>
  <c r="H33" i="54" s="1"/>
  <c r="F253" i="54"/>
  <c r="F367" i="54"/>
  <c r="F525" i="54"/>
  <c r="H525" i="54" s="1"/>
  <c r="F309" i="54"/>
  <c r="H309" i="54" s="1"/>
  <c r="F366" i="54"/>
  <c r="H366" i="54" s="1"/>
  <c r="F198" i="54"/>
  <c r="H198" i="54" s="1"/>
  <c r="C169" i="54"/>
  <c r="F365" i="54"/>
  <c r="H365" i="54" s="1"/>
  <c r="F199" i="54"/>
  <c r="H199" i="54" s="1"/>
  <c r="B11" i="54"/>
  <c r="F11" i="54"/>
  <c r="H11" i="54" s="1"/>
  <c r="H369" i="54"/>
  <c r="H368" i="54"/>
  <c r="H200" i="54"/>
  <c r="H194" i="54"/>
  <c r="F144" i="54"/>
  <c r="H144" i="54" s="1"/>
  <c r="F474" i="54"/>
  <c r="H474" i="54" s="1"/>
  <c r="H367" i="54"/>
  <c r="F89" i="54"/>
  <c r="H89" i="54" s="1"/>
  <c r="H475" i="54"/>
  <c r="H305" i="54"/>
  <c r="H361" i="54"/>
  <c r="F420" i="54"/>
  <c r="H420" i="54" s="1"/>
  <c r="F88" i="54"/>
  <c r="H88" i="54" s="1"/>
  <c r="F143" i="54"/>
  <c r="H143" i="54" s="1"/>
  <c r="H422" i="54"/>
  <c r="H477" i="54"/>
  <c r="H312" i="54"/>
  <c r="H311" i="54"/>
  <c r="F310" i="54"/>
  <c r="H310" i="54" s="1"/>
  <c r="H91" i="54"/>
  <c r="H256" i="54"/>
  <c r="H147" i="54"/>
  <c r="F254" i="54"/>
  <c r="H254" i="54" s="1"/>
  <c r="H35" i="54"/>
  <c r="H421" i="54"/>
  <c r="H476" i="54"/>
  <c r="H527" i="54"/>
  <c r="H32" i="54"/>
  <c r="H90" i="54"/>
  <c r="H146" i="54"/>
  <c r="H255" i="54"/>
  <c r="H257" i="54"/>
  <c r="H423" i="54"/>
  <c r="H92" i="54"/>
  <c r="H526" i="54"/>
  <c r="H528" i="54"/>
  <c r="H34" i="54"/>
  <c r="H36" i="54"/>
  <c r="H253" i="54"/>
  <c r="H470" i="54"/>
  <c r="H416" i="54"/>
  <c r="H84" i="54"/>
  <c r="H28" i="54"/>
  <c r="H249" i="54"/>
  <c r="H139" i="54"/>
  <c r="H521" i="54"/>
  <c r="H370" i="54" l="1"/>
  <c r="H478" i="54"/>
  <c r="H203" i="54"/>
  <c r="H148" i="54"/>
  <c r="H314" i="54"/>
  <c r="H37" i="54"/>
  <c r="H258" i="54"/>
  <c r="H425" i="54"/>
  <c r="H529" i="54"/>
  <c r="H93" i="54"/>
  <c r="E22" i="11" l="1"/>
  <c r="E21" i="11"/>
  <c r="B27" i="3"/>
  <c r="D19" i="3"/>
  <c r="F19" i="3" s="1"/>
  <c r="G24" i="3" s="1"/>
  <c r="C19" i="3"/>
  <c r="A19" i="3"/>
  <c r="D27" i="3" l="1"/>
  <c r="F27" i="3" l="1"/>
  <c r="G31" i="3" s="1"/>
  <c r="D3" i="49" l="1"/>
  <c r="H33" i="55" l="1"/>
  <c r="H32" i="55"/>
  <c r="F482" i="54"/>
  <c r="H482" i="54" s="1"/>
  <c r="F207" i="54"/>
  <c r="H207" i="54" s="1"/>
  <c r="F208" i="54"/>
  <c r="H208" i="54" s="1"/>
  <c r="F533" i="54"/>
  <c r="H533" i="54" s="1"/>
  <c r="H536" i="54" s="1"/>
  <c r="H509" i="54" s="1"/>
  <c r="H510" i="54" s="1"/>
  <c r="H538" i="54" s="1"/>
  <c r="J18" i="54" s="1"/>
  <c r="F262" i="54"/>
  <c r="H262" i="54" s="1"/>
  <c r="F97" i="54"/>
  <c r="H97" i="54" s="1"/>
  <c r="F41" i="54"/>
  <c r="H41" i="54" s="1"/>
  <c r="F375" i="54"/>
  <c r="H375" i="54" s="1"/>
  <c r="F374" i="54"/>
  <c r="H374" i="54" s="1"/>
  <c r="D319" i="54"/>
  <c r="F319" i="54" s="1"/>
  <c r="H319" i="54" s="1"/>
  <c r="F318" i="54"/>
  <c r="H318" i="54" s="1"/>
  <c r="F481" i="54"/>
  <c r="H481" i="54" s="1"/>
  <c r="F153" i="54"/>
  <c r="H153" i="54" s="1"/>
  <c r="F42" i="54"/>
  <c r="H42" i="54" s="1"/>
  <c r="F429" i="54"/>
  <c r="H429" i="54" s="1"/>
  <c r="H433" i="54" s="1"/>
  <c r="H403" i="54" s="1"/>
  <c r="H404" i="54" s="1"/>
  <c r="H435" i="54" s="1"/>
  <c r="J16" i="54" s="1"/>
  <c r="F152" i="54"/>
  <c r="H152" i="54" s="1"/>
  <c r="F263" i="54"/>
  <c r="H263" i="54" s="1"/>
  <c r="F98" i="54"/>
  <c r="H98" i="54" s="1"/>
  <c r="B38" i="5"/>
  <c r="D38" i="5" s="1"/>
  <c r="B34" i="28"/>
  <c r="D34" i="28" s="1"/>
  <c r="C115" i="18"/>
  <c r="C89" i="18"/>
  <c r="F27" i="45"/>
  <c r="F17" i="45"/>
  <c r="H211" i="54" l="1"/>
  <c r="H181" i="54" s="1"/>
  <c r="H182" i="54" s="1"/>
  <c r="H213" i="54" s="1"/>
  <c r="J12" i="54" s="1"/>
  <c r="E15" i="12" s="1"/>
  <c r="H35" i="55"/>
  <c r="H322" i="54"/>
  <c r="H292" i="54" s="1"/>
  <c r="H293" i="54" s="1"/>
  <c r="H324" i="54" s="1"/>
  <c r="J14" i="54" s="1"/>
  <c r="E14" i="12" s="1"/>
  <c r="H484" i="54"/>
  <c r="H458" i="54" s="1"/>
  <c r="H459" i="54" s="1"/>
  <c r="H486" i="54" s="1"/>
  <c r="H156" i="54"/>
  <c r="H126" i="54" s="1"/>
  <c r="H127" i="54" s="1"/>
  <c r="H158" i="54" s="1"/>
  <c r="G440" i="54"/>
  <c r="G441" i="54"/>
  <c r="H45" i="54"/>
  <c r="H15" i="54" s="1"/>
  <c r="H16" i="54" s="1"/>
  <c r="H47" i="54" s="1"/>
  <c r="J9" i="54" s="1"/>
  <c r="H101" i="54"/>
  <c r="H71" i="54" s="1"/>
  <c r="H72" i="54" s="1"/>
  <c r="H103" i="54" s="1"/>
  <c r="J10" i="54" s="1"/>
  <c r="E16" i="12" s="1"/>
  <c r="H378" i="54"/>
  <c r="H348" i="54" s="1"/>
  <c r="H349" i="54" s="1"/>
  <c r="H380" i="54" s="1"/>
  <c r="J15" i="54" s="1"/>
  <c r="H266" i="54"/>
  <c r="H236" i="54" s="1"/>
  <c r="H237" i="54" s="1"/>
  <c r="H268" i="54" s="1"/>
  <c r="J13" i="54" s="1"/>
  <c r="G544" i="54"/>
  <c r="G543" i="54"/>
  <c r="K103" i="18"/>
  <c r="H103" i="18"/>
  <c r="G103" i="18"/>
  <c r="F103" i="18"/>
  <c r="E103" i="18"/>
  <c r="D103" i="18"/>
  <c r="F77" i="18"/>
  <c r="G77" i="18"/>
  <c r="H77" i="18"/>
  <c r="E77" i="18"/>
  <c r="D115" i="18"/>
  <c r="B115" i="18"/>
  <c r="B116" i="18" s="1"/>
  <c r="E63" i="18"/>
  <c r="F63" i="18"/>
  <c r="G63" i="18"/>
  <c r="H63" i="18"/>
  <c r="D63" i="18"/>
  <c r="C63" i="18"/>
  <c r="K89" i="18"/>
  <c r="F89" i="18"/>
  <c r="G89" i="18"/>
  <c r="H89" i="18"/>
  <c r="I89" i="18"/>
  <c r="J89" i="18"/>
  <c r="E89" i="18"/>
  <c r="D89" i="18"/>
  <c r="H8" i="55" l="1"/>
  <c r="H12" i="55" s="1"/>
  <c r="H37" i="55" s="1"/>
  <c r="G219" i="54"/>
  <c r="G218" i="54"/>
  <c r="G329" i="54"/>
  <c r="G330" i="54"/>
  <c r="G164" i="54"/>
  <c r="J11" i="54"/>
  <c r="G491" i="54"/>
  <c r="J17" i="54"/>
  <c r="E28" i="12" s="1"/>
  <c r="G492" i="54"/>
  <c r="H545" i="54"/>
  <c r="H547" i="54" s="1"/>
  <c r="G163" i="54"/>
  <c r="G274" i="54"/>
  <c r="G273" i="54"/>
  <c r="G386" i="54"/>
  <c r="G385" i="54"/>
  <c r="G52" i="54"/>
  <c r="G53" i="54"/>
  <c r="G109" i="54"/>
  <c r="G108" i="54"/>
  <c r="H442" i="54"/>
  <c r="H444" i="54" s="1"/>
  <c r="F22" i="45"/>
  <c r="H4" i="55" l="1"/>
  <c r="D25" i="11"/>
  <c r="F25" i="11" s="1"/>
  <c r="D19" i="28"/>
  <c r="H220" i="54"/>
  <c r="H222" i="54" s="1"/>
  <c r="H331" i="54"/>
  <c r="H333" i="54" s="1"/>
  <c r="H165" i="54"/>
  <c r="H167" i="54" s="1"/>
  <c r="H493" i="54"/>
  <c r="H495" i="54" s="1"/>
  <c r="H54" i="54"/>
  <c r="H56" i="54" s="1"/>
  <c r="H275" i="54"/>
  <c r="H277" i="54" s="1"/>
  <c r="H110" i="54"/>
  <c r="H112" i="54" s="1"/>
  <c r="H387" i="54"/>
  <c r="H389" i="54" s="1"/>
  <c r="B38" i="6" l="1"/>
  <c r="D38" i="6" s="1"/>
  <c r="B34" i="26"/>
  <c r="D34" i="26" s="1"/>
  <c r="B34" i="23"/>
  <c r="D35" i="4"/>
  <c r="B34" i="4"/>
  <c r="D34" i="4" s="1"/>
  <c r="B35" i="32"/>
  <c r="D35" i="32" s="1"/>
  <c r="B35" i="2"/>
  <c r="D35" i="2" s="1"/>
  <c r="B36" i="11"/>
  <c r="D36" i="11" s="1"/>
  <c r="D37" i="11"/>
  <c r="D36" i="7"/>
  <c r="B35" i="7"/>
  <c r="D35" i="7" s="1"/>
  <c r="B34" i="3"/>
  <c r="D34" i="3" s="1"/>
  <c r="C27" i="26"/>
  <c r="E27" i="26"/>
  <c r="D11" i="26"/>
  <c r="F11" i="26" s="1"/>
  <c r="A11" i="26"/>
  <c r="E27" i="23"/>
  <c r="C28" i="32"/>
  <c r="C28" i="2"/>
  <c r="D28" i="2" s="1"/>
  <c r="E35" i="7"/>
  <c r="E28" i="32"/>
  <c r="E28" i="2"/>
  <c r="E28" i="7"/>
  <c r="D36" i="2" l="1"/>
  <c r="F36" i="2" s="1"/>
  <c r="F35" i="2"/>
  <c r="G41" i="2" l="1"/>
  <c r="D35" i="3"/>
  <c r="F35" i="3" s="1"/>
  <c r="C28" i="7"/>
  <c r="N6" i="22" l="1"/>
  <c r="J6" i="22"/>
  <c r="G6" i="22"/>
  <c r="C49" i="36" l="1"/>
  <c r="C39" i="50" l="1"/>
  <c r="M19" i="49" s="1"/>
  <c r="C3" i="50" l="1"/>
  <c r="E17" i="18" l="1"/>
  <c r="F17" i="18"/>
  <c r="G12" i="18" s="1"/>
  <c r="G17" i="18"/>
  <c r="H12" i="18" s="1"/>
  <c r="H17" i="18"/>
  <c r="I12" i="18" s="1"/>
  <c r="I17" i="18"/>
  <c r="J17" i="18"/>
  <c r="K12" i="18" s="1"/>
  <c r="K17" i="18"/>
  <c r="D17" i="18"/>
  <c r="E12" i="18"/>
  <c r="F12" i="18"/>
  <c r="J12" i="18"/>
  <c r="D12" i="18"/>
  <c r="B2" i="45"/>
  <c r="C13" i="22"/>
  <c r="C14" i="22"/>
  <c r="E26" i="36"/>
  <c r="F26" i="36" s="1"/>
  <c r="G12" i="36" l="1"/>
  <c r="H12" i="36" s="1"/>
  <c r="F58" i="36"/>
  <c r="F62" i="36"/>
  <c r="F25" i="36"/>
  <c r="E21" i="36"/>
  <c r="F21" i="36" s="1"/>
  <c r="F57" i="36"/>
  <c r="F24" i="36"/>
  <c r="F59" i="36"/>
  <c r="F63" i="36"/>
  <c r="E22" i="36"/>
  <c r="F22" i="36" s="1"/>
  <c r="E27" i="36"/>
  <c r="F20" i="36"/>
  <c r="F60" i="36"/>
  <c r="F56" i="36"/>
  <c r="E23" i="36"/>
  <c r="F23" i="36" s="1"/>
  <c r="F61" i="36"/>
  <c r="C19" i="22"/>
  <c r="G13" i="36"/>
  <c r="G15" i="36"/>
  <c r="G14" i="36"/>
  <c r="G10" i="36"/>
  <c r="G16" i="36"/>
  <c r="G11" i="36"/>
  <c r="F64" i="36" l="1"/>
  <c r="D27" i="36" l="1"/>
  <c r="F27" i="36" s="1"/>
  <c r="E131" i="18"/>
  <c r="E132" i="18" s="1"/>
  <c r="D126" i="18"/>
  <c r="C126" i="18"/>
  <c r="B126" i="18"/>
  <c r="D125" i="18"/>
  <c r="C125" i="18"/>
  <c r="B125" i="18"/>
  <c r="D118" i="18"/>
  <c r="C118" i="18"/>
  <c r="B118" i="18"/>
  <c r="D116" i="18"/>
  <c r="C116" i="18"/>
  <c r="K100" i="18"/>
  <c r="J100" i="18"/>
  <c r="I100" i="18"/>
  <c r="H100" i="18"/>
  <c r="G100" i="18"/>
  <c r="F100" i="18"/>
  <c r="E100" i="18"/>
  <c r="D100" i="18"/>
  <c r="C100" i="18"/>
  <c r="K99" i="18"/>
  <c r="J99" i="18"/>
  <c r="I99" i="18"/>
  <c r="H99" i="18"/>
  <c r="G99" i="18"/>
  <c r="F99" i="18"/>
  <c r="E99" i="18"/>
  <c r="D99" i="18"/>
  <c r="C99" i="18"/>
  <c r="K96" i="18"/>
  <c r="J96" i="18"/>
  <c r="I96" i="18"/>
  <c r="C96" i="18"/>
  <c r="K95" i="18"/>
  <c r="J95" i="18"/>
  <c r="I95" i="18"/>
  <c r="H95" i="18"/>
  <c r="G95" i="18"/>
  <c r="F95" i="18"/>
  <c r="E95" i="18"/>
  <c r="D95" i="18"/>
  <c r="C95" i="18"/>
  <c r="K93" i="18"/>
  <c r="J93" i="18"/>
  <c r="I93" i="18"/>
  <c r="C93" i="18"/>
  <c r="K92" i="18"/>
  <c r="J92" i="18"/>
  <c r="I92" i="18"/>
  <c r="H92" i="18"/>
  <c r="G92" i="18"/>
  <c r="F92" i="18"/>
  <c r="E92" i="18"/>
  <c r="D92" i="18"/>
  <c r="C92" i="18"/>
  <c r="K90" i="18"/>
  <c r="J90" i="18"/>
  <c r="I90" i="18"/>
  <c r="H90" i="18"/>
  <c r="G90" i="18"/>
  <c r="G98" i="18" s="1"/>
  <c r="F90" i="18"/>
  <c r="E90" i="18"/>
  <c r="E98" i="18" s="1"/>
  <c r="D90" i="18"/>
  <c r="C90" i="18"/>
  <c r="K87" i="18"/>
  <c r="J87" i="18"/>
  <c r="I87" i="18"/>
  <c r="C87" i="18"/>
  <c r="I79" i="18"/>
  <c r="I80" i="18" s="1"/>
  <c r="H74" i="18"/>
  <c r="G74" i="18"/>
  <c r="F74" i="18"/>
  <c r="E74" i="18"/>
  <c r="D74" i="18"/>
  <c r="C74" i="18"/>
  <c r="H73" i="18"/>
  <c r="G73" i="18"/>
  <c r="F73" i="18"/>
  <c r="E73" i="18"/>
  <c r="D73" i="18"/>
  <c r="C73" i="18"/>
  <c r="D70" i="18"/>
  <c r="C70" i="18"/>
  <c r="H69" i="18"/>
  <c r="G69" i="18"/>
  <c r="F69" i="18"/>
  <c r="E69" i="18"/>
  <c r="D69" i="18"/>
  <c r="C69" i="18"/>
  <c r="D67" i="18"/>
  <c r="C67" i="18"/>
  <c r="H66" i="18"/>
  <c r="G66" i="18"/>
  <c r="F66" i="18"/>
  <c r="E66" i="18"/>
  <c r="D66" i="18"/>
  <c r="C66" i="18"/>
  <c r="H64" i="18"/>
  <c r="H72" i="18" s="1"/>
  <c r="G64" i="18"/>
  <c r="G72" i="18" s="1"/>
  <c r="F64" i="18"/>
  <c r="E64" i="18"/>
  <c r="E72" i="18" s="1"/>
  <c r="D64" i="18"/>
  <c r="D72" i="18" s="1"/>
  <c r="C64" i="18"/>
  <c r="C72" i="18" s="1"/>
  <c r="D61" i="18"/>
  <c r="D46" i="18"/>
  <c r="D45" i="18"/>
  <c r="D44" i="18"/>
  <c r="K37" i="18"/>
  <c r="K38" i="18" s="1"/>
  <c r="K39" i="18" s="1"/>
  <c r="J37" i="18"/>
  <c r="J38" i="18" s="1"/>
  <c r="J39" i="18" s="1"/>
  <c r="I37" i="18"/>
  <c r="I38" i="18" s="1"/>
  <c r="I39" i="18" s="1"/>
  <c r="H37" i="18"/>
  <c r="H38" i="18" s="1"/>
  <c r="H39" i="18" s="1"/>
  <c r="K28" i="18"/>
  <c r="J28" i="18"/>
  <c r="I28" i="18"/>
  <c r="H28" i="18"/>
  <c r="G28" i="18"/>
  <c r="F28" i="18"/>
  <c r="E28" i="18"/>
  <c r="D28" i="18"/>
  <c r="C28" i="18"/>
  <c r="K27" i="18"/>
  <c r="J27" i="18"/>
  <c r="I27" i="18"/>
  <c r="H27" i="18"/>
  <c r="G27" i="18"/>
  <c r="F27" i="18"/>
  <c r="E27" i="18"/>
  <c r="D27" i="18"/>
  <c r="C27" i="18"/>
  <c r="K24" i="18"/>
  <c r="J24" i="18"/>
  <c r="I24" i="18"/>
  <c r="H24" i="18"/>
  <c r="K23" i="18"/>
  <c r="J23" i="18"/>
  <c r="I23" i="18"/>
  <c r="H23" i="18"/>
  <c r="G23" i="18"/>
  <c r="F23" i="18"/>
  <c r="E23" i="18"/>
  <c r="D23" i="18"/>
  <c r="C23" i="18"/>
  <c r="K21" i="18"/>
  <c r="J21" i="18"/>
  <c r="I21" i="18"/>
  <c r="H21" i="18"/>
  <c r="K20" i="18"/>
  <c r="J20" i="18"/>
  <c r="I20" i="18"/>
  <c r="H20" i="18"/>
  <c r="G20" i="18"/>
  <c r="F20" i="18"/>
  <c r="E20" i="18"/>
  <c r="D20" i="18"/>
  <c r="C20" i="18"/>
  <c r="K18" i="18"/>
  <c r="K26" i="18" s="1"/>
  <c r="J18" i="18"/>
  <c r="I18" i="18"/>
  <c r="H18" i="18"/>
  <c r="G18" i="18"/>
  <c r="G26" i="18" s="1"/>
  <c r="F18" i="18"/>
  <c r="E18" i="18"/>
  <c r="E26" i="18" s="1"/>
  <c r="D18" i="18"/>
  <c r="C18" i="18"/>
  <c r="C21" i="18"/>
  <c r="K15" i="18"/>
  <c r="J15" i="18"/>
  <c r="I15" i="18"/>
  <c r="H15" i="18"/>
  <c r="D39" i="5"/>
  <c r="F39" i="5" s="1"/>
  <c r="F38" i="5"/>
  <c r="D23" i="5"/>
  <c r="F23" i="5" s="1"/>
  <c r="D22" i="5"/>
  <c r="F22" i="5" s="1"/>
  <c r="D21" i="5"/>
  <c r="F21" i="5" s="1"/>
  <c r="D10" i="5"/>
  <c r="F10" i="5" s="1"/>
  <c r="D39" i="6"/>
  <c r="E39" i="6"/>
  <c r="G35" i="6"/>
  <c r="D23" i="6"/>
  <c r="F23" i="6" s="1"/>
  <c r="D22" i="6"/>
  <c r="F22" i="6" s="1"/>
  <c r="D21" i="6"/>
  <c r="F21" i="6" s="1"/>
  <c r="D11" i="6"/>
  <c r="F11" i="6" s="1"/>
  <c r="D10" i="6"/>
  <c r="F10" i="6" s="1"/>
  <c r="D35" i="26"/>
  <c r="F35" i="26" s="1"/>
  <c r="F34" i="26"/>
  <c r="G40" i="26" s="1"/>
  <c r="D27" i="26"/>
  <c r="F27" i="26" s="1"/>
  <c r="G31" i="26" s="1"/>
  <c r="D22" i="26"/>
  <c r="F22" i="26" s="1"/>
  <c r="D21" i="26"/>
  <c r="F21" i="26" s="1"/>
  <c r="D20" i="26"/>
  <c r="F20" i="26" s="1"/>
  <c r="D19" i="26"/>
  <c r="F19" i="26" s="1"/>
  <c r="D10" i="26"/>
  <c r="F10" i="26" s="1"/>
  <c r="D35" i="28"/>
  <c r="F35" i="28" s="1"/>
  <c r="F34" i="28"/>
  <c r="D28" i="28"/>
  <c r="F28" i="28" s="1"/>
  <c r="G31" i="28" s="1"/>
  <c r="D27" i="28"/>
  <c r="F27" i="28" s="1"/>
  <c r="D21" i="28"/>
  <c r="F21" i="28" s="1"/>
  <c r="D20" i="28"/>
  <c r="F20" i="28" s="1"/>
  <c r="D10" i="28"/>
  <c r="F10" i="28" s="1"/>
  <c r="D35" i="23"/>
  <c r="F35" i="23" s="1"/>
  <c r="D34" i="23"/>
  <c r="F34" i="23" s="1"/>
  <c r="D27" i="23"/>
  <c r="F27" i="23" s="1"/>
  <c r="G31" i="23" s="1"/>
  <c r="D20" i="23"/>
  <c r="F20" i="23" s="1"/>
  <c r="D10" i="23"/>
  <c r="F10" i="23" s="1"/>
  <c r="F35" i="4"/>
  <c r="F34" i="4"/>
  <c r="D21" i="4"/>
  <c r="F21" i="4" s="1"/>
  <c r="D20" i="4"/>
  <c r="F20" i="4" s="1"/>
  <c r="D19" i="4"/>
  <c r="F19" i="4" s="1"/>
  <c r="D11" i="4"/>
  <c r="F11" i="4" s="1"/>
  <c r="D10" i="4"/>
  <c r="F10" i="4" s="1"/>
  <c r="F35" i="32"/>
  <c r="G41" i="32" s="1"/>
  <c r="D28" i="32"/>
  <c r="F28" i="32" s="1"/>
  <c r="G32" i="32" s="1"/>
  <c r="D21" i="32"/>
  <c r="F21" i="32" s="1"/>
  <c r="D20" i="32"/>
  <c r="F20" i="32" s="1"/>
  <c r="D10" i="32"/>
  <c r="F10" i="32" s="1"/>
  <c r="F28" i="2"/>
  <c r="G32" i="2" s="1"/>
  <c r="D20" i="2"/>
  <c r="F20" i="2" s="1"/>
  <c r="G25" i="2" s="1"/>
  <c r="D11" i="2"/>
  <c r="F11" i="2" s="1"/>
  <c r="D10" i="2"/>
  <c r="F10" i="2" s="1"/>
  <c r="F37" i="11"/>
  <c r="F36" i="11"/>
  <c r="G33" i="11"/>
  <c r="D24" i="11"/>
  <c r="F24" i="11" s="1"/>
  <c r="D23" i="11"/>
  <c r="F23" i="11" s="1"/>
  <c r="D22" i="11"/>
  <c r="F22" i="11" s="1"/>
  <c r="D21" i="11"/>
  <c r="F21" i="11" s="1"/>
  <c r="D13" i="11"/>
  <c r="F13" i="11" s="1"/>
  <c r="D12" i="11"/>
  <c r="F12" i="11" s="1"/>
  <c r="D11" i="11"/>
  <c r="F11" i="11" s="1"/>
  <c r="D10" i="11"/>
  <c r="F10" i="11" s="1"/>
  <c r="D9" i="11"/>
  <c r="F9" i="11" s="1"/>
  <c r="D8" i="11"/>
  <c r="F8" i="11" s="1"/>
  <c r="E36" i="7"/>
  <c r="D28" i="7"/>
  <c r="F28" i="7" s="1"/>
  <c r="G32" i="7" s="1"/>
  <c r="D21" i="7"/>
  <c r="F21" i="7" s="1"/>
  <c r="D20" i="7"/>
  <c r="F20" i="7" s="1"/>
  <c r="D12" i="7"/>
  <c r="F12" i="7" s="1"/>
  <c r="D11" i="7"/>
  <c r="F11" i="7" s="1"/>
  <c r="D10" i="7"/>
  <c r="F10" i="7" s="1"/>
  <c r="F34" i="3"/>
  <c r="G40" i="3" s="1"/>
  <c r="D12" i="3"/>
  <c r="F12" i="3" s="1"/>
  <c r="D11" i="3"/>
  <c r="F11" i="3" s="1"/>
  <c r="D10" i="3"/>
  <c r="F10" i="3" s="1"/>
  <c r="D9" i="3"/>
  <c r="F9" i="3" s="1"/>
  <c r="C38" i="22"/>
  <c r="C36" i="22"/>
  <c r="C6" i="22"/>
  <c r="G4" i="22"/>
  <c r="F46" i="45"/>
  <c r="F45" i="45"/>
  <c r="F44" i="45"/>
  <c r="F43" i="45"/>
  <c r="F42" i="45"/>
  <c r="F41" i="45"/>
  <c r="F40" i="45"/>
  <c r="F39" i="45"/>
  <c r="F38" i="45"/>
  <c r="F37" i="45"/>
  <c r="F36" i="45"/>
  <c r="F35" i="45"/>
  <c r="F34" i="45"/>
  <c r="F33" i="45"/>
  <c r="F32" i="45"/>
  <c r="F28" i="45"/>
  <c r="F21" i="45"/>
  <c r="F20" i="45"/>
  <c r="F19" i="45"/>
  <c r="F18" i="45"/>
  <c r="G25" i="32" l="1"/>
  <c r="K91" i="18"/>
  <c r="K94" i="18" s="1"/>
  <c r="F48" i="45"/>
  <c r="G25" i="7"/>
  <c r="F24" i="45"/>
  <c r="G40" i="23"/>
  <c r="F12" i="23" s="1"/>
  <c r="G16" i="23" s="1"/>
  <c r="G42" i="11"/>
  <c r="F14" i="11" s="1"/>
  <c r="G16" i="11" s="1"/>
  <c r="G28" i="6"/>
  <c r="G24" i="4"/>
  <c r="G24" i="26"/>
  <c r="G28" i="5"/>
  <c r="G40" i="4"/>
  <c r="G40" i="28"/>
  <c r="F12" i="28" s="1"/>
  <c r="G16" i="28" s="1"/>
  <c r="F12" i="26"/>
  <c r="G16" i="26" s="1"/>
  <c r="F12" i="32"/>
  <c r="G17" i="32" s="1"/>
  <c r="G44" i="5"/>
  <c r="F11" i="5" s="1"/>
  <c r="G18" i="5" s="1"/>
  <c r="C91" i="18"/>
  <c r="C94" i="18" s="1"/>
  <c r="I36" i="18"/>
  <c r="I91" i="18"/>
  <c r="I94" i="18" s="1"/>
  <c r="F38" i="6"/>
  <c r="G44" i="6" s="1"/>
  <c r="C26" i="18"/>
  <c r="I19" i="18"/>
  <c r="I22" i="18" s="1"/>
  <c r="K36" i="18"/>
  <c r="K98" i="18"/>
  <c r="I98" i="18"/>
  <c r="C98" i="18"/>
  <c r="C65" i="18"/>
  <c r="C68" i="18" s="1"/>
  <c r="C79" i="18" s="1"/>
  <c r="C80" i="18" s="1"/>
  <c r="F29" i="36"/>
  <c r="H10" i="36"/>
  <c r="H13" i="36"/>
  <c r="H14" i="36"/>
  <c r="H11" i="36"/>
  <c r="H16" i="36"/>
  <c r="I26" i="18"/>
  <c r="H36" i="18"/>
  <c r="E62" i="18"/>
  <c r="E67" i="18" s="1"/>
  <c r="G16" i="18"/>
  <c r="G15" i="18" s="1"/>
  <c r="G62" i="18"/>
  <c r="G70" i="18" s="1"/>
  <c r="F88" i="18"/>
  <c r="F93" i="18" s="1"/>
  <c r="K19" i="18"/>
  <c r="K22" i="18" s="1"/>
  <c r="D88" i="18"/>
  <c r="C114" i="18" s="1"/>
  <c r="F39" i="6"/>
  <c r="C40" i="22"/>
  <c r="F35" i="7"/>
  <c r="F36" i="7"/>
  <c r="F13" i="3"/>
  <c r="H15" i="36"/>
  <c r="I37" i="34"/>
  <c r="F29" i="45"/>
  <c r="I39" i="34" s="1"/>
  <c r="J36" i="18"/>
  <c r="F26" i="18"/>
  <c r="D98" i="18"/>
  <c r="H98" i="18"/>
  <c r="C124" i="18"/>
  <c r="G88" i="18"/>
  <c r="H62" i="18"/>
  <c r="C24" i="18"/>
  <c r="F16" i="18"/>
  <c r="C15" i="18"/>
  <c r="C36" i="18" s="1"/>
  <c r="E88" i="18"/>
  <c r="F62" i="18"/>
  <c r="C37" i="18"/>
  <c r="C38" i="18" s="1"/>
  <c r="C39" i="18" s="1"/>
  <c r="D16" i="18"/>
  <c r="D26" i="18"/>
  <c r="H19" i="18"/>
  <c r="H22" i="18" s="1"/>
  <c r="H26" i="18"/>
  <c r="H88" i="18"/>
  <c r="F98" i="18"/>
  <c r="J98" i="18"/>
  <c r="J91" i="18"/>
  <c r="J94" i="18" s="1"/>
  <c r="J26" i="18"/>
  <c r="J19" i="18"/>
  <c r="J22" i="18" s="1"/>
  <c r="E16" i="18"/>
  <c r="K105" i="18"/>
  <c r="K106" i="18" s="1"/>
  <c r="F72" i="18"/>
  <c r="B124" i="18"/>
  <c r="D65" i="18"/>
  <c r="D68" i="18" s="1"/>
  <c r="D124" i="18"/>
  <c r="G43" i="32" l="1"/>
  <c r="I19" i="34" s="1"/>
  <c r="C105" i="18"/>
  <c r="C106" i="18" s="1"/>
  <c r="D87" i="18"/>
  <c r="D91" i="18" s="1"/>
  <c r="G42" i="26"/>
  <c r="I23" i="34" s="1"/>
  <c r="G46" i="5"/>
  <c r="I26" i="34" s="1"/>
  <c r="I40" i="34"/>
  <c r="G41" i="7"/>
  <c r="F13" i="7" s="1"/>
  <c r="G17" i="7" s="1"/>
  <c r="G43" i="7" s="1"/>
  <c r="I33" i="18"/>
  <c r="I52" i="18" s="1"/>
  <c r="F12" i="6"/>
  <c r="G18" i="6" s="1"/>
  <c r="G46" i="6" s="1"/>
  <c r="G16" i="3"/>
  <c r="G42" i="3" s="1"/>
  <c r="I9" i="34" s="1"/>
  <c r="I105" i="18"/>
  <c r="I106" i="18" s="1"/>
  <c r="G24" i="18"/>
  <c r="F12" i="4"/>
  <c r="F12" i="2"/>
  <c r="G17" i="2" s="1"/>
  <c r="H17" i="36"/>
  <c r="E70" i="18"/>
  <c r="F87" i="18"/>
  <c r="F91" i="18" s="1"/>
  <c r="F94" i="18" s="1"/>
  <c r="F96" i="18"/>
  <c r="H33" i="18"/>
  <c r="H52" i="18" s="1"/>
  <c r="J105" i="18"/>
  <c r="J106" i="18" s="1"/>
  <c r="E61" i="18"/>
  <c r="E65" i="18" s="1"/>
  <c r="E68" i="18" s="1"/>
  <c r="B114" i="18"/>
  <c r="B119" i="18" s="1"/>
  <c r="K33" i="18"/>
  <c r="K52" i="18" s="1"/>
  <c r="D93" i="18"/>
  <c r="G37" i="18"/>
  <c r="G38" i="18" s="1"/>
  <c r="G39" i="18" s="1"/>
  <c r="D114" i="18"/>
  <c r="D122" i="18" s="1"/>
  <c r="D96" i="18"/>
  <c r="G21" i="18"/>
  <c r="G61" i="18"/>
  <c r="G65" i="18" s="1"/>
  <c r="G68" i="18" s="1"/>
  <c r="G67" i="18"/>
  <c r="D94" i="18"/>
  <c r="E96" i="18"/>
  <c r="E87" i="18"/>
  <c r="E91" i="18" s="1"/>
  <c r="E93" i="18"/>
  <c r="H67" i="18"/>
  <c r="H61" i="18"/>
  <c r="H65" i="18" s="1"/>
  <c r="H70" i="18"/>
  <c r="D21" i="18"/>
  <c r="D37" i="18"/>
  <c r="D38" i="18" s="1"/>
  <c r="D39" i="18" s="1"/>
  <c r="D24" i="18"/>
  <c r="D15" i="18"/>
  <c r="G96" i="18"/>
  <c r="G87" i="18"/>
  <c r="G91" i="18" s="1"/>
  <c r="G93" i="18"/>
  <c r="C122" i="18"/>
  <c r="C119" i="18"/>
  <c r="C113" i="18"/>
  <c r="C117" i="18" s="1"/>
  <c r="H93" i="18"/>
  <c r="H96" i="18"/>
  <c r="H87" i="18"/>
  <c r="H91" i="18" s="1"/>
  <c r="F21" i="18"/>
  <c r="F37" i="18"/>
  <c r="F38" i="18" s="1"/>
  <c r="F39" i="18" s="1"/>
  <c r="F24" i="18"/>
  <c r="F15" i="18"/>
  <c r="G36" i="18"/>
  <c r="G19" i="18"/>
  <c r="J33" i="18"/>
  <c r="J52" i="18" s="1"/>
  <c r="E37" i="18"/>
  <c r="E38" i="18" s="1"/>
  <c r="E39" i="18" s="1"/>
  <c r="E24" i="18"/>
  <c r="E15" i="18"/>
  <c r="E21" i="18"/>
  <c r="C19" i="18"/>
  <c r="D79" i="18"/>
  <c r="D80" i="18" s="1"/>
  <c r="F70" i="18"/>
  <c r="F67" i="18"/>
  <c r="F61" i="18"/>
  <c r="F65" i="18" s="1"/>
  <c r="E79" i="18" l="1"/>
  <c r="E80" i="18" s="1"/>
  <c r="J19" i="34"/>
  <c r="J23" i="34"/>
  <c r="J26" i="34"/>
  <c r="J9" i="34"/>
  <c r="I27" i="34"/>
  <c r="G16" i="4"/>
  <c r="G42" i="4" s="1"/>
  <c r="G43" i="2"/>
  <c r="I8" i="34" s="1"/>
  <c r="F105" i="18"/>
  <c r="F106" i="18" s="1"/>
  <c r="I12" i="34"/>
  <c r="F19" i="28"/>
  <c r="G24" i="28" s="1"/>
  <c r="G42" i="28" s="1"/>
  <c r="D113" i="18"/>
  <c r="D117" i="18" s="1"/>
  <c r="B113" i="18"/>
  <c r="B117" i="18" s="1"/>
  <c r="B120" i="18" s="1"/>
  <c r="D119" i="18"/>
  <c r="B122" i="18"/>
  <c r="D105" i="18"/>
  <c r="D106" i="18" s="1"/>
  <c r="G79" i="18"/>
  <c r="G80" i="18" s="1"/>
  <c r="F36" i="18"/>
  <c r="F19" i="18"/>
  <c r="H94" i="18"/>
  <c r="H105" i="18" s="1"/>
  <c r="H106" i="18" s="1"/>
  <c r="C120" i="18"/>
  <c r="C131" i="18" s="1"/>
  <c r="C132" i="18" s="1"/>
  <c r="G94" i="18"/>
  <c r="G105" i="18" s="1"/>
  <c r="G106" i="18" s="1"/>
  <c r="E94" i="18"/>
  <c r="E105" i="18" s="1"/>
  <c r="E106" i="18" s="1"/>
  <c r="F68" i="18"/>
  <c r="F79" i="18" s="1"/>
  <c r="F80" i="18" s="1"/>
  <c r="E19" i="18"/>
  <c r="E36" i="18"/>
  <c r="H68" i="18"/>
  <c r="H79" i="18" s="1"/>
  <c r="H80" i="18" s="1"/>
  <c r="G22" i="18"/>
  <c r="G33" i="18" s="1"/>
  <c r="G52" i="18" s="1"/>
  <c r="D36" i="18"/>
  <c r="D19" i="18"/>
  <c r="C22" i="18"/>
  <c r="C33" i="18" s="1"/>
  <c r="J8" i="34" l="1"/>
  <c r="J10" i="34" s="1"/>
  <c r="J27" i="34"/>
  <c r="J28" i="34" s="1"/>
  <c r="I21" i="34"/>
  <c r="I18" i="34"/>
  <c r="J12" i="34"/>
  <c r="J13" i="34" s="1"/>
  <c r="I22" i="34"/>
  <c r="D120" i="18"/>
  <c r="D131" i="18" s="1"/>
  <c r="D132" i="18" s="1"/>
  <c r="B131" i="18"/>
  <c r="B132" i="18" s="1"/>
  <c r="G81" i="18"/>
  <c r="C52" i="18"/>
  <c r="D43" i="18"/>
  <c r="F22" i="18"/>
  <c r="F33" i="18" s="1"/>
  <c r="F52" i="18" s="1"/>
  <c r="D22" i="18"/>
  <c r="D33" i="18" s="1"/>
  <c r="D52" i="18" s="1"/>
  <c r="E22" i="18"/>
  <c r="E33" i="18" s="1"/>
  <c r="E52" i="18" s="1"/>
  <c r="J18" i="34" l="1"/>
  <c r="J22" i="34"/>
  <c r="J21" i="34"/>
  <c r="B133" i="18"/>
  <c r="I38" i="34"/>
  <c r="D49" i="18"/>
  <c r="D48" i="18"/>
  <c r="D47" i="18"/>
  <c r="F50" i="45" l="1"/>
  <c r="I36" i="34" s="1"/>
  <c r="J36" i="34" s="1"/>
  <c r="E48" i="18"/>
  <c r="E49" i="18" s="1"/>
  <c r="I53" i="18" l="1"/>
  <c r="H53" i="18"/>
  <c r="K53" i="18"/>
  <c r="J53" i="18"/>
  <c r="G53" i="18"/>
  <c r="F53" i="18"/>
  <c r="E53" i="18"/>
  <c r="D53" i="18"/>
  <c r="C53" i="18"/>
  <c r="D19" i="23" l="1"/>
  <c r="F19" i="23" s="1"/>
  <c r="G24" i="23" s="1"/>
  <c r="G42" i="23" s="1"/>
  <c r="D19" i="11"/>
  <c r="F19" i="11" s="1"/>
  <c r="D20" i="11"/>
  <c r="F20" i="11" s="1"/>
  <c r="G26" i="11" l="1"/>
  <c r="G44" i="11" s="1"/>
  <c r="I15" i="34" s="1"/>
  <c r="I20" i="34"/>
  <c r="J20" i="34" l="1"/>
  <c r="J24" i="34" s="1"/>
  <c r="J15" i="34"/>
  <c r="J16" i="34" s="1"/>
  <c r="J29" i="34" l="1"/>
  <c r="J31" i="34" l="1"/>
  <c r="C6" i="36"/>
  <c r="D37" i="36" s="1"/>
  <c r="F37" i="36" s="1"/>
  <c r="G37" i="36" s="1"/>
  <c r="J32" i="34"/>
  <c r="J33" i="34" s="1"/>
  <c r="D40" i="36" l="1"/>
  <c r="F40" i="36" s="1"/>
  <c r="G40" i="36" s="1"/>
  <c r="G24" i="36"/>
  <c r="G23" i="36"/>
  <c r="I14" i="36"/>
  <c r="D34" i="36"/>
  <c r="F34" i="36" s="1"/>
  <c r="G34" i="36" s="1"/>
  <c r="I10" i="36"/>
  <c r="I11" i="36"/>
  <c r="I13" i="36"/>
  <c r="G22" i="36"/>
  <c r="I16" i="36"/>
  <c r="D35" i="36"/>
  <c r="F35" i="36" s="1"/>
  <c r="G35" i="36" s="1"/>
  <c r="G20" i="36"/>
  <c r="G25" i="36"/>
  <c r="D33" i="36"/>
  <c r="F33" i="36" s="1"/>
  <c r="G33" i="36" s="1"/>
  <c r="D36" i="36"/>
  <c r="F36" i="36" s="1"/>
  <c r="G36" i="36" s="1"/>
  <c r="I12" i="36"/>
  <c r="G26" i="36"/>
  <c r="G21" i="36"/>
  <c r="G27" i="36"/>
  <c r="D39" i="36"/>
  <c r="F39" i="36" s="1"/>
  <c r="G39" i="36" s="1"/>
  <c r="I15" i="36"/>
  <c r="D38" i="36"/>
  <c r="F38" i="36" s="1"/>
  <c r="G38" i="36" s="1"/>
  <c r="D32" i="36"/>
  <c r="F32" i="36" s="1"/>
  <c r="G32" i="36" s="1"/>
  <c r="I17" i="36" l="1"/>
  <c r="G44" i="36"/>
  <c r="G29" i="36"/>
  <c r="F44" i="36"/>
  <c r="C47" i="36" l="1"/>
  <c r="C50" i="36" s="1"/>
  <c r="M18" i="49"/>
  <c r="M20" i="49" s="1"/>
  <c r="I30" i="34" l="1"/>
  <c r="J30" i="34" s="1"/>
  <c r="M27" i="49"/>
  <c r="J34" i="34" l="1"/>
  <c r="M28" i="49"/>
  <c r="M29" i="49" s="1"/>
  <c r="M30" i="49" l="1"/>
  <c r="I42" i="34" l="1"/>
  <c r="J42" i="34" s="1"/>
  <c r="J44" i="34" l="1"/>
  <c r="E38" i="13" s="1"/>
  <c r="E40" i="13" s="1"/>
  <c r="J46" i="3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Asus</author>
  </authors>
  <commentList>
    <comment ref="H8" authorId="0" shapeId="0" xr:uid="{7A683AE8-4686-419F-9E83-1007F828FCEC}">
      <text>
        <r>
          <rPr>
            <b/>
            <sz val="9"/>
            <color indexed="81"/>
            <rFont val="Tahoma"/>
            <family val="2"/>
          </rPr>
          <t>Asus:</t>
        </r>
        <r>
          <rPr>
            <sz val="9"/>
            <color indexed="81"/>
            <rFont val="Tahoma"/>
            <family val="2"/>
          </rPr>
          <t xml:space="preserve">
Validar la cantidad.
Y revisar el caracterizacion del material para ser usado como suminstro para el terraplen o rellenos 
</t>
        </r>
      </text>
    </comment>
    <comment ref="H9" authorId="0" shapeId="0" xr:uid="{F9F365E5-7F58-4665-8DDA-71CFC7C48EFE}">
      <text>
        <r>
          <rPr>
            <b/>
            <sz val="9"/>
            <color indexed="81"/>
            <rFont val="Tahoma"/>
            <family val="2"/>
          </rPr>
          <t>Asus:</t>
        </r>
        <r>
          <rPr>
            <sz val="9"/>
            <color indexed="81"/>
            <rFont val="Tahoma"/>
            <family val="2"/>
          </rPr>
          <t xml:space="preserve">
Validar la cantidad
</t>
        </r>
      </text>
    </comment>
    <comment ref="H18" authorId="0" shapeId="0" xr:uid="{4D2C7263-7C7C-4C59-940C-49CD084EE621}">
      <text>
        <r>
          <rPr>
            <b/>
            <sz val="9"/>
            <color indexed="81"/>
            <rFont val="Tahoma"/>
            <family val="2"/>
          </rPr>
          <t>Asus:</t>
        </r>
        <r>
          <rPr>
            <sz val="9"/>
            <color indexed="81"/>
            <rFont val="Tahoma"/>
            <family val="2"/>
          </rPr>
          <t xml:space="preserve">
Validar cantidades de la excavacion.
</t>
        </r>
      </text>
    </comment>
    <comment ref="H20" authorId="0" shapeId="0" xr:uid="{C85BC2D0-FA1B-4599-9259-0291704C72EB}">
      <text>
        <r>
          <rPr>
            <b/>
            <sz val="9"/>
            <color indexed="81"/>
            <rFont val="Tahoma"/>
            <family val="2"/>
          </rPr>
          <t>Asus:</t>
        </r>
        <r>
          <rPr>
            <sz val="9"/>
            <color indexed="81"/>
            <rFont val="Tahoma"/>
            <family val="2"/>
          </rPr>
          <t xml:space="preserve">
Revisar cantidades de acero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Asus</author>
  </authors>
  <commentList>
    <comment ref="B3" authorId="0" shapeId="0" xr:uid="{35A7D52D-636F-42AA-8B36-69CD4441E3B3}">
      <text>
        <r>
          <rPr>
            <b/>
            <sz val="9"/>
            <color indexed="81"/>
            <rFont val="Tahoma"/>
            <family val="2"/>
          </rPr>
          <t>Asus: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<sst xmlns="http://schemas.openxmlformats.org/spreadsheetml/2006/main" count="2041" uniqueCount="698">
  <si>
    <t>MEJORAMIENTO DE LA VIA QUE COMUNICA LA VEREDA EL ENCANTO CON EL CORREGIMIENTO EL SILENCIO, MUNICIPIO DE CAREPA, DEPARTAMENTO DE ANTIOQUIA.</t>
  </si>
  <si>
    <t>PRESUPUESTO OFICIAL</t>
  </si>
  <si>
    <t>No</t>
  </si>
  <si>
    <t>ITEM DE PAGO</t>
  </si>
  <si>
    <t>ESPECIFICACIONES</t>
  </si>
  <si>
    <t>DESCRIPCION</t>
  </si>
  <si>
    <t>UNID</t>
  </si>
  <si>
    <t>CANTIDAD</t>
  </si>
  <si>
    <t>VALOR UNITARIO</t>
  </si>
  <si>
    <t>VALOR TOTAL</t>
  </si>
  <si>
    <t>Duración Etapa I</t>
  </si>
  <si>
    <t>meses</t>
  </si>
  <si>
    <t>GENERAL 2017</t>
  </si>
  <si>
    <t>PARTICULAR</t>
  </si>
  <si>
    <t>Duración Etapa II</t>
  </si>
  <si>
    <t>Acarreo cantera</t>
  </si>
  <si>
    <t>Escombrera</t>
  </si>
  <si>
    <t>I - EXPLANACIONES</t>
  </si>
  <si>
    <t>km</t>
  </si>
  <si>
    <t>600.1.1</t>
  </si>
  <si>
    <t>600-13</t>
  </si>
  <si>
    <t>EXCAVACIONES VARIAS SIN CLASIFICAR (Incluye retiro  disposicion final)</t>
  </si>
  <si>
    <t>m3</t>
  </si>
  <si>
    <t>acero</t>
  </si>
  <si>
    <t>220-13</t>
  </si>
  <si>
    <t>TERRAPLENES</t>
  </si>
  <si>
    <t>SUBTOTAL EXPLANACIONES</t>
  </si>
  <si>
    <t>II - AFIRMADOS, SUBBASES Y BASES</t>
  </si>
  <si>
    <t>320.3</t>
  </si>
  <si>
    <t>320-13</t>
  </si>
  <si>
    <t>SUBBASE GRANULAR CLASE C</t>
  </si>
  <si>
    <t>SUBTOTAL AFIRMADO, SUBASES Y BASES</t>
  </si>
  <si>
    <t>III - ESTRUCTURA DE PAVIMENTO</t>
  </si>
  <si>
    <t>500-13</t>
  </si>
  <si>
    <t>PAVIMENTO EN CONCRETO HIDRÁULICO MR=3.8 Mpa (Incluye acero transferencia longitudinal y transversal y juntas)</t>
  </si>
  <si>
    <t>SUBTOTAL PAVIMENTOS RIGIDOS</t>
  </si>
  <si>
    <t>IV - ESTRUCTURAS Y DRENAJES</t>
  </si>
  <si>
    <t xml:space="preserve">600-13 </t>
  </si>
  <si>
    <t/>
  </si>
  <si>
    <t>EXCAVACIONES VARIAS SIN CLASIFICAR</t>
  </si>
  <si>
    <t>610.2</t>
  </si>
  <si>
    <t>610-13</t>
  </si>
  <si>
    <t>RELLENOS PARA ESTRUCTURAS CON RECEBO.</t>
  </si>
  <si>
    <t>640.1</t>
  </si>
  <si>
    <t>640-13</t>
  </si>
  <si>
    <t>ACERO DE REFUERZO FY 420 MPA.</t>
  </si>
  <si>
    <t>kg</t>
  </si>
  <si>
    <t>661.1</t>
  </si>
  <si>
    <t>661-13</t>
  </si>
  <si>
    <t>TUBERÍA DE CONCRETO REFORZADO  CLASE D DE 900 MM DE DIAMETRO INTERIOR</t>
  </si>
  <si>
    <t>m</t>
  </si>
  <si>
    <t>630.4</t>
  </si>
  <si>
    <t>630-13</t>
  </si>
  <si>
    <t>CONCRETO RESISTENCIA 21MPA (D)</t>
  </si>
  <si>
    <t>671.3</t>
  </si>
  <si>
    <t>671-13P</t>
  </si>
  <si>
    <t>CUNETA DE CONCRETO VACIADA IN SITU; INCLUYE LA CONFORMACION DE LA SUPERFICIE DE APOYO</t>
  </si>
  <si>
    <t>SUBTOTAL ESTRUCTURAS Y DRENAJES</t>
  </si>
  <si>
    <t>V - SEÑALIZACIÓN Y SEGURIDAD</t>
  </si>
  <si>
    <t>710.1</t>
  </si>
  <si>
    <t>710-13</t>
  </si>
  <si>
    <t>SEÑAL VERTICAL DE TRANSITO VERTICAL TIPO 1 CON LAMINA RETRORREFLECTIVA TIPO III (75X75)</t>
  </si>
  <si>
    <t>Und</t>
  </si>
  <si>
    <t>700.1</t>
  </si>
  <si>
    <t>700-13</t>
  </si>
  <si>
    <t>LINEA DEMARCACIÓN CON PINTURA EN FRÍO</t>
  </si>
  <si>
    <t>ml</t>
  </si>
  <si>
    <t>SUBTOTAL SEÑALIZACION Y SEGURIDAD</t>
  </si>
  <si>
    <t>TOTAL COSTOS DIRECTOS</t>
  </si>
  <si>
    <t>ADMINISTRACION</t>
  </si>
  <si>
    <t xml:space="preserve">IMPREVISTOS </t>
  </si>
  <si>
    <t xml:space="preserve">UTILIDAD </t>
  </si>
  <si>
    <t>IVA UTILIDAD</t>
  </si>
  <si>
    <t>V- PLAN DE GESTION INTEGRAL DE LA OBRA y COSTOS AMBIENTALES</t>
  </si>
  <si>
    <t>IMPLEMENTACIÓN DEL PGIO (SST, Calidad, Ambiental, Transito,etc.)</t>
  </si>
  <si>
    <t>1. IMPLEMETACIÓN PGIO - EJE SST</t>
  </si>
  <si>
    <t>2. IMPLEMETACION PGIO - EJE AMBIENTAL (en caso de ser requerido)</t>
  </si>
  <si>
    <t>3. IMPLEMETACION PGIO - EJE CALIDAD</t>
  </si>
  <si>
    <t>4. IMPLEMENTACIÓN DE PLAN DE MANEJO DE TRÁNSITO</t>
  </si>
  <si>
    <t>VI - COSTO ETAPA I (AJUSTE Y APROPIACION ESTUDIOS Y DISEÑOS)</t>
  </si>
  <si>
    <t>E1-O</t>
  </si>
  <si>
    <r>
      <t>Etapa I</t>
    </r>
    <r>
      <rPr>
        <sz val="11"/>
        <rFont val="Arial"/>
        <family val="2"/>
      </rPr>
      <t xml:space="preserve"> (Ajuste y Apropiación, incluye IVA)</t>
    </r>
  </si>
  <si>
    <t>Gl</t>
  </si>
  <si>
    <t>COSTO TOTAL DE OBRA (ETAPA I +ETAPA II)</t>
  </si>
  <si>
    <t>Costo Interventoria</t>
  </si>
  <si>
    <t>COSTO TOTAL</t>
  </si>
  <si>
    <t>NOTA:</t>
  </si>
  <si>
    <t>Los valores de los APU incluyen el valor del transporte de insumos, materiales con las distancias a las canteras y/o escombreras</t>
  </si>
  <si>
    <t>_____________________________________</t>
  </si>
  <si>
    <t>ING. VIANEY LARA</t>
  </si>
  <si>
    <t xml:space="preserve">PROFESIONAL RESPONSABLE </t>
  </si>
  <si>
    <t>MAT:13202-138828BLV</t>
  </si>
  <si>
    <t>Nombre del Proyecto</t>
  </si>
  <si>
    <t>DESGLOCE DEL AIU</t>
  </si>
  <si>
    <t>Etapa I Duración</t>
  </si>
  <si>
    <t>VALOR COSTO DIRECTO ALTERNATIVA</t>
  </si>
  <si>
    <t>Etapa II Duración</t>
  </si>
  <si>
    <t>SMMLV</t>
  </si>
  <si>
    <t>COSTOS DEL PERSONAL</t>
  </si>
  <si>
    <t>Aux</t>
  </si>
  <si>
    <t xml:space="preserve">PERSONAL PROFESIONAL </t>
  </si>
  <si>
    <t>DEDICACION</t>
  </si>
  <si>
    <t>VALOR /MES/BASE</t>
  </si>
  <si>
    <t>FACTOR PRESTACIONAL</t>
  </si>
  <si>
    <t xml:space="preserve">MESES </t>
  </si>
  <si>
    <t>PORCENTAJE COSTO DIRECTO</t>
  </si>
  <si>
    <t>Director de Obra</t>
  </si>
  <si>
    <t>Ingeniero Residente</t>
  </si>
  <si>
    <t>Cuadrilla Topografía (Topógrafo y Cadenero)</t>
  </si>
  <si>
    <t>Profesional SISOMA</t>
  </si>
  <si>
    <t>Profesional Social</t>
  </si>
  <si>
    <t>Profesional Financiero</t>
  </si>
  <si>
    <t>Secretaria</t>
  </si>
  <si>
    <t>TOTAL COSTO PERSONAL</t>
  </si>
  <si>
    <t>GASTOS OPERACIONALES</t>
  </si>
  <si>
    <t>DESCRIPCIÓN</t>
  </si>
  <si>
    <t>Viaticos</t>
  </si>
  <si>
    <t>Oficina/Campamento (incluye  dotación y sevicios públicos)</t>
  </si>
  <si>
    <t>Insumos de oficina (Computadores, impresora, entre otros)</t>
  </si>
  <si>
    <t>Camioneta o campero de más de 2000 cc modelo 2012 a 2021 (incluye conductor, peajes y combustible)</t>
  </si>
  <si>
    <t xml:space="preserve">Comisión topografía (Incluye  equipo y transporte) </t>
  </si>
  <si>
    <t>Valla informativa proyecto</t>
  </si>
  <si>
    <t>Otros (fotos, informes, etc)</t>
  </si>
  <si>
    <t>Ensayos de laboratorio</t>
  </si>
  <si>
    <t>TOTAL GASTOS OPERACIONALES</t>
  </si>
  <si>
    <t>GASTOS LEGALES Y/O IMPUESTOS</t>
  </si>
  <si>
    <t>%</t>
  </si>
  <si>
    <t>VALOR BASE</t>
  </si>
  <si>
    <t>PÓLIZAS</t>
  </si>
  <si>
    <t>CONTRIBUCIONES ESPECIALES (IMPUESTO DE GUERRA)</t>
  </si>
  <si>
    <t>IMPUESTO DEL 4/1000</t>
  </si>
  <si>
    <t>RETENCIÓN EN LA FUENTE</t>
  </si>
  <si>
    <t>ICA</t>
  </si>
  <si>
    <t>Estampilla Hospital</t>
  </si>
  <si>
    <t>Estampilla Pro-Cultura</t>
  </si>
  <si>
    <t>Estampilla Adulto Mayor</t>
  </si>
  <si>
    <t>Estampilla tasa Pro-Deporte</t>
  </si>
  <si>
    <t>TOTAL GASTOS LEGALES Y/O IMPUESTOS</t>
  </si>
  <si>
    <t>ADMINISTRACIÓN</t>
  </si>
  <si>
    <t>IMPREVISTO</t>
  </si>
  <si>
    <t>UTILIDAD</t>
  </si>
  <si>
    <t>TOTAL AIU</t>
  </si>
  <si>
    <t>DESGLOCE DE ENSAYOS A REALIZAR</t>
  </si>
  <si>
    <t xml:space="preserve">ENSAYO </t>
  </si>
  <si>
    <t xml:space="preserve">CANTIDAD </t>
  </si>
  <si>
    <t xml:space="preserve">VALOR </t>
  </si>
  <si>
    <t>MESES</t>
  </si>
  <si>
    <t xml:space="preserve">VALOR TOTAL </t>
  </si>
  <si>
    <t>CBR en laboratorio</t>
  </si>
  <si>
    <t>Compresion de Cilindros</t>
  </si>
  <si>
    <t>Modulo de rotura</t>
  </si>
  <si>
    <t>Densidad en el terreno, metodo de Cono y Arena</t>
  </si>
  <si>
    <t xml:space="preserve">Diseño de mezcla </t>
  </si>
  <si>
    <t>Granulometría por tamizado Bases Subbases</t>
  </si>
  <si>
    <t>Limites de Atterberg</t>
  </si>
  <si>
    <t>Relación de humedad y densidad (Proctor estándar y Proctor modificado)</t>
  </si>
  <si>
    <t>PRESUPUESTO ETAPA DE APROPIACIÓN Y AJUSTE DE DISEÑOS PARA 1 PROYECTO
OBRA</t>
  </si>
  <si>
    <t>NOMBRE DEL PROYECTO:</t>
  </si>
  <si>
    <t xml:space="preserve">DURACIÓN ETAPA I : </t>
  </si>
  <si>
    <t>DOS (2) MESES</t>
  </si>
  <si>
    <t>DATOS ESPECÍFICOS</t>
  </si>
  <si>
    <t>I. PERSONAL</t>
  </si>
  <si>
    <t>COSTO MENSUAL</t>
  </si>
  <si>
    <t>TIEMPO (MES)</t>
  </si>
  <si>
    <t>PARTICIPACIÓN</t>
  </si>
  <si>
    <t>Vr. UNITARIO</t>
  </si>
  <si>
    <t>Coordinador Tecnico</t>
  </si>
  <si>
    <t>Especialista geotecnia</t>
  </si>
  <si>
    <t>Especialista en Hidráulica e Hidrología</t>
  </si>
  <si>
    <t>Especialista en Estructuras</t>
  </si>
  <si>
    <t>Especialista en diseño vias (geométrico, Pavimentos, Transito)</t>
  </si>
  <si>
    <t>Profesional en presupuesto</t>
  </si>
  <si>
    <t>Profesional ambiental</t>
  </si>
  <si>
    <t>SUBTOTAL</t>
  </si>
  <si>
    <t>Factor multiplicador</t>
  </si>
  <si>
    <t xml:space="preserve">SUBTOTAL </t>
  </si>
  <si>
    <t>II. OTROS COSTOS</t>
  </si>
  <si>
    <t>PRECIO UNIT.</t>
  </si>
  <si>
    <t>Trabajo de Topografía (comision topografica incluida equipo)</t>
  </si>
  <si>
    <t>Ensayos de Laboratorio y sondeos</t>
  </si>
  <si>
    <t>Visita de Verificación</t>
  </si>
  <si>
    <t xml:space="preserve">TOTAL COSTO </t>
  </si>
  <si>
    <t>IVA 19%</t>
  </si>
  <si>
    <t>CALCULO DEL FACTOR MULTIPLICADOR</t>
  </si>
  <si>
    <t>HONORARIOS MENSUAL  BASICO</t>
  </si>
  <si>
    <t>PRESTACIONES SOCIALES</t>
  </si>
  <si>
    <t>2.1</t>
  </si>
  <si>
    <t>Prima mensual</t>
  </si>
  <si>
    <t>2.2</t>
  </si>
  <si>
    <t>Cesantía mensual</t>
  </si>
  <si>
    <t>2.3</t>
  </si>
  <si>
    <t>Intereses de cesantías</t>
  </si>
  <si>
    <t>2.4</t>
  </si>
  <si>
    <t>Salud</t>
  </si>
  <si>
    <t>2.5</t>
  </si>
  <si>
    <t>Pensión</t>
  </si>
  <si>
    <t>2.6</t>
  </si>
  <si>
    <t>SENA</t>
  </si>
  <si>
    <t>2.7</t>
  </si>
  <si>
    <t>ICBF</t>
  </si>
  <si>
    <t>2.8</t>
  </si>
  <si>
    <t>Subsidio Familiar</t>
  </si>
  <si>
    <t>2.9</t>
  </si>
  <si>
    <t>Vacaciones</t>
  </si>
  <si>
    <t>2.10</t>
  </si>
  <si>
    <t>Arl</t>
  </si>
  <si>
    <t xml:space="preserve">SUBTOTAL  2  -  PRESTACIONES SOCIALES    </t>
  </si>
  <si>
    <t>IMPUESTOS</t>
  </si>
  <si>
    <t>3.1</t>
  </si>
  <si>
    <t>Rete ICA</t>
  </si>
  <si>
    <t>3.2</t>
  </si>
  <si>
    <t>FONSECON</t>
  </si>
  <si>
    <t>3.3</t>
  </si>
  <si>
    <t>Rtención en la Fuente</t>
  </si>
  <si>
    <t>3.4</t>
  </si>
  <si>
    <t>3.5</t>
  </si>
  <si>
    <t>3.6</t>
  </si>
  <si>
    <t>3.7</t>
  </si>
  <si>
    <t>3.8</t>
  </si>
  <si>
    <t>GMF</t>
  </si>
  <si>
    <t xml:space="preserve">SUBTOTAL  3  -  COSTOS INDIRECTOS    </t>
  </si>
  <si>
    <r>
      <t>FACTOR MULTIPLICADOR</t>
    </r>
    <r>
      <rPr>
        <sz val="10"/>
        <rFont val="Arial"/>
        <family val="2"/>
      </rPr>
      <t xml:space="preserve">   =   (  1 + 2 + 3 + 4  ) / 100</t>
    </r>
  </si>
  <si>
    <t xml:space="preserve">                                                                                              </t>
  </si>
  <si>
    <t>SMLV</t>
  </si>
  <si>
    <t>2 SMLV</t>
  </si>
  <si>
    <t>Administrativo</t>
  </si>
  <si>
    <t>SALARIOS MENORES A 2 SMLV</t>
  </si>
  <si>
    <t>SALARIOS MAYORES A 2 SMLV</t>
  </si>
  <si>
    <t>HONORARIOS MENSUAL  BÁSICO</t>
  </si>
  <si>
    <t>Primas</t>
  </si>
  <si>
    <t>Cesantias</t>
  </si>
  <si>
    <t>Intereses de cesantias</t>
  </si>
  <si>
    <t>Subsidio familiar</t>
  </si>
  <si>
    <t>Pension</t>
  </si>
  <si>
    <t>ARL</t>
  </si>
  <si>
    <t>Icbf</t>
  </si>
  <si>
    <t>Sena</t>
  </si>
  <si>
    <t>Auxilio de Transporte</t>
  </si>
  <si>
    <t>Auxilio de transporte</t>
  </si>
  <si>
    <t>Domingos y festivos</t>
  </si>
  <si>
    <t>Dotación seguridad industrial</t>
  </si>
  <si>
    <t>COSTOS INDIRECTOS</t>
  </si>
  <si>
    <t>Seguro colectivo</t>
  </si>
  <si>
    <t>GASTOS LEGALES Y DE ADMINISTRACIÓN</t>
  </si>
  <si>
    <t>F.I.C (Para sector de la Construcción)</t>
  </si>
  <si>
    <t>Gastos directos no reembolsables</t>
  </si>
  <si>
    <t>Servicios públicos</t>
  </si>
  <si>
    <t>Mantenimiento y operación de oficinas</t>
  </si>
  <si>
    <t>Útiles y papelería</t>
  </si>
  <si>
    <t>Póliza de calidad</t>
  </si>
  <si>
    <t>póliza cumplimiento</t>
  </si>
  <si>
    <t>Póliza Salarios y prestaciones Sociales</t>
  </si>
  <si>
    <t>Gastos legales y bancarios</t>
  </si>
  <si>
    <t>Gastos de transporte y vehículos</t>
  </si>
  <si>
    <t>Sistematización y Administración</t>
  </si>
  <si>
    <t>Preparación de propuesta</t>
  </si>
  <si>
    <t>Seguros</t>
  </si>
  <si>
    <t>Relaciones públicas y Gastos de representación</t>
  </si>
  <si>
    <t>Asesoría legal permanente (responsabilidad civil, penal, laboral, etc.)</t>
  </si>
  <si>
    <t>CARGO POR HONORARIOS</t>
  </si>
  <si>
    <t xml:space="preserve">SUBTOTAL  4  -  HONORARIOS     </t>
  </si>
  <si>
    <t>ANÁLISIS DE PRECIOS UNITARIOS</t>
  </si>
  <si>
    <t xml:space="preserve">CARRETERA : </t>
  </si>
  <si>
    <t>Via El Encanto - Corregimiento El Silencio</t>
  </si>
  <si>
    <t>ITEM</t>
  </si>
  <si>
    <t xml:space="preserve">ESPECIFICACIÓN: </t>
  </si>
  <si>
    <t xml:space="preserve">ITEM:  </t>
  </si>
  <si>
    <t>RELLENO O TERRAPLEN</t>
  </si>
  <si>
    <t xml:space="preserve">UNIDAD : </t>
  </si>
  <si>
    <t>I. EQUIPO</t>
  </si>
  <si>
    <t>Descripción</t>
  </si>
  <si>
    <t>Tipo</t>
  </si>
  <si>
    <t>Tarifa/Hora</t>
  </si>
  <si>
    <t>Rendimiento</t>
  </si>
  <si>
    <t>Valor-Unit.</t>
  </si>
  <si>
    <t>BULDOZER, POTENCIA AL VOLANTE DE 140HP, MOTOR DE 2200 RPM, LONGITUD DE HOJA 4,8m.</t>
  </si>
  <si>
    <t>CARRO TANQUE DE AGUA (1000 Galones)</t>
  </si>
  <si>
    <t>MOTONIVELADORA POTENCIA 215HP, ANCHO DE CUCHILLA 4,27m, PESO 18TON</t>
  </si>
  <si>
    <t>VIBROCOMPACTADOR, POTENCIA 153 HP, PESO 10 TON</t>
  </si>
  <si>
    <t>HERRAMIENTA MENOR (5%)</t>
  </si>
  <si>
    <t>Sub-Total</t>
  </si>
  <si>
    <t>II. MATERIALES EN OBRA</t>
  </si>
  <si>
    <t>Unidad</t>
  </si>
  <si>
    <t>Precio-Unit.</t>
  </si>
  <si>
    <t>Cantidad</t>
  </si>
  <si>
    <t>III. TRANSPORTES</t>
  </si>
  <si>
    <t>Material</t>
  </si>
  <si>
    <t>Vol-peso ó Cant.</t>
  </si>
  <si>
    <t>Distancia</t>
  </si>
  <si>
    <t>M3-Km</t>
  </si>
  <si>
    <t>Tarifa</t>
  </si>
  <si>
    <t>TRANSPORTE DEL MATERIAL</t>
  </si>
  <si>
    <t>IV. MANO DE OBRA</t>
  </si>
  <si>
    <t>Trabajador</t>
  </si>
  <si>
    <t>Jornal</t>
  </si>
  <si>
    <t>Prestaciones</t>
  </si>
  <si>
    <t>Jornal Total</t>
  </si>
  <si>
    <t>OBREROS (1)</t>
  </si>
  <si>
    <t>OFICIAL</t>
  </si>
  <si>
    <t>Total Costo Directo</t>
  </si>
  <si>
    <t>CARRETERA :   Via El Encanto - Corregimiento El Silencio</t>
  </si>
  <si>
    <t xml:space="preserve">ITEM:   SUBBASE GRANULAR CLASE C </t>
  </si>
  <si>
    <t xml:space="preserve">Carrotanque de agua(10000 Galones) </t>
  </si>
  <si>
    <t>Motoniveladora  potencia 215 HP, ancho de cuchilla 4,27 m, peso 18 ton.</t>
  </si>
  <si>
    <t xml:space="preserve">Vibrocompactador, potencia 153 HP, peso 10 Ton. </t>
  </si>
  <si>
    <t>Herramienta menor (1%MO)</t>
  </si>
  <si>
    <t>Material subbase CBR 30%</t>
  </si>
  <si>
    <t>Agua</t>
  </si>
  <si>
    <t>lt</t>
  </si>
  <si>
    <t>Transporte material subbase</t>
  </si>
  <si>
    <t>Obreros (2)</t>
  </si>
  <si>
    <t>Oficial</t>
  </si>
  <si>
    <t>Responsable</t>
  </si>
  <si>
    <t>VIANEY LARA</t>
  </si>
  <si>
    <t>CARRETERA :  Via El Encanto - Corregimiento El Silencio</t>
  </si>
  <si>
    <t>ITEM:  PAVIMENTO EN CONCRETO HIDRAULICO MR= 3.8 Mpa</t>
  </si>
  <si>
    <t>Aspersor manual</t>
  </si>
  <si>
    <t>Compresor (barrido y soplado)</t>
  </si>
  <si>
    <t>Cortadora de pavimento, Máxima profundidad de corte: 160 mm. Capacidad de disco: desde 12´´ hasta 18´´ de diámetro. Peso operacional: 135 kg, 13.5 hp de potencia</t>
  </si>
  <si>
    <t>Formaleta metálica (concreto hidráulico)</t>
  </si>
  <si>
    <t>Regla vibratoria, de longitud de 3 a 5 m, motor de 3600 rpm, potencia 6 HP</t>
  </si>
  <si>
    <t>Vibrador de concreto, Motor de 3 hp a 18.000 rpm Mangueras de 4 mt</t>
  </si>
  <si>
    <t>Herramienta menor (10%MO)</t>
  </si>
  <si>
    <t>Barras de transferencia de carga (7/8'')</t>
  </si>
  <si>
    <t>Barras de unión de 1/2´´</t>
  </si>
  <si>
    <t>Cintilla De Poliuretano (Sikarod) (Pavimentos De Concreto Hidráulico)</t>
  </si>
  <si>
    <t>Sello de silicona o sellador autonivelante</t>
  </si>
  <si>
    <t>Antisol (presentación 20 kg)</t>
  </si>
  <si>
    <t xml:space="preserve">Concreto hidráulico para pavimento MR 3,8 mpa </t>
  </si>
  <si>
    <t>Canastilla para dovela, aceite, tubo pvc, etc.</t>
  </si>
  <si>
    <t>Obreros (7)</t>
  </si>
  <si>
    <t>600-2013</t>
  </si>
  <si>
    <t>Retroexcavadora sobre oruga, potencia 138 HP, balde de 1,5 m3.</t>
  </si>
  <si>
    <t>Compresor 120 HP, con martillo.</t>
  </si>
  <si>
    <t>Derechos de explotación y/o disposición de materiales</t>
  </si>
  <si>
    <t>OBREROS (2)</t>
  </si>
  <si>
    <t>RELLENOS PARA ESTRUCTURAS CON RECEBO</t>
  </si>
  <si>
    <t>Compactador manual (saltarin) peso de operaciones (kg) 52, fuerza de impacto por golpe (KN) 12.</t>
  </si>
  <si>
    <t>Material de Recebo para relleno</t>
  </si>
  <si>
    <t>OBREROS (3)</t>
  </si>
  <si>
    <t>ITEM:     Concreto Resistencia 21MPa (D)</t>
  </si>
  <si>
    <t>Vibrador de concreto, motor de 3hp a 18000 rpm, mangueras de 4m</t>
  </si>
  <si>
    <t>Herramienta menor (5%MO)</t>
  </si>
  <si>
    <t>Concreto de resistencia 21Mpa</t>
  </si>
  <si>
    <t>Antisol (presentación 20kg)</t>
  </si>
  <si>
    <t>Formaleta (gaviones, juntas de bordillos, juntas de cunetas, muros, concretos clase D, E, F y G)</t>
  </si>
  <si>
    <t>m2</t>
  </si>
  <si>
    <t>Obreros (6)</t>
  </si>
  <si>
    <t>CARRETERA : Via El Encanto - Corregimiento El Silencio</t>
  </si>
  <si>
    <t>ITEM:   Acero de Refuerzo Fy 4200 Mpa</t>
  </si>
  <si>
    <t>Cizalla manual de 90 cm</t>
  </si>
  <si>
    <t>Acero PDR-60</t>
  </si>
  <si>
    <t>Alambre Negro Para Amarre</t>
  </si>
  <si>
    <t>Transporte de acero</t>
  </si>
  <si>
    <t xml:space="preserve">Obreros </t>
  </si>
  <si>
    <t>Tuberia de Concreto Reforzado 21 Mpa de 900 mm de diametro interior</t>
  </si>
  <si>
    <t>Retroexcavadora A25C</t>
  </si>
  <si>
    <t xml:space="preserve">Mortero 1:3 Para Anillos </t>
  </si>
  <si>
    <t>Materia para solado y atraque</t>
  </si>
  <si>
    <t>Tubo concreto reforzado 900mm (tipo 1)</t>
  </si>
  <si>
    <t>Transporte de tuberia de concreto Reforzado</t>
  </si>
  <si>
    <t>transporte de Material de Solado y Atraque Tuberi de concreto reforzado</t>
  </si>
  <si>
    <t>Obreros (4)</t>
  </si>
  <si>
    <t>ITEM:    Cuneta de Concreto Vaciada In Situ; Incluye la conformacion de la superficie de apoyo</t>
  </si>
  <si>
    <t>Compactadora Manual vibratorio (rana) Con motor de 6 HP</t>
  </si>
  <si>
    <t>Material seleccionado para Relleno</t>
  </si>
  <si>
    <t>Cemento asfaltico 60-70</t>
  </si>
  <si>
    <t>Concreto Resistencia 21 Mpa</t>
  </si>
  <si>
    <t>Transporte de material seleccionado para relleno</t>
  </si>
  <si>
    <t>Transporte de cemento</t>
  </si>
  <si>
    <t>LINEA DE DEMARCACION CON PINTURA EN FRIO</t>
  </si>
  <si>
    <t>Camioneta D-300</t>
  </si>
  <si>
    <t>Vehiculo delineador</t>
  </si>
  <si>
    <t>Esferas reflectivas</t>
  </si>
  <si>
    <t>Pintura acrílica pura para tráfico</t>
  </si>
  <si>
    <t>gal</t>
  </si>
  <si>
    <t>Disolvente para pintura tráfico (acrílico)</t>
  </si>
  <si>
    <t>Obreros (3)</t>
  </si>
  <si>
    <t>SEÑAL VERTICAL DE TRANSITO TIPO 1 CON LAMINA RETRORREFLECTIVA TIPO III (75 X 75 ) cm</t>
  </si>
  <si>
    <t>und</t>
  </si>
  <si>
    <t>CAMIONETA D-300</t>
  </si>
  <si>
    <t>Poste de angulo de 2°2"1/4 de 3,5m para señal</t>
  </si>
  <si>
    <t>u</t>
  </si>
  <si>
    <t>Señal (grupo 1). Tablero en lámina galvanizada de 75cm*75cm, calibre 16, reflectivo tipo1(incluye poste)</t>
  </si>
  <si>
    <t>Concreto Resistencia 14Mpa</t>
  </si>
  <si>
    <t>P. PROGRAMA DE IMPLEMENTACION DEL PLAN DE GESTION INTEGRAL DE OBRA (PGIO)</t>
  </si>
  <si>
    <t>UNIDAD</t>
  </si>
  <si>
    <t>VR. BASE</t>
  </si>
  <si>
    <t>VALOR ($)</t>
  </si>
  <si>
    <t>KIT DE PROTECCION SST - Y PMT</t>
  </si>
  <si>
    <t>Kit Elementos de protección
El kit incluye: elementos de protección personal básicos por persona - personal operativo de los frentes de obra (incluye casco de seguridad, guantes de carnaza o guantes de caucho)</t>
  </si>
  <si>
    <t>UN</t>
  </si>
  <si>
    <t>Kit de Emergencias
El Kit incluye: extintor de 10 lbs (señalización en acrílico de 22 cm x 15 de extintor), camilla rígida, reflectivos y botiquín con elementos necesarios)</t>
  </si>
  <si>
    <t>Kit señalización SST
El kit incluye: señal de 15 x 15 cm - uso de EPP, sustancias peligrosas, ruta de evacuación, punto de encuentro, baños.</t>
  </si>
  <si>
    <t>Examen médico ocupacional de ingreso y egreso
Examen de ingreso y egreso que incluye: agudeza visual, talla y peso, tensión arterial, serología para todo el personal excepto personal de trabajo en alturas.</t>
  </si>
  <si>
    <t>TOTAL IMPLEMETACIÓN PGIO - EJE SST POR EL TÉRMINO DE EJECUCIÓN</t>
  </si>
  <si>
    <t>2. IMPLEMETACION PGIO - EJE AMBIENTAL</t>
  </si>
  <si>
    <t>Profesional Socio Ambiental, (incluidos en la administración del proyecto)</t>
  </si>
  <si>
    <t>GLOBAL</t>
  </si>
  <si>
    <t>Capacitación personal</t>
  </si>
  <si>
    <t>Volantes informativos publicitarios (color)</t>
  </si>
  <si>
    <t xml:space="preserve">Delimitación con cinta los frentes de obra </t>
  </si>
  <si>
    <t>ML</t>
  </si>
  <si>
    <t>Señalización tubular vial base negra rectangular</t>
  </si>
  <si>
    <t>Reuniones informativas a la comunidad</t>
  </si>
  <si>
    <t>Tramite permiso ambiental-compensación (Provisión en caso de ser requerido)</t>
  </si>
  <si>
    <t>TOTAL IMPLEMETACIÓN PGIO - EJE AMBIENTAL POR EL TÉRMINO DE EJECUCIÓN</t>
  </si>
  <si>
    <t>Ensayos (Incluidos en la Administración del proyecto)</t>
  </si>
  <si>
    <t>gl</t>
  </si>
  <si>
    <t>Generación de informes, impresión de información, adquisición de información, capacitaciones y mantenimiento del plan de implementación de PGIO eje de calidad.</t>
  </si>
  <si>
    <t>MES</t>
  </si>
  <si>
    <t>TOTAL IMPLEMETACIÓN PGIO - EJE CALIDAD</t>
  </si>
  <si>
    <t>SEÑAL DE TRÁNSITO SIO-01 "OBRA EN LA VÍA"</t>
  </si>
  <si>
    <t>SEÑAL DE TRÁNSITO SIO-02 "INICIO DE OBRA"</t>
  </si>
  <si>
    <t>SEÑAL DE TRÁNSITO SIO-03 "FIN DE OBRA"</t>
  </si>
  <si>
    <t>SEÑAL DE TRÁNSITO SIO-04 "CARRIL CERRADO"</t>
  </si>
  <si>
    <t>SEÑAL DE TRÁNSITO SPO-01 "TRABAJOS EN LA VÍA"</t>
  </si>
  <si>
    <t>SEÑAL DE TRÁNSITO SPO-02 "MAQUINARIA EN LA VÍA"</t>
  </si>
  <si>
    <t>SEÑAL DE TRÁNSITO SPO-03 "AUXILIAR DE TRÁNSITO"</t>
  </si>
  <si>
    <t>SEÑAL DE TRÁNSITO SPO-05 "ANGOSTAMIENTO A LA DERECHA"</t>
  </si>
  <si>
    <t>SEÑAL DE TRÁNSITO SPO-06 "ANGOSTAMIENTO A LA IZQUIERDA"</t>
  </si>
  <si>
    <t>SEÑAL DE TRÁNSITO SP-10 “CURVA Y CONTRA-CURVA PRONUNCIADA A LA DERECHA”</t>
  </si>
  <si>
    <t>SEÑAL DE TRÁNSITO SP-33 "PREVENCIÓN DE CEDA EL PASO"</t>
  </si>
  <si>
    <t>SEÑAL DE TRÁNSITO SR-02 "CEDA EL PASO"</t>
  </si>
  <si>
    <t>SEÑAL DE TRÁNSITO SR-30 "VELOCIDAD 30KM/H"</t>
  </si>
  <si>
    <t>DELINIEADORES TUBULARES - BARRICADAS</t>
  </si>
  <si>
    <t>AUXILIAR DE TRÁNSITO (2)</t>
  </si>
  <si>
    <t>TOTAL IMPLEMETACIÓN PGIO - PMT POR EL TÉRMINO DE EJECUCIÓN</t>
  </si>
  <si>
    <t>PGIO</t>
  </si>
  <si>
    <t>FIRMAS:</t>
  </si>
  <si>
    <t>Elaboro:</t>
  </si>
  <si>
    <t>ING. CIVIL</t>
  </si>
  <si>
    <t>MAT: 13202-13882881V</t>
  </si>
  <si>
    <t>CUADRO DE EQUIPOS</t>
  </si>
  <si>
    <t xml:space="preserve">Código </t>
  </si>
  <si>
    <t>Actividades</t>
  </si>
  <si>
    <t>unidad</t>
  </si>
  <si>
    <t>Precio guía</t>
  </si>
  <si>
    <t>EH</t>
  </si>
  <si>
    <t>EQUIPOS Y HERRAMIENTAS</t>
  </si>
  <si>
    <t>EH 01</t>
  </si>
  <si>
    <t>h</t>
  </si>
  <si>
    <t>EH 02</t>
  </si>
  <si>
    <t xml:space="preserve">Buldozer, Potencia al volante de 140 HP, motor de 2200 RPM, longitud de hoja 4,80m. </t>
  </si>
  <si>
    <t>EH 03</t>
  </si>
  <si>
    <t>EH 04</t>
  </si>
  <si>
    <t xml:space="preserve">Carrotanque de agua(1000 Galones) </t>
  </si>
  <si>
    <t>EH 05</t>
  </si>
  <si>
    <t>Cizalla manual de 90 cm.</t>
  </si>
  <si>
    <t>EH 06</t>
  </si>
  <si>
    <t>Compactador manual (SALTARIN) Peso de operación (Kg.) 52, Fuerza de impacto por golpe (KN) 12.</t>
  </si>
  <si>
    <t>EH 07</t>
  </si>
  <si>
    <t>COMPACTADOR MANUAL VIBRATORIO (RANA) con motor de 6 HP</t>
  </si>
  <si>
    <t>EH 08</t>
  </si>
  <si>
    <t>EH 09</t>
  </si>
  <si>
    <t>EH 10</t>
  </si>
  <si>
    <t>EH21</t>
  </si>
  <si>
    <t>Equipo de soldadura 250 AMP</t>
  </si>
  <si>
    <t>EH 11</t>
  </si>
  <si>
    <t>EH 12</t>
  </si>
  <si>
    <t>Formaleta metálica</t>
  </si>
  <si>
    <t>C0010550</t>
  </si>
  <si>
    <t>EH 13</t>
  </si>
  <si>
    <t>Mezcladora de concreto 1 bulto</t>
  </si>
  <si>
    <t>EH 14</t>
  </si>
  <si>
    <t>EH 15</t>
  </si>
  <si>
    <t>EH 16</t>
  </si>
  <si>
    <t>EH 17</t>
  </si>
  <si>
    <t>EH 18</t>
  </si>
  <si>
    <t>Vehículo delineador</t>
  </si>
  <si>
    <t>EH 19</t>
  </si>
  <si>
    <t>EH 20</t>
  </si>
  <si>
    <t xml:space="preserve">Vibrocompatador, potencia 153 HP, peso 10 Ton. </t>
  </si>
  <si>
    <t>kg/km</t>
  </si>
  <si>
    <t>T2</t>
  </si>
  <si>
    <t>Transporte de material de Demolicion</t>
  </si>
  <si>
    <t>m3/km</t>
  </si>
  <si>
    <t>Transporte de material Excavacion</t>
  </si>
  <si>
    <t>T5</t>
  </si>
  <si>
    <t>t5</t>
  </si>
  <si>
    <t>Transporte de Material Petreo</t>
  </si>
  <si>
    <t>T0010042</t>
  </si>
  <si>
    <t>Transporte de Material Triturado</t>
  </si>
  <si>
    <t>Transporte de Materiales</t>
  </si>
  <si>
    <t>T0010005</t>
  </si>
  <si>
    <t>Transporte de Arena Lavada</t>
  </si>
  <si>
    <t>LISTA DE INSUMOS</t>
  </si>
  <si>
    <t>ACTIVIDADES</t>
  </si>
  <si>
    <t>Valor Unitario</t>
  </si>
  <si>
    <t>A 01</t>
  </si>
  <si>
    <t>B0053100</t>
  </si>
  <si>
    <t>A 02</t>
  </si>
  <si>
    <t>Agregado para concreto hidráulico</t>
  </si>
  <si>
    <t>B0063200</t>
  </si>
  <si>
    <t>A 03</t>
  </si>
  <si>
    <t>A 04</t>
  </si>
  <si>
    <t>A 05</t>
  </si>
  <si>
    <t xml:space="preserve">Antisol blanco (presentación 20 kg) </t>
  </si>
  <si>
    <t>B0093350</t>
  </si>
  <si>
    <t>A 06</t>
  </si>
  <si>
    <t>Arena lavada</t>
  </si>
  <si>
    <t>A 07</t>
  </si>
  <si>
    <t>Barras de transferencia de carga (3/4'')</t>
  </si>
  <si>
    <t>A 08</t>
  </si>
  <si>
    <t>A 09</t>
  </si>
  <si>
    <t>Cemento Asfaltico 60-70</t>
  </si>
  <si>
    <t>B0100001</t>
  </si>
  <si>
    <t>A 10</t>
  </si>
  <si>
    <t>Cemento gris</t>
  </si>
  <si>
    <t>A 11</t>
  </si>
  <si>
    <t>A 12</t>
  </si>
  <si>
    <t xml:space="preserve">Concreto hidráulico para pavimento MR-3,8
</t>
  </si>
  <si>
    <t>A 13</t>
  </si>
  <si>
    <t>Concreto Resistencia  14 (Mpa)</t>
  </si>
  <si>
    <t>A 14</t>
  </si>
  <si>
    <t>Concreto Resistencia  21 (Mpa)</t>
  </si>
  <si>
    <t>A 15</t>
  </si>
  <si>
    <t xml:space="preserve">Derechos de explotación y/o disposición de materiales
</t>
  </si>
  <si>
    <t>A 16</t>
  </si>
  <si>
    <t>Disolvente para pintura Trafico (acrílico)</t>
  </si>
  <si>
    <t>A 17</t>
  </si>
  <si>
    <t>A 18</t>
  </si>
  <si>
    <t xml:space="preserve">Formaleta (gaviones, juntas de bordillos, juntas de cunetas, muros, concretos clase D,E, F y G)
</t>
  </si>
  <si>
    <t>A 19</t>
  </si>
  <si>
    <t>Geotextil Nt - 2500 o similar (proveedores, Pavco, Geomatrix, Tensar, Omnes u otros)</t>
  </si>
  <si>
    <t>A 20</t>
  </si>
  <si>
    <t>Material Afirmado de la Zona</t>
  </si>
  <si>
    <t>A 21</t>
  </si>
  <si>
    <t>Material drenante (3")</t>
  </si>
  <si>
    <t>A 22</t>
  </si>
  <si>
    <t>Material de Recebo Para Relleno</t>
  </si>
  <si>
    <t>A 23</t>
  </si>
  <si>
    <t>Material de Sub Base CBR</t>
  </si>
  <si>
    <t>A 24</t>
  </si>
  <si>
    <t>Material para solado y atraque</t>
  </si>
  <si>
    <t>A 25</t>
  </si>
  <si>
    <t xml:space="preserve">Material seleccionado para Relleno
</t>
  </si>
  <si>
    <t>A 26</t>
  </si>
  <si>
    <t>Mortero 1:3 Para Anillos</t>
  </si>
  <si>
    <t>A 27</t>
  </si>
  <si>
    <t>Piedra para concreto ciclópeo (rajón o canto rodado)</t>
  </si>
  <si>
    <t>A 28</t>
  </si>
  <si>
    <t xml:space="preserve">Pintura acrílica pura para tráfico
</t>
  </si>
  <si>
    <t>A 29</t>
  </si>
  <si>
    <t xml:space="preserve">Poste en ángulo de 2*2*1/4 de 3,5m para señal
</t>
  </si>
  <si>
    <t>A 30</t>
  </si>
  <si>
    <t>A 31</t>
  </si>
  <si>
    <t xml:space="preserve">Señal (grupo 1). Tablero en lámina galvanizada de 75cm*75cm, calibre 16, reflectivo tipo 1/ incluye poste )
</t>
  </si>
  <si>
    <t>Soldadura 60-11</t>
  </si>
  <si>
    <t>Kg</t>
  </si>
  <si>
    <t>Tubo PVC</t>
  </si>
  <si>
    <t>A 32</t>
  </si>
  <si>
    <t xml:space="preserve">Tubo concreto reforzado 900mm (tipo 1)
</t>
  </si>
  <si>
    <t>A 33</t>
  </si>
  <si>
    <t>Tubería perforada PVC de 4"</t>
  </si>
  <si>
    <t>M00035</t>
  </si>
  <si>
    <t xml:space="preserve">Aceite de motor 4 tiempos </t>
  </si>
  <si>
    <t xml:space="preserve">gln </t>
  </si>
  <si>
    <t>Sueldos y parafiscales personal por salario mínimo</t>
  </si>
  <si>
    <t>Jornal Ayud</t>
  </si>
  <si>
    <t>Jornal Ofic</t>
  </si>
  <si>
    <t>ST</t>
  </si>
  <si>
    <t>ENERO DE 2023</t>
  </si>
  <si>
    <t>SALARIO ANUAL SMMLV</t>
  </si>
  <si>
    <t>AUX. TRANS ANUAL SIN DESC (B*12)</t>
  </si>
  <si>
    <t>(B) AUX. TRANS MES</t>
  </si>
  <si>
    <t xml:space="preserve"> (A) SALARIO MES</t>
  </si>
  <si>
    <t>SUELDO ANUAL (Ax 12)</t>
  </si>
  <si>
    <t>(C ) CESANTÍAS (A+B)*10%</t>
  </si>
  <si>
    <t>VACACIONES (A+B)</t>
  </si>
  <si>
    <t>PRIMA (A+B)</t>
  </si>
  <si>
    <t>INTERES DE CESANTIA (CX12%)</t>
  </si>
  <si>
    <t>FONDO FORMACIÓN PROFESIONAL DEL SENA (A+12/40)</t>
  </si>
  <si>
    <t>AUX. TRANSP CON DESC (B/30)-(360-18)</t>
  </si>
  <si>
    <t>SALUD, ENFERMEDAD GENERAL Y MUERTE SEGÚN CREE</t>
  </si>
  <si>
    <t>PENSIÓN ((A*12)*12%)</t>
  </si>
  <si>
    <t>RIESGOS PROFESIONALES ((A*12)*6,96)</t>
  </si>
  <si>
    <t>CAJA DE COMPENSACIÓN (A*12)*4%)</t>
  </si>
  <si>
    <t>SENA SEGÚN CREE</t>
  </si>
  <si>
    <t>ICBF SEGUN CREE</t>
  </si>
  <si>
    <t xml:space="preserve">DOTACIÓN </t>
  </si>
  <si>
    <t>Implementos de Seguridad Industrial</t>
  </si>
  <si>
    <t>TOTAL (X)</t>
  </si>
  <si>
    <t>SALARIO NOMINAL</t>
  </si>
  <si>
    <t>ANUAL</t>
  </si>
  <si>
    <t>MENSUAL</t>
  </si>
  <si>
    <t>DÍA</t>
  </si>
  <si>
    <t>HORA</t>
  </si>
  <si>
    <t>CÁLCULO DEL SOBRECOSTO PARA HORAS EFECTIVAS TRABAJADAS</t>
  </si>
  <si>
    <t>(F) SALARIO MÍNIMO ANUAL CON PRESTACIONES</t>
  </si>
  <si>
    <t xml:space="preserve">(G) HORAS CALENDARIO ANUALES </t>
  </si>
  <si>
    <t>360x8  HORAS</t>
  </si>
  <si>
    <t>(H) HORAS LABORALESANUALES</t>
  </si>
  <si>
    <t>52 SEMANAS X48 HORAS</t>
  </si>
  <si>
    <t>(I) HORAS EFECTIVAS ANUALES</t>
  </si>
  <si>
    <t>2920-((52DOMINGOS+16 FESTIVOS+3PERMISOS+15DIAS VACACIONES)X8 HORAS)</t>
  </si>
  <si>
    <t>(J) VALOR HORA CALENDARIO  (F/G)</t>
  </si>
  <si>
    <t>(K) VALOR HORA LABORAL (F/H)</t>
  </si>
  <si>
    <t>(L) VALOR HORA EFECTIVA (F/I)</t>
  </si>
  <si>
    <t>PORCENTAJE SALARIO VS SALARIO MÁS ADICIONES ((TOTAL ANUALX100%)/(SUELDO ANUAL+AUXILIO TRANSPORTE ANUAL)</t>
  </si>
  <si>
    <t xml:space="preserve">PORCENTAJE HORA EFECTIVA  BASE HORA CALENDARIO </t>
  </si>
  <si>
    <t>SUELDOS Y PARAFISCALES PERSONAL DE OBRA POR ADMINISTRACIÓN</t>
  </si>
  <si>
    <t>DIRECTOR DE OBRA</t>
  </si>
  <si>
    <t>RESIDENTE DE OBRA</t>
  </si>
  <si>
    <t>ALMACENISTA</t>
  </si>
  <si>
    <t>VIGILANTE</t>
  </si>
  <si>
    <t>COMISION TOPOGRÁFICA</t>
  </si>
  <si>
    <t>TOPÓGRAFO</t>
  </si>
  <si>
    <t>EJERO O CADENERO</t>
  </si>
  <si>
    <t>ALQUILER EQUIPO</t>
  </si>
  <si>
    <t>INTERÉS DE CESANTIA (CX12%)</t>
  </si>
  <si>
    <t>ICBF SEGÚN CREE</t>
  </si>
  <si>
    <t>EXAMEN MÉDICO</t>
  </si>
  <si>
    <t xml:space="preserve">TOTAL MES </t>
  </si>
  <si>
    <t xml:space="preserve">RECURSOS HUMANOS  </t>
  </si>
  <si>
    <t>MAESTRO AUXILIAR</t>
  </si>
  <si>
    <t>CONTRAMAESTRO</t>
  </si>
  <si>
    <t>EJERO</t>
  </si>
  <si>
    <t>OFICIALES</t>
  </si>
  <si>
    <t>AYUDANTES</t>
  </si>
  <si>
    <t>TECNICO EN SEGURIDAD INDUSTRIAL</t>
  </si>
  <si>
    <t>AUXILIAR ADMINISTRATIVO</t>
  </si>
  <si>
    <t>MAESTRO GENERAL</t>
  </si>
  <si>
    <t>AUX TRANS ANUAL SIN DESC (B*12)</t>
  </si>
  <si>
    <t>(B) AUX TRANS MES</t>
  </si>
  <si>
    <t xml:space="preserve">DOTACIóN </t>
  </si>
  <si>
    <t>TOTAL ANUAL (X)</t>
  </si>
  <si>
    <t>COMISIÓN TOPOGRÁFICA</t>
  </si>
  <si>
    <t>AYUDANTE</t>
  </si>
  <si>
    <t xml:space="preserve">ANALISIS DE PRECIO UNITARIO </t>
  </si>
  <si>
    <t xml:space="preserve">FM </t>
  </si>
  <si>
    <t xml:space="preserve">PROYECTO </t>
  </si>
  <si>
    <t xml:space="preserve">ID- código: </t>
  </si>
  <si>
    <t xml:space="preserve">BASICO </t>
  </si>
  <si>
    <t>Concreto 1:2:2 3500 psi - 24,5 mpa</t>
  </si>
  <si>
    <t xml:space="preserve">I. EQUIPOS Y HERRAMIENTAS </t>
  </si>
  <si>
    <t>EQUIPO</t>
  </si>
  <si>
    <t>TARIFA/HORA</t>
  </si>
  <si>
    <t>RENDIMIENTO</t>
  </si>
  <si>
    <t>HERRAMIENTA MENOR (%)</t>
  </si>
  <si>
    <t>SUBTOTAL $</t>
  </si>
  <si>
    <t>II. MATERIALES</t>
  </si>
  <si>
    <t xml:space="preserve">INSUMOS </t>
  </si>
  <si>
    <t xml:space="preserve">DESP % </t>
  </si>
  <si>
    <t>MATERIAL</t>
  </si>
  <si>
    <t>CANTIDAD      (1)</t>
  </si>
  <si>
    <t>DISTANCIA (2)</t>
  </si>
  <si>
    <t>(1) * (2)</t>
  </si>
  <si>
    <t>TARIFA</t>
  </si>
  <si>
    <t>TRABAJADOR</t>
  </si>
  <si>
    <t>JORNAL</t>
  </si>
  <si>
    <t>PRESTACIONES (%)</t>
  </si>
  <si>
    <t>JORNAL TOTAL</t>
  </si>
  <si>
    <t>A0040010</t>
  </si>
  <si>
    <t>A0030021</t>
  </si>
  <si>
    <t>Obrero (7)</t>
  </si>
  <si>
    <t>TOTAL COSTO DIRECTO Aproximado al Peso $</t>
  </si>
  <si>
    <t>V. COSTOS INDIRECTOS</t>
  </si>
  <si>
    <t>Porcentaje</t>
  </si>
  <si>
    <t>Valor Total</t>
  </si>
  <si>
    <t>PFinal01</t>
  </si>
  <si>
    <t>Concreto 1:2:3 3000 Psi -  21 Mpa</t>
  </si>
  <si>
    <t>Concreto 1:2:4 2500 psi - 17,5 mpa</t>
  </si>
  <si>
    <t>t2</t>
  </si>
  <si>
    <t xml:space="preserve">Concreto 14 Mpa </t>
  </si>
  <si>
    <t>Concreto 1:4:7 1560 psi - 10,1 mpa</t>
  </si>
  <si>
    <t>PAVIMENTO DE CONCRETO HIDRÁULICO MR 3,8 MPA</t>
  </si>
  <si>
    <t>Concreto ciclópeo (Concreto Clase D  f´c=21  MPa 60% concreto -40% agregado ciclópeo)</t>
  </si>
  <si>
    <t>Mortero 1:2</t>
  </si>
  <si>
    <t>A0030020</t>
  </si>
  <si>
    <t>Obrero (2)</t>
  </si>
  <si>
    <t>Mortero 1:3</t>
  </si>
  <si>
    <t>Obrero (6)</t>
  </si>
  <si>
    <t>Mortero 1:4</t>
  </si>
  <si>
    <t>I.EQUIPO</t>
  </si>
  <si>
    <t>Codigo</t>
  </si>
  <si>
    <t>Descripcion</t>
  </si>
  <si>
    <t>Tarifa/hora</t>
  </si>
  <si>
    <t>Valor-Unit</t>
  </si>
  <si>
    <t>E-01</t>
  </si>
  <si>
    <t>Herramienta Menor (5% M.O)</t>
  </si>
  <si>
    <t>E-28</t>
  </si>
  <si>
    <t>H</t>
  </si>
  <si>
    <t>E-56</t>
  </si>
  <si>
    <t>Sub-total</t>
  </si>
  <si>
    <t>II.MATERIALES EN OBRA</t>
  </si>
  <si>
    <t>Precio-Unit</t>
  </si>
  <si>
    <t>M-06</t>
  </si>
  <si>
    <t>Acero de refuerzo PDR-60, Fy: 4200 kg/cm2</t>
  </si>
  <si>
    <t>M-21</t>
  </si>
  <si>
    <t>III.TRANSPORTE</t>
  </si>
  <si>
    <t>DITANCIA</t>
  </si>
  <si>
    <t>T-01</t>
  </si>
  <si>
    <t>IV.MANO DE OBRA</t>
  </si>
  <si>
    <t>Valor Jornal</t>
  </si>
  <si>
    <t>MO-44</t>
  </si>
  <si>
    <t>MO-19</t>
  </si>
  <si>
    <t>Costo-total-directo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</si>
</sst>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5">
    <numFmt numFmtId="164" formatCode="_-* #,##0.00\ &quot;€&quot;_-;\-* #,##0.00\ &quot;€&quot;_-;_-* &quot;-&quot;??\ &quot;€&quot;_-;_-@_-"/>
    <numFmt numFmtId="165" formatCode="_(&quot;$&quot;* #,##0_);_(&quot;$&quot;* \(#,##0\);_(&quot;$&quot;* &quot;-&quot;_);_(@_)"/>
    <numFmt numFmtId="166" formatCode="_(* #,##0_);_(* \(#,##0\);_(* &quot;-&quot;_);_(@_)"/>
    <numFmt numFmtId="167" formatCode="_(&quot;$&quot;* #,##0.00_);_(&quot;$&quot;* \(#,##0.00\);_(&quot;$&quot;* &quot;-&quot;??_);_(@_)"/>
    <numFmt numFmtId="168" formatCode="_(* #,##0.00_);_(* \(#,##0.00\);_(* &quot;-&quot;??_);_(@_)"/>
    <numFmt numFmtId="169" formatCode="#,##0.000"/>
    <numFmt numFmtId="170" formatCode="#,##0.0"/>
    <numFmt numFmtId="171" formatCode="_-* #,##0.00\ &quot;Pts&quot;_-;\-* #,##0.00\ &quot;Pts&quot;_-;_-* &quot;-&quot;??\ &quot;Pts&quot;_-;_-@_-"/>
    <numFmt numFmtId="172" formatCode="&quot;$&quot;\ #,##0.00"/>
    <numFmt numFmtId="173" formatCode="#,##0.00000"/>
    <numFmt numFmtId="174" formatCode="#,##0.0000"/>
    <numFmt numFmtId="175" formatCode="_(&quot;$&quot;\ * #,##0.00_);_(&quot;$&quot;\ * \(#,##0.00\);_(&quot;$&quot;\ * &quot;-&quot;??_);_(@_)"/>
    <numFmt numFmtId="176" formatCode="0.00000%"/>
    <numFmt numFmtId="177" formatCode="_ * #,##0.00_ ;_ * \-#,##0.00_ ;_ * &quot;-&quot;??_ ;_ @_ "/>
    <numFmt numFmtId="178" formatCode="_-&quot;$&quot;* #,##0_-;\-&quot;$&quot;* #,##0_-;_-&quot;$&quot;* &quot;-&quot;_-;_-@_-"/>
    <numFmt numFmtId="179" formatCode="_-* #,##0.00\ _€_-;\-* #,##0.00\ _€_-;_-* &quot;-&quot;??\ _€_-;_-@_-"/>
    <numFmt numFmtId="180" formatCode="_-&quot;$&quot;* #,##0.00_-;\-&quot;$&quot;* #,##0.00_-;_-&quot;$&quot;* &quot;-&quot;??_-;_-@_-"/>
    <numFmt numFmtId="181" formatCode="[$$-240A]\ #,##0.00"/>
    <numFmt numFmtId="182" formatCode="_-&quot;$&quot;\ * #,##0.00_-;\-&quot;$&quot;\ * #,##0.00_-;_-&quot;$&quot;\ * &quot;-&quot;_-;_-@_-"/>
    <numFmt numFmtId="183" formatCode="_([$$-240A]\ * #,##0.00_);_([$$-240A]\ * \(#,##0.00\);_([$$-240A]\ * &quot;-&quot;??_);_(@_)"/>
    <numFmt numFmtId="184" formatCode="_ &quot;$&quot;\ * #,##0.00_ ;_ &quot;$&quot;\ * \-#,##0.00_ ;_ &quot;$&quot;\ * &quot;-&quot;??_ ;_ @_ "/>
    <numFmt numFmtId="185" formatCode="&quot;$&quot;\ #,##0.00;[Red]&quot;$&quot;\ \-#,##0.00"/>
    <numFmt numFmtId="186" formatCode="_ &quot;$&quot;\ * #,##0_ ;_ &quot;$&quot;\ * \-#,##0_ ;_ &quot;$&quot;\ * &quot;-&quot;_ ;_ @_ "/>
    <numFmt numFmtId="187" formatCode="_-* #,##0.00\ [$€]_-;\-* #,##0.00\ [$€]_-;_-* &quot;-&quot;??\ [$€]_-;_-@_-"/>
    <numFmt numFmtId="188" formatCode="[$$-240A]\ #,##0.00;[Red][$$-240A]\ #,##0.00"/>
    <numFmt numFmtId="189" formatCode="_ * #,##0_ ;_ * \-#,##0_ ;_ * &quot;-&quot;_ ;_ @_ "/>
    <numFmt numFmtId="190" formatCode="0.000%"/>
    <numFmt numFmtId="191" formatCode="0.0"/>
    <numFmt numFmtId="192" formatCode="&quot;$&quot;#,##0.00;\-&quot;$&quot;#,##0.00"/>
    <numFmt numFmtId="193" formatCode="_ [$€-2]\ * #,##0.00_ ;_ [$€-2]\ * \-#,##0.00_ ;_ [$€-2]\ * &quot;-&quot;??_ "/>
    <numFmt numFmtId="194" formatCode="&quot;$&quot;\ #,##0;&quot;$&quot;\ \-#,##0"/>
    <numFmt numFmtId="195" formatCode="#,##0.00\ &quot;pta&quot;;\-#,##0.00\ &quot;pta&quot;"/>
    <numFmt numFmtId="196" formatCode="_(&quot;$&quot;* #,##0.00_);_(&quot;$&quot;* \(#,##0.00\);_(&quot;$&quot;* &quot;-&quot;_);_(@_)"/>
    <numFmt numFmtId="197" formatCode="0.000"/>
    <numFmt numFmtId="198" formatCode="_-[$$-240A]* #,##0.00_-;\-[$$-240A]* #,##0.00_-;_-[$$-240A]* &quot;-&quot;??_-;_-@_-"/>
  </numFmts>
  <fonts count="118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sz val="10"/>
      <name val="Arial Unicode MS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indexed="8"/>
      <name val="Verdana"/>
      <family val="2"/>
    </font>
    <font>
      <b/>
      <sz val="10"/>
      <name val="Arial Unicode MS"/>
      <family val="2"/>
    </font>
    <font>
      <b/>
      <sz val="8"/>
      <name val="Calibri"/>
      <family val="2"/>
    </font>
    <font>
      <sz val="8"/>
      <name val="Calibri"/>
      <family val="2"/>
    </font>
    <font>
      <sz val="8"/>
      <color indexed="8"/>
      <name val="Calibri"/>
      <family val="2"/>
    </font>
    <font>
      <b/>
      <sz val="8"/>
      <color indexed="16"/>
      <name val="Calibri"/>
      <family val="2"/>
    </font>
    <font>
      <sz val="8"/>
      <color indexed="12"/>
      <name val="Calibri"/>
      <family val="2"/>
    </font>
    <font>
      <b/>
      <sz val="8"/>
      <color indexed="8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sz val="8"/>
      <color theme="0"/>
      <name val="Calibri"/>
      <family val="2"/>
    </font>
    <font>
      <sz val="8"/>
      <color theme="1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color rgb="FF000000"/>
      <name val="Calibri"/>
      <family val="2"/>
    </font>
    <font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sz val="11"/>
      <name val="Courier New"/>
      <family val="3"/>
    </font>
    <font>
      <b/>
      <i/>
      <u/>
      <sz val="16"/>
      <name val="Courier New"/>
      <family val="3"/>
    </font>
    <font>
      <b/>
      <sz val="10"/>
      <name val="Courier New"/>
      <family val="3"/>
    </font>
    <font>
      <b/>
      <sz val="12"/>
      <name val="Courier New"/>
      <family val="3"/>
    </font>
    <font>
      <b/>
      <sz val="11"/>
      <name val="Courier New"/>
      <family val="3"/>
    </font>
    <font>
      <sz val="10"/>
      <name val="Courier New"/>
      <family val="3"/>
    </font>
    <font>
      <b/>
      <sz val="14"/>
      <name val="Courier New"/>
      <family val="3"/>
    </font>
    <font>
      <b/>
      <i/>
      <sz val="11"/>
      <color indexed="62"/>
      <name val="Courier New"/>
      <family val="3"/>
    </font>
    <font>
      <b/>
      <sz val="11"/>
      <color theme="1"/>
      <name val="Arial"/>
      <family val="2"/>
    </font>
    <font>
      <u/>
      <sz val="10"/>
      <color indexed="12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FF0000"/>
      <name val="Arial"/>
      <family val="2"/>
    </font>
    <font>
      <sz val="10"/>
      <name val="Arial Narrow"/>
      <family val="2"/>
    </font>
    <font>
      <sz val="10"/>
      <color rgb="FF000000"/>
      <name val="Calibri"/>
      <family val="2"/>
    </font>
    <font>
      <sz val="11"/>
      <color theme="1"/>
      <name val="Arial Narrow"/>
      <family val="2"/>
    </font>
    <font>
      <b/>
      <i/>
      <sz val="10"/>
      <name val="Arial"/>
      <family val="2"/>
    </font>
    <font>
      <b/>
      <i/>
      <sz val="10"/>
      <color indexed="62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4"/>
      <color indexed="8"/>
      <name val="Arial"/>
      <family val="2"/>
    </font>
    <font>
      <sz val="11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6"/>
      <color theme="0"/>
      <name val="Arial"/>
      <family val="2"/>
    </font>
    <font>
      <sz val="16"/>
      <color theme="0"/>
      <name val="Arial"/>
      <family val="2"/>
    </font>
    <font>
      <sz val="11"/>
      <color rgb="FF7030A0"/>
      <name val="Arial"/>
      <family val="2"/>
    </font>
    <font>
      <b/>
      <sz val="11"/>
      <color theme="0"/>
      <name val="Arial"/>
      <family val="2"/>
    </font>
    <font>
      <b/>
      <i/>
      <u/>
      <sz val="10"/>
      <name val="Arial"/>
      <family val="2"/>
    </font>
    <font>
      <sz val="7.8"/>
      <color rgb="FF000000"/>
      <name val="Arial"/>
      <family val="2"/>
    </font>
    <font>
      <sz val="8.25"/>
      <color rgb="FF000000"/>
      <name val="Arial"/>
      <family val="2"/>
    </font>
    <font>
      <sz val="10"/>
      <name val="MS Sans Serif"/>
      <family val="2"/>
    </font>
    <font>
      <b/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61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 tint="0.14999847407452621"/>
      <name val="Calibri"/>
      <family val="2"/>
      <scheme val="minor"/>
    </font>
    <font>
      <sz val="12"/>
      <color theme="1" tint="0.14999847407452621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1"/>
      <name val="Arial"/>
      <family val="2"/>
    </font>
    <font>
      <b/>
      <sz val="9"/>
      <color indexed="9"/>
      <name val="Arial"/>
      <family val="2"/>
    </font>
    <font>
      <b/>
      <sz val="9"/>
      <color theme="1"/>
      <name val="Arial"/>
      <family val="2"/>
    </font>
    <font>
      <b/>
      <sz val="11"/>
      <color rgb="FF000000"/>
      <name val="Calibri"/>
      <family val="2"/>
    </font>
    <font>
      <sz val="9"/>
      <color rgb="FF00000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Calibri"/>
      <family val="2"/>
    </font>
    <font>
      <b/>
      <sz val="10"/>
      <color rgb="FFFFFFFF"/>
      <name val="Arial"/>
      <family val="2"/>
    </font>
  </fonts>
  <fills count="5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FFFFCC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249977111117893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6EFCE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/>
        <bgColor rgb="FF000000"/>
      </patternFill>
    </fill>
    <fill>
      <patternFill patternType="solid">
        <fgColor theme="8" tint="0.59999389629810485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56"/>
        <bgColor indexed="64"/>
      </patternFill>
    </fill>
  </fills>
  <borders count="1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8"/>
      </bottom>
      <diagonal/>
    </border>
    <border>
      <left/>
      <right/>
      <top style="hair">
        <color indexed="64"/>
      </top>
      <bottom style="hair">
        <color indexed="8"/>
      </bottom>
      <diagonal/>
    </border>
    <border>
      <left/>
      <right style="medium">
        <color indexed="64"/>
      </right>
      <top style="hair">
        <color indexed="64"/>
      </top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medium">
        <color indexed="64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medium">
        <color indexed="64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medium">
        <color indexed="64"/>
      </right>
      <top style="hair">
        <color indexed="8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medium">
        <color indexed="64"/>
      </right>
      <top/>
      <bottom style="hair">
        <color indexed="8"/>
      </bottom>
      <diagonal/>
    </border>
    <border>
      <left/>
      <right/>
      <top style="hair">
        <color indexed="8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23919D"/>
      </top>
      <bottom style="thin">
        <color rgb="FF23919D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ashed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dashed">
        <color auto="1"/>
      </right>
      <top style="medium">
        <color indexed="64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23919D"/>
      </left>
      <right style="thin">
        <color rgb="FF23919D"/>
      </right>
      <top style="thin">
        <color rgb="FF23919D"/>
      </top>
      <bottom style="thin">
        <color rgb="FF23919D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rgb="FFFF0000"/>
      </top>
      <bottom style="thin">
        <color rgb="FFFF0000"/>
      </bottom>
      <diagonal/>
    </border>
  </borders>
  <cellStyleXfs count="414">
    <xf numFmtId="0" fontId="0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3" fillId="0" borderId="0"/>
    <xf numFmtId="164" fontId="10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18" fillId="0" borderId="0" applyNumberFormat="0" applyFill="0" applyBorder="0" applyProtection="0">
      <alignment vertical="top"/>
    </xf>
    <xf numFmtId="168" fontId="5" fillId="0" borderId="0" applyFont="0" applyFill="0" applyBorder="0" applyAlignment="0" applyProtection="0"/>
    <xf numFmtId="175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177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5" fillId="0" borderId="0"/>
    <xf numFmtId="0" fontId="3" fillId="0" borderId="0"/>
    <xf numFmtId="178" fontId="34" fillId="0" borderId="0" applyFont="0" applyFill="0" applyBorder="0" applyAlignment="0" applyProtection="0"/>
    <xf numFmtId="179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0" fontId="3" fillId="0" borderId="0"/>
    <xf numFmtId="165" fontId="34" fillId="0" borderId="0" applyFont="0" applyFill="0" applyBorder="0" applyAlignment="0" applyProtection="0"/>
    <xf numFmtId="179" fontId="3" fillId="0" borderId="0" applyFont="0" applyFill="0" applyBorder="0" applyAlignment="0" applyProtection="0"/>
    <xf numFmtId="0" fontId="3" fillId="0" borderId="0"/>
    <xf numFmtId="0" fontId="5" fillId="0" borderId="0"/>
    <xf numFmtId="177" fontId="5" fillId="0" borderId="0" applyFont="0" applyFill="0" applyBorder="0" applyAlignment="0" applyProtection="0"/>
    <xf numFmtId="0" fontId="5" fillId="0" borderId="0"/>
    <xf numFmtId="0" fontId="34" fillId="0" borderId="0" applyNumberFormat="0" applyBorder="0" applyAlignment="0"/>
    <xf numFmtId="0" fontId="5" fillId="0" borderId="0"/>
    <xf numFmtId="184" fontId="5" fillId="0" borderId="0" applyFont="0" applyFill="0" applyBorder="0" applyAlignment="0" applyProtection="0"/>
    <xf numFmtId="0" fontId="5" fillId="0" borderId="0"/>
    <xf numFmtId="0" fontId="5" fillId="0" borderId="0"/>
    <xf numFmtId="177" fontId="5" fillId="0" borderId="0" applyFont="0" applyFill="0" applyBorder="0" applyAlignment="0" applyProtection="0"/>
    <xf numFmtId="165" fontId="34" fillId="0" borderId="0" applyFont="0" applyFill="0" applyBorder="0" applyAlignment="0" applyProtection="0"/>
    <xf numFmtId="9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5" fillId="0" borderId="0" applyFont="0" applyFill="0" applyBorder="0" applyAlignment="0" applyProtection="0"/>
    <xf numFmtId="165" fontId="34" fillId="0" borderId="0" applyFont="0" applyFill="0" applyBorder="0" applyAlignment="0" applyProtection="0"/>
    <xf numFmtId="165" fontId="34" fillId="0" borderId="0" applyFont="0" applyFill="0" applyBorder="0" applyAlignment="0" applyProtection="0"/>
    <xf numFmtId="165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0" fontId="10" fillId="12" borderId="0" applyNumberFormat="0" applyBorder="0" applyAlignment="0" applyProtection="0"/>
    <xf numFmtId="0" fontId="10" fillId="14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3" borderId="0" applyNumberFormat="0" applyBorder="0" applyAlignment="0" applyProtection="0"/>
    <xf numFmtId="0" fontId="10" fillId="17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51" fillId="26" borderId="0" applyNumberFormat="0" applyBorder="0" applyAlignment="0" applyProtection="0"/>
    <xf numFmtId="0" fontId="51" fillId="21" borderId="0" applyNumberFormat="0" applyBorder="0" applyAlignment="0" applyProtection="0"/>
    <xf numFmtId="0" fontId="51" fillId="23" borderId="0" applyNumberFormat="0" applyBorder="0" applyAlignment="0" applyProtection="0"/>
    <xf numFmtId="0" fontId="51" fillId="27" borderId="0" applyNumberFormat="0" applyBorder="0" applyAlignment="0" applyProtection="0"/>
    <xf numFmtId="0" fontId="51" fillId="25" borderId="0" applyNumberFormat="0" applyBorder="0" applyAlignment="0" applyProtection="0"/>
    <xf numFmtId="0" fontId="51" fillId="28" borderId="0" applyNumberFormat="0" applyBorder="0" applyAlignment="0" applyProtection="0"/>
    <xf numFmtId="0" fontId="52" fillId="16" borderId="0" applyNumberFormat="0" applyBorder="0" applyAlignment="0" applyProtection="0"/>
    <xf numFmtId="0" fontId="53" fillId="19" borderId="42" applyNumberFormat="0" applyAlignment="0" applyProtection="0"/>
    <xf numFmtId="0" fontId="54" fillId="29" borderId="43" applyNumberFormat="0" applyAlignment="0" applyProtection="0"/>
    <xf numFmtId="0" fontId="55" fillId="0" borderId="44" applyNumberFormat="0" applyFill="0" applyAlignment="0" applyProtection="0"/>
    <xf numFmtId="0" fontId="56" fillId="0" borderId="0" applyNumberFormat="0" applyFill="0" applyBorder="0" applyAlignment="0" applyProtection="0"/>
    <xf numFmtId="0" fontId="51" fillId="30" borderId="0" applyNumberFormat="0" applyBorder="0" applyAlignment="0" applyProtection="0"/>
    <xf numFmtId="0" fontId="51" fillId="31" borderId="0" applyNumberFormat="0" applyBorder="0" applyAlignment="0" applyProtection="0"/>
    <xf numFmtId="0" fontId="51" fillId="32" borderId="0" applyNumberFormat="0" applyBorder="0" applyAlignment="0" applyProtection="0"/>
    <xf numFmtId="0" fontId="51" fillId="27" borderId="0" applyNumberFormat="0" applyBorder="0" applyAlignment="0" applyProtection="0"/>
    <xf numFmtId="0" fontId="51" fillId="25" borderId="0" applyNumberFormat="0" applyBorder="0" applyAlignment="0" applyProtection="0"/>
    <xf numFmtId="0" fontId="51" fillId="33" borderId="0" applyNumberFormat="0" applyBorder="0" applyAlignment="0" applyProtection="0"/>
    <xf numFmtId="0" fontId="57" fillId="13" borderId="42" applyNumberFormat="0" applyAlignment="0" applyProtection="0"/>
    <xf numFmtId="0" fontId="67" fillId="0" borderId="0">
      <alignment vertical="top"/>
    </xf>
    <xf numFmtId="187" fontId="5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top"/>
      <protection locked="0"/>
    </xf>
    <xf numFmtId="0" fontId="58" fillId="14" borderId="0" applyNumberFormat="0" applyBorder="0" applyAlignment="0" applyProtection="0"/>
    <xf numFmtId="177" fontId="5" fillId="0" borderId="0" applyFont="0" applyFill="0" applyBorder="0" applyAlignment="0" applyProtection="0"/>
    <xf numFmtId="166" fontId="10" fillId="0" borderId="0" applyFont="0" applyFill="0" applyBorder="0" applyAlignment="0" applyProtection="0"/>
    <xf numFmtId="2" fontId="6" fillId="0" borderId="45" applyFont="0" applyBorder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8" fontId="3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8" fontId="10" fillId="0" borderId="0" applyFont="0" applyFill="0" applyBorder="0" applyAlignment="0" applyProtection="0"/>
    <xf numFmtId="169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85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0" fontId="59" fillId="22" borderId="0" applyNumberFormat="0" applyBorder="0" applyAlignment="0" applyProtection="0"/>
    <xf numFmtId="0" fontId="59" fillId="22" borderId="0" applyNumberFormat="0" applyBorder="0" applyAlignment="0" applyProtection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5" fillId="15" borderId="46" applyNumberFormat="0" applyFont="0" applyAlignment="0" applyProtection="0"/>
    <xf numFmtId="9" fontId="5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0" fillId="19" borderId="47" applyNumberFormat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4" fillId="0" borderId="48" applyNumberFormat="0" applyFill="0" applyAlignment="0" applyProtection="0"/>
    <xf numFmtId="0" fontId="65" fillId="0" borderId="49" applyNumberFormat="0" applyFill="0" applyAlignment="0" applyProtection="0"/>
    <xf numFmtId="0" fontId="56" fillId="0" borderId="50" applyNumberFormat="0" applyFill="0" applyAlignment="0" applyProtection="0"/>
    <xf numFmtId="0" fontId="63" fillId="0" borderId="0" applyNumberFormat="0" applyFill="0" applyBorder="0" applyAlignment="0" applyProtection="0"/>
    <xf numFmtId="0" fontId="66" fillId="0" borderId="51" applyNumberFormat="0" applyFill="0" applyAlignment="0" applyProtection="0"/>
    <xf numFmtId="0" fontId="66" fillId="0" borderId="51" applyNumberFormat="0" applyFill="0" applyAlignment="0" applyProtection="0"/>
    <xf numFmtId="165" fontId="3" fillId="0" borderId="0" applyFont="0" applyFill="0" applyBorder="0" applyAlignment="0" applyProtection="0"/>
    <xf numFmtId="177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5" fillId="0" borderId="0" applyBorder="0"/>
    <xf numFmtId="180" fontId="71" fillId="0" borderId="0" applyFont="0" applyFill="0" applyBorder="0" applyAlignment="0" applyProtection="0"/>
    <xf numFmtId="9" fontId="5" fillId="0" borderId="0" applyFill="0" applyBorder="0" applyAlignment="0" applyProtection="0"/>
    <xf numFmtId="180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18" fillId="0" borderId="0" applyNumberFormat="0" applyFill="0" applyBorder="0" applyProtection="0">
      <alignment vertical="top"/>
    </xf>
    <xf numFmtId="0" fontId="5" fillId="0" borderId="0"/>
    <xf numFmtId="0" fontId="34" fillId="0" borderId="0" applyNumberFormat="0" applyBorder="0" applyAlignment="0"/>
    <xf numFmtId="168" fontId="79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34" fillId="0" borderId="0" applyNumberFormat="0" applyBorder="0" applyAlignment="0"/>
    <xf numFmtId="0" fontId="79" fillId="0" borderId="0"/>
    <xf numFmtId="0" fontId="18" fillId="0" borderId="0" applyNumberFormat="0" applyFill="0" applyBorder="0" applyProtection="0">
      <alignment vertical="top"/>
    </xf>
    <xf numFmtId="9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0" fontId="3" fillId="0" borderId="0"/>
    <xf numFmtId="9" fontId="79" fillId="0" borderId="0" applyFont="0" applyFill="0" applyBorder="0" applyAlignment="0" applyProtection="0"/>
    <xf numFmtId="0" fontId="5" fillId="0" borderId="0"/>
    <xf numFmtId="175" fontId="34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79" fillId="0" borderId="0"/>
    <xf numFmtId="180" fontId="3" fillId="0" borderId="0" applyFont="0" applyFill="0" applyBorder="0" applyAlignment="0" applyProtection="0"/>
    <xf numFmtId="193" fontId="5" fillId="0" borderId="0" applyFont="0" applyFill="0" applyBorder="0" applyAlignment="0" applyProtection="0"/>
    <xf numFmtId="168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94" fontId="5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77" fontId="5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8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95" fontId="5" fillId="0" borderId="0" applyFont="0" applyFill="0" applyBorder="0" applyAlignment="0" applyProtection="0"/>
    <xf numFmtId="184" fontId="5" fillId="0" borderId="0" applyFill="0" applyBorder="0" applyAlignment="0" applyProtection="0"/>
    <xf numFmtId="164" fontId="10" fillId="0" borderId="0" applyFont="0" applyFill="0" applyBorder="0" applyAlignment="0" applyProtection="0"/>
    <xf numFmtId="17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5" fillId="0" borderId="0"/>
    <xf numFmtId="0" fontId="9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0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68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0" fontId="5" fillId="0" borderId="0"/>
    <xf numFmtId="0" fontId="5" fillId="0" borderId="0"/>
    <xf numFmtId="0" fontId="94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92" fontId="5" fillId="0" borderId="0" applyFont="0" applyFill="0" applyBorder="0" applyAlignment="0" applyProtection="0"/>
    <xf numFmtId="168" fontId="3" fillId="0" borderId="0" applyFont="0" applyFill="0" applyBorder="0" applyAlignment="0" applyProtection="0"/>
    <xf numFmtId="175" fontId="10" fillId="0" borderId="0" applyFont="0" applyFill="0" applyBorder="0" applyAlignment="0" applyProtection="0"/>
    <xf numFmtId="0" fontId="5" fillId="0" borderId="0"/>
    <xf numFmtId="0" fontId="5" fillId="0" borderId="0"/>
    <xf numFmtId="0" fontId="94" fillId="0" borderId="0"/>
    <xf numFmtId="168" fontId="3" fillId="0" borderId="0" applyFont="0" applyFill="0" applyBorder="0" applyAlignment="0" applyProtection="0"/>
    <xf numFmtId="0" fontId="94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80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8" fontId="10" fillId="0" borderId="0" applyFont="0" applyFill="0" applyBorder="0" applyAlignment="0" applyProtection="0"/>
    <xf numFmtId="0" fontId="5" fillId="0" borderId="0"/>
    <xf numFmtId="165" fontId="3" fillId="0" borderId="0" applyFont="0" applyFill="0" applyBorder="0" applyAlignment="0" applyProtection="0"/>
    <xf numFmtId="0" fontId="34" fillId="0" borderId="0" applyNumberFormat="0" applyBorder="0" applyAlignment="0"/>
    <xf numFmtId="0" fontId="34" fillId="34" borderId="97" applyNumberFormat="0" applyFont="0" applyAlignment="0" applyProtection="0"/>
    <xf numFmtId="175" fontId="34" fillId="0" borderId="0" applyFont="0" applyFill="0" applyBorder="0" applyAlignment="0" applyProtection="0"/>
    <xf numFmtId="9" fontId="5" fillId="0" borderId="0" applyFont="0" applyFill="0" applyBorder="0" applyAlignment="0" applyProtection="0"/>
    <xf numFmtId="168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165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94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10" fillId="0" borderId="0" applyFont="0" applyFill="0" applyBorder="0" applyAlignment="0" applyProtection="0"/>
    <xf numFmtId="0" fontId="5" fillId="0" borderId="0"/>
    <xf numFmtId="165" fontId="3" fillId="0" borderId="0" applyFont="0" applyFill="0" applyBorder="0" applyAlignment="0" applyProtection="0"/>
    <xf numFmtId="168" fontId="34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79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15" fillId="0" borderId="98" applyNumberFormat="0" applyFill="0" applyAlignment="0" applyProtection="0"/>
    <xf numFmtId="0" fontId="3" fillId="0" borderId="0"/>
    <xf numFmtId="0" fontId="79" fillId="0" borderId="0"/>
    <xf numFmtId="0" fontId="18" fillId="0" borderId="0" applyNumberFormat="0" applyFill="0" applyBorder="0" applyProtection="0">
      <alignment vertical="top"/>
    </xf>
    <xf numFmtId="175" fontId="79" fillId="0" borderId="0" applyFont="0" applyFill="0" applyBorder="0" applyAlignment="0" applyProtection="0"/>
    <xf numFmtId="0" fontId="18" fillId="0" borderId="0" applyNumberFormat="0" applyFill="0" applyBorder="0" applyProtection="0">
      <alignment vertical="top"/>
    </xf>
    <xf numFmtId="175" fontId="10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99" fillId="42" borderId="0" applyNumberFormat="0" applyBorder="0" applyAlignment="0" applyProtection="0"/>
    <xf numFmtId="0" fontId="3" fillId="0" borderId="0"/>
    <xf numFmtId="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68" fontId="34" fillId="0" borderId="0" applyFont="0" applyFill="0" applyBorder="0" applyAlignment="0" applyProtection="0"/>
    <xf numFmtId="180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10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4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5" fillId="0" borderId="98" applyNumberFormat="0" applyFill="0" applyAlignment="0" applyProtection="0"/>
  </cellStyleXfs>
  <cellXfs count="1343">
    <xf numFmtId="0" fontId="0" fillId="0" borderId="0" xfId="0"/>
    <xf numFmtId="0" fontId="6" fillId="0" borderId="0" xfId="0" applyFont="1"/>
    <xf numFmtId="0" fontId="4" fillId="0" borderId="0" xfId="0" quotePrefix="1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right"/>
    </xf>
    <xf numFmtId="0" fontId="7" fillId="0" borderId="0" xfId="0" applyFont="1"/>
    <xf numFmtId="0" fontId="6" fillId="0" borderId="13" xfId="0" applyFont="1" applyBorder="1" applyAlignment="1">
      <alignment horizontal="center"/>
    </xf>
    <xf numFmtId="0" fontId="6" fillId="0" borderId="13" xfId="0" quotePrefix="1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" xfId="0" applyFont="1" applyBorder="1"/>
    <xf numFmtId="0" fontId="6" fillId="0" borderId="14" xfId="0" applyFont="1" applyBorder="1"/>
    <xf numFmtId="0" fontId="6" fillId="0" borderId="2" xfId="0" applyFont="1" applyBorder="1"/>
    <xf numFmtId="0" fontId="4" fillId="0" borderId="0" xfId="0" applyFont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13" xfId="0" applyFont="1" applyBorder="1" applyAlignment="1">
      <alignment horizontal="centerContinuous"/>
    </xf>
    <xf numFmtId="0" fontId="6" fillId="0" borderId="10" xfId="0" applyFont="1" applyBorder="1"/>
    <xf numFmtId="0" fontId="6" fillId="0" borderId="16" xfId="0" applyFont="1" applyBorder="1"/>
    <xf numFmtId="0" fontId="6" fillId="0" borderId="17" xfId="0" applyFont="1" applyBorder="1" applyAlignment="1">
      <alignment horizontal="center"/>
    </xf>
    <xf numFmtId="165" fontId="0" fillId="0" borderId="0" xfId="1" applyFont="1"/>
    <xf numFmtId="0" fontId="6" fillId="0" borderId="18" xfId="0" applyFont="1" applyBorder="1" applyAlignment="1">
      <alignment horizontal="left"/>
    </xf>
    <xf numFmtId="0" fontId="6" fillId="0" borderId="19" xfId="0" applyFont="1" applyBorder="1" applyAlignment="1">
      <alignment horizontal="center"/>
    </xf>
    <xf numFmtId="9" fontId="0" fillId="0" borderId="0" xfId="2" applyFont="1"/>
    <xf numFmtId="0" fontId="6" fillId="0" borderId="20" xfId="0" applyFont="1" applyBorder="1"/>
    <xf numFmtId="172" fontId="6" fillId="0" borderId="0" xfId="0" applyNumberFormat="1" applyFont="1"/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Continuous"/>
    </xf>
    <xf numFmtId="0" fontId="6" fillId="0" borderId="0" xfId="0" applyFont="1" applyAlignment="1">
      <alignment horizontal="centerContinuous"/>
    </xf>
    <xf numFmtId="0" fontId="6" fillId="3" borderId="21" xfId="0" applyFont="1" applyFill="1" applyBorder="1" applyAlignment="1">
      <alignment horizontal="center"/>
    </xf>
    <xf numFmtId="0" fontId="6" fillId="0" borderId="14" xfId="0" applyFont="1" applyBorder="1" applyAlignment="1">
      <alignment horizontal="left"/>
    </xf>
    <xf numFmtId="0" fontId="16" fillId="0" borderId="0" xfId="0" applyFont="1"/>
    <xf numFmtId="0" fontId="14" fillId="0" borderId="34" xfId="7" applyFont="1" applyBorder="1" applyAlignment="1">
      <alignment vertical="center"/>
    </xf>
    <xf numFmtId="0" fontId="14" fillId="0" borderId="36" xfId="7" applyFont="1" applyBorder="1" applyAlignment="1">
      <alignment vertical="center"/>
    </xf>
    <xf numFmtId="0" fontId="14" fillId="0" borderId="16" xfId="7" applyFont="1" applyBorder="1" applyAlignment="1">
      <alignment vertical="center"/>
    </xf>
    <xf numFmtId="0" fontId="21" fillId="0" borderId="0" xfId="0" applyFont="1" applyAlignment="1">
      <alignment vertical="center"/>
    </xf>
    <xf numFmtId="17" fontId="23" fillId="0" borderId="0" xfId="0" applyNumberFormat="1" applyFont="1" applyAlignment="1">
      <alignment horizontal="left" vertical="center" wrapText="1"/>
    </xf>
    <xf numFmtId="17" fontId="20" fillId="0" borderId="0" xfId="0" applyNumberFormat="1" applyFont="1" applyAlignment="1">
      <alignment vertical="center"/>
    </xf>
    <xf numFmtId="4" fontId="20" fillId="0" borderId="0" xfId="0" applyNumberFormat="1" applyFont="1" applyAlignment="1">
      <alignment vertical="center" wrapText="1"/>
    </xf>
    <xf numFmtId="176" fontId="20" fillId="0" borderId="0" xfId="0" applyNumberFormat="1" applyFont="1" applyAlignment="1">
      <alignment vertical="center"/>
    </xf>
    <xf numFmtId="4" fontId="20" fillId="0" borderId="0" xfId="0" applyNumberFormat="1" applyFont="1" applyAlignment="1">
      <alignment vertical="center"/>
    </xf>
    <xf numFmtId="4" fontId="22" fillId="0" borderId="0" xfId="0" applyNumberFormat="1" applyFont="1" applyAlignment="1">
      <alignment horizontal="right" vertical="center" wrapText="1"/>
    </xf>
    <xf numFmtId="4" fontId="22" fillId="0" borderId="0" xfId="0" applyNumberFormat="1" applyFont="1" applyAlignment="1">
      <alignment vertical="center"/>
    </xf>
    <xf numFmtId="176" fontId="22" fillId="0" borderId="0" xfId="0" applyNumberFormat="1" applyFont="1" applyAlignment="1">
      <alignment vertical="center"/>
    </xf>
    <xf numFmtId="4" fontId="24" fillId="0" borderId="0" xfId="0" applyNumberFormat="1" applyFont="1" applyAlignment="1">
      <alignment vertical="center"/>
    </xf>
    <xf numFmtId="4" fontId="26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4" fontId="26" fillId="0" borderId="0" xfId="0" applyNumberFormat="1" applyFont="1" applyAlignment="1">
      <alignment vertical="center"/>
    </xf>
    <xf numFmtId="0" fontId="13" fillId="0" borderId="33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12" fillId="0" borderId="33" xfId="0" applyFont="1" applyBorder="1" applyAlignment="1">
      <alignment vertical="center"/>
    </xf>
    <xf numFmtId="0" fontId="22" fillId="0" borderId="0" xfId="0" applyFont="1" applyAlignment="1">
      <alignment horizontal="center" vertical="center" wrapText="1"/>
    </xf>
    <xf numFmtId="10" fontId="13" fillId="0" borderId="33" xfId="0" applyNumberFormat="1" applyFont="1" applyBorder="1" applyAlignment="1">
      <alignment vertical="center"/>
    </xf>
    <xf numFmtId="10" fontId="13" fillId="0" borderId="33" xfId="11" applyNumberFormat="1" applyFont="1" applyBorder="1" applyAlignment="1">
      <alignment vertical="center"/>
    </xf>
    <xf numFmtId="0" fontId="25" fillId="0" borderId="0" xfId="0" applyFont="1" applyAlignment="1">
      <alignment horizontal="center" vertical="center" wrapText="1"/>
    </xf>
    <xf numFmtId="0" fontId="21" fillId="0" borderId="0" xfId="0" applyFont="1" applyAlignment="1">
      <alignment vertical="center" wrapText="1"/>
    </xf>
    <xf numFmtId="0" fontId="28" fillId="7" borderId="25" xfId="0" applyFont="1" applyFill="1" applyBorder="1" applyAlignment="1">
      <alignment vertical="center"/>
    </xf>
    <xf numFmtId="0" fontId="22" fillId="0" borderId="0" xfId="0" applyFont="1" applyAlignment="1">
      <alignment vertical="center" wrapText="1"/>
    </xf>
    <xf numFmtId="0" fontId="29" fillId="0" borderId="0" xfId="0" applyFont="1" applyAlignment="1">
      <alignment vertical="center" wrapText="1"/>
    </xf>
    <xf numFmtId="0" fontId="28" fillId="0" borderId="0" xfId="0" applyFont="1" applyAlignment="1">
      <alignment vertical="center" wrapText="1"/>
    </xf>
    <xf numFmtId="0" fontId="17" fillId="7" borderId="0" xfId="0" applyFont="1" applyFill="1"/>
    <xf numFmtId="0" fontId="16" fillId="7" borderId="0" xfId="0" applyFont="1" applyFill="1"/>
    <xf numFmtId="172" fontId="17" fillId="7" borderId="0" xfId="0" applyNumberFormat="1" applyFont="1" applyFill="1" applyAlignment="1">
      <alignment horizontal="center" vertical="center"/>
    </xf>
    <xf numFmtId="170" fontId="17" fillId="7" borderId="29" xfId="0" applyNumberFormat="1" applyFont="1" applyFill="1" applyBorder="1" applyAlignment="1">
      <alignment horizontal="center" vertical="center"/>
    </xf>
    <xf numFmtId="4" fontId="17" fillId="7" borderId="29" xfId="0" applyNumberFormat="1" applyFont="1" applyFill="1" applyBorder="1" applyAlignment="1">
      <alignment horizontal="center" vertical="center"/>
    </xf>
    <xf numFmtId="0" fontId="17" fillId="7" borderId="26" xfId="0" applyFont="1" applyFill="1" applyBorder="1" applyAlignment="1">
      <alignment horizontal="center" vertical="center"/>
    </xf>
    <xf numFmtId="172" fontId="17" fillId="7" borderId="29" xfId="0" applyNumberFormat="1" applyFont="1" applyFill="1" applyBorder="1" applyAlignment="1">
      <alignment horizontal="center" vertical="center" wrapText="1"/>
    </xf>
    <xf numFmtId="4" fontId="17" fillId="7" borderId="19" xfId="0" applyNumberFormat="1" applyFont="1" applyFill="1" applyBorder="1" applyAlignment="1">
      <alignment horizontal="center" vertical="center"/>
    </xf>
    <xf numFmtId="170" fontId="17" fillId="7" borderId="19" xfId="0" applyNumberFormat="1" applyFont="1" applyFill="1" applyBorder="1" applyAlignment="1">
      <alignment horizontal="center" vertical="center"/>
    </xf>
    <xf numFmtId="172" fontId="17" fillId="7" borderId="19" xfId="0" applyNumberFormat="1" applyFont="1" applyFill="1" applyBorder="1" applyAlignment="1">
      <alignment horizontal="center" vertical="center" wrapText="1"/>
    </xf>
    <xf numFmtId="0" fontId="32" fillId="10" borderId="6" xfId="13" applyFont="1" applyFill="1" applyBorder="1" applyAlignment="1">
      <alignment vertical="center"/>
    </xf>
    <xf numFmtId="0" fontId="32" fillId="10" borderId="7" xfId="13" applyFont="1" applyFill="1" applyBorder="1" applyAlignment="1">
      <alignment vertical="center"/>
    </xf>
    <xf numFmtId="181" fontId="32" fillId="10" borderId="7" xfId="13" applyNumberFormat="1" applyFont="1" applyFill="1" applyBorder="1" applyAlignment="1">
      <alignment vertical="center"/>
    </xf>
    <xf numFmtId="181" fontId="32" fillId="10" borderId="3" xfId="13" applyNumberFormat="1" applyFont="1" applyFill="1" applyBorder="1" applyAlignment="1">
      <alignment vertical="center"/>
    </xf>
    <xf numFmtId="0" fontId="35" fillId="0" borderId="18" xfId="13" applyFont="1" applyBorder="1" applyAlignment="1">
      <alignment horizontal="center" vertical="center"/>
    </xf>
    <xf numFmtId="0" fontId="33" fillId="0" borderId="19" xfId="13" applyFont="1" applyBorder="1" applyAlignment="1">
      <alignment horizontal="center" vertical="center"/>
    </xf>
    <xf numFmtId="0" fontId="33" fillId="0" borderId="19" xfId="27" applyFont="1" applyBorder="1" applyAlignment="1">
      <alignment horizontal="center" vertical="center" wrapText="1"/>
    </xf>
    <xf numFmtId="182" fontId="33" fillId="0" borderId="19" xfId="22" applyNumberFormat="1" applyFont="1" applyFill="1" applyBorder="1" applyAlignment="1">
      <alignment vertical="center"/>
    </xf>
    <xf numFmtId="182" fontId="33" fillId="0" borderId="27" xfId="22" applyNumberFormat="1" applyFont="1" applyFill="1" applyBorder="1" applyAlignment="1">
      <alignment vertical="center"/>
    </xf>
    <xf numFmtId="0" fontId="32" fillId="10" borderId="8" xfId="13" applyFont="1" applyFill="1" applyBorder="1" applyAlignment="1">
      <alignment vertical="center"/>
    </xf>
    <xf numFmtId="0" fontId="32" fillId="10" borderId="0" xfId="13" applyFont="1" applyFill="1" applyAlignment="1">
      <alignment vertical="center"/>
    </xf>
    <xf numFmtId="182" fontId="32" fillId="10" borderId="0" xfId="22" applyNumberFormat="1" applyFont="1" applyFill="1" applyBorder="1" applyAlignment="1">
      <alignment vertical="center"/>
    </xf>
    <xf numFmtId="182" fontId="32" fillId="10" borderId="9" xfId="22" applyNumberFormat="1" applyFont="1" applyFill="1" applyBorder="1" applyAlignment="1">
      <alignment vertical="center"/>
    </xf>
    <xf numFmtId="0" fontId="34" fillId="0" borderId="0" xfId="28"/>
    <xf numFmtId="0" fontId="33" fillId="7" borderId="18" xfId="27" applyFont="1" applyFill="1" applyBorder="1" applyAlignment="1">
      <alignment horizontal="center" vertical="center"/>
    </xf>
    <xf numFmtId="0" fontId="33" fillId="0" borderId="19" xfId="27" applyFont="1" applyBorder="1" applyAlignment="1">
      <alignment horizontal="center" vertical="center"/>
    </xf>
    <xf numFmtId="0" fontId="33" fillId="0" borderId="19" xfId="27" applyFont="1" applyBorder="1" applyAlignment="1">
      <alignment vertical="center" wrapText="1"/>
    </xf>
    <xf numFmtId="182" fontId="33" fillId="0" borderId="19" xfId="22" applyNumberFormat="1" applyFont="1" applyFill="1" applyBorder="1" applyAlignment="1">
      <alignment vertical="center" wrapText="1"/>
    </xf>
    <xf numFmtId="182" fontId="33" fillId="7" borderId="27" xfId="22" applyNumberFormat="1" applyFont="1" applyFill="1" applyBorder="1" applyAlignment="1">
      <alignment horizontal="right" vertical="center" wrapText="1"/>
    </xf>
    <xf numFmtId="0" fontId="32" fillId="4" borderId="0" xfId="13" applyFont="1" applyFill="1" applyAlignment="1">
      <alignment vertical="center"/>
    </xf>
    <xf numFmtId="0" fontId="33" fillId="7" borderId="19" xfId="27" applyFont="1" applyFill="1" applyBorder="1" applyAlignment="1">
      <alignment horizontal="center" vertical="center" wrapText="1"/>
    </xf>
    <xf numFmtId="0" fontId="39" fillId="7" borderId="19" xfId="27" applyFont="1" applyFill="1" applyBorder="1" applyAlignment="1">
      <alignment horizontal="center" vertical="center"/>
    </xf>
    <xf numFmtId="0" fontId="33" fillId="7" borderId="19" xfId="27" applyFont="1" applyFill="1" applyBorder="1" applyAlignment="1">
      <alignment vertical="center" wrapText="1"/>
    </xf>
    <xf numFmtId="182" fontId="33" fillId="7" borderId="19" xfId="22" applyNumberFormat="1" applyFont="1" applyFill="1" applyBorder="1" applyAlignment="1">
      <alignment vertical="center" wrapText="1"/>
    </xf>
    <xf numFmtId="0" fontId="41" fillId="0" borderId="10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10" fontId="41" fillId="0" borderId="0" xfId="35" applyNumberFormat="1" applyFont="1" applyAlignment="1">
      <alignment horizontal="right" vertical="center"/>
    </xf>
    <xf numFmtId="0" fontId="5" fillId="0" borderId="0" xfId="13" applyAlignment="1">
      <alignment vertical="center"/>
    </xf>
    <xf numFmtId="0" fontId="33" fillId="0" borderId="0" xfId="27" applyFont="1" applyAlignment="1">
      <alignment vertical="center"/>
    </xf>
    <xf numFmtId="0" fontId="7" fillId="0" borderId="0" xfId="13" applyFont="1" applyAlignment="1">
      <alignment horizontal="center" vertical="center"/>
    </xf>
    <xf numFmtId="168" fontId="33" fillId="0" borderId="0" xfId="27" applyNumberFormat="1" applyFont="1" applyAlignment="1">
      <alignment vertical="center"/>
    </xf>
    <xf numFmtId="168" fontId="33" fillId="0" borderId="0" xfId="27" applyNumberFormat="1" applyFont="1" applyAlignment="1">
      <alignment horizontal="center" vertical="center"/>
    </xf>
    <xf numFmtId="0" fontId="34" fillId="0" borderId="0" xfId="28" applyAlignment="1">
      <alignment horizontal="center"/>
    </xf>
    <xf numFmtId="0" fontId="41" fillId="0" borderId="28" xfId="0" applyFont="1" applyBorder="1" applyAlignment="1">
      <alignment vertical="center"/>
    </xf>
    <xf numFmtId="0" fontId="42" fillId="0" borderId="25" xfId="0" applyFont="1" applyBorder="1" applyAlignment="1">
      <alignment horizontal="center" vertical="center"/>
    </xf>
    <xf numFmtId="10" fontId="41" fillId="0" borderId="31" xfId="35" applyNumberFormat="1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4" fillId="0" borderId="0" xfId="0" quotePrefix="1" applyFont="1" applyAlignment="1">
      <alignment horizontal="left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6" fillId="0" borderId="13" xfId="0" quotePrefix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Continuous" vertical="center"/>
    </xf>
    <xf numFmtId="0" fontId="6" fillId="0" borderId="10" xfId="0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left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vertical="center"/>
    </xf>
    <xf numFmtId="172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165" fontId="0" fillId="0" borderId="0" xfId="1" applyFont="1" applyAlignment="1">
      <alignment vertical="center"/>
    </xf>
    <xf numFmtId="165" fontId="6" fillId="0" borderId="15" xfId="1" applyFont="1" applyFill="1" applyBorder="1" applyAlignment="1">
      <alignment vertical="center"/>
    </xf>
    <xf numFmtId="165" fontId="6" fillId="0" borderId="15" xfId="1" applyFont="1" applyFill="1" applyBorder="1"/>
    <xf numFmtId="0" fontId="6" fillId="3" borderId="21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left" vertical="center"/>
    </xf>
    <xf numFmtId="0" fontId="68" fillId="0" borderId="0" xfId="0" applyFont="1"/>
    <xf numFmtId="0" fontId="69" fillId="0" borderId="0" xfId="0" applyFont="1"/>
    <xf numFmtId="0" fontId="70" fillId="0" borderId="0" xfId="0" applyFont="1"/>
    <xf numFmtId="0" fontId="38" fillId="0" borderId="38" xfId="25" applyFont="1" applyBorder="1" applyAlignment="1">
      <alignment horizontal="left" vertical="center" wrapText="1"/>
    </xf>
    <xf numFmtId="0" fontId="38" fillId="4" borderId="39" xfId="25" applyFont="1" applyFill="1" applyBorder="1" applyAlignment="1">
      <alignment horizontal="left" vertical="center" wrapText="1"/>
    </xf>
    <xf numFmtId="0" fontId="36" fillId="0" borderId="30" xfId="13" applyFont="1" applyBorder="1" applyAlignment="1">
      <alignment horizontal="center" vertical="center" wrapText="1"/>
    </xf>
    <xf numFmtId="0" fontId="70" fillId="0" borderId="0" xfId="0" applyFont="1" applyAlignment="1">
      <alignment horizontal="left"/>
    </xf>
    <xf numFmtId="0" fontId="30" fillId="9" borderId="52" xfId="13" applyFont="1" applyFill="1" applyBorder="1" applyAlignment="1">
      <alignment horizontal="center" vertical="center" wrapText="1"/>
    </xf>
    <xf numFmtId="0" fontId="31" fillId="0" borderId="0" xfId="13" applyFont="1" applyAlignment="1">
      <alignment vertical="center"/>
    </xf>
    <xf numFmtId="0" fontId="36" fillId="0" borderId="26" xfId="13" applyFont="1" applyBorder="1" applyAlignment="1">
      <alignment horizontal="center" vertical="center" wrapText="1"/>
    </xf>
    <xf numFmtId="0" fontId="37" fillId="0" borderId="32" xfId="13" applyFont="1" applyBorder="1" applyAlignment="1">
      <alignment horizontal="center" vertical="center" wrapText="1"/>
    </xf>
    <xf numFmtId="0" fontId="37" fillId="0" borderId="20" xfId="13" applyFont="1" applyBorder="1" applyAlignment="1">
      <alignment horizontal="center" vertical="center" wrapText="1"/>
    </xf>
    <xf numFmtId="0" fontId="36" fillId="0" borderId="29" xfId="13" applyFont="1" applyBorder="1" applyAlignment="1">
      <alignment horizontal="center" vertical="center" wrapText="1"/>
    </xf>
    <xf numFmtId="0" fontId="37" fillId="0" borderId="30" xfId="13" applyFont="1" applyBorder="1" applyAlignment="1">
      <alignment horizontal="center" vertical="center" wrapText="1"/>
    </xf>
    <xf numFmtId="0" fontId="36" fillId="0" borderId="40" xfId="13" applyFont="1" applyBorder="1" applyAlignment="1">
      <alignment horizontal="center" vertical="center" wrapText="1"/>
    </xf>
    <xf numFmtId="0" fontId="36" fillId="0" borderId="13" xfId="13" applyFont="1" applyBorder="1" applyAlignment="1">
      <alignment horizontal="center" vertical="center" wrapText="1"/>
    </xf>
    <xf numFmtId="0" fontId="36" fillId="0" borderId="19" xfId="13" applyFont="1" applyBorder="1" applyAlignment="1">
      <alignment horizontal="center" vertical="center"/>
    </xf>
    <xf numFmtId="168" fontId="36" fillId="0" borderId="29" xfId="15" applyFont="1" applyFill="1" applyBorder="1" applyAlignment="1">
      <alignment horizontal="center" vertical="center" wrapText="1"/>
    </xf>
    <xf numFmtId="168" fontId="36" fillId="0" borderId="30" xfId="15" applyFont="1" applyFill="1" applyBorder="1" applyAlignment="1">
      <alignment horizontal="center" vertical="center" wrapText="1"/>
    </xf>
    <xf numFmtId="0" fontId="36" fillId="0" borderId="27" xfId="13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25" fillId="0" borderId="25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/>
    </xf>
    <xf numFmtId="0" fontId="25" fillId="2" borderId="25" xfId="0" applyFont="1" applyFill="1" applyBorder="1" applyAlignment="1">
      <alignment horizontal="center" vertical="center" wrapText="1"/>
    </xf>
    <xf numFmtId="0" fontId="25" fillId="0" borderId="25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4" fontId="26" fillId="0" borderId="21" xfId="0" applyNumberFormat="1" applyFont="1" applyBorder="1" applyAlignment="1">
      <alignment horizontal="center" vertical="center" wrapText="1"/>
    </xf>
    <xf numFmtId="0" fontId="19" fillId="0" borderId="35" xfId="7" applyFont="1" applyBorder="1" applyAlignment="1">
      <alignment horizontal="center" vertical="center" wrapText="1"/>
    </xf>
    <xf numFmtId="0" fontId="19" fillId="0" borderId="7" xfId="7" applyFont="1" applyBorder="1" applyAlignment="1">
      <alignment horizontal="center" vertical="center" wrapText="1"/>
    </xf>
    <xf numFmtId="0" fontId="19" fillId="0" borderId="34" xfId="7" applyFont="1" applyBorder="1" applyAlignment="1">
      <alignment horizontal="center" vertical="center" wrapText="1"/>
    </xf>
    <xf numFmtId="0" fontId="19" fillId="0" borderId="33" xfId="7" applyFont="1" applyBorder="1" applyAlignment="1">
      <alignment horizontal="center" vertical="center" wrapText="1"/>
    </xf>
    <xf numFmtId="0" fontId="19" fillId="0" borderId="0" xfId="7" applyFont="1" applyAlignment="1">
      <alignment horizontal="center" vertical="center" wrapText="1"/>
    </xf>
    <xf numFmtId="0" fontId="19" fillId="0" borderId="36" xfId="7" applyFont="1" applyBorder="1" applyAlignment="1">
      <alignment horizontal="center" vertical="center" wrapText="1"/>
    </xf>
    <xf numFmtId="0" fontId="19" fillId="0" borderId="37" xfId="7" applyFont="1" applyBorder="1" applyAlignment="1">
      <alignment horizontal="center" vertical="center" wrapText="1"/>
    </xf>
    <xf numFmtId="0" fontId="19" fillId="0" borderId="10" xfId="7" applyFont="1" applyBorder="1" applyAlignment="1">
      <alignment horizontal="center" vertical="center" wrapText="1"/>
    </xf>
    <xf numFmtId="0" fontId="19" fillId="0" borderId="16" xfId="7" applyFont="1" applyBorder="1" applyAlignment="1">
      <alignment horizontal="center" vertical="center" wrapText="1"/>
    </xf>
    <xf numFmtId="0" fontId="0" fillId="0" borderId="3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4" xfId="0" applyBorder="1" applyAlignment="1">
      <alignment horizontal="center"/>
    </xf>
    <xf numFmtId="4" fontId="26" fillId="0" borderId="21" xfId="0" applyNumberFormat="1" applyFont="1" applyBorder="1" applyAlignment="1">
      <alignment horizontal="center" vertical="center"/>
    </xf>
    <xf numFmtId="0" fontId="72" fillId="7" borderId="6" xfId="184" applyFont="1" applyFill="1" applyBorder="1" applyAlignment="1">
      <alignment vertical="center"/>
    </xf>
    <xf numFmtId="0" fontId="72" fillId="7" borderId="7" xfId="184" applyFont="1" applyFill="1" applyBorder="1" applyAlignment="1">
      <alignment vertical="center"/>
    </xf>
    <xf numFmtId="0" fontId="72" fillId="7" borderId="3" xfId="184" applyFont="1" applyFill="1" applyBorder="1" applyAlignment="1">
      <alignment vertical="center"/>
    </xf>
    <xf numFmtId="0" fontId="8" fillId="0" borderId="0" xfId="0" applyFont="1"/>
    <xf numFmtId="0" fontId="72" fillId="7" borderId="8" xfId="184" applyFont="1" applyFill="1" applyBorder="1" applyAlignment="1">
      <alignment vertical="center"/>
    </xf>
    <xf numFmtId="0" fontId="72" fillId="7" borderId="0" xfId="184" applyFont="1" applyFill="1" applyBorder="1" applyAlignment="1">
      <alignment vertical="center"/>
    </xf>
    <xf numFmtId="0" fontId="72" fillId="7" borderId="9" xfId="184" applyFont="1" applyFill="1" applyBorder="1" applyAlignment="1">
      <alignment vertical="center"/>
    </xf>
    <xf numFmtId="0" fontId="73" fillId="5" borderId="53" xfId="184" applyFont="1" applyFill="1" applyBorder="1" applyAlignment="1">
      <alignment vertical="center"/>
    </xf>
    <xf numFmtId="0" fontId="73" fillId="5" borderId="54" xfId="184" applyFont="1" applyFill="1" applyBorder="1" applyAlignment="1">
      <alignment vertical="center"/>
    </xf>
    <xf numFmtId="180" fontId="73" fillId="5" borderId="55" xfId="20" applyFont="1" applyFill="1" applyBorder="1" applyAlignment="1" applyProtection="1">
      <alignment vertical="center"/>
    </xf>
    <xf numFmtId="0" fontId="73" fillId="7" borderId="56" xfId="184" applyFont="1" applyFill="1" applyBorder="1" applyAlignment="1">
      <alignment horizontal="center" vertical="center"/>
    </xf>
    <xf numFmtId="0" fontId="73" fillId="7" borderId="57" xfId="184" applyFont="1" applyFill="1" applyBorder="1" applyAlignment="1">
      <alignment horizontal="center" vertical="center"/>
    </xf>
    <xf numFmtId="0" fontId="73" fillId="7" borderId="58" xfId="184" applyFont="1" applyFill="1" applyBorder="1" applyAlignment="1">
      <alignment horizontal="center" vertical="center"/>
    </xf>
    <xf numFmtId="0" fontId="73" fillId="5" borderId="59" xfId="184" applyFont="1" applyFill="1" applyBorder="1" applyAlignment="1">
      <alignment vertical="center"/>
    </xf>
    <xf numFmtId="0" fontId="73" fillId="5" borderId="60" xfId="184" applyFont="1" applyFill="1" applyBorder="1" applyAlignment="1">
      <alignment vertical="center"/>
    </xf>
    <xf numFmtId="180" fontId="73" fillId="5" borderId="61" xfId="20" applyFont="1" applyFill="1" applyBorder="1" applyAlignment="1" applyProtection="1">
      <alignment vertical="center"/>
    </xf>
    <xf numFmtId="0" fontId="5" fillId="7" borderId="59" xfId="184" applyFill="1" applyBorder="1" applyAlignment="1">
      <alignment horizontal="left" vertical="center"/>
    </xf>
    <xf numFmtId="9" fontId="5" fillId="7" borderId="57" xfId="186" applyFill="1" applyBorder="1" applyAlignment="1" applyProtection="1">
      <alignment horizontal="center" vertical="center"/>
    </xf>
    <xf numFmtId="180" fontId="5" fillId="7" borderId="57" xfId="187" applyFont="1" applyFill="1" applyBorder="1" applyAlignment="1">
      <alignment horizontal="right" vertical="center"/>
    </xf>
    <xf numFmtId="168" fontId="5" fillId="7" borderId="57" xfId="188" applyFont="1" applyFill="1" applyBorder="1" applyAlignment="1">
      <alignment horizontal="right" vertical="center"/>
    </xf>
    <xf numFmtId="180" fontId="5" fillId="7" borderId="58" xfId="187" applyFont="1" applyFill="1" applyBorder="1" applyAlignment="1" applyProtection="1">
      <alignment horizontal="center" vertical="center"/>
    </xf>
    <xf numFmtId="0" fontId="5" fillId="7" borderId="62" xfId="184" applyFill="1" applyBorder="1" applyAlignment="1">
      <alignment horizontal="justify" vertical="center" wrapText="1"/>
    </xf>
    <xf numFmtId="0" fontId="73" fillId="7" borderId="59" xfId="184" applyFont="1" applyFill="1" applyBorder="1" applyAlignment="1">
      <alignment horizontal="left" vertical="center"/>
    </xf>
    <xf numFmtId="0" fontId="73" fillId="7" borderId="60" xfId="184" applyFont="1" applyFill="1" applyBorder="1" applyAlignment="1">
      <alignment horizontal="left" vertical="center"/>
    </xf>
    <xf numFmtId="0" fontId="73" fillId="7" borderId="60" xfId="184" applyFont="1" applyFill="1" applyBorder="1" applyAlignment="1">
      <alignment horizontal="right" vertical="center"/>
    </xf>
    <xf numFmtId="188" fontId="73" fillId="7" borderId="62" xfId="184" applyNumberFormat="1" applyFont="1" applyFill="1" applyBorder="1" applyAlignment="1">
      <alignment horizontal="center" vertical="center"/>
    </xf>
    <xf numFmtId="10" fontId="73" fillId="7" borderId="58" xfId="184" applyNumberFormat="1" applyFont="1" applyFill="1" applyBorder="1" applyAlignment="1">
      <alignment horizontal="center" vertical="center"/>
    </xf>
    <xf numFmtId="168" fontId="5" fillId="7" borderId="57" xfId="188" applyFont="1" applyFill="1" applyBorder="1" applyAlignment="1">
      <alignment horizontal="center" vertical="center"/>
    </xf>
    <xf numFmtId="0" fontId="73" fillId="5" borderId="64" xfId="184" applyFont="1" applyFill="1" applyBorder="1" applyAlignment="1">
      <alignment vertical="center"/>
    </xf>
    <xf numFmtId="0" fontId="73" fillId="5" borderId="65" xfId="184" applyFont="1" applyFill="1" applyBorder="1" applyAlignment="1">
      <alignment vertical="center"/>
    </xf>
    <xf numFmtId="180" fontId="73" fillId="5" borderId="66" xfId="20" applyFont="1" applyFill="1" applyBorder="1" applyAlignment="1" applyProtection="1">
      <alignment vertical="center"/>
    </xf>
    <xf numFmtId="0" fontId="73" fillId="7" borderId="67" xfId="184" applyFont="1" applyFill="1" applyBorder="1" applyAlignment="1">
      <alignment horizontal="left" vertical="center"/>
    </xf>
    <xf numFmtId="0" fontId="73" fillId="7" borderId="68" xfId="184" applyFont="1" applyFill="1" applyBorder="1" applyAlignment="1">
      <alignment horizontal="left" vertical="center"/>
    </xf>
    <xf numFmtId="0" fontId="72" fillId="7" borderId="68" xfId="184" applyFont="1" applyFill="1" applyBorder="1" applyAlignment="1">
      <alignment horizontal="left" vertical="center"/>
    </xf>
    <xf numFmtId="0" fontId="72" fillId="7" borderId="69" xfId="184" applyFont="1" applyFill="1" applyBorder="1" applyAlignment="1">
      <alignment horizontal="left" vertical="center"/>
    </xf>
    <xf numFmtId="10" fontId="73" fillId="7" borderId="70" xfId="184" applyNumberFormat="1" applyFont="1" applyFill="1" applyBorder="1" applyAlignment="1">
      <alignment horizontal="center" vertical="center"/>
    </xf>
    <xf numFmtId="0" fontId="73" fillId="5" borderId="71" xfId="184" applyFont="1" applyFill="1" applyBorder="1" applyAlignment="1">
      <alignment vertical="center"/>
    </xf>
    <xf numFmtId="0" fontId="73" fillId="5" borderId="72" xfId="184" applyFont="1" applyFill="1" applyBorder="1" applyAlignment="1">
      <alignment vertical="center"/>
    </xf>
    <xf numFmtId="180" fontId="73" fillId="5" borderId="73" xfId="20" applyFont="1" applyFill="1" applyBorder="1" applyAlignment="1" applyProtection="1">
      <alignment vertical="center"/>
    </xf>
    <xf numFmtId="0" fontId="5" fillId="0" borderId="60" xfId="184" applyBorder="1" applyAlignment="1">
      <alignment horizontal="left" vertical="center" wrapText="1"/>
    </xf>
    <xf numFmtId="0" fontId="5" fillId="0" borderId="60" xfId="184" applyBorder="1" applyAlignment="1">
      <alignment horizontal="justify" vertical="center" wrapText="1"/>
    </xf>
    <xf numFmtId="0" fontId="5" fillId="7" borderId="64" xfId="184" applyFill="1" applyBorder="1" applyAlignment="1">
      <alignment horizontal="left" vertical="center"/>
    </xf>
    <xf numFmtId="0" fontId="5" fillId="7" borderId="74" xfId="184" applyFill="1" applyBorder="1" applyAlignment="1">
      <alignment horizontal="justify" vertical="center" wrapText="1"/>
    </xf>
    <xf numFmtId="9" fontId="5" fillId="7" borderId="63" xfId="186" applyFill="1" applyBorder="1" applyAlignment="1" applyProtection="1">
      <alignment horizontal="center" vertical="center"/>
    </xf>
    <xf numFmtId="180" fontId="5" fillId="7" borderId="63" xfId="187" applyFont="1" applyFill="1" applyBorder="1" applyAlignment="1">
      <alignment horizontal="right" vertical="center"/>
    </xf>
    <xf numFmtId="168" fontId="5" fillId="7" borderId="63" xfId="188" applyFont="1" applyFill="1" applyBorder="1" applyAlignment="1">
      <alignment horizontal="right" vertical="center"/>
    </xf>
    <xf numFmtId="181" fontId="73" fillId="7" borderId="76" xfId="184" applyNumberFormat="1" applyFont="1" applyFill="1" applyBorder="1" applyAlignment="1">
      <alignment horizontal="center" vertical="center" wrapText="1"/>
    </xf>
    <xf numFmtId="0" fontId="16" fillId="7" borderId="6" xfId="0" applyFont="1" applyFill="1" applyBorder="1"/>
    <xf numFmtId="0" fontId="16" fillId="7" borderId="7" xfId="0" applyFont="1" applyFill="1" applyBorder="1"/>
    <xf numFmtId="0" fontId="16" fillId="7" borderId="3" xfId="0" applyFont="1" applyFill="1" applyBorder="1"/>
    <xf numFmtId="0" fontId="16" fillId="7" borderId="8" xfId="0" applyFont="1" applyFill="1" applyBorder="1"/>
    <xf numFmtId="0" fontId="16" fillId="7" borderId="9" xfId="0" applyFont="1" applyFill="1" applyBorder="1"/>
    <xf numFmtId="0" fontId="17" fillId="7" borderId="77" xfId="0" applyFont="1" applyFill="1" applyBorder="1" applyAlignment="1">
      <alignment horizontal="center" vertical="center"/>
    </xf>
    <xf numFmtId="0" fontId="17" fillId="7" borderId="9" xfId="0" applyFont="1" applyFill="1" applyBorder="1" applyAlignment="1">
      <alignment horizontal="center"/>
    </xf>
    <xf numFmtId="0" fontId="16" fillId="7" borderId="9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17" fillId="7" borderId="11" xfId="0" applyFont="1" applyFill="1" applyBorder="1" applyAlignment="1">
      <alignment horizontal="center" vertical="center" wrapText="1"/>
    </xf>
    <xf numFmtId="0" fontId="17" fillId="7" borderId="29" xfId="0" applyFont="1" applyFill="1" applyBorder="1" applyAlignment="1">
      <alignment horizontal="center" vertical="center" wrapText="1"/>
    </xf>
    <xf numFmtId="170" fontId="17" fillId="7" borderId="29" xfId="0" applyNumberFormat="1" applyFont="1" applyFill="1" applyBorder="1" applyAlignment="1">
      <alignment horizontal="center" vertical="center" wrapText="1"/>
    </xf>
    <xf numFmtId="4" fontId="17" fillId="7" borderId="29" xfId="0" applyNumberFormat="1" applyFont="1" applyFill="1" applyBorder="1" applyAlignment="1">
      <alignment horizontal="center" vertical="center" wrapText="1"/>
    </xf>
    <xf numFmtId="165" fontId="17" fillId="7" borderId="29" xfId="1" applyFont="1" applyFill="1" applyBorder="1" applyAlignment="1">
      <alignment horizontal="center" vertical="center" wrapText="1"/>
    </xf>
    <xf numFmtId="10" fontId="17" fillId="7" borderId="27" xfId="0" applyNumberFormat="1" applyFont="1" applyFill="1" applyBorder="1" applyAlignment="1">
      <alignment horizontal="center" vertical="center" wrapText="1"/>
    </xf>
    <xf numFmtId="181" fontId="0" fillId="0" borderId="0" xfId="0" applyNumberFormat="1"/>
    <xf numFmtId="167" fontId="76" fillId="0" borderId="0" xfId="190" applyFont="1" applyFill="1" applyBorder="1"/>
    <xf numFmtId="167" fontId="5" fillId="0" borderId="0" xfId="190" applyFont="1" applyFill="1" applyBorder="1"/>
    <xf numFmtId="10" fontId="5" fillId="0" borderId="0" xfId="2" applyNumberFormat="1" applyFont="1" applyFill="1" applyBorder="1"/>
    <xf numFmtId="0" fontId="0" fillId="0" borderId="0" xfId="0" applyAlignment="1">
      <alignment horizontal="left" vertical="top"/>
    </xf>
    <xf numFmtId="0" fontId="8" fillId="0" borderId="18" xfId="4" applyFont="1" applyBorder="1" applyAlignment="1">
      <alignment horizontal="left" vertical="top"/>
    </xf>
    <xf numFmtId="0" fontId="8" fillId="0" borderId="19" xfId="4" applyFont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168" fontId="12" fillId="0" borderId="22" xfId="6" applyFont="1" applyFill="1" applyBorder="1" applyAlignment="1">
      <alignment horizontal="left" vertical="top"/>
    </xf>
    <xf numFmtId="168" fontId="12" fillId="0" borderId="23" xfId="6" applyFont="1" applyFill="1" applyBorder="1" applyAlignment="1">
      <alignment horizontal="left" vertical="top"/>
    </xf>
    <xf numFmtId="168" fontId="12" fillId="0" borderId="26" xfId="6" applyFont="1" applyFill="1" applyBorder="1" applyAlignment="1">
      <alignment horizontal="left" vertical="top"/>
    </xf>
    <xf numFmtId="168" fontId="12" fillId="0" borderId="29" xfId="6" applyFont="1" applyFill="1" applyBorder="1" applyAlignment="1">
      <alignment horizontal="left" vertical="top"/>
    </xf>
    <xf numFmtId="0" fontId="0" fillId="0" borderId="0" xfId="0" applyAlignment="1">
      <alignment horizontal="center" vertical="center"/>
    </xf>
    <xf numFmtId="182" fontId="33" fillId="0" borderId="0" xfId="22" applyNumberFormat="1" applyFont="1" applyFill="1" applyBorder="1" applyAlignment="1">
      <alignment vertical="center" wrapText="1"/>
    </xf>
    <xf numFmtId="49" fontId="33" fillId="0" borderId="0" xfId="29" applyNumberFormat="1" applyFont="1" applyAlignment="1">
      <alignment horizontal="center" vertical="center"/>
    </xf>
    <xf numFmtId="0" fontId="33" fillId="0" borderId="0" xfId="29" applyFont="1" applyAlignment="1">
      <alignment vertical="center" wrapText="1"/>
    </xf>
    <xf numFmtId="0" fontId="33" fillId="0" borderId="0" xfId="29" applyFont="1" applyAlignment="1">
      <alignment horizontal="center" wrapText="1"/>
    </xf>
    <xf numFmtId="0" fontId="33" fillId="0" borderId="0" xfId="29" applyFont="1" applyAlignment="1">
      <alignment horizontal="center" vertical="center" wrapText="1"/>
    </xf>
    <xf numFmtId="2" fontId="33" fillId="0" borderId="0" xfId="29" applyNumberFormat="1" applyFont="1" applyAlignment="1">
      <alignment horizontal="right" vertical="center" wrapText="1"/>
    </xf>
    <xf numFmtId="181" fontId="39" fillId="0" borderId="0" xfId="25" applyNumberFormat="1" applyFont="1" applyAlignment="1">
      <alignment vertical="center"/>
    </xf>
    <xf numFmtId="10" fontId="38" fillId="7" borderId="0" xfId="2" applyNumberFormat="1" applyFont="1" applyFill="1" applyBorder="1" applyAlignment="1">
      <alignment vertical="center"/>
    </xf>
    <xf numFmtId="0" fontId="38" fillId="7" borderId="0" xfId="25" applyFont="1" applyFill="1" applyAlignment="1">
      <alignment horizontal="left" vertical="center" wrapText="1"/>
    </xf>
    <xf numFmtId="0" fontId="33" fillId="0" borderId="23" xfId="27" applyFont="1" applyBorder="1" applyAlignment="1">
      <alignment horizontal="center" vertical="center" wrapText="1"/>
    </xf>
    <xf numFmtId="181" fontId="33" fillId="7" borderId="24" xfId="25" applyNumberFormat="1" applyFont="1" applyFill="1" applyBorder="1" applyAlignment="1">
      <alignment horizontal="right" vertical="center"/>
    </xf>
    <xf numFmtId="181" fontId="38" fillId="6" borderId="27" xfId="25" applyNumberFormat="1" applyFont="1" applyFill="1" applyBorder="1" applyAlignment="1">
      <alignment vertical="center"/>
    </xf>
    <xf numFmtId="172" fontId="33" fillId="3" borderId="79" xfId="193" applyNumberFormat="1" applyFont="1" applyFill="1" applyBorder="1" applyAlignment="1">
      <alignment vertical="center"/>
    </xf>
    <xf numFmtId="0" fontId="7" fillId="0" borderId="79" xfId="198" applyFont="1" applyBorder="1" applyAlignment="1">
      <alignment vertical="center"/>
    </xf>
    <xf numFmtId="0" fontId="5" fillId="0" borderId="79" xfId="198" applyFont="1" applyBorder="1" applyAlignment="1">
      <alignment vertical="center"/>
    </xf>
    <xf numFmtId="0" fontId="7" fillId="0" borderId="79" xfId="198" applyFont="1" applyBorder="1" applyAlignment="1">
      <alignment horizontal="right" vertical="center"/>
    </xf>
    <xf numFmtId="0" fontId="7" fillId="11" borderId="79" xfId="198" applyFont="1" applyFill="1" applyBorder="1" applyAlignment="1">
      <alignment vertical="center"/>
    </xf>
    <xf numFmtId="0" fontId="81" fillId="0" borderId="79" xfId="198" applyFont="1" applyBorder="1" applyAlignment="1">
      <alignment horizontal="center" vertical="center"/>
    </xf>
    <xf numFmtId="0" fontId="5" fillId="0" borderId="81" xfId="198" applyFont="1" applyBorder="1" applyAlignment="1">
      <alignment vertical="center"/>
    </xf>
    <xf numFmtId="0" fontId="8" fillId="0" borderId="79" xfId="0" applyFont="1" applyBorder="1" applyAlignment="1">
      <alignment horizontal="center" vertical="center"/>
    </xf>
    <xf numFmtId="0" fontId="9" fillId="0" borderId="79" xfId="0" applyFont="1" applyBorder="1" applyAlignment="1">
      <alignment horizontal="center" vertical="center"/>
    </xf>
    <xf numFmtId="0" fontId="46" fillId="0" borderId="83" xfId="0" applyFont="1" applyBorder="1" applyAlignment="1">
      <alignment horizontal="center" vertical="center"/>
    </xf>
    <xf numFmtId="10" fontId="41" fillId="0" borderId="80" xfId="35" applyNumberFormat="1" applyFont="1" applyFill="1" applyBorder="1" applyAlignment="1">
      <alignment horizontal="center" vertical="center"/>
    </xf>
    <xf numFmtId="0" fontId="38" fillId="0" borderId="0" xfId="196" applyFont="1" applyBorder="1" applyAlignment="1" applyProtection="1">
      <alignment horizontal="left" vertical="top" wrapText="1"/>
      <protection locked="0"/>
    </xf>
    <xf numFmtId="0" fontId="38" fillId="3" borderId="0" xfId="196" applyFont="1" applyFill="1" applyBorder="1" applyAlignment="1">
      <alignment vertical="top" wrapText="1"/>
    </xf>
    <xf numFmtId="0" fontId="80" fillId="0" borderId="0" xfId="198" applyFont="1" applyBorder="1" applyAlignment="1">
      <alignment horizontal="center" vertical="center" wrapText="1"/>
    </xf>
    <xf numFmtId="0" fontId="82" fillId="0" borderId="0" xfId="201" applyFont="1"/>
    <xf numFmtId="0" fontId="83" fillId="0" borderId="0" xfId="201" applyFont="1" applyAlignment="1">
      <alignment horizontal="left"/>
    </xf>
    <xf numFmtId="0" fontId="82" fillId="0" borderId="0" xfId="201" applyFont="1" applyAlignment="1">
      <alignment horizontal="left"/>
    </xf>
    <xf numFmtId="0" fontId="82" fillId="7" borderId="0" xfId="201" applyFont="1" applyFill="1"/>
    <xf numFmtId="0" fontId="82" fillId="7" borderId="0" xfId="201" applyFont="1" applyFill="1" applyAlignment="1">
      <alignment horizontal="left"/>
    </xf>
    <xf numFmtId="0" fontId="83" fillId="7" borderId="0" xfId="201" applyFont="1" applyFill="1"/>
    <xf numFmtId="0" fontId="83" fillId="7" borderId="0" xfId="201" applyFont="1" applyFill="1" applyAlignment="1">
      <alignment horizontal="left"/>
    </xf>
    <xf numFmtId="0" fontId="84" fillId="7" borderId="0" xfId="201" applyFont="1" applyFill="1" applyAlignment="1">
      <alignment vertical="center"/>
    </xf>
    <xf numFmtId="10" fontId="41" fillId="0" borderId="0" xfId="2" applyNumberFormat="1" applyFont="1" applyFill="1" applyBorder="1" applyAlignment="1">
      <alignment vertical="center"/>
    </xf>
    <xf numFmtId="0" fontId="41" fillId="0" borderId="0" xfId="0" applyFont="1" applyAlignment="1">
      <alignment vertical="center"/>
    </xf>
    <xf numFmtId="10" fontId="17" fillId="7" borderId="0" xfId="0" applyNumberFormat="1" applyFont="1" applyFill="1" applyAlignment="1">
      <alignment vertical="center" wrapText="1"/>
    </xf>
    <xf numFmtId="10" fontId="17" fillId="7" borderId="0" xfId="2" applyNumberFormat="1" applyFont="1" applyFill="1" applyBorder="1" applyAlignment="1">
      <alignment horizontal="center"/>
    </xf>
    <xf numFmtId="0" fontId="16" fillId="7" borderId="79" xfId="0" applyFont="1" applyFill="1" applyBorder="1" applyAlignment="1">
      <alignment horizontal="center" vertical="center"/>
    </xf>
    <xf numFmtId="4" fontId="16" fillId="7" borderId="79" xfId="0" applyNumberFormat="1" applyFont="1" applyFill="1" applyBorder="1" applyAlignment="1">
      <alignment horizontal="center" vertical="center"/>
    </xf>
    <xf numFmtId="10" fontId="17" fillId="7" borderId="0" xfId="0" applyNumberFormat="1" applyFont="1" applyFill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15" fillId="0" borderId="0" xfId="183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5" fillId="0" borderId="0" xfId="183" applyFont="1" applyAlignment="1">
      <alignment horizontal="center" vertical="center"/>
    </xf>
    <xf numFmtId="0" fontId="3" fillId="0" borderId="0" xfId="183" applyAlignment="1">
      <alignment horizontal="center" vertical="center"/>
    </xf>
    <xf numFmtId="0" fontId="15" fillId="0" borderId="95" xfId="183" applyFont="1" applyBorder="1" applyAlignment="1">
      <alignment horizontal="center" vertical="center"/>
    </xf>
    <xf numFmtId="0" fontId="3" fillId="0" borderId="96" xfId="183" applyBorder="1" applyAlignment="1">
      <alignment horizontal="center" vertical="center"/>
    </xf>
    <xf numFmtId="0" fontId="15" fillId="0" borderId="28" xfId="183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4" fillId="0" borderId="6" xfId="7" applyFont="1" applyBorder="1" applyAlignment="1">
      <alignment vertical="center" wrapText="1"/>
    </xf>
    <xf numFmtId="0" fontId="14" fillId="0" borderId="8" xfId="7" applyFont="1" applyBorder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4" fontId="26" fillId="0" borderId="0" xfId="0" applyNumberFormat="1" applyFont="1" applyAlignment="1">
      <alignment horizontal="center" vertical="center" wrapText="1"/>
    </xf>
    <xf numFmtId="0" fontId="28" fillId="0" borderId="25" xfId="0" applyFont="1" applyBorder="1" applyAlignment="1">
      <alignment vertical="center" wrapText="1"/>
    </xf>
    <xf numFmtId="167" fontId="20" fillId="0" borderId="0" xfId="190" applyFont="1" applyFill="1" applyBorder="1" applyAlignment="1">
      <alignment vertical="center"/>
    </xf>
    <xf numFmtId="10" fontId="16" fillId="7" borderId="79" xfId="0" applyNumberFormat="1" applyFont="1" applyFill="1" applyBorder="1" applyAlignment="1">
      <alignment horizontal="center" vertical="center"/>
    </xf>
    <xf numFmtId="0" fontId="16" fillId="7" borderId="85" xfId="0" applyFont="1" applyFill="1" applyBorder="1" applyAlignment="1">
      <alignment horizontal="center" vertical="center"/>
    </xf>
    <xf numFmtId="0" fontId="17" fillId="7" borderId="18" xfId="0" applyFont="1" applyFill="1" applyBorder="1" applyAlignment="1">
      <alignment horizontal="center" vertical="center"/>
    </xf>
    <xf numFmtId="10" fontId="17" fillId="7" borderId="80" xfId="0" applyNumberFormat="1" applyFont="1" applyFill="1" applyBorder="1" applyAlignment="1">
      <alignment horizontal="center" vertical="center" wrapText="1"/>
    </xf>
    <xf numFmtId="172" fontId="16" fillId="7" borderId="79" xfId="0" applyNumberFormat="1" applyFont="1" applyFill="1" applyBorder="1" applyAlignment="1">
      <alignment horizontal="center" vertical="center" wrapText="1"/>
    </xf>
    <xf numFmtId="167" fontId="16" fillId="7" borderId="79" xfId="190" applyFont="1" applyFill="1" applyBorder="1" applyAlignment="1">
      <alignment horizontal="center" vertical="center"/>
    </xf>
    <xf numFmtId="4" fontId="0" fillId="0" borderId="0" xfId="0" applyNumberFormat="1"/>
    <xf numFmtId="165" fontId="0" fillId="0" borderId="0" xfId="0" applyNumberFormat="1"/>
    <xf numFmtId="0" fontId="1" fillId="7" borderId="5" xfId="0" applyFont="1" applyFill="1" applyBorder="1" applyAlignment="1">
      <alignment horizontal="left" vertical="center"/>
    </xf>
    <xf numFmtId="0" fontId="1" fillId="7" borderId="38" xfId="0" applyFont="1" applyFill="1" applyBorder="1" applyAlignment="1">
      <alignment horizontal="left" vertical="center"/>
    </xf>
    <xf numFmtId="165" fontId="1" fillId="7" borderId="38" xfId="0" applyNumberFormat="1" applyFont="1" applyFill="1" applyBorder="1" applyAlignment="1">
      <alignment vertical="center"/>
    </xf>
    <xf numFmtId="10" fontId="1" fillId="7" borderId="39" xfId="0" applyNumberFormat="1" applyFont="1" applyFill="1" applyBorder="1" applyAlignment="1">
      <alignment horizontal="center" vertical="center"/>
    </xf>
    <xf numFmtId="0" fontId="90" fillId="36" borderId="91" xfId="193" applyFont="1" applyFill="1" applyBorder="1" applyAlignment="1">
      <alignment horizontal="center" vertical="center" wrapText="1"/>
    </xf>
    <xf numFmtId="0" fontId="90" fillId="36" borderId="79" xfId="193" applyFont="1" applyFill="1" applyBorder="1" applyAlignment="1">
      <alignment vertical="center" wrapText="1"/>
    </xf>
    <xf numFmtId="0" fontId="90" fillId="36" borderId="93" xfId="193" applyFont="1" applyFill="1" applyBorder="1" applyAlignment="1">
      <alignment horizontal="center" vertical="center" wrapText="1"/>
    </xf>
    <xf numFmtId="0" fontId="90" fillId="36" borderId="40" xfId="193" applyFont="1" applyFill="1" applyBorder="1" applyAlignment="1">
      <alignment horizontal="center" vertical="center" wrapText="1"/>
    </xf>
    <xf numFmtId="0" fontId="90" fillId="36" borderId="13" xfId="193" applyFont="1" applyFill="1" applyBorder="1" applyAlignment="1">
      <alignment horizontal="center" vertical="center" wrapText="1"/>
    </xf>
    <xf numFmtId="0" fontId="90" fillId="36" borderId="80" xfId="193" applyFont="1" applyFill="1" applyBorder="1" applyAlignment="1">
      <alignment horizontal="center" vertical="center" wrapText="1"/>
    </xf>
    <xf numFmtId="0" fontId="33" fillId="0" borderId="92" xfId="203" applyFont="1" applyBorder="1" applyAlignment="1">
      <alignment horizontal="center"/>
    </xf>
    <xf numFmtId="191" fontId="33" fillId="3" borderId="92" xfId="193" applyNumberFormat="1" applyFont="1" applyFill="1" applyBorder="1" applyAlignment="1">
      <alignment horizontal="center" vertical="center"/>
    </xf>
    <xf numFmtId="175" fontId="85" fillId="3" borderId="80" xfId="203" applyNumberFormat="1" applyFont="1" applyFill="1" applyBorder="1" applyAlignment="1">
      <alignment vertical="center"/>
    </xf>
    <xf numFmtId="175" fontId="33" fillId="3" borderId="90" xfId="193" applyNumberFormat="1" applyFont="1" applyFill="1" applyBorder="1" applyAlignment="1">
      <alignment vertical="center"/>
    </xf>
    <xf numFmtId="0" fontId="90" fillId="36" borderId="79" xfId="193" applyFont="1" applyFill="1" applyBorder="1" applyAlignment="1">
      <alignment horizontal="center" vertical="center"/>
    </xf>
    <xf numFmtId="0" fontId="90" fillId="36" borderId="80" xfId="193" applyFont="1" applyFill="1" applyBorder="1" applyAlignment="1">
      <alignment horizontal="center" vertical="center"/>
    </xf>
    <xf numFmtId="2" fontId="33" fillId="3" borderId="79" xfId="193" applyNumberFormat="1" applyFont="1" applyFill="1" applyBorder="1" applyAlignment="1">
      <alignment horizontal="center" vertical="center"/>
    </xf>
    <xf numFmtId="175" fontId="33" fillId="3" borderId="80" xfId="193" applyNumberFormat="1" applyFont="1" applyFill="1" applyBorder="1" applyAlignment="1">
      <alignment vertical="center"/>
    </xf>
    <xf numFmtId="175" fontId="33" fillId="3" borderId="89" xfId="204" applyFont="1" applyFill="1" applyBorder="1" applyAlignment="1">
      <alignment vertical="center"/>
    </xf>
    <xf numFmtId="175" fontId="33" fillId="3" borderId="15" xfId="193" applyNumberFormat="1" applyFont="1" applyFill="1" applyBorder="1" applyAlignment="1">
      <alignment vertical="center"/>
    </xf>
    <xf numFmtId="0" fontId="90" fillId="36" borderId="6" xfId="193" applyFont="1" applyFill="1" applyBorder="1" applyAlignment="1">
      <alignment vertical="center"/>
    </xf>
    <xf numFmtId="0" fontId="90" fillId="36" borderId="7" xfId="193" applyFont="1" applyFill="1" applyBorder="1" applyAlignment="1">
      <alignment vertical="center"/>
    </xf>
    <xf numFmtId="175" fontId="90" fillId="36" borderId="1" xfId="193" applyNumberFormat="1" applyFont="1" applyFill="1" applyBorder="1" applyAlignment="1">
      <alignment vertical="center"/>
    </xf>
    <xf numFmtId="0" fontId="33" fillId="0" borderId="6" xfId="193" applyFont="1" applyBorder="1"/>
    <xf numFmtId="0" fontId="33" fillId="0" borderId="7" xfId="193" applyFont="1" applyBorder="1"/>
    <xf numFmtId="0" fontId="91" fillId="0" borderId="79" xfId="198" applyFont="1" applyBorder="1" applyAlignment="1">
      <alignment horizontal="center" vertical="center"/>
    </xf>
    <xf numFmtId="0" fontId="79" fillId="0" borderId="0" xfId="206"/>
    <xf numFmtId="0" fontId="45" fillId="0" borderId="21" xfId="0" applyFont="1" applyBorder="1" applyAlignment="1">
      <alignment horizontal="center" vertical="center"/>
    </xf>
    <xf numFmtId="165" fontId="41" fillId="0" borderId="0" xfId="182" applyFont="1" applyFill="1" applyBorder="1" applyAlignment="1">
      <alignment vertical="center"/>
    </xf>
    <xf numFmtId="0" fontId="41" fillId="0" borderId="0" xfId="0" applyFont="1" applyAlignment="1">
      <alignment horizontal="left" vertical="center"/>
    </xf>
    <xf numFmtId="10" fontId="41" fillId="0" borderId="0" xfId="0" applyNumberFormat="1" applyFont="1" applyAlignment="1">
      <alignment vertical="center"/>
    </xf>
    <xf numFmtId="10" fontId="0" fillId="0" borderId="0" xfId="0" applyNumberFormat="1"/>
    <xf numFmtId="0" fontId="5" fillId="0" borderId="0" xfId="32" applyAlignment="1">
      <alignment vertical="center" wrapText="1"/>
    </xf>
    <xf numFmtId="10" fontId="5" fillId="0" borderId="0" xfId="32" applyNumberFormat="1" applyAlignment="1">
      <alignment horizontal="right" vertical="center" wrapText="1" indent="1"/>
    </xf>
    <xf numFmtId="10" fontId="16" fillId="7" borderId="0" xfId="2" applyNumberFormat="1" applyFont="1" applyFill="1" applyBorder="1" applyAlignment="1">
      <alignment horizontal="center"/>
    </xf>
    <xf numFmtId="165" fontId="16" fillId="0" borderId="85" xfId="1" applyFont="1" applyFill="1" applyBorder="1" applyAlignment="1">
      <alignment horizontal="center" vertical="center"/>
    </xf>
    <xf numFmtId="4" fontId="16" fillId="0" borderId="85" xfId="0" applyNumberFormat="1" applyFont="1" applyBorder="1" applyAlignment="1">
      <alignment horizontal="center" vertical="center"/>
    </xf>
    <xf numFmtId="167" fontId="0" fillId="0" borderId="0" xfId="190" applyFont="1"/>
    <xf numFmtId="167" fontId="0" fillId="0" borderId="0" xfId="190" applyFont="1" applyAlignment="1">
      <alignment horizontal="left" vertical="top"/>
    </xf>
    <xf numFmtId="0" fontId="6" fillId="0" borderId="94" xfId="0" applyFont="1" applyBorder="1" applyAlignment="1">
      <alignment horizontal="left" vertical="top" wrapText="1"/>
    </xf>
    <xf numFmtId="180" fontId="0" fillId="39" borderId="105" xfId="207" applyFont="1" applyFill="1" applyBorder="1" applyAlignment="1">
      <alignment vertical="top" wrapText="1"/>
    </xf>
    <xf numFmtId="180" fontId="0" fillId="41" borderId="105" xfId="207" applyFont="1" applyFill="1" applyBorder="1" applyAlignment="1">
      <alignment vertical="top" wrapText="1"/>
    </xf>
    <xf numFmtId="180" fontId="95" fillId="38" borderId="104" xfId="207" applyFont="1" applyFill="1" applyBorder="1" applyAlignment="1">
      <alignment horizontal="center" vertical="top" wrapText="1"/>
    </xf>
    <xf numFmtId="0" fontId="20" fillId="0" borderId="0" xfId="0" applyFont="1" applyAlignment="1">
      <alignment horizontal="right" vertical="center"/>
    </xf>
    <xf numFmtId="0" fontId="0" fillId="5" borderId="79" xfId="0" applyFill="1" applyBorder="1" applyAlignment="1">
      <alignment vertical="top" wrapText="1"/>
    </xf>
    <xf numFmtId="0" fontId="0" fillId="5" borderId="87" xfId="0" applyFill="1" applyBorder="1" applyAlignment="1">
      <alignment vertical="top" wrapText="1"/>
    </xf>
    <xf numFmtId="2" fontId="0" fillId="0" borderId="0" xfId="0" applyNumberFormat="1"/>
    <xf numFmtId="165" fontId="0" fillId="0" borderId="0" xfId="1" applyFont="1" applyBorder="1" applyAlignment="1">
      <alignment vertical="center"/>
    </xf>
    <xf numFmtId="196" fontId="0" fillId="0" borderId="0" xfId="0" applyNumberFormat="1"/>
    <xf numFmtId="165" fontId="6" fillId="0" borderId="0" xfId="1" applyFont="1" applyFill="1" applyBorder="1" applyAlignment="1">
      <alignment vertical="center"/>
    </xf>
    <xf numFmtId="3" fontId="6" fillId="0" borderId="0" xfId="0" applyNumberFormat="1" applyFont="1" applyAlignment="1">
      <alignment vertical="center"/>
    </xf>
    <xf numFmtId="0" fontId="0" fillId="0" borderId="79" xfId="0" applyBorder="1" applyAlignment="1">
      <alignment vertical="top" wrapText="1"/>
    </xf>
    <xf numFmtId="167" fontId="0" fillId="0" borderId="0" xfId="0" applyNumberFormat="1"/>
    <xf numFmtId="0" fontId="1" fillId="7" borderId="0" xfId="0" applyFont="1" applyFill="1" applyAlignment="1">
      <alignment horizontal="left" vertical="center"/>
    </xf>
    <xf numFmtId="165" fontId="1" fillId="7" borderId="0" xfId="0" applyNumberFormat="1" applyFont="1" applyFill="1" applyAlignment="1">
      <alignment vertical="center"/>
    </xf>
    <xf numFmtId="172" fontId="16" fillId="7" borderId="87" xfId="0" applyNumberFormat="1" applyFont="1" applyFill="1" applyBorder="1" applyAlignment="1">
      <alignment horizontal="center" vertical="center" wrapText="1"/>
    </xf>
    <xf numFmtId="4" fontId="16" fillId="7" borderId="87" xfId="0" applyNumberFormat="1" applyFont="1" applyFill="1" applyBorder="1" applyAlignment="1">
      <alignment horizontal="center" vertical="center"/>
    </xf>
    <xf numFmtId="167" fontId="16" fillId="7" borderId="87" xfId="190" applyFont="1" applyFill="1" applyBorder="1" applyAlignment="1">
      <alignment horizontal="center" vertical="center"/>
    </xf>
    <xf numFmtId="10" fontId="17" fillId="7" borderId="90" xfId="0" applyNumberFormat="1" applyFont="1" applyFill="1" applyBorder="1" applyAlignment="1">
      <alignment horizontal="center" vertical="center" wrapText="1"/>
    </xf>
    <xf numFmtId="0" fontId="97" fillId="0" borderId="0" xfId="0" applyFont="1" applyAlignment="1">
      <alignment horizontal="right"/>
    </xf>
    <xf numFmtId="0" fontId="38" fillId="4" borderId="38" xfId="25" applyFont="1" applyFill="1" applyBorder="1" applyAlignment="1">
      <alignment horizontal="left" vertical="center" wrapText="1"/>
    </xf>
    <xf numFmtId="10" fontId="17" fillId="7" borderId="41" xfId="0" applyNumberFormat="1" applyFont="1" applyFill="1" applyBorder="1" applyAlignment="1">
      <alignment horizontal="center" vertical="center" wrapText="1"/>
    </xf>
    <xf numFmtId="0" fontId="17" fillId="7" borderId="0" xfId="0" applyFont="1" applyFill="1" applyAlignment="1">
      <alignment horizontal="center" vertical="center" wrapText="1"/>
    </xf>
    <xf numFmtId="9" fontId="16" fillId="7" borderId="0" xfId="0" applyNumberFormat="1" applyFont="1" applyFill="1"/>
    <xf numFmtId="165" fontId="16" fillId="7" borderId="0" xfId="1" applyFont="1" applyFill="1"/>
    <xf numFmtId="167" fontId="16" fillId="0" borderId="0" xfId="190" applyFont="1"/>
    <xf numFmtId="0" fontId="16" fillId="0" borderId="0" xfId="0" applyFont="1" applyAlignment="1">
      <alignment wrapText="1"/>
    </xf>
    <xf numFmtId="0" fontId="16" fillId="0" borderId="94" xfId="0" applyFont="1" applyBorder="1" applyAlignment="1">
      <alignment horizontal="left" vertical="center" wrapText="1"/>
    </xf>
    <xf numFmtId="10" fontId="16" fillId="7" borderId="0" xfId="0" applyNumberFormat="1" applyFont="1" applyFill="1"/>
    <xf numFmtId="10" fontId="16" fillId="0" borderId="0" xfId="0" applyNumberFormat="1" applyFont="1"/>
    <xf numFmtId="0" fontId="16" fillId="0" borderId="18" xfId="0" applyFont="1" applyBorder="1" applyAlignment="1">
      <alignment horizontal="left" vertical="center" wrapText="1"/>
    </xf>
    <xf numFmtId="0" fontId="16" fillId="7" borderId="19" xfId="0" applyFont="1" applyFill="1" applyBorder="1" applyAlignment="1">
      <alignment horizontal="center" vertical="center"/>
    </xf>
    <xf numFmtId="0" fontId="16" fillId="0" borderId="83" xfId="0" applyFont="1" applyBorder="1" applyAlignment="1">
      <alignment horizontal="left" vertical="center" wrapText="1"/>
    </xf>
    <xf numFmtId="0" fontId="16" fillId="0" borderId="84" xfId="0" applyFont="1" applyBorder="1" applyAlignment="1">
      <alignment horizontal="left" vertical="center" wrapText="1"/>
    </xf>
    <xf numFmtId="165" fontId="16" fillId="0" borderId="0" xfId="0" applyNumberFormat="1" applyFont="1"/>
    <xf numFmtId="0" fontId="98" fillId="0" borderId="83" xfId="0" applyFont="1" applyBorder="1" applyAlignment="1">
      <alignment horizontal="left" vertical="center" wrapText="1"/>
    </xf>
    <xf numFmtId="10" fontId="16" fillId="0" borderId="79" xfId="0" applyNumberFormat="1" applyFont="1" applyBorder="1" applyAlignment="1">
      <alignment horizontal="center" vertical="center"/>
    </xf>
    <xf numFmtId="0" fontId="98" fillId="0" borderId="86" xfId="0" applyFont="1" applyBorder="1" applyAlignment="1">
      <alignment horizontal="left" vertical="center" wrapText="1"/>
    </xf>
    <xf numFmtId="10" fontId="16" fillId="0" borderId="87" xfId="0" applyNumberFormat="1" applyFont="1" applyBorder="1" applyAlignment="1">
      <alignment horizontal="center" vertical="center"/>
    </xf>
    <xf numFmtId="4" fontId="16" fillId="0" borderId="0" xfId="0" applyNumberFormat="1" applyFont="1"/>
    <xf numFmtId="0" fontId="17" fillId="0" borderId="18" xfId="0" applyFont="1" applyBorder="1" applyAlignment="1">
      <alignment horizontal="center"/>
    </xf>
    <xf numFmtId="0" fontId="17" fillId="0" borderId="19" xfId="0" applyFont="1" applyBorder="1" applyAlignment="1">
      <alignment horizontal="center"/>
    </xf>
    <xf numFmtId="0" fontId="17" fillId="0" borderId="27" xfId="0" applyFont="1" applyBorder="1" applyAlignment="1">
      <alignment horizontal="center"/>
    </xf>
    <xf numFmtId="0" fontId="17" fillId="0" borderId="83" xfId="0" applyFont="1" applyBorder="1" applyAlignment="1">
      <alignment horizontal="center"/>
    </xf>
    <xf numFmtId="0" fontId="17" fillId="0" borderId="79" xfId="0" applyFont="1" applyBorder="1" applyAlignment="1">
      <alignment horizontal="center"/>
    </xf>
    <xf numFmtId="0" fontId="17" fillId="0" borderId="80" xfId="0" applyFont="1" applyBorder="1" applyAlignment="1">
      <alignment horizontal="center"/>
    </xf>
    <xf numFmtId="167" fontId="16" fillId="0" borderId="79" xfId="190" applyFont="1" applyFill="1" applyBorder="1" applyAlignment="1">
      <alignment wrapText="1"/>
    </xf>
    <xf numFmtId="0" fontId="16" fillId="0" borderId="79" xfId="0" applyFont="1" applyBorder="1" applyAlignment="1">
      <alignment horizontal="center" vertical="center" wrapText="1"/>
    </xf>
    <xf numFmtId="0" fontId="17" fillId="0" borderId="83" xfId="0" applyFont="1" applyBorder="1" applyAlignment="1">
      <alignment horizontal="right" wrapText="1"/>
    </xf>
    <xf numFmtId="167" fontId="17" fillId="0" borderId="80" xfId="190" applyFont="1" applyBorder="1" applyAlignment="1">
      <alignment wrapText="1"/>
    </xf>
    <xf numFmtId="167" fontId="16" fillId="0" borderId="0" xfId="190" applyFont="1" applyBorder="1" applyAlignment="1">
      <alignment wrapText="1"/>
    </xf>
    <xf numFmtId="167" fontId="17" fillId="0" borderId="0" xfId="190" applyFont="1" applyBorder="1" applyAlignment="1">
      <alignment wrapText="1"/>
    </xf>
    <xf numFmtId="165" fontId="16" fillId="7" borderId="19" xfId="1" applyFont="1" applyFill="1" applyBorder="1" applyAlignment="1">
      <alignment horizontal="center" vertical="center"/>
    </xf>
    <xf numFmtId="10" fontId="16" fillId="7" borderId="27" xfId="2" applyNumberFormat="1" applyFont="1" applyFill="1" applyBorder="1" applyAlignment="1">
      <alignment horizontal="center" vertical="center"/>
    </xf>
    <xf numFmtId="165" fontId="16" fillId="7" borderId="79" xfId="1" applyFont="1" applyFill="1" applyBorder="1" applyAlignment="1">
      <alignment horizontal="center" vertical="center"/>
    </xf>
    <xf numFmtId="10" fontId="16" fillId="7" borderId="80" xfId="2" applyNumberFormat="1" applyFont="1" applyFill="1" applyBorder="1" applyAlignment="1">
      <alignment horizontal="center" vertical="center"/>
    </xf>
    <xf numFmtId="165" fontId="16" fillId="7" borderId="85" xfId="1" applyFont="1" applyFill="1" applyBorder="1" applyAlignment="1">
      <alignment horizontal="center" vertical="center"/>
    </xf>
    <xf numFmtId="10" fontId="16" fillId="7" borderId="89" xfId="2" applyNumberFormat="1" applyFont="1" applyFill="1" applyBorder="1" applyAlignment="1">
      <alignment horizontal="center" vertical="center"/>
    </xf>
    <xf numFmtId="0" fontId="17" fillId="7" borderId="86" xfId="0" applyFont="1" applyFill="1" applyBorder="1" applyAlignment="1">
      <alignment horizontal="left" vertical="center"/>
    </xf>
    <xf numFmtId="0" fontId="17" fillId="7" borderId="87" xfId="0" applyFont="1" applyFill="1" applyBorder="1" applyAlignment="1">
      <alignment horizontal="left" vertical="center"/>
    </xf>
    <xf numFmtId="165" fontId="17" fillId="7" borderId="87" xfId="0" applyNumberFormat="1" applyFont="1" applyFill="1" applyBorder="1" applyAlignment="1">
      <alignment vertical="center"/>
    </xf>
    <xf numFmtId="10" fontId="17" fillId="7" borderId="90" xfId="2" applyNumberFormat="1" applyFont="1" applyFill="1" applyBorder="1" applyAlignment="1">
      <alignment horizontal="center" vertical="center"/>
    </xf>
    <xf numFmtId="167" fontId="16" fillId="0" borderId="79" xfId="190" applyFont="1" applyFill="1" applyBorder="1" applyAlignment="1">
      <alignment vertical="center" wrapText="1"/>
    </xf>
    <xf numFmtId="167" fontId="16" fillId="0" borderId="80" xfId="190" applyFont="1" applyBorder="1" applyAlignment="1">
      <alignment vertical="center" wrapText="1"/>
    </xf>
    <xf numFmtId="0" fontId="16" fillId="0" borderId="83" xfId="0" applyFont="1" applyBorder="1" applyAlignment="1">
      <alignment vertical="center" wrapText="1"/>
    </xf>
    <xf numFmtId="180" fontId="5" fillId="0" borderId="58" xfId="187" applyFont="1" applyFill="1" applyBorder="1" applyAlignment="1" applyProtection="1">
      <alignment horizontal="center" vertical="center"/>
    </xf>
    <xf numFmtId="0" fontId="97" fillId="0" borderId="5" xfId="0" applyFont="1" applyBorder="1" applyAlignment="1">
      <alignment horizontal="right" vertical="center"/>
    </xf>
    <xf numFmtId="0" fontId="0" fillId="0" borderId="38" xfId="0" applyBorder="1" applyAlignment="1">
      <alignment vertical="center"/>
    </xf>
    <xf numFmtId="0" fontId="0" fillId="0" borderId="39" xfId="0" applyBorder="1" applyAlignment="1">
      <alignment vertical="center"/>
    </xf>
    <xf numFmtId="0" fontId="36" fillId="0" borderId="79" xfId="13" applyFont="1" applyBorder="1" applyAlignment="1">
      <alignment horizontal="center" vertical="center"/>
    </xf>
    <xf numFmtId="0" fontId="37" fillId="0" borderId="80" xfId="13" applyFont="1" applyBorder="1" applyAlignment="1">
      <alignment horizontal="center" vertical="center"/>
    </xf>
    <xf numFmtId="0" fontId="37" fillId="0" borderId="82" xfId="13" applyFont="1" applyBorder="1" applyAlignment="1">
      <alignment horizontal="center" vertical="center" wrapText="1"/>
    </xf>
    <xf numFmtId="0" fontId="36" fillId="0" borderId="82" xfId="13" applyFont="1" applyBorder="1" applyAlignment="1">
      <alignment horizontal="center" vertical="center" wrapText="1"/>
    </xf>
    <xf numFmtId="0" fontId="36" fillId="0" borderId="87" xfId="13" applyFont="1" applyBorder="1" applyAlignment="1">
      <alignment horizontal="center" vertical="center"/>
    </xf>
    <xf numFmtId="168" fontId="36" fillId="0" borderId="82" xfId="15" applyFont="1" applyFill="1" applyBorder="1" applyAlignment="1">
      <alignment horizontal="center" vertical="center" wrapText="1"/>
    </xf>
    <xf numFmtId="0" fontId="37" fillId="0" borderId="90" xfId="13" applyFont="1" applyBorder="1" applyAlignment="1">
      <alignment horizontal="center" vertical="center"/>
    </xf>
    <xf numFmtId="0" fontId="33" fillId="0" borderId="83" xfId="27" applyFont="1" applyBorder="1" applyAlignment="1">
      <alignment horizontal="center" vertical="center"/>
    </xf>
    <xf numFmtId="0" fontId="33" fillId="0" borderId="79" xfId="27" applyFont="1" applyBorder="1" applyAlignment="1">
      <alignment horizontal="center" vertical="center" wrapText="1"/>
    </xf>
    <xf numFmtId="0" fontId="33" fillId="0" borderId="79" xfId="27" applyFont="1" applyBorder="1" applyAlignment="1">
      <alignment horizontal="center" vertical="center"/>
    </xf>
    <xf numFmtId="0" fontId="33" fillId="0" borderId="79" xfId="27" applyFont="1" applyBorder="1" applyAlignment="1">
      <alignment vertical="center" wrapText="1"/>
    </xf>
    <xf numFmtId="182" fontId="33" fillId="0" borderId="79" xfId="22" applyNumberFormat="1" applyFont="1" applyFill="1" applyBorder="1" applyAlignment="1">
      <alignment vertical="center" wrapText="1"/>
    </xf>
    <xf numFmtId="0" fontId="38" fillId="0" borderId="86" xfId="27" applyFont="1" applyBorder="1" applyAlignment="1">
      <alignment horizontal="left" vertical="center"/>
    </xf>
    <xf numFmtId="0" fontId="38" fillId="0" borderId="87" xfId="27" applyFont="1" applyBorder="1" applyAlignment="1">
      <alignment horizontal="left" vertical="center"/>
    </xf>
    <xf numFmtId="182" fontId="38" fillId="0" borderId="90" xfId="22" applyNumberFormat="1" applyFont="1" applyFill="1" applyBorder="1" applyAlignment="1">
      <alignment horizontal="right" vertical="center" wrapText="1"/>
    </xf>
    <xf numFmtId="0" fontId="38" fillId="7" borderId="84" xfId="27" applyFont="1" applyFill="1" applyBorder="1" applyAlignment="1">
      <alignment horizontal="left" vertical="center"/>
    </xf>
    <xf numFmtId="0" fontId="38" fillId="7" borderId="85" xfId="27" applyFont="1" applyFill="1" applyBorder="1" applyAlignment="1">
      <alignment horizontal="left" vertical="center"/>
    </xf>
    <xf numFmtId="182" fontId="38" fillId="7" borderId="89" xfId="22" applyNumberFormat="1" applyFont="1" applyFill="1" applyBorder="1" applyAlignment="1">
      <alignment horizontal="right" vertical="center" wrapText="1"/>
    </xf>
    <xf numFmtId="0" fontId="33" fillId="7" borderId="83" xfId="27" applyFont="1" applyFill="1" applyBorder="1" applyAlignment="1">
      <alignment horizontal="center" vertical="center"/>
    </xf>
    <xf numFmtId="182" fontId="33" fillId="7" borderId="80" xfId="22" applyNumberFormat="1" applyFont="1" applyFill="1" applyBorder="1" applyAlignment="1">
      <alignment horizontal="right" vertical="center" wrapText="1"/>
    </xf>
    <xf numFmtId="0" fontId="38" fillId="7" borderId="86" xfId="27" applyFont="1" applyFill="1" applyBorder="1" applyAlignment="1">
      <alignment horizontal="left" vertical="center"/>
    </xf>
    <xf numFmtId="0" fontId="38" fillId="7" borderId="87" xfId="27" applyFont="1" applyFill="1" applyBorder="1" applyAlignment="1">
      <alignment horizontal="left" vertical="center"/>
    </xf>
    <xf numFmtId="182" fontId="38" fillId="7" borderId="90" xfId="22" applyNumberFormat="1" applyFont="1" applyFill="1" applyBorder="1" applyAlignment="1">
      <alignment horizontal="right" vertical="center" wrapText="1"/>
    </xf>
    <xf numFmtId="0" fontId="33" fillId="7" borderId="79" xfId="27" applyFont="1" applyFill="1" applyBorder="1" applyAlignment="1">
      <alignment horizontal="center" vertical="center" wrapText="1"/>
    </xf>
    <xf numFmtId="4" fontId="33" fillId="7" borderId="79" xfId="27" applyNumberFormat="1" applyFont="1" applyFill="1" applyBorder="1" applyAlignment="1">
      <alignment vertical="center" wrapText="1"/>
    </xf>
    <xf numFmtId="182" fontId="33" fillId="7" borderId="79" xfId="22" applyNumberFormat="1" applyFont="1" applyFill="1" applyBorder="1" applyAlignment="1">
      <alignment vertical="center" wrapText="1"/>
    </xf>
    <xf numFmtId="181" fontId="38" fillId="7" borderId="89" xfId="27" applyNumberFormat="1" applyFont="1" applyFill="1" applyBorder="1" applyAlignment="1">
      <alignment vertical="center"/>
    </xf>
    <xf numFmtId="10" fontId="38" fillId="2" borderId="79" xfId="2" applyNumberFormat="1" applyFont="1" applyFill="1" applyBorder="1" applyAlignment="1">
      <alignment vertical="center"/>
    </xf>
    <xf numFmtId="181" fontId="33" fillId="7" borderId="80" xfId="25" applyNumberFormat="1" applyFont="1" applyFill="1" applyBorder="1" applyAlignment="1">
      <alignment vertical="center"/>
    </xf>
    <xf numFmtId="181" fontId="33" fillId="7" borderId="90" xfId="25" applyNumberFormat="1" applyFont="1" applyFill="1" applyBorder="1" applyAlignment="1">
      <alignment vertical="center"/>
    </xf>
    <xf numFmtId="0" fontId="38" fillId="7" borderId="8" xfId="25" applyFont="1" applyFill="1" applyBorder="1" applyAlignment="1">
      <alignment horizontal="left" vertical="center" wrapText="1"/>
    </xf>
    <xf numFmtId="0" fontId="33" fillId="7" borderId="86" xfId="27" applyFont="1" applyFill="1" applyBorder="1" applyAlignment="1">
      <alignment horizontal="center" vertical="center"/>
    </xf>
    <xf numFmtId="189" fontId="33" fillId="7" borderId="87" xfId="29" applyNumberFormat="1" applyFont="1" applyFill="1" applyBorder="1" applyAlignment="1">
      <alignment horizontal="center" vertical="center"/>
    </xf>
    <xf numFmtId="182" fontId="33" fillId="0" borderId="87" xfId="22" applyNumberFormat="1" applyFont="1" applyFill="1" applyBorder="1" applyAlignment="1">
      <alignment horizontal="center" vertical="center" wrapText="1"/>
    </xf>
    <xf numFmtId="0" fontId="33" fillId="0" borderId="8" xfId="27" applyFont="1" applyBorder="1" applyAlignment="1">
      <alignment horizontal="center" vertical="center"/>
    </xf>
    <xf numFmtId="181" fontId="39" fillId="0" borderId="9" xfId="25" applyNumberFormat="1" applyFont="1" applyBorder="1" applyAlignment="1">
      <alignment vertical="center"/>
    </xf>
    <xf numFmtId="0" fontId="33" fillId="7" borderId="8" xfId="27" applyFont="1" applyFill="1" applyBorder="1" applyAlignment="1">
      <alignment horizontal="center" vertical="center"/>
    </xf>
    <xf numFmtId="189" fontId="33" fillId="7" borderId="0" xfId="29" applyNumberFormat="1" applyFont="1" applyFill="1" applyAlignment="1">
      <alignment horizontal="center" vertical="center"/>
    </xf>
    <xf numFmtId="0" fontId="38" fillId="0" borderId="7" xfId="25" applyFont="1" applyBorder="1" applyAlignment="1">
      <alignment horizontal="left" vertical="center" wrapText="1"/>
    </xf>
    <xf numFmtId="0" fontId="33" fillId="0" borderId="7" xfId="27" applyFont="1" applyBorder="1" applyAlignment="1">
      <alignment horizontal="center" vertical="center" wrapText="1"/>
    </xf>
    <xf numFmtId="182" fontId="33" fillId="0" borderId="0" xfId="22" applyNumberFormat="1" applyFont="1" applyFill="1" applyBorder="1" applyAlignment="1">
      <alignment horizontal="center" vertical="center" wrapText="1"/>
    </xf>
    <xf numFmtId="181" fontId="33" fillId="7" borderId="3" xfId="25" applyNumberFormat="1" applyFont="1" applyFill="1" applyBorder="1" applyAlignment="1">
      <alignment horizontal="right" vertical="center"/>
    </xf>
    <xf numFmtId="0" fontId="38" fillId="0" borderId="0" xfId="25" applyFont="1" applyAlignment="1">
      <alignment horizontal="left" vertical="center" wrapText="1"/>
    </xf>
    <xf numFmtId="0" fontId="33" fillId="0" borderId="0" xfId="27" applyFont="1" applyAlignment="1">
      <alignment horizontal="center" vertical="center" wrapText="1"/>
    </xf>
    <xf numFmtId="181" fontId="33" fillId="7" borderId="9" xfId="25" applyNumberFormat="1" applyFont="1" applyFill="1" applyBorder="1" applyAlignment="1">
      <alignment horizontal="right" vertical="center"/>
    </xf>
    <xf numFmtId="0" fontId="33" fillId="0" borderId="38" xfId="27" applyFont="1" applyBorder="1" applyAlignment="1">
      <alignment vertical="center" wrapText="1"/>
    </xf>
    <xf numFmtId="0" fontId="5" fillId="0" borderId="106" xfId="184" applyBorder="1" applyAlignment="1">
      <alignment horizontal="right" vertical="center"/>
    </xf>
    <xf numFmtId="0" fontId="5" fillId="0" borderId="60" xfId="184" applyBorder="1" applyAlignment="1">
      <alignment horizontal="right" vertical="center"/>
    </xf>
    <xf numFmtId="182" fontId="33" fillId="0" borderId="0" xfId="22" applyNumberFormat="1" applyFont="1" applyFill="1" applyBorder="1" applyAlignment="1">
      <alignment vertical="center"/>
    </xf>
    <xf numFmtId="182" fontId="33" fillId="0" borderId="0" xfId="22" applyNumberFormat="1" applyFont="1" applyFill="1" applyBorder="1" applyAlignment="1">
      <alignment horizontal="right" vertical="center" wrapText="1"/>
    </xf>
    <xf numFmtId="182" fontId="38" fillId="0" borderId="0" xfId="22" applyNumberFormat="1" applyFont="1" applyFill="1" applyBorder="1" applyAlignment="1">
      <alignment horizontal="right" vertical="center" wrapText="1"/>
    </xf>
    <xf numFmtId="182" fontId="33" fillId="0" borderId="0" xfId="22" applyNumberFormat="1" applyFont="1" applyFill="1" applyBorder="1" applyAlignment="1">
      <alignment horizontal="center" vertical="center"/>
    </xf>
    <xf numFmtId="0" fontId="30" fillId="0" borderId="0" xfId="13" applyFont="1" applyAlignment="1">
      <alignment horizontal="center" vertical="center" wrapText="1"/>
    </xf>
    <xf numFmtId="181" fontId="32" fillId="0" borderId="0" xfId="13" applyNumberFormat="1" applyFont="1" applyAlignment="1">
      <alignment vertical="center"/>
    </xf>
    <xf numFmtId="182" fontId="32" fillId="0" borderId="0" xfId="22" applyNumberFormat="1" applyFont="1" applyFill="1" applyBorder="1" applyAlignment="1">
      <alignment vertical="center"/>
    </xf>
    <xf numFmtId="181" fontId="38" fillId="0" borderId="0" xfId="27" applyNumberFormat="1" applyFont="1" applyAlignment="1">
      <alignment vertical="center"/>
    </xf>
    <xf numFmtId="181" fontId="38" fillId="0" borderId="0" xfId="25" applyNumberFormat="1" applyFont="1" applyAlignment="1">
      <alignment vertical="center"/>
    </xf>
    <xf numFmtId="181" fontId="33" fillId="0" borderId="0" xfId="25" applyNumberFormat="1" applyFont="1" applyAlignment="1">
      <alignment vertical="center"/>
    </xf>
    <xf numFmtId="181" fontId="33" fillId="0" borderId="0" xfId="25" applyNumberFormat="1" applyFont="1" applyAlignment="1">
      <alignment horizontal="right" vertical="center"/>
    </xf>
    <xf numFmtId="0" fontId="36" fillId="0" borderId="0" xfId="13" applyFont="1" applyAlignment="1">
      <alignment horizontal="center" vertical="center"/>
    </xf>
    <xf numFmtId="0" fontId="37" fillId="0" borderId="0" xfId="13" applyFont="1" applyAlignment="1">
      <alignment horizontal="center" vertical="center"/>
    </xf>
    <xf numFmtId="0" fontId="30" fillId="0" borderId="7" xfId="13" applyFont="1" applyBorder="1" applyAlignment="1">
      <alignment horizontal="center" vertical="center"/>
    </xf>
    <xf numFmtId="0" fontId="31" fillId="0" borderId="7" xfId="13" applyFont="1" applyBorder="1" applyAlignment="1">
      <alignment vertical="center"/>
    </xf>
    <xf numFmtId="0" fontId="31" fillId="0" borderId="3" xfId="13" applyFont="1" applyBorder="1" applyAlignment="1">
      <alignment vertical="center"/>
    </xf>
    <xf numFmtId="0" fontId="16" fillId="0" borderId="79" xfId="0" applyFont="1" applyBorder="1" applyAlignment="1">
      <alignment horizontal="left"/>
    </xf>
    <xf numFmtId="0" fontId="16" fillId="0" borderId="79" xfId="0" applyFont="1" applyBorder="1"/>
    <xf numFmtId="0" fontId="16" fillId="0" borderId="79" xfId="0" applyFont="1" applyBorder="1" applyAlignment="1">
      <alignment horizontal="center" vertical="center"/>
    </xf>
    <xf numFmtId="0" fontId="0" fillId="0" borderId="79" xfId="0" applyBorder="1"/>
    <xf numFmtId="0" fontId="17" fillId="0" borderId="15" xfId="183" applyFont="1" applyBorder="1" applyAlignment="1">
      <alignment vertical="center" wrapText="1"/>
    </xf>
    <xf numFmtId="0" fontId="38" fillId="0" borderId="8" xfId="196" applyFont="1" applyBorder="1" applyAlignment="1" applyProtection="1">
      <alignment horizontal="left" vertical="top"/>
      <protection locked="0"/>
    </xf>
    <xf numFmtId="0" fontId="38" fillId="0" borderId="0" xfId="196" applyFont="1" applyBorder="1" applyAlignment="1">
      <alignment horizontal="left" vertical="top"/>
    </xf>
    <xf numFmtId="0" fontId="33" fillId="0" borderId="0" xfId="196" applyFont="1" applyBorder="1" applyAlignment="1">
      <alignment horizontal="left" vertical="top"/>
    </xf>
    <xf numFmtId="0" fontId="38" fillId="0" borderId="81" xfId="193" applyFont="1" applyBorder="1" applyProtection="1">
      <protection locked="0"/>
    </xf>
    <xf numFmtId="0" fontId="38" fillId="0" borderId="10" xfId="193" applyFont="1" applyBorder="1"/>
    <xf numFmtId="0" fontId="33" fillId="0" borderId="10" xfId="193" applyFont="1" applyBorder="1" applyAlignment="1">
      <alignment horizontal="center"/>
    </xf>
    <xf numFmtId="0" fontId="38" fillId="3" borderId="10" xfId="193" applyFont="1" applyFill="1" applyBorder="1" applyAlignment="1">
      <alignment horizontal="center"/>
    </xf>
    <xf numFmtId="0" fontId="33" fillId="3" borderId="10" xfId="193" applyFont="1" applyFill="1" applyBorder="1" applyAlignment="1">
      <alignment horizontal="center"/>
    </xf>
    <xf numFmtId="4" fontId="20" fillId="0" borderId="91" xfId="0" applyNumberFormat="1" applyFont="1" applyBorder="1" applyAlignment="1">
      <alignment horizontal="left" vertical="center" wrapText="1"/>
    </xf>
    <xf numFmtId="4" fontId="22" fillId="0" borderId="93" xfId="0" applyNumberFormat="1" applyFont="1" applyBorder="1" applyAlignment="1">
      <alignment vertical="center"/>
    </xf>
    <xf numFmtId="4" fontId="22" fillId="0" borderId="25" xfId="0" applyNumberFormat="1" applyFont="1" applyBorder="1" applyAlignment="1">
      <alignment vertical="center"/>
    </xf>
    <xf numFmtId="4" fontId="22" fillId="2" borderId="15" xfId="0" applyNumberFormat="1" applyFont="1" applyFill="1" applyBorder="1" applyAlignment="1">
      <alignment vertical="center"/>
    </xf>
    <xf numFmtId="4" fontId="22" fillId="0" borderId="85" xfId="0" applyNumberFormat="1" applyFont="1" applyBorder="1" applyAlignment="1">
      <alignment vertical="center"/>
    </xf>
    <xf numFmtId="167" fontId="21" fillId="0" borderId="79" xfId="190" applyFont="1" applyFill="1" applyBorder="1" applyAlignment="1">
      <alignment vertical="center"/>
    </xf>
    <xf numFmtId="172" fontId="16" fillId="0" borderId="79" xfId="0" applyNumberFormat="1" applyFont="1" applyBorder="1" applyAlignment="1">
      <alignment horizontal="right" vertical="center"/>
    </xf>
    <xf numFmtId="172" fontId="17" fillId="0" borderId="29" xfId="0" applyNumberFormat="1" applyFont="1" applyBorder="1" applyAlignment="1">
      <alignment horizontal="center" vertical="center" wrapText="1"/>
    </xf>
    <xf numFmtId="4" fontId="17" fillId="0" borderId="29" xfId="0" applyNumberFormat="1" applyFont="1" applyBorder="1" applyAlignment="1">
      <alignment horizontal="center" vertical="center"/>
    </xf>
    <xf numFmtId="165" fontId="16" fillId="0" borderId="19" xfId="205" applyFont="1" applyFill="1" applyBorder="1" applyAlignment="1">
      <alignment vertical="center"/>
    </xf>
    <xf numFmtId="4" fontId="16" fillId="0" borderId="19" xfId="0" applyNumberFormat="1" applyFont="1" applyBorder="1" applyAlignment="1">
      <alignment horizontal="center" vertical="center"/>
    </xf>
    <xf numFmtId="165" fontId="16" fillId="0" borderId="79" xfId="205" applyFont="1" applyFill="1" applyBorder="1" applyAlignment="1">
      <alignment vertical="center"/>
    </xf>
    <xf numFmtId="4" fontId="16" fillId="0" borderId="79" xfId="0" applyNumberFormat="1" applyFont="1" applyBorder="1" applyAlignment="1">
      <alignment horizontal="center" vertical="center"/>
    </xf>
    <xf numFmtId="165" fontId="16" fillId="0" borderId="79" xfId="205" applyFont="1" applyFill="1" applyBorder="1" applyAlignment="1">
      <alignment horizontal="center" vertical="center"/>
    </xf>
    <xf numFmtId="167" fontId="8" fillId="0" borderId="0" xfId="190" applyFont="1" applyBorder="1"/>
    <xf numFmtId="167" fontId="9" fillId="0" borderId="0" xfId="190" applyFont="1" applyBorder="1"/>
    <xf numFmtId="180" fontId="9" fillId="0" borderId="0" xfId="0" applyNumberFormat="1" applyFont="1"/>
    <xf numFmtId="167" fontId="9" fillId="0" borderId="0" xfId="0" applyNumberFormat="1" applyFont="1"/>
    <xf numFmtId="167" fontId="72" fillId="7" borderId="0" xfId="189" applyFont="1" applyFill="1" applyBorder="1" applyAlignment="1">
      <alignment vertical="center"/>
    </xf>
    <xf numFmtId="0" fontId="17" fillId="7" borderId="0" xfId="0" applyFont="1" applyFill="1" applyAlignment="1">
      <alignment horizontal="right"/>
    </xf>
    <xf numFmtId="0" fontId="16" fillId="0" borderId="0" xfId="0" applyFont="1" applyAlignment="1">
      <alignment horizontal="right"/>
    </xf>
    <xf numFmtId="0" fontId="16" fillId="7" borderId="0" xfId="0" applyFont="1" applyFill="1" applyAlignment="1">
      <alignment horizontal="right"/>
    </xf>
    <xf numFmtId="0" fontId="17" fillId="7" borderId="0" xfId="0" applyFont="1" applyFill="1" applyAlignment="1">
      <alignment horizontal="center"/>
    </xf>
    <xf numFmtId="0" fontId="16" fillId="7" borderId="0" xfId="0" applyFont="1" applyFill="1" applyAlignment="1">
      <alignment horizontal="center" vertical="center"/>
    </xf>
    <xf numFmtId="0" fontId="16" fillId="7" borderId="0" xfId="0" applyFont="1" applyFill="1" applyAlignment="1">
      <alignment horizontal="center" wrapText="1"/>
    </xf>
    <xf numFmtId="0" fontId="16" fillId="7" borderId="81" xfId="0" applyFont="1" applyFill="1" applyBorder="1"/>
    <xf numFmtId="0" fontId="16" fillId="7" borderId="10" xfId="0" applyFont="1" applyFill="1" applyBorder="1"/>
    <xf numFmtId="0" fontId="16" fillId="7" borderId="4" xfId="0" applyFont="1" applyFill="1" applyBorder="1"/>
    <xf numFmtId="0" fontId="4" fillId="0" borderId="8" xfId="0" quotePrefix="1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7" fillId="0" borderId="81" xfId="0" applyFont="1" applyBorder="1" applyAlignment="1">
      <alignment vertical="center"/>
    </xf>
    <xf numFmtId="0" fontId="8" fillId="0" borderId="83" xfId="4" applyFont="1" applyBorder="1" applyAlignment="1">
      <alignment horizontal="left" vertical="top"/>
    </xf>
    <xf numFmtId="0" fontId="11" fillId="0" borderId="79" xfId="0" applyFont="1" applyBorder="1" applyAlignment="1">
      <alignment horizontal="left" vertical="top" wrapText="1"/>
    </xf>
    <xf numFmtId="0" fontId="8" fillId="0" borderId="79" xfId="0" applyFont="1" applyBorder="1" applyAlignment="1">
      <alignment horizontal="left" vertical="top" wrapText="1"/>
    </xf>
    <xf numFmtId="167" fontId="0" fillId="0" borderId="0" xfId="190" applyFont="1" applyFill="1"/>
    <xf numFmtId="167" fontId="0" fillId="0" borderId="0" xfId="190" applyFont="1" applyBorder="1"/>
    <xf numFmtId="167" fontId="6" fillId="0" borderId="0" xfId="190" applyFont="1" applyFill="1" applyBorder="1" applyAlignment="1">
      <alignment vertical="center"/>
    </xf>
    <xf numFmtId="0" fontId="8" fillId="0" borderId="91" xfId="0" applyFont="1" applyBorder="1" applyAlignment="1">
      <alignment horizontal="center" vertical="top"/>
    </xf>
    <xf numFmtId="0" fontId="8" fillId="0" borderId="103" xfId="0" applyFont="1" applyBorder="1" applyAlignment="1">
      <alignment horizontal="center" vertical="top"/>
    </xf>
    <xf numFmtId="0" fontId="38" fillId="7" borderId="20" xfId="27" applyFont="1" applyFill="1" applyBorder="1" applyAlignment="1">
      <alignment horizontal="left" vertical="center"/>
    </xf>
    <xf numFmtId="0" fontId="38" fillId="7" borderId="82" xfId="27" applyFont="1" applyFill="1" applyBorder="1" applyAlignment="1">
      <alignment horizontal="left" vertical="center"/>
    </xf>
    <xf numFmtId="182" fontId="38" fillId="7" borderId="88" xfId="22" applyNumberFormat="1" applyFont="1" applyFill="1" applyBorder="1" applyAlignment="1">
      <alignment horizontal="right" vertical="center" wrapText="1"/>
    </xf>
    <xf numFmtId="0" fontId="33" fillId="0" borderId="25" xfId="13" applyFont="1" applyBorder="1" applyAlignment="1">
      <alignment horizontal="center" vertical="center"/>
    </xf>
    <xf numFmtId="2" fontId="33" fillId="0" borderId="25" xfId="13" applyNumberFormat="1" applyFont="1" applyBorder="1" applyAlignment="1">
      <alignment horizontal="center" vertical="center"/>
    </xf>
    <xf numFmtId="182" fontId="33" fillId="0" borderId="25" xfId="22" applyNumberFormat="1" applyFont="1" applyFill="1" applyBorder="1" applyAlignment="1">
      <alignment horizontal="center" vertical="center"/>
    </xf>
    <xf numFmtId="0" fontId="32" fillId="10" borderId="5" xfId="13" applyFont="1" applyFill="1" applyBorder="1" applyAlignment="1">
      <alignment vertical="center"/>
    </xf>
    <xf numFmtId="0" fontId="32" fillId="10" borderId="38" xfId="13" applyFont="1" applyFill="1" applyBorder="1" applyAlignment="1">
      <alignment vertical="center"/>
    </xf>
    <xf numFmtId="182" fontId="32" fillId="10" borderId="38" xfId="22" applyNumberFormat="1" applyFont="1" applyFill="1" applyBorder="1" applyAlignment="1">
      <alignment vertical="center"/>
    </xf>
    <xf numFmtId="182" fontId="32" fillId="10" borderId="39" xfId="22" applyNumberFormat="1" applyFont="1" applyFill="1" applyBorder="1" applyAlignment="1">
      <alignment vertical="center"/>
    </xf>
    <xf numFmtId="10" fontId="1" fillId="0" borderId="0" xfId="0" applyNumberFormat="1" applyFont="1" applyAlignment="1">
      <alignment horizontal="center" vertical="center"/>
    </xf>
    <xf numFmtId="0" fontId="5" fillId="0" borderId="79" xfId="198" applyFont="1" applyBorder="1" applyAlignment="1">
      <alignment horizontal="center" vertical="center" wrapText="1"/>
    </xf>
    <xf numFmtId="0" fontId="5" fillId="0" borderId="83" xfId="198" applyFont="1" applyBorder="1" applyAlignment="1">
      <alignment vertical="center"/>
    </xf>
    <xf numFmtId="10" fontId="5" fillId="0" borderId="80" xfId="199" applyNumberFormat="1" applyFont="1" applyBorder="1" applyAlignment="1">
      <alignment horizontal="center" vertical="center"/>
    </xf>
    <xf numFmtId="0" fontId="7" fillId="0" borderId="83" xfId="198" applyFont="1" applyBorder="1" applyAlignment="1">
      <alignment horizontal="center" vertical="center"/>
    </xf>
    <xf numFmtId="10" fontId="7" fillId="0" borderId="80" xfId="199" applyNumberFormat="1" applyFont="1" applyFill="1" applyBorder="1" applyAlignment="1">
      <alignment horizontal="center" vertical="center"/>
    </xf>
    <xf numFmtId="0" fontId="5" fillId="0" borderId="83" xfId="198" applyFont="1" applyBorder="1" applyAlignment="1">
      <alignment horizontal="center" vertical="center"/>
    </xf>
    <xf numFmtId="0" fontId="7" fillId="0" borderId="83" xfId="198" applyFont="1" applyBorder="1" applyAlignment="1">
      <alignment horizontal="left" vertical="center"/>
    </xf>
    <xf numFmtId="10" fontId="5" fillId="0" borderId="80" xfId="199" applyNumberFormat="1" applyFont="1" applyFill="1" applyBorder="1" applyAlignment="1">
      <alignment horizontal="center" vertical="center"/>
    </xf>
    <xf numFmtId="0" fontId="7" fillId="11" borderId="83" xfId="198" applyFont="1" applyFill="1" applyBorder="1" applyAlignment="1">
      <alignment horizontal="center" vertical="center"/>
    </xf>
    <xf numFmtId="4" fontId="7" fillId="11" borderId="80" xfId="36" applyNumberFormat="1" applyFont="1" applyFill="1" applyBorder="1" applyAlignment="1">
      <alignment horizontal="center" vertical="center"/>
    </xf>
    <xf numFmtId="10" fontId="5" fillId="0" borderId="80" xfId="199" applyNumberFormat="1" applyFont="1" applyBorder="1" applyAlignment="1">
      <alignment horizontal="right" vertical="center"/>
    </xf>
    <xf numFmtId="10" fontId="5" fillId="0" borderId="52" xfId="199" applyNumberFormat="1" applyFont="1" applyBorder="1" applyAlignment="1">
      <alignment horizontal="center" vertical="center"/>
    </xf>
    <xf numFmtId="172" fontId="16" fillId="0" borderId="0" xfId="0" applyNumberFormat="1" applyFont="1"/>
    <xf numFmtId="0" fontId="33" fillId="0" borderId="19" xfId="13" applyFont="1" applyBorder="1" applyAlignment="1">
      <alignment vertical="center" wrapText="1"/>
    </xf>
    <xf numFmtId="2" fontId="33" fillId="0" borderId="25" xfId="13" applyNumberFormat="1" applyFont="1" applyBorder="1" applyAlignment="1">
      <alignment horizontal="left" vertical="center" wrapText="1"/>
    </xf>
    <xf numFmtId="0" fontId="100" fillId="0" borderId="0" xfId="193" applyFont="1"/>
    <xf numFmtId="0" fontId="102" fillId="2" borderId="0" xfId="369" applyFont="1" applyFill="1" applyAlignment="1">
      <alignment horizontal="center" vertical="center"/>
    </xf>
    <xf numFmtId="0" fontId="103" fillId="7" borderId="83" xfId="193" applyFont="1" applyFill="1" applyBorder="1" applyAlignment="1" applyProtection="1">
      <alignment horizontal="center" vertical="center"/>
      <protection locked="0"/>
    </xf>
    <xf numFmtId="0" fontId="102" fillId="7" borderId="8" xfId="193" applyFont="1" applyFill="1" applyBorder="1"/>
    <xf numFmtId="0" fontId="102" fillId="7" borderId="0" xfId="193" applyFont="1" applyFill="1" applyBorder="1" applyProtection="1">
      <protection locked="0"/>
    </xf>
    <xf numFmtId="0" fontId="102" fillId="7" borderId="9" xfId="193" applyFont="1" applyFill="1" applyBorder="1"/>
    <xf numFmtId="0" fontId="103" fillId="43" borderId="107" xfId="193" applyFont="1" applyFill="1" applyBorder="1" applyAlignment="1">
      <alignment horizontal="center" vertical="center"/>
    </xf>
    <xf numFmtId="0" fontId="103" fillId="44" borderId="15" xfId="193" applyFont="1" applyFill="1" applyBorder="1" applyAlignment="1">
      <alignment horizontal="center" vertical="center" wrapText="1"/>
    </xf>
    <xf numFmtId="0" fontId="103" fillId="43" borderId="5" xfId="193" applyFont="1" applyFill="1" applyBorder="1" applyAlignment="1">
      <alignment horizontal="center" vertical="center"/>
    </xf>
    <xf numFmtId="0" fontId="103" fillId="44" borderId="12" xfId="193" applyFont="1" applyFill="1" applyBorder="1" applyAlignment="1">
      <alignment horizontal="left" vertical="center" wrapText="1"/>
    </xf>
    <xf numFmtId="0" fontId="102" fillId="44" borderId="34" xfId="193" applyFont="1" applyFill="1" applyBorder="1"/>
    <xf numFmtId="0" fontId="103" fillId="43" borderId="40" xfId="193" applyFont="1" applyFill="1" applyBorder="1" applyAlignment="1">
      <alignment horizontal="center" vertical="center"/>
    </xf>
    <xf numFmtId="0" fontId="102" fillId="45" borderId="8" xfId="193" applyFont="1" applyFill="1" applyBorder="1"/>
    <xf numFmtId="0" fontId="102" fillId="45" borderId="0" xfId="193" applyFont="1" applyFill="1" applyBorder="1"/>
    <xf numFmtId="0" fontId="102" fillId="45" borderId="9" xfId="193" applyFont="1" applyFill="1" applyBorder="1"/>
    <xf numFmtId="0" fontId="103" fillId="46" borderId="95" xfId="193" applyFont="1" applyFill="1" applyBorder="1"/>
    <xf numFmtId="0" fontId="102" fillId="46" borderId="77" xfId="193" applyFont="1" applyFill="1" applyBorder="1"/>
    <xf numFmtId="0" fontId="102" fillId="46" borderId="96" xfId="193" applyFont="1" applyFill="1" applyBorder="1"/>
    <xf numFmtId="0" fontId="103" fillId="46" borderId="11" xfId="193" applyFont="1" applyFill="1" applyBorder="1" applyAlignment="1">
      <alignment horizontal="center"/>
    </xf>
    <xf numFmtId="0" fontId="103" fillId="46" borderId="12" xfId="193" applyFont="1" applyFill="1" applyBorder="1" applyAlignment="1"/>
    <xf numFmtId="0" fontId="103" fillId="46" borderId="13" xfId="193" applyFont="1" applyFill="1" applyBorder="1" applyAlignment="1"/>
    <xf numFmtId="0" fontId="103" fillId="46" borderId="19" xfId="193" applyFont="1" applyFill="1" applyBorder="1" applyAlignment="1">
      <alignment horizontal="center"/>
    </xf>
    <xf numFmtId="0" fontId="103" fillId="46" borderId="40" xfId="193" applyFont="1" applyFill="1" applyBorder="1" applyAlignment="1"/>
    <xf numFmtId="0" fontId="103" fillId="46" borderId="27" xfId="193" applyFont="1" applyFill="1" applyBorder="1" applyAlignment="1">
      <alignment horizontal="center"/>
    </xf>
    <xf numFmtId="0" fontId="102" fillId="46" borderId="94" xfId="193" applyFont="1" applyFill="1" applyBorder="1" applyAlignment="1"/>
    <xf numFmtId="0" fontId="102" fillId="46" borderId="92" xfId="193" applyFont="1" applyFill="1" applyBorder="1" applyAlignment="1"/>
    <xf numFmtId="183" fontId="102" fillId="46" borderId="25" xfId="193" applyNumberFormat="1" applyFont="1" applyFill="1" applyBorder="1" applyAlignment="1">
      <alignment horizontal="right"/>
    </xf>
    <xf numFmtId="197" fontId="102" fillId="46" borderId="91" xfId="193" applyNumberFormat="1" applyFont="1" applyFill="1" applyBorder="1" applyAlignment="1"/>
    <xf numFmtId="183" fontId="102" fillId="46" borderId="31" xfId="193" applyNumberFormat="1" applyFont="1" applyFill="1" applyBorder="1" applyAlignment="1">
      <alignment horizontal="right"/>
    </xf>
    <xf numFmtId="197" fontId="102" fillId="46" borderId="110" xfId="193" applyNumberFormat="1" applyFont="1" applyFill="1" applyBorder="1" applyAlignment="1">
      <alignment horizontal="right"/>
    </xf>
    <xf numFmtId="2" fontId="102" fillId="46" borderId="79" xfId="193" applyNumberFormat="1" applyFont="1" applyFill="1" applyBorder="1"/>
    <xf numFmtId="197" fontId="102" fillId="46" borderId="111" xfId="193" applyNumberFormat="1" applyFont="1" applyFill="1" applyBorder="1" applyAlignment="1">
      <alignment horizontal="right"/>
    </xf>
    <xf numFmtId="4" fontId="102" fillId="46" borderId="80" xfId="203" applyNumberFormat="1" applyFont="1" applyFill="1" applyBorder="1"/>
    <xf numFmtId="0" fontId="102" fillId="46" borderId="82" xfId="193" applyFont="1" applyFill="1" applyBorder="1"/>
    <xf numFmtId="4" fontId="102" fillId="46" borderId="88" xfId="193" applyNumberFormat="1" applyFont="1" applyFill="1" applyBorder="1"/>
    <xf numFmtId="0" fontId="103" fillId="46" borderId="5" xfId="193" applyFont="1" applyFill="1" applyBorder="1" applyAlignment="1"/>
    <xf numFmtId="0" fontId="103" fillId="46" borderId="38" xfId="193" applyFont="1" applyFill="1" applyBorder="1" applyAlignment="1"/>
    <xf numFmtId="0" fontId="103" fillId="46" borderId="38" xfId="193" applyFont="1" applyFill="1" applyBorder="1" applyAlignment="1">
      <alignment horizontal="right"/>
    </xf>
    <xf numFmtId="4" fontId="102" fillId="46" borderId="15" xfId="193" applyNumberFormat="1" applyFont="1" applyFill="1" applyBorder="1"/>
    <xf numFmtId="0" fontId="103" fillId="46" borderId="8" xfId="193" applyFont="1" applyFill="1" applyBorder="1"/>
    <xf numFmtId="0" fontId="102" fillId="46" borderId="0" xfId="193" applyFont="1" applyFill="1" applyBorder="1"/>
    <xf numFmtId="0" fontId="102" fillId="46" borderId="9" xfId="193" applyFont="1" applyFill="1" applyBorder="1"/>
    <xf numFmtId="0" fontId="103" fillId="47" borderId="94" xfId="193" applyFont="1" applyFill="1" applyBorder="1"/>
    <xf numFmtId="0" fontId="102" fillId="47" borderId="92" xfId="193" applyFont="1" applyFill="1" applyBorder="1"/>
    <xf numFmtId="0" fontId="102" fillId="47" borderId="112" xfId="193" applyFont="1" applyFill="1" applyBorder="1"/>
    <xf numFmtId="0" fontId="103" fillId="46" borderId="40" xfId="193" applyFont="1" applyFill="1" applyBorder="1" applyAlignment="1">
      <alignment horizontal="center"/>
    </xf>
    <xf numFmtId="0" fontId="102" fillId="46" borderId="113" xfId="193" applyFont="1" applyFill="1" applyBorder="1" applyAlignment="1">
      <alignment horizontal="left"/>
    </xf>
    <xf numFmtId="0" fontId="103" fillId="46" borderId="21" xfId="193" applyFont="1" applyFill="1" applyBorder="1" applyAlignment="1">
      <alignment horizontal="center"/>
    </xf>
    <xf numFmtId="0" fontId="102" fillId="46" borderId="79" xfId="193" applyFont="1" applyFill="1" applyBorder="1" applyAlignment="1">
      <alignment horizontal="center"/>
    </xf>
    <xf numFmtId="9" fontId="102" fillId="46" borderId="79" xfId="370" applyFont="1" applyFill="1" applyBorder="1" applyAlignment="1">
      <alignment horizontal="center"/>
    </xf>
    <xf numFmtId="175" fontId="102" fillId="46" borderId="31" xfId="371" applyFont="1" applyFill="1" applyBorder="1" applyAlignment="1">
      <alignment horizontal="right"/>
    </xf>
    <xf numFmtId="0" fontId="104" fillId="7" borderId="79" xfId="368" applyFont="1" applyFill="1" applyBorder="1" applyAlignment="1" applyProtection="1">
      <alignment vertical="center"/>
    </xf>
    <xf numFmtId="0" fontId="105" fillId="7" borderId="91" xfId="368" applyFont="1" applyFill="1" applyBorder="1" applyAlignment="1" applyProtection="1">
      <alignment vertical="center"/>
    </xf>
    <xf numFmtId="197" fontId="102" fillId="46" borderId="79" xfId="193" applyNumberFormat="1" applyFont="1" applyFill="1" applyBorder="1" applyAlignment="1">
      <alignment horizontal="right"/>
    </xf>
    <xf numFmtId="9" fontId="102" fillId="46" borderId="79" xfId="370" applyFont="1" applyFill="1" applyBorder="1" applyAlignment="1">
      <alignment horizontal="right"/>
    </xf>
    <xf numFmtId="175" fontId="102" fillId="46" borderId="2" xfId="371" applyFont="1" applyFill="1" applyBorder="1"/>
    <xf numFmtId="0" fontId="102" fillId="46" borderId="8" xfId="193" applyFont="1" applyFill="1" applyBorder="1"/>
    <xf numFmtId="0" fontId="103" fillId="46" borderId="12" xfId="193" applyFont="1" applyFill="1" applyBorder="1" applyAlignment="1">
      <alignment horizontal="center"/>
    </xf>
    <xf numFmtId="0" fontId="103" fillId="46" borderId="19" xfId="193" applyFont="1" applyFill="1" applyBorder="1" applyAlignment="1">
      <alignment horizontal="center" vertical="center" wrapText="1"/>
    </xf>
    <xf numFmtId="0" fontId="103" fillId="46" borderId="12" xfId="193" applyFont="1" applyFill="1" applyBorder="1" applyAlignment="1">
      <alignment horizontal="center" vertical="center" wrapText="1"/>
    </xf>
    <xf numFmtId="0" fontId="103" fillId="46" borderId="19" xfId="193" applyFont="1" applyFill="1" applyBorder="1" applyAlignment="1">
      <alignment horizontal="center" vertical="center"/>
    </xf>
    <xf numFmtId="0" fontId="103" fillId="46" borderId="40" xfId="193" applyFont="1" applyFill="1" applyBorder="1" applyAlignment="1">
      <alignment horizontal="center" vertical="center"/>
    </xf>
    <xf numFmtId="0" fontId="103" fillId="46" borderId="27" xfId="193" applyFont="1" applyFill="1" applyBorder="1" applyAlignment="1">
      <alignment horizontal="center" vertical="center"/>
    </xf>
    <xf numFmtId="0" fontId="102" fillId="7" borderId="94" xfId="203" applyFont="1" applyFill="1" applyBorder="1"/>
    <xf numFmtId="2" fontId="102" fillId="46" borderId="92" xfId="193" applyNumberFormat="1" applyFont="1" applyFill="1" applyBorder="1"/>
    <xf numFmtId="183" fontId="102" fillId="46" borderId="80" xfId="193" applyNumberFormat="1" applyFont="1" applyFill="1" applyBorder="1"/>
    <xf numFmtId="0" fontId="102" fillId="46" borderId="77" xfId="193" applyFont="1" applyFill="1" applyBorder="1" applyAlignment="1"/>
    <xf numFmtId="183" fontId="102" fillId="46" borderId="2" xfId="193" applyNumberFormat="1" applyFont="1" applyFill="1" applyBorder="1"/>
    <xf numFmtId="0" fontId="103" fillId="7" borderId="11" xfId="193" applyFont="1" applyFill="1" applyBorder="1" applyAlignment="1">
      <alignment horizontal="center" vertical="center"/>
    </xf>
    <xf numFmtId="0" fontId="103" fillId="7" borderId="12" xfId="193" applyFont="1" applyFill="1" applyBorder="1" applyAlignment="1">
      <alignment vertical="center"/>
    </xf>
    <xf numFmtId="0" fontId="103" fillId="46" borderId="40" xfId="193" applyFont="1" applyFill="1" applyBorder="1" applyAlignment="1">
      <alignment horizontal="center" vertical="center" wrapText="1"/>
    </xf>
    <xf numFmtId="0" fontId="103" fillId="46" borderId="27" xfId="193" applyFont="1" applyFill="1" applyBorder="1" applyAlignment="1">
      <alignment horizontal="center" vertical="center" wrapText="1"/>
    </xf>
    <xf numFmtId="0" fontId="102" fillId="46" borderId="95" xfId="193" applyFont="1" applyFill="1" applyBorder="1" applyAlignment="1"/>
    <xf numFmtId="183" fontId="102" fillId="46" borderId="79" xfId="193" applyNumberFormat="1" applyFont="1" applyFill="1" applyBorder="1"/>
    <xf numFmtId="2" fontId="102" fillId="7" borderId="79" xfId="323" applyNumberFormat="1" applyFont="1" applyFill="1" applyBorder="1" applyAlignment="1">
      <alignment horizontal="center"/>
    </xf>
    <xf numFmtId="183" fontId="102" fillId="7" borderId="79" xfId="371" applyNumberFormat="1" applyFont="1" applyFill="1" applyBorder="1"/>
    <xf numFmtId="197" fontId="102" fillId="46" borderId="110" xfId="193" applyNumberFormat="1" applyFont="1" applyFill="1" applyBorder="1" applyAlignment="1">
      <alignment horizontal="center"/>
    </xf>
    <xf numFmtId="9" fontId="102" fillId="7" borderId="79" xfId="323" applyFont="1" applyFill="1" applyBorder="1" applyAlignment="1">
      <alignment horizontal="center"/>
    </xf>
    <xf numFmtId="0" fontId="102" fillId="46" borderId="110" xfId="193" applyFont="1" applyFill="1" applyBorder="1" applyAlignment="1">
      <alignment horizontal="center"/>
    </xf>
    <xf numFmtId="0" fontId="102" fillId="46" borderId="91" xfId="193" applyFont="1" applyFill="1" applyBorder="1" applyAlignment="1">
      <alignment horizontal="center"/>
    </xf>
    <xf numFmtId="4" fontId="102" fillId="7" borderId="2" xfId="203" applyNumberFormat="1" applyFont="1" applyFill="1" applyBorder="1"/>
    <xf numFmtId="0" fontId="103" fillId="47" borderId="5" xfId="193" applyFont="1" applyFill="1" applyBorder="1" applyAlignment="1"/>
    <xf numFmtId="0" fontId="103" fillId="47" borderId="38" xfId="193" applyFont="1" applyFill="1" applyBorder="1" applyAlignment="1"/>
    <xf numFmtId="0" fontId="103" fillId="47" borderId="38" xfId="193" applyFont="1" applyFill="1" applyBorder="1" applyAlignment="1">
      <alignment horizontal="right"/>
    </xf>
    <xf numFmtId="4" fontId="102" fillId="47" borderId="15" xfId="193" applyNumberFormat="1" applyFont="1" applyFill="1" applyBorder="1"/>
    <xf numFmtId="0" fontId="103" fillId="46" borderId="94" xfId="193" applyFont="1" applyFill="1" applyBorder="1"/>
    <xf numFmtId="0" fontId="102" fillId="46" borderId="92" xfId="193" applyFont="1" applyFill="1" applyBorder="1"/>
    <xf numFmtId="0" fontId="102" fillId="46" borderId="112" xfId="193" applyFont="1" applyFill="1" applyBorder="1"/>
    <xf numFmtId="0" fontId="103" fillId="46" borderId="13" xfId="193" applyFont="1" applyFill="1" applyBorder="1" applyAlignment="1">
      <alignment horizontal="center" wrapText="1"/>
    </xf>
    <xf numFmtId="0" fontId="103" fillId="46" borderId="19" xfId="193" applyFont="1" applyFill="1" applyBorder="1" applyAlignment="1">
      <alignment horizontal="center" wrapText="1"/>
    </xf>
    <xf numFmtId="0" fontId="103" fillId="46" borderId="40" xfId="193" applyFont="1" applyFill="1" applyBorder="1" applyAlignment="1">
      <alignment horizontal="center" wrapText="1"/>
    </xf>
    <xf numFmtId="0" fontId="103" fillId="46" borderId="27" xfId="193" applyFont="1" applyFill="1" applyBorder="1" applyAlignment="1">
      <alignment horizontal="center" wrapText="1"/>
    </xf>
    <xf numFmtId="168" fontId="103" fillId="46" borderId="92" xfId="372" applyFont="1" applyFill="1" applyBorder="1"/>
    <xf numFmtId="9" fontId="103" fillId="46" borderId="93" xfId="370" applyFont="1" applyFill="1" applyBorder="1"/>
    <xf numFmtId="10" fontId="102" fillId="7" borderId="93" xfId="203" applyNumberFormat="1" applyFont="1" applyFill="1" applyBorder="1"/>
    <xf numFmtId="168" fontId="102" fillId="46" borderId="91" xfId="372" applyFont="1" applyFill="1" applyBorder="1" applyAlignment="1">
      <alignment horizontal="right"/>
    </xf>
    <xf numFmtId="168" fontId="102" fillId="46" borderId="80" xfId="372" applyFont="1" applyFill="1" applyBorder="1"/>
    <xf numFmtId="0" fontId="103" fillId="46" borderId="95" xfId="193" applyFont="1" applyFill="1" applyBorder="1" applyAlignment="1"/>
    <xf numFmtId="0" fontId="103" fillId="46" borderId="77" xfId="193" applyFont="1" applyFill="1" applyBorder="1" applyAlignment="1"/>
    <xf numFmtId="9" fontId="102" fillId="7" borderId="93" xfId="203" applyNumberFormat="1" applyFont="1" applyFill="1" applyBorder="1"/>
    <xf numFmtId="168" fontId="102" fillId="3" borderId="15" xfId="193" applyNumberFormat="1" applyFont="1" applyFill="1" applyBorder="1"/>
    <xf numFmtId="0" fontId="102" fillId="3" borderId="8" xfId="193" applyFont="1" applyFill="1" applyBorder="1"/>
    <xf numFmtId="0" fontId="102" fillId="3" borderId="0" xfId="193" applyFont="1" applyFill="1" applyBorder="1"/>
    <xf numFmtId="0" fontId="102" fillId="3" borderId="9" xfId="193" applyFont="1" applyFill="1" applyBorder="1"/>
    <xf numFmtId="168" fontId="102" fillId="47" borderId="15" xfId="193" applyNumberFormat="1" applyFont="1" applyFill="1" applyBorder="1"/>
    <xf numFmtId="0" fontId="102" fillId="0" borderId="8" xfId="193" applyFont="1" applyBorder="1"/>
    <xf numFmtId="0" fontId="102" fillId="0" borderId="0" xfId="193" applyFont="1" applyBorder="1" applyProtection="1">
      <protection locked="0"/>
    </xf>
    <xf numFmtId="0" fontId="102" fillId="0" borderId="9" xfId="193" applyFont="1" applyBorder="1"/>
    <xf numFmtId="0" fontId="103" fillId="47" borderId="107" xfId="193" applyFont="1" applyFill="1" applyBorder="1" applyAlignment="1">
      <alignment horizontal="center" vertical="center"/>
    </xf>
    <xf numFmtId="0" fontId="103" fillId="48" borderId="15" xfId="193" applyFont="1" applyFill="1" applyBorder="1" applyAlignment="1">
      <alignment horizontal="center" vertical="center" wrapText="1"/>
    </xf>
    <xf numFmtId="0" fontId="103" fillId="47" borderId="5" xfId="193" applyFont="1" applyFill="1" applyBorder="1" applyAlignment="1">
      <alignment horizontal="center" vertical="center"/>
    </xf>
    <xf numFmtId="191" fontId="102" fillId="46" borderId="110" xfId="193" applyNumberFormat="1" applyFont="1" applyFill="1" applyBorder="1" applyAlignment="1">
      <alignment horizontal="center"/>
    </xf>
    <xf numFmtId="0" fontId="103" fillId="37" borderId="107" xfId="193" applyFont="1" applyFill="1" applyBorder="1" applyAlignment="1">
      <alignment horizontal="center" vertical="center"/>
    </xf>
    <xf numFmtId="0" fontId="6" fillId="0" borderId="94" xfId="0" applyFont="1" applyBorder="1"/>
    <xf numFmtId="0" fontId="6" fillId="0" borderId="93" xfId="0" applyFont="1" applyBorder="1"/>
    <xf numFmtId="165" fontId="6" fillId="0" borderId="79" xfId="1" applyFont="1" applyFill="1" applyBorder="1" applyAlignment="1">
      <alignment horizontal="right"/>
    </xf>
    <xf numFmtId="174" fontId="6" fillId="0" borderId="79" xfId="0" applyNumberFormat="1" applyFont="1" applyBorder="1"/>
    <xf numFmtId="165" fontId="6" fillId="0" borderId="80" xfId="1" applyFont="1" applyFill="1" applyBorder="1"/>
    <xf numFmtId="4" fontId="6" fillId="0" borderId="79" xfId="0" applyNumberFormat="1" applyFont="1" applyBorder="1"/>
    <xf numFmtId="165" fontId="6" fillId="0" borderId="79" xfId="1" applyFont="1" applyFill="1" applyBorder="1"/>
    <xf numFmtId="169" fontId="6" fillId="0" borderId="79" xfId="0" applyNumberFormat="1" applyFont="1" applyBorder="1"/>
    <xf numFmtId="0" fontId="6" fillId="3" borderId="79" xfId="0" applyFont="1" applyFill="1" applyBorder="1" applyAlignment="1">
      <alignment horizontal="center"/>
    </xf>
    <xf numFmtId="0" fontId="6" fillId="0" borderId="81" xfId="0" applyFont="1" applyBorder="1"/>
    <xf numFmtId="0" fontId="102" fillId="46" borderId="91" xfId="193" applyFont="1" applyFill="1" applyBorder="1" applyAlignment="1"/>
    <xf numFmtId="0" fontId="102" fillId="46" borderId="110" xfId="193" applyFont="1" applyFill="1" applyBorder="1" applyAlignment="1">
      <alignment horizontal="right"/>
    </xf>
    <xf numFmtId="167" fontId="102" fillId="46" borderId="31" xfId="190" applyFont="1" applyFill="1" applyBorder="1" applyAlignment="1">
      <alignment horizontal="right"/>
    </xf>
    <xf numFmtId="167" fontId="102" fillId="46" borderId="25" xfId="190" applyFont="1" applyFill="1" applyBorder="1" applyAlignment="1">
      <alignment horizontal="right"/>
    </xf>
    <xf numFmtId="0" fontId="102" fillId="0" borderId="79" xfId="193" applyFont="1" applyBorder="1" applyAlignment="1">
      <alignment horizontal="center"/>
    </xf>
    <xf numFmtId="0" fontId="106" fillId="0" borderId="0" xfId="193" applyFont="1" applyAlignment="1">
      <alignment vertical="center"/>
    </xf>
    <xf numFmtId="191" fontId="107" fillId="43" borderId="108" xfId="193" applyNumberFormat="1" applyFont="1" applyFill="1" applyBorder="1" applyAlignment="1">
      <alignment horizontal="center" vertical="center"/>
    </xf>
    <xf numFmtId="0" fontId="107" fillId="44" borderId="15" xfId="193" applyFont="1" applyFill="1" applyBorder="1" applyAlignment="1">
      <alignment horizontal="center" vertical="center"/>
    </xf>
    <xf numFmtId="0" fontId="107" fillId="43" borderId="108" xfId="193" applyFont="1" applyFill="1" applyBorder="1" applyAlignment="1">
      <alignment vertical="center"/>
    </xf>
    <xf numFmtId="0" fontId="0" fillId="7" borderId="0" xfId="0" applyFill="1"/>
    <xf numFmtId="0" fontId="109" fillId="0" borderId="0" xfId="0" applyFont="1"/>
    <xf numFmtId="0" fontId="110" fillId="49" borderId="5" xfId="0" applyFont="1" applyFill="1" applyBorder="1" applyAlignment="1">
      <alignment horizontal="center" vertical="center" wrapText="1"/>
    </xf>
    <xf numFmtId="0" fontId="110" fillId="49" borderId="114" xfId="0" applyFont="1" applyFill="1" applyBorder="1" applyAlignment="1">
      <alignment horizontal="center" vertical="center" wrapText="1"/>
    </xf>
    <xf numFmtId="0" fontId="110" fillId="49" borderId="116" xfId="0" applyFont="1" applyFill="1" applyBorder="1" applyAlignment="1">
      <alignment horizontal="center" vertical="center" wrapText="1"/>
    </xf>
    <xf numFmtId="4" fontId="36" fillId="7" borderId="83" xfId="0" applyNumberFormat="1" applyFont="1" applyFill="1" applyBorder="1" applyAlignment="1">
      <alignment horizontal="center" vertical="center" wrapText="1"/>
    </xf>
    <xf numFmtId="0" fontId="36" fillId="7" borderId="79" xfId="0" applyFont="1" applyFill="1" applyBorder="1" applyAlignment="1">
      <alignment horizontal="center" vertical="center" wrapText="1"/>
    </xf>
    <xf numFmtId="165" fontId="36" fillId="7" borderId="80" xfId="1" applyFont="1" applyFill="1" applyBorder="1" applyAlignment="1">
      <alignment horizontal="center" vertical="center" wrapText="1"/>
    </xf>
    <xf numFmtId="0" fontId="37" fillId="7" borderId="8" xfId="0" applyFont="1" applyFill="1" applyBorder="1" applyAlignment="1">
      <alignment vertical="center" wrapText="1"/>
    </xf>
    <xf numFmtId="0" fontId="37" fillId="7" borderId="0" xfId="0" applyFont="1" applyFill="1" applyAlignment="1">
      <alignment vertical="center" wrapText="1"/>
    </xf>
    <xf numFmtId="0" fontId="37" fillId="7" borderId="9" xfId="0" applyFont="1" applyFill="1" applyBorder="1" applyAlignment="1">
      <alignment vertical="center" wrapText="1"/>
    </xf>
    <xf numFmtId="0" fontId="111" fillId="7" borderId="8" xfId="0" applyFont="1" applyFill="1" applyBorder="1" applyAlignment="1">
      <alignment vertical="center"/>
    </xf>
    <xf numFmtId="0" fontId="109" fillId="7" borderId="0" xfId="0" applyFont="1" applyFill="1" applyAlignment="1">
      <alignment vertical="center" wrapText="1"/>
    </xf>
    <xf numFmtId="0" fontId="109" fillId="7" borderId="9" xfId="0" applyFont="1" applyFill="1" applyBorder="1" applyAlignment="1">
      <alignment vertical="center" wrapText="1"/>
    </xf>
    <xf numFmtId="0" fontId="111" fillId="7" borderId="83" xfId="0" applyFont="1" applyFill="1" applyBorder="1" applyAlignment="1">
      <alignment horizontal="center" vertical="center" wrapText="1"/>
    </xf>
    <xf numFmtId="0" fontId="111" fillId="7" borderId="91" xfId="0" applyFont="1" applyFill="1" applyBorder="1" applyAlignment="1">
      <alignment horizontal="center" vertical="center" wrapText="1"/>
    </xf>
    <xf numFmtId="0" fontId="111" fillId="7" borderId="93" xfId="0" applyFont="1" applyFill="1" applyBorder="1" applyAlignment="1">
      <alignment horizontal="center" vertical="center" wrapText="1"/>
    </xf>
    <xf numFmtId="0" fontId="111" fillId="7" borderId="79" xfId="0" applyFont="1" applyFill="1" applyBorder="1" applyAlignment="1">
      <alignment horizontal="center" vertical="center" wrapText="1"/>
    </xf>
    <xf numFmtId="0" fontId="111" fillId="7" borderId="80" xfId="0" applyFont="1" applyFill="1" applyBorder="1" applyAlignment="1">
      <alignment horizontal="center" vertical="center" wrapText="1"/>
    </xf>
    <xf numFmtId="0" fontId="109" fillId="7" borderId="83" xfId="0" applyFont="1" applyFill="1" applyBorder="1" applyAlignment="1">
      <alignment horizontal="center" vertical="center" wrapText="1"/>
    </xf>
    <xf numFmtId="0" fontId="109" fillId="7" borderId="79" xfId="0" applyFont="1" applyFill="1" applyBorder="1" applyAlignment="1">
      <alignment horizontal="center" vertical="center" wrapText="1"/>
    </xf>
    <xf numFmtId="9" fontId="109" fillId="7" borderId="79" xfId="2" applyFont="1" applyFill="1" applyBorder="1" applyAlignment="1">
      <alignment horizontal="center" vertical="center" wrapText="1"/>
    </xf>
    <xf numFmtId="4" fontId="109" fillId="7" borderId="79" xfId="0" applyNumberFormat="1" applyFont="1" applyFill="1" applyBorder="1" applyAlignment="1">
      <alignment horizontal="center" vertical="center" wrapText="1"/>
    </xf>
    <xf numFmtId="198" fontId="109" fillId="7" borderId="80" xfId="1" applyNumberFormat="1" applyFont="1" applyFill="1" applyBorder="1" applyAlignment="1">
      <alignment horizontal="center" vertical="center" wrapText="1"/>
    </xf>
    <xf numFmtId="165" fontId="109" fillId="7" borderId="79" xfId="1" applyFont="1" applyFill="1" applyBorder="1" applyAlignment="1">
      <alignment horizontal="left" vertical="center" wrapText="1"/>
    </xf>
    <xf numFmtId="0" fontId="109" fillId="7" borderId="8" xfId="0" applyFont="1" applyFill="1" applyBorder="1" applyAlignment="1">
      <alignment vertical="center" wrapText="1"/>
    </xf>
    <xf numFmtId="198" fontId="109" fillId="7" borderId="80" xfId="1" applyNumberFormat="1" applyFont="1" applyFill="1" applyBorder="1" applyAlignment="1">
      <alignment vertical="center" wrapText="1"/>
    </xf>
    <xf numFmtId="198" fontId="109" fillId="7" borderId="9" xfId="1" applyNumberFormat="1" applyFont="1" applyFill="1" applyBorder="1" applyAlignment="1">
      <alignment vertical="center" wrapText="1"/>
    </xf>
    <xf numFmtId="198" fontId="111" fillId="7" borderId="80" xfId="1" applyNumberFormat="1" applyFont="1" applyFill="1" applyBorder="1" applyAlignment="1">
      <alignment horizontal="center" vertical="center" wrapText="1"/>
    </xf>
    <xf numFmtId="0" fontId="37" fillId="7" borderId="79" xfId="0" applyFont="1" applyFill="1" applyBorder="1" applyAlignment="1">
      <alignment horizontal="center" vertical="center" wrapText="1"/>
    </xf>
    <xf numFmtId="165" fontId="37" fillId="7" borderId="79" xfId="1" applyFont="1" applyFill="1" applyBorder="1" applyAlignment="1">
      <alignment horizontal="center" vertical="center" wrapText="1"/>
    </xf>
    <xf numFmtId="0" fontId="37" fillId="7" borderId="91" xfId="0" applyFont="1" applyFill="1" applyBorder="1" applyAlignment="1">
      <alignment horizontal="left" vertical="center" wrapText="1"/>
    </xf>
    <xf numFmtId="0" fontId="37" fillId="7" borderId="93" xfId="0" applyFont="1" applyFill="1" applyBorder="1" applyAlignment="1">
      <alignment horizontal="left" vertical="center" wrapText="1"/>
    </xf>
    <xf numFmtId="0" fontId="109" fillId="7" borderId="83" xfId="0" quotePrefix="1" applyFont="1" applyFill="1" applyBorder="1" applyAlignment="1">
      <alignment vertical="center" wrapText="1"/>
    </xf>
    <xf numFmtId="0" fontId="109" fillId="7" borderId="79" xfId="0" quotePrefix="1" applyFont="1" applyFill="1" applyBorder="1" applyAlignment="1">
      <alignment vertical="center" wrapText="1"/>
    </xf>
    <xf numFmtId="0" fontId="109" fillId="7" borderId="79" xfId="0" quotePrefix="1" applyFont="1" applyFill="1" applyBorder="1" applyAlignment="1">
      <alignment horizontal="center" vertical="center" wrapText="1"/>
    </xf>
    <xf numFmtId="198" fontId="109" fillId="7" borderId="80" xfId="1" quotePrefix="1" applyNumberFormat="1" applyFont="1" applyFill="1" applyBorder="1" applyAlignment="1">
      <alignment vertical="center" wrapText="1"/>
    </xf>
    <xf numFmtId="0" fontId="109" fillId="7" borderId="91" xfId="0" applyFont="1" applyFill="1" applyBorder="1" applyAlignment="1">
      <alignment horizontal="left" vertical="center" wrapText="1"/>
    </xf>
    <xf numFmtId="4" fontId="109" fillId="7" borderId="79" xfId="0" quotePrefix="1" applyNumberFormat="1" applyFont="1" applyFill="1" applyBorder="1" applyAlignment="1">
      <alignment horizontal="center" vertical="center" wrapText="1"/>
    </xf>
    <xf numFmtId="181" fontId="109" fillId="7" borderId="79" xfId="0" applyNumberFormat="1" applyFont="1" applyFill="1" applyBorder="1" applyAlignment="1">
      <alignment horizontal="center" vertical="center" wrapText="1"/>
    </xf>
    <xf numFmtId="0" fontId="111" fillId="7" borderId="79" xfId="0" quotePrefix="1" applyFont="1" applyFill="1" applyBorder="1" applyAlignment="1">
      <alignment horizontal="center" vertical="center" wrapText="1"/>
    </xf>
    <xf numFmtId="0" fontId="109" fillId="7" borderId="91" xfId="0" applyFont="1" applyFill="1" applyBorder="1" applyAlignment="1">
      <alignment horizontal="center" vertical="center" wrapText="1"/>
    </xf>
    <xf numFmtId="165" fontId="109" fillId="7" borderId="91" xfId="1" applyFont="1" applyFill="1" applyBorder="1" applyAlignment="1">
      <alignment horizontal="left" vertical="center" wrapText="1"/>
    </xf>
    <xf numFmtId="2" fontId="109" fillId="7" borderId="79" xfId="0" quotePrefix="1" applyNumberFormat="1" applyFont="1" applyFill="1" applyBorder="1" applyAlignment="1">
      <alignment horizontal="center" vertical="center" wrapText="1"/>
    </xf>
    <xf numFmtId="198" fontId="109" fillId="7" borderId="80" xfId="1" quotePrefix="1" applyNumberFormat="1" applyFont="1" applyFill="1" applyBorder="1" applyAlignment="1">
      <alignment horizontal="center" vertical="center" wrapText="1"/>
    </xf>
    <xf numFmtId="0" fontId="109" fillId="7" borderId="0" xfId="0" applyFont="1" applyFill="1"/>
    <xf numFmtId="198" fontId="111" fillId="7" borderId="80" xfId="1" applyNumberFormat="1" applyFont="1" applyFill="1" applyBorder="1" applyAlignment="1">
      <alignment wrapText="1"/>
    </xf>
    <xf numFmtId="0" fontId="109" fillId="7" borderId="9" xfId="0" applyFont="1" applyFill="1" applyBorder="1"/>
    <xf numFmtId="0" fontId="109" fillId="7" borderId="81" xfId="0" applyFont="1" applyFill="1" applyBorder="1"/>
    <xf numFmtId="0" fontId="109" fillId="7" borderId="10" xfId="0" applyFont="1" applyFill="1" applyBorder="1"/>
    <xf numFmtId="0" fontId="109" fillId="7" borderId="93" xfId="0" applyFont="1" applyFill="1" applyBorder="1" applyAlignment="1">
      <alignment horizontal="left" vertical="center" wrapText="1"/>
    </xf>
    <xf numFmtId="165" fontId="37" fillId="0" borderId="79" xfId="1" applyFont="1" applyFill="1" applyBorder="1" applyAlignment="1">
      <alignment horizontal="center" vertical="center" wrapText="1"/>
    </xf>
    <xf numFmtId="165" fontId="109" fillId="0" borderId="79" xfId="1" applyFont="1" applyFill="1" applyBorder="1" applyAlignment="1">
      <alignment horizontal="left" vertical="center" wrapText="1"/>
    </xf>
    <xf numFmtId="181" fontId="112" fillId="0" borderId="0" xfId="0" applyNumberFormat="1" applyFont="1" applyAlignment="1">
      <alignment horizontal="center" vertical="center" wrapText="1"/>
    </xf>
    <xf numFmtId="167" fontId="0" fillId="0" borderId="0" xfId="190" applyFont="1" applyFill="1" applyBorder="1"/>
    <xf numFmtId="181" fontId="70" fillId="0" borderId="0" xfId="17" applyNumberFormat="1" applyFont="1" applyAlignment="1">
      <alignment horizontal="center" vertical="center" wrapText="1"/>
    </xf>
    <xf numFmtId="0" fontId="16" fillId="7" borderId="11" xfId="0" applyFont="1" applyFill="1" applyBorder="1"/>
    <xf numFmtId="10" fontId="16" fillId="7" borderId="31" xfId="0" applyNumberFormat="1" applyFont="1" applyFill="1" applyBorder="1"/>
    <xf numFmtId="10" fontId="17" fillId="2" borderId="15" xfId="0" applyNumberFormat="1" applyFont="1" applyFill="1" applyBorder="1"/>
    <xf numFmtId="167" fontId="7" fillId="0" borderId="9" xfId="190" applyFont="1" applyBorder="1" applyAlignment="1">
      <alignment horizontal="center" vertical="center" wrapText="1"/>
    </xf>
    <xf numFmtId="167" fontId="6" fillId="0" borderId="0" xfId="190" applyFont="1"/>
    <xf numFmtId="167" fontId="6" fillId="0" borderId="0" xfId="190" applyFont="1" applyAlignment="1">
      <alignment horizontal="center"/>
    </xf>
    <xf numFmtId="167" fontId="6" fillId="0" borderId="1" xfId="190" applyFont="1" applyBorder="1"/>
    <xf numFmtId="167" fontId="6" fillId="0" borderId="14" xfId="190" applyFont="1" applyBorder="1"/>
    <xf numFmtId="167" fontId="6" fillId="0" borderId="2" xfId="190" applyFont="1" applyBorder="1"/>
    <xf numFmtId="167" fontId="6" fillId="0" borderId="15" xfId="190" applyFont="1" applyFill="1" applyBorder="1"/>
    <xf numFmtId="167" fontId="6" fillId="0" borderId="9" xfId="190" applyFont="1" applyBorder="1" applyAlignment="1">
      <alignment vertical="center"/>
    </xf>
    <xf numFmtId="167" fontId="6" fillId="0" borderId="9" xfId="190" applyFont="1" applyBorder="1" applyAlignment="1">
      <alignment horizontal="center" vertical="center"/>
    </xf>
    <xf numFmtId="167" fontId="6" fillId="0" borderId="3" xfId="190" applyFont="1" applyBorder="1" applyAlignment="1">
      <alignment vertical="center"/>
    </xf>
    <xf numFmtId="167" fontId="6" fillId="0" borderId="15" xfId="190" applyFont="1" applyFill="1" applyBorder="1" applyAlignment="1">
      <alignment vertical="center"/>
    </xf>
    <xf numFmtId="167" fontId="6" fillId="0" borderId="0" xfId="190" applyFont="1" applyAlignment="1">
      <alignment vertical="center"/>
    </xf>
    <xf numFmtId="167" fontId="6" fillId="0" borderId="1" xfId="190" applyFont="1" applyBorder="1" applyAlignment="1">
      <alignment vertical="center"/>
    </xf>
    <xf numFmtId="167" fontId="6" fillId="0" borderId="14" xfId="190" applyFont="1" applyBorder="1" applyAlignment="1">
      <alignment vertical="center"/>
    </xf>
    <xf numFmtId="167" fontId="6" fillId="0" borderId="2" xfId="190" applyFont="1" applyBorder="1" applyAlignment="1">
      <alignment vertical="center"/>
    </xf>
    <xf numFmtId="182" fontId="33" fillId="0" borderId="80" xfId="22" applyNumberFormat="1" applyFont="1" applyFill="1" applyBorder="1" applyAlignment="1">
      <alignment vertical="center"/>
    </xf>
    <xf numFmtId="182" fontId="33" fillId="0" borderId="41" xfId="22" applyNumberFormat="1" applyFont="1" applyFill="1" applyBorder="1" applyAlignment="1">
      <alignment vertical="center"/>
    </xf>
    <xf numFmtId="2" fontId="31" fillId="0" borderId="7" xfId="13" applyNumberFormat="1" applyFont="1" applyBorder="1" applyAlignment="1">
      <alignment vertical="center"/>
    </xf>
    <xf numFmtId="2" fontId="36" fillId="0" borderId="29" xfId="13" applyNumberFormat="1" applyFont="1" applyBorder="1" applyAlignment="1">
      <alignment horizontal="center" vertical="center" wrapText="1"/>
    </xf>
    <xf numFmtId="2" fontId="36" fillId="0" borderId="30" xfId="13" applyNumberFormat="1" applyFont="1" applyBorder="1" applyAlignment="1">
      <alignment horizontal="center" vertical="center" wrapText="1"/>
    </xf>
    <xf numFmtId="2" fontId="36" fillId="0" borderId="82" xfId="13" applyNumberFormat="1" applyFont="1" applyBorder="1" applyAlignment="1">
      <alignment horizontal="center" vertical="center" wrapText="1"/>
    </xf>
    <xf numFmtId="2" fontId="32" fillId="10" borderId="7" xfId="13" applyNumberFormat="1" applyFont="1" applyFill="1" applyBorder="1" applyAlignment="1">
      <alignment horizontal="right" vertical="center"/>
    </xf>
    <xf numFmtId="2" fontId="33" fillId="0" borderId="19" xfId="13" applyNumberFormat="1" applyFont="1" applyBorder="1" applyAlignment="1">
      <alignment horizontal="right" vertical="center"/>
    </xf>
    <xf numFmtId="2" fontId="33" fillId="0" borderId="79" xfId="13" applyNumberFormat="1" applyFont="1" applyBorder="1" applyAlignment="1">
      <alignment horizontal="right" vertical="center"/>
    </xf>
    <xf numFmtId="2" fontId="38" fillId="0" borderId="87" xfId="27" applyNumberFormat="1" applyFont="1" applyBorder="1" applyAlignment="1">
      <alignment horizontal="left" vertical="center"/>
    </xf>
    <xf numFmtId="2" fontId="32" fillId="10" borderId="0" xfId="13" applyNumberFormat="1" applyFont="1" applyFill="1" applyAlignment="1">
      <alignment vertical="center"/>
    </xf>
    <xf numFmtId="2" fontId="33" fillId="0" borderId="19" xfId="27" applyNumberFormat="1" applyFont="1" applyBorder="1" applyAlignment="1">
      <alignment horizontal="right" vertical="center"/>
    </xf>
    <xf numFmtId="2" fontId="33" fillId="0" borderId="79" xfId="27" applyNumberFormat="1" applyFont="1" applyBorder="1" applyAlignment="1">
      <alignment horizontal="right" vertical="center"/>
    </xf>
    <xf numFmtId="2" fontId="38" fillId="7" borderId="85" xfId="27" applyNumberFormat="1" applyFont="1" applyFill="1" applyBorder="1" applyAlignment="1">
      <alignment horizontal="left" vertical="center"/>
    </xf>
    <xf numFmtId="2" fontId="32" fillId="10" borderId="38" xfId="13" applyNumberFormat="1" applyFont="1" applyFill="1" applyBorder="1" applyAlignment="1">
      <alignment vertical="center"/>
    </xf>
    <xf numFmtId="2" fontId="38" fillId="7" borderId="82" xfId="27" applyNumberFormat="1" applyFont="1" applyFill="1" applyBorder="1" applyAlignment="1">
      <alignment horizontal="left" vertical="center"/>
    </xf>
    <xf numFmtId="2" fontId="38" fillId="7" borderId="87" xfId="27" applyNumberFormat="1" applyFont="1" applyFill="1" applyBorder="1" applyAlignment="1">
      <alignment horizontal="left" vertical="center"/>
    </xf>
    <xf numFmtId="2" fontId="38" fillId="7" borderId="0" xfId="25" applyNumberFormat="1" applyFont="1" applyFill="1" applyAlignment="1">
      <alignment horizontal="left" vertical="center" wrapText="1"/>
    </xf>
    <xf numFmtId="2" fontId="33" fillId="0" borderId="23" xfId="27" applyNumberFormat="1" applyFont="1" applyBorder="1" applyAlignment="1">
      <alignment horizontal="right" vertical="center"/>
    </xf>
    <xf numFmtId="2" fontId="33" fillId="0" borderId="7" xfId="27" applyNumberFormat="1" applyFont="1" applyBorder="1" applyAlignment="1">
      <alignment horizontal="right" vertical="center"/>
    </xf>
    <xf numFmtId="2" fontId="33" fillId="0" borderId="0" xfId="27" applyNumberFormat="1" applyFont="1" applyAlignment="1">
      <alignment horizontal="right" vertical="center"/>
    </xf>
    <xf numFmtId="2" fontId="0" fillId="0" borderId="38" xfId="0" applyNumberFormat="1" applyBorder="1" applyAlignment="1">
      <alignment vertical="center"/>
    </xf>
    <xf numFmtId="167" fontId="33" fillId="0" borderId="79" xfId="190" applyFont="1" applyBorder="1"/>
    <xf numFmtId="174" fontId="24" fillId="0" borderId="0" xfId="0" applyNumberFormat="1" applyFont="1" applyAlignment="1">
      <alignment vertical="center"/>
    </xf>
    <xf numFmtId="167" fontId="21" fillId="0" borderId="0" xfId="190" applyFont="1" applyAlignment="1">
      <alignment vertical="center"/>
    </xf>
    <xf numFmtId="167" fontId="20" fillId="0" borderId="0" xfId="190" applyFont="1" applyAlignment="1">
      <alignment vertical="center"/>
    </xf>
    <xf numFmtId="175" fontId="85" fillId="2" borderId="89" xfId="203" applyNumberFormat="1" applyFont="1" applyFill="1" applyBorder="1" applyAlignment="1">
      <alignment vertical="center"/>
    </xf>
    <xf numFmtId="167" fontId="102" fillId="46" borderId="94" xfId="190" applyFont="1" applyFill="1" applyBorder="1" applyAlignment="1"/>
    <xf numFmtId="167" fontId="102" fillId="46" borderId="113" xfId="190" applyFont="1" applyFill="1" applyBorder="1" applyAlignment="1">
      <alignment horizontal="left"/>
    </xf>
    <xf numFmtId="0" fontId="102" fillId="46" borderId="113" xfId="193" applyFont="1" applyFill="1" applyBorder="1" applyAlignment="1">
      <alignment horizontal="center" vertical="center"/>
    </xf>
    <xf numFmtId="168" fontId="13" fillId="0" borderId="84" xfId="6" applyFont="1" applyFill="1" applyBorder="1" applyAlignment="1">
      <alignment horizontal="left" vertical="top"/>
    </xf>
    <xf numFmtId="0" fontId="8" fillId="0" borderId="85" xfId="0" applyFont="1" applyBorder="1" applyAlignment="1">
      <alignment horizontal="left" vertical="top" wrapText="1"/>
    </xf>
    <xf numFmtId="180" fontId="0" fillId="41" borderId="117" xfId="207" applyFont="1" applyFill="1" applyBorder="1" applyAlignment="1">
      <alignment vertical="top" wrapText="1"/>
    </xf>
    <xf numFmtId="0" fontId="0" fillId="0" borderId="18" xfId="0" applyBorder="1" applyAlignment="1">
      <alignment horizontal="left" vertical="top"/>
    </xf>
    <xf numFmtId="0" fontId="0" fillId="5" borderId="19" xfId="0" applyFill="1" applyBorder="1" applyAlignment="1">
      <alignment vertical="top" wrapText="1"/>
    </xf>
    <xf numFmtId="0" fontId="0" fillId="0" borderId="83" xfId="0" applyBorder="1" applyAlignment="1">
      <alignment horizontal="left" vertical="top"/>
    </xf>
    <xf numFmtId="0" fontId="100" fillId="0" borderId="83" xfId="193" applyFont="1" applyBorder="1"/>
    <xf numFmtId="0" fontId="0" fillId="0" borderId="86" xfId="0" applyBorder="1" applyAlignment="1">
      <alignment horizontal="left" vertical="top"/>
    </xf>
    <xf numFmtId="0" fontId="0" fillId="5" borderId="93" xfId="0" applyFill="1" applyBorder="1" applyAlignment="1">
      <alignment vertical="top" wrapText="1"/>
    </xf>
    <xf numFmtId="0" fontId="113" fillId="0" borderId="0" xfId="193" applyFont="1"/>
    <xf numFmtId="183" fontId="113" fillId="0" borderId="0" xfId="193" applyNumberFormat="1" applyFont="1"/>
    <xf numFmtId="0" fontId="113" fillId="0" borderId="0" xfId="193" applyFont="1" applyAlignment="1">
      <alignment vertical="center"/>
    </xf>
    <xf numFmtId="183" fontId="102" fillId="46" borderId="110" xfId="193" applyNumberFormat="1" applyFont="1" applyFill="1" applyBorder="1" applyAlignment="1">
      <alignment horizontal="right"/>
    </xf>
    <xf numFmtId="4" fontId="102" fillId="46" borderId="5" xfId="193" applyNumberFormat="1" applyFont="1" applyFill="1" applyBorder="1"/>
    <xf numFmtId="4" fontId="0" fillId="0" borderId="0" xfId="0" applyNumberFormat="1" applyAlignment="1">
      <alignment horizontal="left" vertical="top"/>
    </xf>
    <xf numFmtId="0" fontId="71" fillId="5" borderId="85" xfId="0" applyFont="1" applyFill="1" applyBorder="1" applyAlignment="1">
      <alignment vertical="center"/>
    </xf>
    <xf numFmtId="168" fontId="33" fillId="0" borderId="77" xfId="27" applyNumberFormat="1" applyFont="1" applyBorder="1" applyAlignment="1">
      <alignment vertical="center"/>
    </xf>
    <xf numFmtId="0" fontId="0" fillId="0" borderId="77" xfId="0" applyBorder="1"/>
    <xf numFmtId="0" fontId="102" fillId="0" borderId="77" xfId="193" applyFont="1" applyBorder="1" applyAlignment="1"/>
    <xf numFmtId="2" fontId="102" fillId="0" borderId="79" xfId="193" applyNumberFormat="1" applyFont="1" applyBorder="1"/>
    <xf numFmtId="2" fontId="102" fillId="0" borderId="92" xfId="193" applyNumberFormat="1" applyFont="1" applyBorder="1"/>
    <xf numFmtId="167" fontId="102" fillId="0" borderId="113" xfId="190" applyFont="1" applyFill="1" applyBorder="1" applyAlignment="1">
      <alignment horizontal="left"/>
    </xf>
    <xf numFmtId="183" fontId="102" fillId="0" borderId="80" xfId="193" applyNumberFormat="1" applyFont="1" applyBorder="1"/>
    <xf numFmtId="2" fontId="33" fillId="0" borderId="19" xfId="29" applyNumberFormat="1" applyFont="1" applyBorder="1" applyAlignment="1">
      <alignment horizontal="center" vertical="center"/>
    </xf>
    <xf numFmtId="3" fontId="20" fillId="0" borderId="0" xfId="0" applyNumberFormat="1" applyFont="1" applyAlignment="1">
      <alignment vertical="center"/>
    </xf>
    <xf numFmtId="167" fontId="34" fillId="0" borderId="0" xfId="190" applyFont="1"/>
    <xf numFmtId="0" fontId="104" fillId="7" borderId="91" xfId="368" applyFont="1" applyFill="1" applyBorder="1" applyAlignment="1" applyProtection="1">
      <alignment vertical="center"/>
    </xf>
    <xf numFmtId="0" fontId="8" fillId="0" borderId="94" xfId="4" applyFont="1" applyBorder="1" applyAlignment="1">
      <alignment horizontal="left" vertical="top"/>
    </xf>
    <xf numFmtId="0" fontId="9" fillId="0" borderId="26" xfId="4" applyFont="1" applyBorder="1" applyAlignment="1">
      <alignment horizontal="left" vertical="top"/>
    </xf>
    <xf numFmtId="0" fontId="9" fillId="0" borderId="29" xfId="4" applyFont="1" applyBorder="1" applyAlignment="1">
      <alignment horizontal="left" vertical="top" wrapText="1"/>
    </xf>
    <xf numFmtId="0" fontId="9" fillId="0" borderId="29" xfId="4" applyFont="1" applyBorder="1" applyAlignment="1">
      <alignment horizontal="center" vertical="top"/>
    </xf>
    <xf numFmtId="0" fontId="102" fillId="46" borderId="87" xfId="193" applyFont="1" applyFill="1" applyBorder="1" applyAlignment="1">
      <alignment horizontal="left"/>
    </xf>
    <xf numFmtId="0" fontId="21" fillId="0" borderId="79" xfId="0" applyFont="1" applyBorder="1" applyAlignment="1">
      <alignment horizontal="left" vertical="center"/>
    </xf>
    <xf numFmtId="167" fontId="21" fillId="0" borderId="79" xfId="190" applyFont="1" applyBorder="1" applyAlignment="1">
      <alignment vertical="center"/>
    </xf>
    <xf numFmtId="0" fontId="102" fillId="46" borderId="77" xfId="193" applyFont="1" applyFill="1" applyBorder="1" applyAlignment="1">
      <alignment horizontal="left"/>
    </xf>
    <xf numFmtId="190" fontId="0" fillId="0" borderId="0" xfId="2" applyNumberFormat="1" applyFont="1" applyFill="1" applyBorder="1" applyAlignment="1">
      <alignment horizontal="left" vertical="top"/>
    </xf>
    <xf numFmtId="0" fontId="8" fillId="0" borderId="84" xfId="4" applyFont="1" applyBorder="1" applyAlignment="1">
      <alignment horizontal="left" vertical="top"/>
    </xf>
    <xf numFmtId="0" fontId="8" fillId="0" borderId="28" xfId="4" applyFont="1" applyBorder="1" applyAlignment="1">
      <alignment horizontal="left" vertical="top"/>
    </xf>
    <xf numFmtId="0" fontId="8" fillId="0" borderId="25" xfId="0" applyFont="1" applyBorder="1" applyAlignment="1">
      <alignment horizontal="left" vertical="top" wrapText="1"/>
    </xf>
    <xf numFmtId="0" fontId="8" fillId="0" borderId="86" xfId="4" applyFont="1" applyBorder="1" applyAlignment="1">
      <alignment horizontal="left" vertical="top"/>
    </xf>
    <xf numFmtId="0" fontId="8" fillId="0" borderId="40" xfId="0" applyFont="1" applyBorder="1" applyAlignment="1">
      <alignment horizontal="center" vertical="top"/>
    </xf>
    <xf numFmtId="180" fontId="15" fillId="41" borderId="107" xfId="207" applyFont="1" applyFill="1" applyBorder="1" applyAlignment="1">
      <alignment vertical="top" wrapText="1"/>
    </xf>
    <xf numFmtId="180" fontId="15" fillId="39" borderId="105" xfId="207" applyFont="1" applyFill="1" applyBorder="1" applyAlignment="1">
      <alignment vertical="top" wrapText="1"/>
    </xf>
    <xf numFmtId="180" fontId="15" fillId="40" borderId="108" xfId="207" applyFont="1" applyFill="1" applyBorder="1" applyAlignment="1">
      <alignment horizontal="center" vertical="top" wrapText="1"/>
    </xf>
    <xf numFmtId="3" fontId="3" fillId="7" borderId="118" xfId="413" applyNumberFormat="1" applyFont="1" applyFill="1" applyBorder="1" applyAlignment="1" applyProtection="1">
      <alignment vertical="center" wrapText="1"/>
    </xf>
    <xf numFmtId="0" fontId="37" fillId="7" borderId="91" xfId="0" applyFont="1" applyFill="1" applyBorder="1" applyAlignment="1">
      <alignment vertical="center" wrapText="1"/>
    </xf>
    <xf numFmtId="168" fontId="13" fillId="0" borderId="32" xfId="6" applyFont="1" applyFill="1" applyBorder="1" applyAlignment="1">
      <alignment horizontal="left" vertical="top"/>
    </xf>
    <xf numFmtId="0" fontId="8" fillId="0" borderId="30" xfId="0" applyFont="1" applyBorder="1" applyAlignment="1">
      <alignment horizontal="left" vertical="top" wrapText="1"/>
    </xf>
    <xf numFmtId="168" fontId="13" fillId="0" borderId="83" xfId="6" applyFont="1" applyFill="1" applyBorder="1" applyAlignment="1">
      <alignment horizontal="left" vertical="top"/>
    </xf>
    <xf numFmtId="0" fontId="0" fillId="0" borderId="25" xfId="0" applyBorder="1" applyAlignment="1">
      <alignment vertical="top" wrapText="1"/>
    </xf>
    <xf numFmtId="0" fontId="8" fillId="0" borderId="22" xfId="4" applyFont="1" applyBorder="1" applyAlignment="1">
      <alignment horizontal="left" vertical="top"/>
    </xf>
    <xf numFmtId="175" fontId="102" fillId="46" borderId="119" xfId="371" applyFont="1" applyFill="1" applyBorder="1" applyAlignment="1">
      <alignment horizontal="right"/>
    </xf>
    <xf numFmtId="175" fontId="102" fillId="46" borderId="15" xfId="371" applyFont="1" applyFill="1" applyBorder="1"/>
    <xf numFmtId="2" fontId="109" fillId="7" borderId="91" xfId="0" applyNumberFormat="1" applyFont="1" applyFill="1" applyBorder="1" applyAlignment="1">
      <alignment horizontal="center" vertical="center" wrapText="1"/>
    </xf>
    <xf numFmtId="167" fontId="9" fillId="0" borderId="41" xfId="190" applyFont="1" applyFill="1" applyBorder="1" applyAlignment="1">
      <alignment horizontal="left" vertical="top"/>
    </xf>
    <xf numFmtId="180" fontId="15" fillId="0" borderId="105" xfId="207" applyFont="1" applyBorder="1" applyAlignment="1">
      <alignment vertical="top" wrapText="1"/>
    </xf>
    <xf numFmtId="180" fontId="15" fillId="38" borderId="117" xfId="207" applyFont="1" applyFill="1" applyBorder="1" applyAlignment="1">
      <alignment horizontal="center" vertical="top" wrapText="1"/>
    </xf>
    <xf numFmtId="180" fontId="15" fillId="38" borderId="120" xfId="207" applyFont="1" applyFill="1" applyBorder="1" applyAlignment="1">
      <alignment horizontal="center" vertical="top" wrapText="1"/>
    </xf>
    <xf numFmtId="180" fontId="15" fillId="38" borderId="105" xfId="207" applyFont="1" applyFill="1" applyBorder="1" applyAlignment="1">
      <alignment horizontal="center" vertical="top" wrapText="1"/>
    </xf>
    <xf numFmtId="0" fontId="98" fillId="0" borderId="84" xfId="0" applyFont="1" applyBorder="1" applyAlignment="1">
      <alignment horizontal="left" vertical="center" wrapText="1"/>
    </xf>
    <xf numFmtId="10" fontId="16" fillId="0" borderId="85" xfId="0" applyNumberFormat="1" applyFont="1" applyBorder="1" applyAlignment="1">
      <alignment horizontal="center" vertical="center"/>
    </xf>
    <xf numFmtId="172" fontId="16" fillId="7" borderId="85" xfId="0" applyNumberFormat="1" applyFont="1" applyFill="1" applyBorder="1" applyAlignment="1">
      <alignment horizontal="center" vertical="center" wrapText="1"/>
    </xf>
    <xf numFmtId="4" fontId="16" fillId="7" borderId="85" xfId="0" applyNumberFormat="1" applyFont="1" applyFill="1" applyBorder="1" applyAlignment="1">
      <alignment horizontal="center" vertical="center"/>
    </xf>
    <xf numFmtId="167" fontId="0" fillId="0" borderId="0" xfId="190" applyFont="1" applyAlignment="1">
      <alignment vertical="center"/>
    </xf>
    <xf numFmtId="167" fontId="15" fillId="0" borderId="0" xfId="190" applyFont="1"/>
    <xf numFmtId="0" fontId="98" fillId="0" borderId="85" xfId="0" applyFont="1" applyBorder="1" applyAlignment="1">
      <alignment horizontal="left" vertical="center" wrapText="1"/>
    </xf>
    <xf numFmtId="10" fontId="38" fillId="0" borderId="79" xfId="2" applyNumberFormat="1" applyFont="1" applyFill="1" applyBorder="1" applyAlignment="1">
      <alignment vertical="center"/>
    </xf>
    <xf numFmtId="10" fontId="38" fillId="0" borderId="87" xfId="2" applyNumberFormat="1" applyFont="1" applyFill="1" applyBorder="1" applyAlignment="1">
      <alignment vertical="center"/>
    </xf>
    <xf numFmtId="0" fontId="98" fillId="0" borderId="83" xfId="0" applyFont="1" applyBorder="1" applyAlignment="1">
      <alignment horizontal="left" vertical="center"/>
    </xf>
    <xf numFmtId="165" fontId="16" fillId="0" borderId="0" xfId="205" applyFont="1" applyFill="1" applyBorder="1" applyAlignment="1">
      <alignment horizontal="center" vertical="center"/>
    </xf>
    <xf numFmtId="4" fontId="16" fillId="0" borderId="0" xfId="0" applyNumberFormat="1" applyFont="1" applyAlignment="1">
      <alignment horizontal="center" vertical="center"/>
    </xf>
    <xf numFmtId="10" fontId="7" fillId="11" borderId="80" xfId="36" applyNumberFormat="1" applyFont="1" applyFill="1" applyBorder="1" applyAlignment="1">
      <alignment horizontal="center" vertical="center"/>
    </xf>
    <xf numFmtId="10" fontId="79" fillId="0" borderId="0" xfId="206" applyNumberFormat="1"/>
    <xf numFmtId="0" fontId="30" fillId="0" borderId="6" xfId="13" applyFont="1" applyBorder="1" applyAlignment="1">
      <alignment horizontal="left" vertical="center"/>
    </xf>
    <xf numFmtId="0" fontId="38" fillId="7" borderId="79" xfId="29" applyFont="1" applyFill="1" applyBorder="1" applyAlignment="1">
      <alignment vertical="center" wrapText="1"/>
    </xf>
    <xf numFmtId="189" fontId="33" fillId="7" borderId="79" xfId="29" applyNumberFormat="1" applyFont="1" applyFill="1" applyBorder="1" applyAlignment="1">
      <alignment horizontal="center" vertical="center"/>
    </xf>
    <xf numFmtId="0" fontId="33" fillId="7" borderId="79" xfId="29" applyFont="1" applyFill="1" applyBorder="1" applyAlignment="1">
      <alignment horizontal="center" vertical="center" wrapText="1"/>
    </xf>
    <xf numFmtId="2" fontId="33" fillId="0" borderId="79" xfId="29" applyNumberFormat="1" applyFont="1" applyBorder="1" applyAlignment="1">
      <alignment horizontal="right" vertical="center" wrapText="1"/>
    </xf>
    <xf numFmtId="182" fontId="38" fillId="0" borderId="79" xfId="22" applyNumberFormat="1" applyFont="1" applyFill="1" applyBorder="1" applyAlignment="1">
      <alignment vertical="center" wrapText="1"/>
    </xf>
    <xf numFmtId="2" fontId="33" fillId="0" borderId="25" xfId="13" applyNumberFormat="1" applyFont="1" applyBorder="1" applyAlignment="1">
      <alignment horizontal="right" vertical="center"/>
    </xf>
    <xf numFmtId="182" fontId="38" fillId="0" borderId="0" xfId="27" applyNumberFormat="1" applyFont="1" applyAlignment="1">
      <alignment vertical="center"/>
    </xf>
    <xf numFmtId="168" fontId="12" fillId="0" borderId="121" xfId="6" applyFont="1" applyFill="1" applyBorder="1" applyAlignment="1">
      <alignment horizontal="center" vertical="center"/>
    </xf>
    <xf numFmtId="168" fontId="12" fillId="0" borderId="35" xfId="6" applyFont="1" applyFill="1" applyBorder="1" applyAlignment="1">
      <alignment horizontal="center" vertical="center"/>
    </xf>
    <xf numFmtId="0" fontId="8" fillId="0" borderId="91" xfId="0" applyFont="1" applyBorder="1" applyAlignment="1">
      <alignment horizontal="center" vertical="center"/>
    </xf>
    <xf numFmtId="0" fontId="8" fillId="0" borderId="111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91" xfId="0" applyBorder="1" applyAlignment="1">
      <alignment horizontal="center" vertical="center"/>
    </xf>
    <xf numFmtId="0" fontId="0" fillId="0" borderId="103" xfId="0" applyBorder="1" applyAlignment="1">
      <alignment horizontal="center" vertical="center"/>
    </xf>
    <xf numFmtId="167" fontId="12" fillId="0" borderId="1" xfId="190" applyFont="1" applyFill="1" applyBorder="1" applyAlignment="1">
      <alignment horizontal="left" vertical="top"/>
    </xf>
    <xf numFmtId="181" fontId="112" fillId="38" borderId="104" xfId="0" applyNumberFormat="1" applyFont="1" applyFill="1" applyBorder="1" applyAlignment="1">
      <alignment horizontal="right" vertical="center" wrapText="1"/>
    </xf>
    <xf numFmtId="167" fontId="12" fillId="0" borderId="105" xfId="190" applyFont="1" applyFill="1" applyBorder="1" applyAlignment="1">
      <alignment horizontal="left" vertical="top"/>
    </xf>
    <xf numFmtId="180" fontId="0" fillId="41" borderId="14" xfId="207" applyFont="1" applyFill="1" applyBorder="1" applyAlignment="1">
      <alignment vertical="top" wrapText="1"/>
    </xf>
    <xf numFmtId="180" fontId="15" fillId="0" borderId="14" xfId="207" applyFont="1" applyFill="1" applyBorder="1" applyAlignment="1" applyProtection="1">
      <alignment horizontal="center" vertical="top" wrapText="1"/>
    </xf>
    <xf numFmtId="180" fontId="15" fillId="38" borderId="105" xfId="207" applyFont="1" applyFill="1" applyBorder="1" applyAlignment="1" applyProtection="1">
      <alignment horizontal="center" vertical="top" wrapText="1"/>
    </xf>
    <xf numFmtId="180" fontId="0" fillId="41" borderId="108" xfId="207" applyFont="1" applyFill="1" applyBorder="1" applyAlignment="1">
      <alignment vertical="top" wrapText="1"/>
    </xf>
    <xf numFmtId="167" fontId="12" fillId="0" borderId="15" xfId="190" applyFont="1" applyFill="1" applyBorder="1" applyAlignment="1">
      <alignment horizontal="center" vertical="center"/>
    </xf>
    <xf numFmtId="0" fontId="8" fillId="0" borderId="40" xfId="4" applyFont="1" applyBorder="1" applyAlignment="1">
      <alignment horizontal="center" vertical="top" wrapText="1"/>
    </xf>
    <xf numFmtId="0" fontId="11" fillId="0" borderId="91" xfId="0" applyFont="1" applyBorder="1" applyAlignment="1">
      <alignment horizontal="center" vertical="top"/>
    </xf>
    <xf numFmtId="0" fontId="8" fillId="0" borderId="111" xfId="0" applyFont="1" applyBorder="1" applyAlignment="1">
      <alignment horizontal="center" vertical="top"/>
    </xf>
    <xf numFmtId="0" fontId="8" fillId="0" borderId="110" xfId="0" applyFont="1" applyBorder="1" applyAlignment="1">
      <alignment horizontal="center" vertical="top"/>
    </xf>
    <xf numFmtId="0" fontId="8" fillId="0" borderId="121" xfId="0" applyFont="1" applyBorder="1" applyAlignment="1">
      <alignment horizontal="center" vertical="top"/>
    </xf>
    <xf numFmtId="0" fontId="37" fillId="7" borderId="92" xfId="0" applyFont="1" applyFill="1" applyBorder="1" applyAlignment="1">
      <alignment vertical="center" wrapText="1"/>
    </xf>
    <xf numFmtId="0" fontId="37" fillId="7" borderId="92" xfId="0" applyFont="1" applyFill="1" applyBorder="1" applyAlignment="1">
      <alignment horizontal="left" vertical="center" wrapText="1"/>
    </xf>
    <xf numFmtId="0" fontId="0" fillId="0" borderId="103" xfId="0" applyBorder="1" applyAlignment="1">
      <alignment horizontal="center" vertical="top"/>
    </xf>
    <xf numFmtId="180" fontId="15" fillId="0" borderId="107" xfId="207" applyFont="1" applyBorder="1" applyAlignment="1">
      <alignment vertical="top" wrapText="1"/>
    </xf>
    <xf numFmtId="167" fontId="0" fillId="8" borderId="14" xfId="190" applyFont="1" applyFill="1" applyBorder="1" applyAlignment="1">
      <alignment horizontal="left" vertical="top"/>
    </xf>
    <xf numFmtId="180" fontId="15" fillId="0" borderId="122" xfId="207" applyFont="1" applyBorder="1" applyAlignment="1">
      <alignment vertical="top" wrapText="1"/>
    </xf>
    <xf numFmtId="181" fontId="70" fillId="38" borderId="104" xfId="17" applyNumberFormat="1" applyFont="1" applyFill="1" applyBorder="1" applyAlignment="1">
      <alignment horizontal="right" vertical="center" wrapText="1"/>
    </xf>
    <xf numFmtId="180" fontId="108" fillId="38" borderId="105" xfId="207" applyFont="1" applyFill="1" applyBorder="1" applyAlignment="1">
      <alignment horizontal="center" vertical="top" wrapText="1"/>
    </xf>
    <xf numFmtId="180" fontId="108" fillId="38" borderId="117" xfId="207" applyFont="1" applyFill="1" applyBorder="1" applyAlignment="1">
      <alignment horizontal="center" vertical="top" wrapText="1"/>
    </xf>
    <xf numFmtId="180" fontId="15" fillId="40" borderId="15" xfId="207" applyFont="1" applyFill="1" applyBorder="1" applyAlignment="1">
      <alignment horizontal="center" vertical="top" wrapText="1"/>
    </xf>
    <xf numFmtId="167" fontId="0" fillId="0" borderId="14" xfId="190" applyFont="1" applyBorder="1" applyAlignment="1">
      <alignment horizontal="left" vertical="top"/>
    </xf>
    <xf numFmtId="167" fontId="0" fillId="0" borderId="108" xfId="190" applyFont="1" applyBorder="1" applyAlignment="1">
      <alignment horizontal="left" vertical="top"/>
    </xf>
    <xf numFmtId="0" fontId="114" fillId="0" borderId="19" xfId="0" applyFont="1" applyBorder="1" applyAlignment="1">
      <alignment horizontal="left" vertical="top" wrapText="1"/>
    </xf>
    <xf numFmtId="0" fontId="114" fillId="0" borderId="79" xfId="0" applyFont="1" applyBorder="1" applyAlignment="1">
      <alignment horizontal="left" vertical="top" wrapText="1"/>
    </xf>
    <xf numFmtId="0" fontId="114" fillId="0" borderId="87" xfId="0" applyFont="1" applyBorder="1" applyAlignment="1">
      <alignment horizontal="left" vertical="top" wrapText="1"/>
    </xf>
    <xf numFmtId="0" fontId="114" fillId="0" borderId="23" xfId="0" applyFont="1" applyBorder="1" applyAlignment="1">
      <alignment horizontal="left" vertical="top" wrapText="1"/>
    </xf>
    <xf numFmtId="1" fontId="11" fillId="0" borderId="18" xfId="193" applyNumberFormat="1" applyFont="1" applyBorder="1" applyAlignment="1">
      <alignment vertical="center"/>
    </xf>
    <xf numFmtId="4" fontId="11" fillId="0" borderId="41" xfId="193" applyNumberFormat="1" applyFont="1" applyBorder="1" applyAlignment="1">
      <alignment vertical="center"/>
    </xf>
    <xf numFmtId="1" fontId="11" fillId="0" borderId="94" xfId="193" applyNumberFormat="1" applyFont="1" applyBorder="1"/>
    <xf numFmtId="1" fontId="11" fillId="0" borderId="83" xfId="193" applyNumberFormat="1" applyFont="1" applyBorder="1"/>
    <xf numFmtId="4" fontId="11" fillId="0" borderId="119" xfId="193" applyNumberFormat="1" applyFont="1" applyBorder="1"/>
    <xf numFmtId="4" fontId="11" fillId="0" borderId="31" xfId="193" applyNumberFormat="1" applyFont="1" applyBorder="1"/>
    <xf numFmtId="4" fontId="11" fillId="0" borderId="80" xfId="193" applyNumberFormat="1" applyFont="1" applyBorder="1"/>
    <xf numFmtId="0" fontId="38" fillId="0" borderId="6" xfId="25" applyFont="1" applyBorder="1" applyAlignment="1">
      <alignment horizontal="right" vertical="center" wrapText="1"/>
    </xf>
    <xf numFmtId="0" fontId="38" fillId="0" borderId="7" xfId="25" applyFont="1" applyBorder="1" applyAlignment="1">
      <alignment horizontal="right" vertical="center" wrapText="1"/>
    </xf>
    <xf numFmtId="181" fontId="38" fillId="6" borderId="107" xfId="25" applyNumberFormat="1" applyFont="1" applyFill="1" applyBorder="1" applyAlignment="1">
      <alignment vertical="center"/>
    </xf>
    <xf numFmtId="181" fontId="38" fillId="7" borderId="108" xfId="25" applyNumberFormat="1" applyFont="1" applyFill="1" applyBorder="1" applyAlignment="1">
      <alignment vertical="center"/>
    </xf>
    <xf numFmtId="167" fontId="5" fillId="0" borderId="0" xfId="190" applyFont="1" applyAlignment="1">
      <alignment vertical="center"/>
    </xf>
    <xf numFmtId="167" fontId="17" fillId="0" borderId="79" xfId="190" applyFont="1" applyBorder="1" applyAlignment="1">
      <alignment horizontal="center" vertical="center" wrapText="1"/>
    </xf>
    <xf numFmtId="167" fontId="9" fillId="0" borderId="79" xfId="190" applyFont="1" applyBorder="1" applyAlignment="1">
      <alignment horizontal="center" vertical="center"/>
    </xf>
    <xf numFmtId="167" fontId="71" fillId="5" borderId="85" xfId="190" applyFont="1" applyFill="1" applyBorder="1" applyAlignment="1">
      <alignment vertical="center"/>
    </xf>
    <xf numFmtId="167" fontId="33" fillId="0" borderId="79" xfId="190" applyFont="1" applyBorder="1" applyAlignment="1">
      <alignment vertical="center"/>
    </xf>
    <xf numFmtId="167" fontId="33" fillId="0" borderId="0" xfId="190" applyFont="1" applyAlignment="1">
      <alignment vertical="center"/>
    </xf>
    <xf numFmtId="167" fontId="38" fillId="0" borderId="0" xfId="190" applyFont="1" applyFill="1" applyBorder="1" applyAlignment="1">
      <alignment vertical="center"/>
    </xf>
    <xf numFmtId="167" fontId="77" fillId="0" borderId="0" xfId="190" applyFont="1" applyFill="1" applyBorder="1" applyAlignment="1">
      <alignment horizontal="center" vertical="center"/>
    </xf>
    <xf numFmtId="167" fontId="85" fillId="0" borderId="105" xfId="190" applyFont="1" applyBorder="1"/>
    <xf numFmtId="0" fontId="7" fillId="0" borderId="1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" fontId="114" fillId="47" borderId="15" xfId="193" applyNumberFormat="1" applyFont="1" applyFill="1" applyBorder="1"/>
    <xf numFmtId="183" fontId="40" fillId="0" borderId="0" xfId="13" applyNumberFormat="1" applyFont="1"/>
    <xf numFmtId="168" fontId="0" fillId="0" borderId="0" xfId="0" applyNumberFormat="1"/>
    <xf numFmtId="167" fontId="78" fillId="0" borderId="0" xfId="190" applyFont="1" applyFill="1" applyBorder="1"/>
    <xf numFmtId="0" fontId="117" fillId="0" borderId="0" xfId="0" applyFont="1" applyAlignment="1">
      <alignment horizontal="center" vertical="center" wrapText="1"/>
    </xf>
    <xf numFmtId="0" fontId="116" fillId="0" borderId="0" xfId="0" applyFont="1" applyAlignment="1">
      <alignment vertical="center" wrapText="1"/>
    </xf>
    <xf numFmtId="0" fontId="115" fillId="0" borderId="0" xfId="0" applyFont="1" applyAlignment="1">
      <alignment vertical="center" wrapText="1"/>
    </xf>
    <xf numFmtId="0" fontId="76" fillId="0" borderId="0" xfId="0" applyFont="1" applyAlignment="1">
      <alignment horizontal="center" vertical="center" wrapText="1"/>
    </xf>
    <xf numFmtId="0" fontId="115" fillId="0" borderId="0" xfId="0" applyFont="1"/>
    <xf numFmtId="0" fontId="98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98" fillId="0" borderId="0" xfId="0" applyFont="1" applyAlignment="1">
      <alignment horizontal="center" vertical="center"/>
    </xf>
    <xf numFmtId="167" fontId="98" fillId="0" borderId="0" xfId="190" applyFont="1" applyFill="1" applyBorder="1" applyAlignment="1">
      <alignment horizontal="right" vertical="center"/>
    </xf>
    <xf numFmtId="0" fontId="16" fillId="0" borderId="0" xfId="0" applyFont="1" applyAlignment="1">
      <alignment vertical="center"/>
    </xf>
    <xf numFmtId="167" fontId="1" fillId="0" borderId="0" xfId="190" applyFont="1" applyFill="1" applyBorder="1" applyAlignment="1">
      <alignment horizontal="center" vertical="center"/>
    </xf>
    <xf numFmtId="0" fontId="117" fillId="0" borderId="0" xfId="0" applyFont="1" applyAlignment="1">
      <alignment vertical="center" wrapText="1"/>
    </xf>
    <xf numFmtId="167" fontId="8" fillId="0" borderId="0" xfId="190" applyFont="1" applyFill="1" applyBorder="1"/>
    <xf numFmtId="180" fontId="5" fillId="0" borderId="0" xfId="187" applyFont="1" applyFill="1" applyBorder="1" applyAlignment="1" applyProtection="1">
      <alignment horizontal="center" vertical="center"/>
    </xf>
    <xf numFmtId="167" fontId="8" fillId="0" borderId="0" xfId="0" applyNumberFormat="1" applyFont="1"/>
    <xf numFmtId="165" fontId="8" fillId="0" borderId="0" xfId="0" applyNumberFormat="1" applyFont="1"/>
    <xf numFmtId="180" fontId="73" fillId="0" borderId="61" xfId="20" applyFont="1" applyFill="1" applyBorder="1" applyAlignment="1" applyProtection="1">
      <alignment vertical="center"/>
    </xf>
    <xf numFmtId="0" fontId="5" fillId="0" borderId="62" xfId="184" applyBorder="1" applyAlignment="1">
      <alignment horizontal="justify" vertical="center" wrapText="1"/>
    </xf>
    <xf numFmtId="9" fontId="5" fillId="0" borderId="57" xfId="186" applyFill="1" applyBorder="1" applyAlignment="1" applyProtection="1">
      <alignment horizontal="center" vertical="center"/>
    </xf>
    <xf numFmtId="180" fontId="5" fillId="0" borderId="57" xfId="187" applyFont="1" applyFill="1" applyBorder="1" applyAlignment="1">
      <alignment horizontal="right" vertical="center"/>
    </xf>
    <xf numFmtId="168" fontId="5" fillId="0" borderId="57" xfId="188" applyFont="1" applyFill="1" applyBorder="1" applyAlignment="1">
      <alignment horizontal="right" vertical="center"/>
    </xf>
    <xf numFmtId="0" fontId="30" fillId="9" borderId="81" xfId="13" applyFont="1" applyFill="1" applyBorder="1" applyAlignment="1">
      <alignment horizontal="center" vertical="center" wrapText="1"/>
    </xf>
    <xf numFmtId="0" fontId="30" fillId="9" borderId="10" xfId="13" applyFont="1" applyFill="1" applyBorder="1" applyAlignment="1">
      <alignment horizontal="center" vertical="center" wrapText="1"/>
    </xf>
    <xf numFmtId="2" fontId="30" fillId="9" borderId="10" xfId="13" applyNumberFormat="1" applyFont="1" applyFill="1" applyBorder="1" applyAlignment="1">
      <alignment horizontal="center" vertical="center" wrapText="1"/>
    </xf>
    <xf numFmtId="0" fontId="5" fillId="0" borderId="10" xfId="184" applyBorder="1" applyAlignment="1">
      <alignment horizontal="right" vertical="center"/>
    </xf>
    <xf numFmtId="172" fontId="17" fillId="7" borderId="79" xfId="0" applyNumberFormat="1" applyFont="1" applyFill="1" applyBorder="1" applyAlignment="1">
      <alignment horizontal="center" vertical="center"/>
    </xf>
    <xf numFmtId="0" fontId="16" fillId="7" borderId="94" xfId="0" applyFont="1" applyFill="1" applyBorder="1" applyAlignment="1">
      <alignment horizontal="left" vertical="center"/>
    </xf>
    <xf numFmtId="10" fontId="16" fillId="7" borderId="79" xfId="2" applyNumberFormat="1" applyFont="1" applyFill="1" applyBorder="1" applyAlignment="1">
      <alignment horizontal="center" vertical="center"/>
    </xf>
    <xf numFmtId="165" fontId="16" fillId="7" borderId="79" xfId="1" applyFont="1" applyFill="1" applyBorder="1"/>
    <xf numFmtId="10" fontId="16" fillId="7" borderId="80" xfId="2" applyNumberFormat="1" applyFont="1" applyFill="1" applyBorder="1" applyAlignment="1">
      <alignment horizontal="center"/>
    </xf>
    <xf numFmtId="0" fontId="16" fillId="7" borderId="95" xfId="0" applyFont="1" applyFill="1" applyBorder="1" applyAlignment="1">
      <alignment horizontal="left" vertical="center"/>
    </xf>
    <xf numFmtId="10" fontId="16" fillId="7" borderId="85" xfId="0" applyNumberFormat="1" applyFont="1" applyFill="1" applyBorder="1" applyAlignment="1">
      <alignment horizontal="center" vertical="center"/>
    </xf>
    <xf numFmtId="172" fontId="16" fillId="0" borderId="85" xfId="0" applyNumberFormat="1" applyFont="1" applyBorder="1" applyAlignment="1">
      <alignment horizontal="right" vertical="center"/>
    </xf>
    <xf numFmtId="165" fontId="16" fillId="7" borderId="85" xfId="1" applyFont="1" applyFill="1" applyBorder="1"/>
    <xf numFmtId="0" fontId="17" fillId="7" borderId="86" xfId="0" applyFont="1" applyFill="1" applyBorder="1" applyAlignment="1">
      <alignment horizontal="left"/>
    </xf>
    <xf numFmtId="0" fontId="17" fillId="7" borderId="87" xfId="0" applyFont="1" applyFill="1" applyBorder="1" applyAlignment="1">
      <alignment horizontal="left"/>
    </xf>
    <xf numFmtId="0" fontId="17" fillId="7" borderId="87" xfId="0" applyFont="1" applyFill="1" applyBorder="1" applyAlignment="1">
      <alignment horizontal="right"/>
    </xf>
    <xf numFmtId="165" fontId="17" fillId="7" borderId="87" xfId="0" applyNumberFormat="1" applyFont="1" applyFill="1" applyBorder="1"/>
    <xf numFmtId="10" fontId="17" fillId="7" borderId="90" xfId="2" applyNumberFormat="1" applyFont="1" applyFill="1" applyBorder="1" applyAlignment="1">
      <alignment horizontal="center"/>
    </xf>
    <xf numFmtId="0" fontId="16" fillId="7" borderId="83" xfId="0" applyFont="1" applyFill="1" applyBorder="1"/>
    <xf numFmtId="10" fontId="5" fillId="7" borderId="80" xfId="0" applyNumberFormat="1" applyFont="1" applyFill="1" applyBorder="1"/>
    <xf numFmtId="0" fontId="17" fillId="7" borderId="86" xfId="0" applyFont="1" applyFill="1" applyBorder="1"/>
    <xf numFmtId="10" fontId="17" fillId="7" borderId="90" xfId="0" applyNumberFormat="1" applyFont="1" applyFill="1" applyBorder="1"/>
    <xf numFmtId="0" fontId="89" fillId="3" borderId="52" xfId="193" applyFont="1" applyFill="1" applyBorder="1" applyAlignment="1">
      <alignment horizontal="center"/>
    </xf>
    <xf numFmtId="0" fontId="5" fillId="0" borderId="10" xfId="198" applyFont="1" applyBorder="1" applyAlignment="1">
      <alignment horizontal="center" vertical="center"/>
    </xf>
    <xf numFmtId="0" fontId="41" fillId="0" borderId="83" xfId="0" applyFont="1" applyBorder="1" applyAlignment="1">
      <alignment vertical="center"/>
    </xf>
    <xf numFmtId="0" fontId="41" fillId="0" borderId="79" xfId="0" applyFont="1" applyBorder="1" applyAlignment="1">
      <alignment vertical="center"/>
    </xf>
    <xf numFmtId="10" fontId="41" fillId="0" borderId="80" xfId="35" applyNumberFormat="1" applyFont="1" applyBorder="1" applyAlignment="1">
      <alignment horizontal="center" vertical="center"/>
    </xf>
    <xf numFmtId="0" fontId="43" fillId="0" borderId="83" xfId="0" applyFont="1" applyBorder="1" applyAlignment="1">
      <alignment horizontal="center" vertical="center"/>
    </xf>
    <xf numFmtId="0" fontId="44" fillId="0" borderId="79" xfId="0" applyFont="1" applyBorder="1" applyAlignment="1">
      <alignment vertical="center"/>
    </xf>
    <xf numFmtId="10" fontId="45" fillId="0" borderId="80" xfId="35" applyNumberFormat="1" applyFont="1" applyFill="1" applyBorder="1" applyAlignment="1">
      <alignment horizontal="center" vertical="center"/>
    </xf>
    <xf numFmtId="10" fontId="41" fillId="2" borderId="80" xfId="35" applyNumberFormat="1" applyFont="1" applyFill="1" applyBorder="1" applyAlignment="1">
      <alignment horizontal="center" vertical="center"/>
    </xf>
    <xf numFmtId="0" fontId="45" fillId="0" borderId="79" xfId="0" applyFont="1" applyBorder="1" applyAlignment="1">
      <alignment horizontal="right" vertical="center"/>
    </xf>
    <xf numFmtId="0" fontId="45" fillId="0" borderId="79" xfId="0" applyFont="1" applyBorder="1" applyAlignment="1">
      <alignment vertical="center"/>
    </xf>
    <xf numFmtId="0" fontId="43" fillId="11" borderId="83" xfId="0" applyFont="1" applyFill="1" applyBorder="1" applyAlignment="1">
      <alignment horizontal="center" vertical="center"/>
    </xf>
    <xf numFmtId="0" fontId="44" fillId="11" borderId="79" xfId="0" applyFont="1" applyFill="1" applyBorder="1" applyAlignment="1">
      <alignment vertical="center"/>
    </xf>
    <xf numFmtId="4" fontId="47" fillId="11" borderId="80" xfId="36" applyNumberFormat="1" applyFont="1" applyFill="1" applyBorder="1" applyAlignment="1">
      <alignment horizontal="center" vertical="center"/>
    </xf>
    <xf numFmtId="0" fontId="48" fillId="0" borderId="79" xfId="0" applyFont="1" applyBorder="1" applyAlignment="1">
      <alignment horizontal="center" vertical="center"/>
    </xf>
    <xf numFmtId="10" fontId="41" fillId="0" borderId="80" xfId="35" applyNumberFormat="1" applyFont="1" applyBorder="1" applyAlignment="1">
      <alignment horizontal="right" vertical="center"/>
    </xf>
    <xf numFmtId="0" fontId="41" fillId="0" borderId="81" xfId="0" applyFont="1" applyBorder="1" applyAlignment="1">
      <alignment vertical="center"/>
    </xf>
    <xf numFmtId="10" fontId="41" fillId="0" borderId="52" xfId="35" applyNumberFormat="1" applyFont="1" applyBorder="1" applyAlignment="1">
      <alignment horizontal="center" vertical="center"/>
    </xf>
    <xf numFmtId="167" fontId="6" fillId="0" borderId="52" xfId="190" applyFont="1" applyBorder="1" applyAlignment="1">
      <alignment vertical="center"/>
    </xf>
    <xf numFmtId="0" fontId="6" fillId="0" borderId="94" xfId="0" applyFont="1" applyBorder="1" applyAlignment="1">
      <alignment horizontal="left" vertical="center" wrapText="1"/>
    </xf>
    <xf numFmtId="0" fontId="6" fillId="0" borderId="93" xfId="0" applyFont="1" applyBorder="1" applyAlignment="1">
      <alignment horizontal="left" vertical="center" wrapText="1"/>
    </xf>
    <xf numFmtId="3" fontId="6" fillId="0" borderId="79" xfId="0" applyNumberFormat="1" applyFont="1" applyBorder="1" applyAlignment="1">
      <alignment horizontal="center" vertical="center"/>
    </xf>
    <xf numFmtId="165" fontId="6" fillId="0" borderId="79" xfId="1" applyFont="1" applyFill="1" applyBorder="1" applyAlignment="1">
      <alignment vertical="center"/>
    </xf>
    <xf numFmtId="4" fontId="6" fillId="0" borderId="79" xfId="0" applyNumberFormat="1" applyFont="1" applyBorder="1" applyAlignment="1">
      <alignment vertical="center"/>
    </xf>
    <xf numFmtId="165" fontId="6" fillId="0" borderId="80" xfId="1" applyFont="1" applyFill="1" applyBorder="1" applyAlignment="1">
      <alignment vertical="center"/>
    </xf>
    <xf numFmtId="0" fontId="6" fillId="0" borderId="94" xfId="0" applyFont="1" applyBorder="1" applyAlignment="1">
      <alignment horizontal="left" vertical="center"/>
    </xf>
    <xf numFmtId="0" fontId="6" fillId="0" borderId="93" xfId="0" applyFont="1" applyBorder="1" applyAlignment="1">
      <alignment horizontal="left" vertical="center"/>
    </xf>
    <xf numFmtId="3" fontId="6" fillId="0" borderId="85" xfId="0" applyNumberFormat="1" applyFont="1" applyBorder="1" applyAlignment="1">
      <alignment horizontal="center" vertical="center"/>
    </xf>
    <xf numFmtId="165" fontId="6" fillId="0" borderId="85" xfId="1" applyFont="1" applyFill="1" applyBorder="1" applyAlignment="1">
      <alignment vertical="center"/>
    </xf>
    <xf numFmtId="0" fontId="2" fillId="0" borderId="94" xfId="0" applyFont="1" applyBorder="1" applyAlignment="1">
      <alignment horizontal="left" vertical="center" wrapText="1"/>
    </xf>
    <xf numFmtId="0" fontId="2" fillId="0" borderId="93" xfId="0" applyFont="1" applyBorder="1" applyAlignment="1">
      <alignment horizontal="left" vertical="center" wrapText="1"/>
    </xf>
    <xf numFmtId="3" fontId="6" fillId="0" borderId="79" xfId="0" applyNumberFormat="1" applyFont="1" applyBorder="1" applyAlignment="1">
      <alignment vertical="center"/>
    </xf>
    <xf numFmtId="3" fontId="6" fillId="0" borderId="85" xfId="0" applyNumberFormat="1" applyFont="1" applyBorder="1" applyAlignment="1">
      <alignment vertical="center"/>
    </xf>
    <xf numFmtId="4" fontId="6" fillId="0" borderId="80" xfId="0" applyNumberFormat="1" applyFont="1" applyBorder="1" applyAlignment="1">
      <alignment vertical="center"/>
    </xf>
    <xf numFmtId="0" fontId="6" fillId="0" borderId="99" xfId="0" applyFont="1" applyBorder="1" applyAlignment="1">
      <alignment horizontal="left" vertical="center"/>
    </xf>
    <xf numFmtId="0" fontId="6" fillId="0" borderId="102" xfId="0" applyFont="1" applyBorder="1" applyAlignment="1">
      <alignment horizontal="left" vertical="center"/>
    </xf>
    <xf numFmtId="3" fontId="6" fillId="0" borderId="87" xfId="0" applyNumberFormat="1" applyFont="1" applyBorder="1" applyAlignment="1">
      <alignment horizontal="center" vertical="center"/>
    </xf>
    <xf numFmtId="3" fontId="6" fillId="0" borderId="87" xfId="0" applyNumberFormat="1" applyFont="1" applyBorder="1" applyAlignment="1">
      <alignment vertical="center"/>
    </xf>
    <xf numFmtId="4" fontId="6" fillId="0" borderId="87" xfId="0" applyNumberFormat="1" applyFont="1" applyBorder="1" applyAlignment="1">
      <alignment vertical="center"/>
    </xf>
    <xf numFmtId="4" fontId="6" fillId="0" borderId="90" xfId="0" applyNumberFormat="1" applyFont="1" applyBorder="1" applyAlignment="1">
      <alignment vertical="center"/>
    </xf>
    <xf numFmtId="0" fontId="6" fillId="0" borderId="93" xfId="0" applyFont="1" applyBorder="1" applyAlignment="1">
      <alignment vertical="center"/>
    </xf>
    <xf numFmtId="169" fontId="6" fillId="0" borderId="79" xfId="0" applyNumberFormat="1" applyFont="1" applyBorder="1" applyAlignment="1">
      <alignment vertical="center"/>
    </xf>
    <xf numFmtId="4" fontId="6" fillId="0" borderId="91" xfId="0" applyNumberFormat="1" applyFont="1" applyBorder="1" applyAlignment="1">
      <alignment vertical="center"/>
    </xf>
    <xf numFmtId="0" fontId="6" fillId="0" borderId="94" xfId="0" applyFont="1" applyBorder="1" applyAlignment="1">
      <alignment vertical="center"/>
    </xf>
    <xf numFmtId="0" fontId="6" fillId="0" borderId="81" xfId="0" applyFont="1" applyBorder="1" applyAlignment="1">
      <alignment vertical="center"/>
    </xf>
    <xf numFmtId="4" fontId="6" fillId="0" borderId="103" xfId="0" applyNumberFormat="1" applyFont="1" applyBorder="1" applyAlignment="1">
      <alignment vertical="center"/>
    </xf>
    <xf numFmtId="0" fontId="6" fillId="0" borderId="94" xfId="0" applyFont="1" applyBorder="1" applyAlignment="1">
      <alignment horizontal="left"/>
    </xf>
    <xf numFmtId="170" fontId="6" fillId="0" borderId="79" xfId="0" applyNumberFormat="1" applyFont="1" applyBorder="1" applyAlignment="1">
      <alignment horizontal="center"/>
    </xf>
    <xf numFmtId="165" fontId="6" fillId="0" borderId="79" xfId="1" applyFont="1" applyFill="1" applyBorder="1" applyAlignment="1">
      <alignment horizontal="center"/>
    </xf>
    <xf numFmtId="0" fontId="6" fillId="0" borderId="94" xfId="0" applyFont="1" applyBorder="1" applyAlignment="1">
      <alignment horizontal="center" vertical="center"/>
    </xf>
    <xf numFmtId="0" fontId="6" fillId="0" borderId="79" xfId="0" applyFont="1" applyBorder="1" applyAlignment="1">
      <alignment vertical="center"/>
    </xf>
    <xf numFmtId="170" fontId="6" fillId="0" borderId="79" xfId="0" applyNumberFormat="1" applyFont="1" applyBorder="1" applyAlignment="1">
      <alignment vertical="center"/>
    </xf>
    <xf numFmtId="0" fontId="6" fillId="0" borderId="99" xfId="0" applyFont="1" applyBorder="1" applyAlignment="1">
      <alignment horizontal="center" vertical="center"/>
    </xf>
    <xf numFmtId="0" fontId="6" fillId="0" borderId="102" xfId="0" applyFont="1" applyBorder="1" applyAlignment="1">
      <alignment vertical="center"/>
    </xf>
    <xf numFmtId="0" fontId="6" fillId="0" borderId="101" xfId="0" applyFont="1" applyBorder="1" applyAlignment="1">
      <alignment vertical="center"/>
    </xf>
    <xf numFmtId="0" fontId="6" fillId="0" borderId="83" xfId="0" applyFont="1" applyBorder="1" applyAlignment="1">
      <alignment vertical="center"/>
    </xf>
    <xf numFmtId="9" fontId="6" fillId="0" borderId="79" xfId="2" applyFont="1" applyFill="1" applyBorder="1" applyAlignment="1">
      <alignment horizontal="center" vertical="center"/>
    </xf>
    <xf numFmtId="172" fontId="6" fillId="0" borderId="79" xfId="3" applyNumberFormat="1" applyFont="1" applyFill="1" applyBorder="1" applyAlignment="1">
      <alignment vertical="center"/>
    </xf>
    <xf numFmtId="0" fontId="4" fillId="0" borderId="8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 wrapText="1"/>
    </xf>
    <xf numFmtId="165" fontId="6" fillId="0" borderId="79" xfId="1" applyFont="1" applyFill="1" applyBorder="1" applyAlignment="1">
      <alignment horizontal="center" vertical="center"/>
    </xf>
    <xf numFmtId="165" fontId="6" fillId="0" borderId="91" xfId="1" applyFont="1" applyFill="1" applyBorder="1" applyAlignment="1">
      <alignment vertical="center"/>
    </xf>
    <xf numFmtId="170" fontId="6" fillId="0" borderId="79" xfId="0" applyNumberFormat="1" applyFont="1" applyBorder="1" applyAlignment="1">
      <alignment horizontal="center" vertical="center"/>
    </xf>
    <xf numFmtId="0" fontId="15" fillId="0" borderId="83" xfId="183" applyFont="1" applyBorder="1" applyAlignment="1">
      <alignment horizontal="center" vertical="center"/>
    </xf>
    <xf numFmtId="0" fontId="3" fillId="0" borderId="80" xfId="183" applyBorder="1" applyAlignment="1">
      <alignment horizontal="center" vertical="center"/>
    </xf>
    <xf numFmtId="0" fontId="15" fillId="0" borderId="86" xfId="183" applyFont="1" applyBorder="1" applyAlignment="1">
      <alignment horizontal="center" vertical="center"/>
    </xf>
    <xf numFmtId="0" fontId="3" fillId="0" borderId="90" xfId="183" applyBorder="1" applyAlignment="1">
      <alignment horizontal="center" vertical="center"/>
    </xf>
    <xf numFmtId="0" fontId="6" fillId="0" borderId="93" xfId="0" applyFont="1" applyBorder="1" applyAlignment="1">
      <alignment horizontal="left"/>
    </xf>
    <xf numFmtId="3" fontId="6" fillId="0" borderId="79" xfId="0" applyNumberFormat="1" applyFont="1" applyBorder="1" applyAlignment="1">
      <alignment horizontal="center"/>
    </xf>
    <xf numFmtId="165" fontId="6" fillId="0" borderId="91" xfId="1" applyFont="1" applyFill="1" applyBorder="1"/>
    <xf numFmtId="3" fontId="6" fillId="0" borderId="85" xfId="0" applyNumberFormat="1" applyFont="1" applyBorder="1" applyAlignment="1">
      <alignment horizontal="center"/>
    </xf>
    <xf numFmtId="165" fontId="6" fillId="0" borderId="85" xfId="1" applyFont="1" applyFill="1" applyBorder="1"/>
    <xf numFmtId="0" fontId="6" fillId="0" borderId="94" xfId="0" applyFont="1" applyBorder="1" applyAlignment="1">
      <alignment horizontal="left" wrapText="1"/>
    </xf>
    <xf numFmtId="0" fontId="6" fillId="0" borderId="93" xfId="0" applyFont="1" applyBorder="1" applyAlignment="1">
      <alignment horizontal="left" wrapText="1"/>
    </xf>
    <xf numFmtId="3" fontId="6" fillId="0" borderId="79" xfId="0" applyNumberFormat="1" applyFont="1" applyBorder="1"/>
    <xf numFmtId="0" fontId="6" fillId="0" borderId="99" xfId="0" applyFont="1" applyBorder="1" applyAlignment="1">
      <alignment horizontal="left"/>
    </xf>
    <xf numFmtId="0" fontId="6" fillId="0" borderId="102" xfId="0" applyFont="1" applyBorder="1" applyAlignment="1">
      <alignment horizontal="left"/>
    </xf>
    <xf numFmtId="3" fontId="6" fillId="0" borderId="87" xfId="0" applyNumberFormat="1" applyFont="1" applyBorder="1" applyAlignment="1">
      <alignment horizontal="center"/>
    </xf>
    <xf numFmtId="3" fontId="6" fillId="0" borderId="87" xfId="0" applyNumberFormat="1" applyFont="1" applyBorder="1"/>
    <xf numFmtId="4" fontId="6" fillId="0" borderId="87" xfId="0" applyNumberFormat="1" applyFont="1" applyBorder="1"/>
    <xf numFmtId="4" fontId="6" fillId="0" borderId="103" xfId="0" applyNumberFormat="1" applyFont="1" applyBorder="1"/>
    <xf numFmtId="167" fontId="6" fillId="0" borderId="87" xfId="190" applyFont="1" applyBorder="1"/>
    <xf numFmtId="165" fontId="6" fillId="0" borderId="90" xfId="1" applyFont="1" applyFill="1" applyBorder="1"/>
    <xf numFmtId="4" fontId="6" fillId="0" borderId="79" xfId="0" applyNumberFormat="1" applyFont="1" applyBorder="1" applyAlignment="1">
      <alignment horizontal="center"/>
    </xf>
    <xf numFmtId="0" fontId="6" fillId="0" borderId="94" xfId="0" applyFont="1" applyBorder="1" applyAlignment="1">
      <alignment horizontal="center"/>
    </xf>
    <xf numFmtId="0" fontId="6" fillId="0" borderId="79" xfId="0" applyFont="1" applyBorder="1"/>
    <xf numFmtId="170" fontId="6" fillId="0" borderId="79" xfId="0" applyNumberFormat="1" applyFont="1" applyBorder="1"/>
    <xf numFmtId="0" fontId="6" fillId="0" borderId="99" xfId="0" applyFont="1" applyBorder="1" applyAlignment="1">
      <alignment horizontal="center"/>
    </xf>
    <xf numFmtId="0" fontId="6" fillId="0" borderId="102" xfId="0" applyFont="1" applyBorder="1"/>
    <xf numFmtId="0" fontId="6" fillId="0" borderId="101" xfId="0" applyFont="1" applyBorder="1"/>
    <xf numFmtId="0" fontId="6" fillId="0" borderId="83" xfId="0" applyFont="1" applyBorder="1"/>
    <xf numFmtId="9" fontId="6" fillId="0" borderId="79" xfId="2" applyFont="1" applyFill="1" applyBorder="1" applyAlignment="1">
      <alignment horizontal="center"/>
    </xf>
    <xf numFmtId="172" fontId="6" fillId="0" borderId="79" xfId="3" applyNumberFormat="1" applyFont="1" applyFill="1" applyBorder="1"/>
    <xf numFmtId="4" fontId="6" fillId="0" borderId="80" xfId="0" applyNumberFormat="1" applyFont="1" applyBorder="1"/>
    <xf numFmtId="4" fontId="6" fillId="0" borderId="91" xfId="0" applyNumberFormat="1" applyFont="1" applyBorder="1"/>
    <xf numFmtId="167" fontId="7" fillId="0" borderId="4" xfId="190" applyFont="1" applyBorder="1" applyAlignment="1">
      <alignment horizontal="center" vertical="center" wrapText="1"/>
    </xf>
    <xf numFmtId="3" fontId="6" fillId="0" borderId="85" xfId="0" applyNumberFormat="1" applyFont="1" applyBorder="1"/>
    <xf numFmtId="165" fontId="2" fillId="0" borderId="79" xfId="1" applyFont="1" applyFill="1" applyBorder="1"/>
    <xf numFmtId="165" fontId="2" fillId="0" borderId="79" xfId="1" applyFont="1" applyBorder="1"/>
    <xf numFmtId="0" fontId="15" fillId="0" borderId="83" xfId="183" applyFont="1" applyBorder="1" applyAlignment="1">
      <alignment horizontal="center" vertical="center" wrapText="1"/>
    </xf>
    <xf numFmtId="0" fontId="17" fillId="0" borderId="80" xfId="0" applyFont="1" applyBorder="1" applyAlignment="1">
      <alignment horizontal="center" vertical="center" wrapText="1"/>
    </xf>
    <xf numFmtId="165" fontId="2" fillId="0" borderId="79" xfId="0" applyNumberFormat="1" applyFont="1" applyBorder="1"/>
    <xf numFmtId="182" fontId="6" fillId="0" borderId="79" xfId="1" applyNumberFormat="1" applyFont="1" applyFill="1" applyBorder="1" applyAlignment="1">
      <alignment horizontal="center"/>
    </xf>
    <xf numFmtId="196" fontId="6" fillId="0" borderId="79" xfId="1" applyNumberFormat="1" applyFont="1" applyFill="1" applyBorder="1"/>
    <xf numFmtId="0" fontId="6" fillId="0" borderId="79" xfId="0" applyFont="1" applyBorder="1" applyAlignment="1">
      <alignment horizontal="center"/>
    </xf>
    <xf numFmtId="165" fontId="2" fillId="0" borderId="79" xfId="1" applyFont="1" applyBorder="1" applyAlignment="1">
      <alignment vertical="center"/>
    </xf>
    <xf numFmtId="4" fontId="6" fillId="0" borderId="79" xfId="0" applyNumberFormat="1" applyFont="1" applyBorder="1" applyAlignment="1">
      <alignment horizontal="center" vertical="center"/>
    </xf>
    <xf numFmtId="0" fontId="6" fillId="0" borderId="94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/>
    </xf>
    <xf numFmtId="173" fontId="6" fillId="0" borderId="79" xfId="0" applyNumberFormat="1" applyFont="1" applyBorder="1"/>
    <xf numFmtId="165" fontId="6" fillId="0" borderId="79" xfId="1" applyFont="1" applyFill="1" applyBorder="1" applyAlignment="1">
      <alignment horizontal="right" vertical="center"/>
    </xf>
    <xf numFmtId="0" fontId="6" fillId="3" borderId="79" xfId="0" applyFont="1" applyFill="1" applyBorder="1" applyAlignment="1">
      <alignment horizontal="center" vertical="center"/>
    </xf>
    <xf numFmtId="0" fontId="14" fillId="0" borderId="81" xfId="7" applyFont="1" applyBorder="1" applyAlignment="1">
      <alignment vertical="center" wrapText="1"/>
    </xf>
    <xf numFmtId="4" fontId="20" fillId="0" borderId="79" xfId="0" applyNumberFormat="1" applyFont="1" applyBorder="1" applyAlignment="1">
      <alignment vertical="center" wrapText="1"/>
    </xf>
    <xf numFmtId="4" fontId="20" fillId="0" borderId="79" xfId="0" applyNumberFormat="1" applyFont="1" applyBorder="1" applyAlignment="1">
      <alignment horizontal="center" vertical="center"/>
    </xf>
    <xf numFmtId="4" fontId="20" fillId="0" borderId="79" xfId="0" applyNumberFormat="1" applyFont="1" applyBorder="1" applyAlignment="1">
      <alignment horizontal="left" vertical="center" wrapText="1"/>
    </xf>
    <xf numFmtId="4" fontId="22" fillId="0" borderId="79" xfId="0" applyNumberFormat="1" applyFont="1" applyBorder="1" applyAlignment="1">
      <alignment vertical="center"/>
    </xf>
    <xf numFmtId="4" fontId="22" fillId="0" borderId="79" xfId="0" applyNumberFormat="1" applyFont="1" applyBorder="1" applyAlignment="1">
      <alignment vertical="center" wrapText="1"/>
    </xf>
    <xf numFmtId="4" fontId="0" fillId="0" borderId="79" xfId="0" applyNumberFormat="1" applyBorder="1" applyAlignment="1">
      <alignment vertical="center"/>
    </xf>
    <xf numFmtId="4" fontId="25" fillId="0" borderId="79" xfId="0" applyNumberFormat="1" applyFont="1" applyBorder="1" applyAlignment="1">
      <alignment vertical="center"/>
    </xf>
    <xf numFmtId="4" fontId="26" fillId="0" borderId="79" xfId="0" applyNumberFormat="1" applyFont="1" applyBorder="1" applyAlignment="1">
      <alignment horizontal="center" vertical="center" wrapText="1"/>
    </xf>
    <xf numFmtId="3" fontId="27" fillId="0" borderId="79" xfId="0" applyNumberFormat="1" applyFont="1" applyBorder="1" applyAlignment="1">
      <alignment horizontal="center" vertical="center"/>
    </xf>
    <xf numFmtId="4" fontId="20" fillId="0" borderId="79" xfId="0" applyNumberFormat="1" applyFont="1" applyBorder="1" applyAlignment="1">
      <alignment horizontal="center" vertical="center" wrapText="1"/>
    </xf>
    <xf numFmtId="4" fontId="27" fillId="0" borderId="79" xfId="0" applyNumberFormat="1" applyFont="1" applyBorder="1" applyAlignment="1">
      <alignment horizontal="center" vertical="center"/>
    </xf>
    <xf numFmtId="0" fontId="13" fillId="0" borderId="79" xfId="0" applyFont="1" applyBorder="1" applyAlignment="1">
      <alignment vertical="center"/>
    </xf>
    <xf numFmtId="0" fontId="22" fillId="0" borderId="79" xfId="0" applyFont="1" applyBorder="1" applyAlignment="1">
      <alignment horizontal="center" vertical="center" wrapText="1"/>
    </xf>
    <xf numFmtId="170" fontId="27" fillId="0" borderId="79" xfId="0" applyNumberFormat="1" applyFont="1" applyBorder="1" applyAlignment="1">
      <alignment horizontal="center" vertical="center"/>
    </xf>
    <xf numFmtId="10" fontId="13" fillId="0" borderId="79" xfId="0" applyNumberFormat="1" applyFont="1" applyBorder="1" applyAlignment="1">
      <alignment vertical="center"/>
    </xf>
    <xf numFmtId="10" fontId="13" fillId="0" borderId="79" xfId="11" applyNumberFormat="1" applyFont="1" applyBorder="1" applyAlignment="1">
      <alignment vertical="center"/>
    </xf>
    <xf numFmtId="10" fontId="12" fillId="0" borderId="79" xfId="11" applyNumberFormat="1" applyFont="1" applyBorder="1" applyAlignment="1">
      <alignment vertical="center"/>
    </xf>
    <xf numFmtId="10" fontId="26" fillId="0" borderId="79" xfId="11" applyNumberFormat="1" applyFont="1" applyBorder="1" applyAlignment="1">
      <alignment horizontal="center" vertical="center"/>
    </xf>
    <xf numFmtId="10" fontId="26" fillId="0" borderId="79" xfId="11" applyNumberFormat="1" applyFont="1" applyFill="1" applyBorder="1" applyAlignment="1">
      <alignment horizontal="center" vertical="center"/>
    </xf>
    <xf numFmtId="0" fontId="25" fillId="0" borderId="85" xfId="0" applyFont="1" applyBorder="1" applyAlignment="1">
      <alignment horizontal="center" vertical="center" wrapText="1"/>
    </xf>
    <xf numFmtId="0" fontId="25" fillId="0" borderId="91" xfId="0" applyFont="1" applyBorder="1" applyAlignment="1">
      <alignment horizontal="center" vertical="center" wrapText="1"/>
    </xf>
    <xf numFmtId="0" fontId="25" fillId="0" borderId="92" xfId="0" applyFont="1" applyBorder="1" applyAlignment="1">
      <alignment horizontal="center" vertical="center" wrapText="1"/>
    </xf>
    <xf numFmtId="0" fontId="25" fillId="0" borderId="93" xfId="0" applyFont="1" applyBorder="1" applyAlignment="1">
      <alignment horizontal="center" vertical="center" wrapText="1"/>
    </xf>
    <xf numFmtId="0" fontId="25" fillId="0" borderId="79" xfId="0" applyFont="1" applyBorder="1" applyAlignment="1">
      <alignment horizontal="center" vertical="center" wrapText="1"/>
    </xf>
    <xf numFmtId="0" fontId="28" fillId="0" borderId="79" xfId="0" applyFont="1" applyBorder="1" applyAlignment="1">
      <alignment vertical="center"/>
    </xf>
    <xf numFmtId="0" fontId="28" fillId="7" borderId="79" xfId="0" applyFont="1" applyFill="1" applyBorder="1" applyAlignment="1">
      <alignment vertical="center"/>
    </xf>
    <xf numFmtId="0" fontId="21" fillId="0" borderId="85" xfId="0" applyFont="1" applyBorder="1" applyAlignment="1">
      <alignment horizontal="center" vertical="center"/>
    </xf>
    <xf numFmtId="4" fontId="20" fillId="0" borderId="91" xfId="0" applyNumberFormat="1" applyFont="1" applyBorder="1" applyAlignment="1">
      <alignment vertical="center" wrapText="1"/>
    </xf>
    <xf numFmtId="2" fontId="21" fillId="0" borderId="79" xfId="0" applyNumberFormat="1" applyFont="1" applyBorder="1" applyAlignment="1">
      <alignment vertical="center"/>
    </xf>
    <xf numFmtId="0" fontId="21" fillId="0" borderId="79" xfId="0" applyFont="1" applyBorder="1" applyAlignment="1">
      <alignment vertical="center"/>
    </xf>
    <xf numFmtId="0" fontId="22" fillId="0" borderId="79" xfId="0" applyFont="1" applyBorder="1" applyAlignment="1">
      <alignment vertical="center"/>
    </xf>
    <xf numFmtId="4" fontId="20" fillId="2" borderId="91" xfId="0" applyNumberFormat="1" applyFont="1" applyFill="1" applyBorder="1" applyAlignment="1">
      <alignment horizontal="left" vertical="center" wrapText="1"/>
    </xf>
    <xf numFmtId="4" fontId="22" fillId="0" borderId="91" xfId="0" applyNumberFormat="1" applyFont="1" applyBorder="1" applyAlignment="1">
      <alignment vertical="center" wrapText="1"/>
    </xf>
    <xf numFmtId="3" fontId="25" fillId="0" borderId="79" xfId="0" applyNumberFormat="1" applyFont="1" applyBorder="1" applyAlignment="1">
      <alignment vertical="center"/>
    </xf>
    <xf numFmtId="0" fontId="25" fillId="0" borderId="79" xfId="0" applyFont="1" applyBorder="1" applyAlignment="1">
      <alignment vertical="center" wrapText="1"/>
    </xf>
    <xf numFmtId="169" fontId="25" fillId="0" borderId="79" xfId="0" applyNumberFormat="1" applyFont="1" applyBorder="1" applyAlignment="1">
      <alignment vertical="center"/>
    </xf>
    <xf numFmtId="4" fontId="25" fillId="0" borderId="91" xfId="0" applyNumberFormat="1" applyFont="1" applyBorder="1" applyAlignment="1">
      <alignment horizontal="center" vertical="center"/>
    </xf>
    <xf numFmtId="4" fontId="25" fillId="0" borderId="92" xfId="0" applyNumberFormat="1" applyFont="1" applyBorder="1" applyAlignment="1">
      <alignment horizontal="center" vertical="center"/>
    </xf>
    <xf numFmtId="4" fontId="25" fillId="0" borderId="93" xfId="0" applyNumberFormat="1" applyFont="1" applyBorder="1" applyAlignment="1">
      <alignment horizontal="center" vertical="center"/>
    </xf>
    <xf numFmtId="0" fontId="25" fillId="2" borderId="85" xfId="0" applyFont="1" applyFill="1" applyBorder="1" applyAlignment="1">
      <alignment horizontal="center" vertical="center" wrapText="1"/>
    </xf>
    <xf numFmtId="0" fontId="25" fillId="0" borderId="85" xfId="0" applyFont="1" applyBorder="1" applyAlignment="1">
      <alignment horizontal="center" vertical="center"/>
    </xf>
    <xf numFmtId="0" fontId="25" fillId="8" borderId="91" xfId="0" applyFont="1" applyFill="1" applyBorder="1" applyAlignment="1">
      <alignment horizontal="center" vertical="center" wrapText="1"/>
    </xf>
    <xf numFmtId="0" fontId="25" fillId="8" borderId="92" xfId="0" applyFont="1" applyFill="1" applyBorder="1" applyAlignment="1">
      <alignment horizontal="center" vertical="center" wrapText="1"/>
    </xf>
    <xf numFmtId="0" fontId="25" fillId="8" borderId="93" xfId="0" applyFont="1" applyFill="1" applyBorder="1" applyAlignment="1">
      <alignment horizontal="center" vertical="center" wrapText="1"/>
    </xf>
    <xf numFmtId="0" fontId="25" fillId="8" borderId="79" xfId="0" applyFont="1" applyFill="1" applyBorder="1" applyAlignment="1">
      <alignment horizontal="center" vertical="center" wrapText="1"/>
    </xf>
    <xf numFmtId="0" fontId="22" fillId="0" borderId="79" xfId="0" applyFont="1" applyBorder="1" applyAlignment="1">
      <alignment vertical="center" wrapText="1"/>
    </xf>
    <xf numFmtId="4" fontId="22" fillId="2" borderId="79" xfId="0" applyNumberFormat="1" applyFont="1" applyFill="1" applyBorder="1" applyAlignment="1">
      <alignment vertical="center" wrapText="1"/>
    </xf>
    <xf numFmtId="4" fontId="25" fillId="0" borderId="79" xfId="0" applyNumberFormat="1" applyFont="1" applyBorder="1" applyAlignment="1">
      <alignment vertical="center" wrapText="1"/>
    </xf>
    <xf numFmtId="4" fontId="25" fillId="0" borderId="79" xfId="0" applyNumberFormat="1" applyFont="1" applyBorder="1" applyAlignment="1">
      <alignment horizontal="center" vertical="center" wrapText="1"/>
    </xf>
    <xf numFmtId="0" fontId="25" fillId="0" borderId="79" xfId="0" applyFont="1" applyBorder="1" applyAlignment="1">
      <alignment horizontal="center" vertical="center"/>
    </xf>
    <xf numFmtId="4" fontId="107" fillId="43" borderId="99" xfId="193" applyNumberFormat="1" applyFont="1" applyFill="1" applyBorder="1" applyAlignment="1">
      <alignment horizontal="center" vertical="center"/>
    </xf>
    <xf numFmtId="9" fontId="102" fillId="46" borderId="103" xfId="193" applyNumberFormat="1" applyFont="1" applyFill="1" applyBorder="1" applyAlignment="1">
      <alignment horizontal="center"/>
    </xf>
    <xf numFmtId="4" fontId="102" fillId="46" borderId="37" xfId="193" applyNumberFormat="1" applyFont="1" applyFill="1" applyBorder="1"/>
    <xf numFmtId="1" fontId="11" fillId="0" borderId="86" xfId="193" applyNumberFormat="1" applyFont="1" applyBorder="1"/>
    <xf numFmtId="4" fontId="11" fillId="0" borderId="90" xfId="193" applyNumberFormat="1" applyFont="1" applyBorder="1"/>
    <xf numFmtId="0" fontId="102" fillId="46" borderId="100" xfId="193" applyFont="1" applyFill="1" applyBorder="1" applyAlignment="1"/>
    <xf numFmtId="0" fontId="102" fillId="46" borderId="87" xfId="193" applyFont="1" applyFill="1" applyBorder="1"/>
    <xf numFmtId="9" fontId="102" fillId="46" borderId="87" xfId="370" applyFont="1" applyFill="1" applyBorder="1"/>
    <xf numFmtId="0" fontId="102" fillId="46" borderId="90" xfId="193" applyFont="1" applyFill="1" applyBorder="1"/>
    <xf numFmtId="2" fontId="102" fillId="46" borderId="87" xfId="193" applyNumberFormat="1" applyFont="1" applyFill="1" applyBorder="1"/>
    <xf numFmtId="2" fontId="102" fillId="46" borderId="100" xfId="193" applyNumberFormat="1" applyFont="1" applyFill="1" applyBorder="1"/>
    <xf numFmtId="183" fontId="102" fillId="46" borderId="90" xfId="193" applyNumberFormat="1" applyFont="1" applyFill="1" applyBorder="1"/>
    <xf numFmtId="168" fontId="102" fillId="46" borderId="103" xfId="372" applyFont="1" applyFill="1" applyBorder="1" applyAlignment="1">
      <alignment horizontal="right"/>
    </xf>
    <xf numFmtId="0" fontId="109" fillId="7" borderId="4" xfId="0" applyFont="1" applyFill="1" applyBorder="1"/>
    <xf numFmtId="0" fontId="38" fillId="0" borderId="5" xfId="25" applyFont="1" applyBorder="1" applyAlignment="1">
      <alignment horizontal="right" vertical="center" wrapText="1"/>
    </xf>
    <xf numFmtId="0" fontId="38" fillId="0" borderId="38" xfId="25" applyFont="1" applyBorder="1" applyAlignment="1">
      <alignment horizontal="right" vertical="center" wrapText="1"/>
    </xf>
    <xf numFmtId="0" fontId="30" fillId="9" borderId="6" xfId="13" applyFont="1" applyFill="1" applyBorder="1" applyAlignment="1">
      <alignment horizontal="center" vertical="center" wrapText="1"/>
    </xf>
    <xf numFmtId="0" fontId="30" fillId="9" borderId="7" xfId="13" applyFont="1" applyFill="1" applyBorder="1" applyAlignment="1">
      <alignment horizontal="center" vertical="center" wrapText="1"/>
    </xf>
    <xf numFmtId="0" fontId="30" fillId="9" borderId="3" xfId="13" applyFont="1" applyFill="1" applyBorder="1" applyAlignment="1">
      <alignment horizontal="center" vertical="center" wrapText="1"/>
    </xf>
    <xf numFmtId="184" fontId="38" fillId="7" borderId="18" xfId="30" applyFont="1" applyFill="1" applyBorder="1" applyAlignment="1">
      <alignment horizontal="right" vertical="center" wrapText="1"/>
    </xf>
    <xf numFmtId="184" fontId="38" fillId="7" borderId="19" xfId="30" applyFont="1" applyFill="1" applyBorder="1" applyAlignment="1">
      <alignment horizontal="right" vertical="center" wrapText="1"/>
    </xf>
    <xf numFmtId="184" fontId="38" fillId="7" borderId="94" xfId="30" applyFont="1" applyFill="1" applyBorder="1" applyAlignment="1">
      <alignment horizontal="right" vertical="center"/>
    </xf>
    <xf numFmtId="184" fontId="38" fillId="7" borderId="92" xfId="30" applyFont="1" applyFill="1" applyBorder="1" applyAlignment="1">
      <alignment horizontal="right" vertical="center"/>
    </xf>
    <xf numFmtId="184" fontId="38" fillId="7" borderId="93" xfId="30" applyFont="1" applyFill="1" applyBorder="1" applyAlignment="1">
      <alignment horizontal="right" vertical="center"/>
    </xf>
    <xf numFmtId="0" fontId="38" fillId="7" borderId="94" xfId="25" applyFont="1" applyFill="1" applyBorder="1" applyAlignment="1">
      <alignment horizontal="right" vertical="center" wrapText="1"/>
    </xf>
    <xf numFmtId="0" fontId="38" fillId="7" borderId="92" xfId="25" applyFont="1" applyFill="1" applyBorder="1" applyAlignment="1">
      <alignment horizontal="right" vertical="center" wrapText="1"/>
    </xf>
    <xf numFmtId="0" fontId="38" fillId="7" borderId="93" xfId="25" applyFont="1" applyFill="1" applyBorder="1" applyAlignment="1">
      <alignment horizontal="right" vertical="center" wrapText="1"/>
    </xf>
    <xf numFmtId="0" fontId="38" fillId="7" borderId="99" xfId="25" applyFont="1" applyFill="1" applyBorder="1" applyAlignment="1">
      <alignment horizontal="right" vertical="center" wrapText="1"/>
    </xf>
    <xf numFmtId="0" fontId="38" fillId="7" borderId="100" xfId="25" applyFont="1" applyFill="1" applyBorder="1" applyAlignment="1">
      <alignment horizontal="right" vertical="center" wrapText="1"/>
    </xf>
    <xf numFmtId="0" fontId="38" fillId="7" borderId="102" xfId="25" applyFont="1" applyFill="1" applyBorder="1" applyAlignment="1">
      <alignment horizontal="right" vertical="center" wrapText="1"/>
    </xf>
    <xf numFmtId="0" fontId="38" fillId="0" borderId="11" xfId="25" applyFont="1" applyBorder="1" applyAlignment="1">
      <alignment horizontal="right" vertical="center" wrapText="1"/>
    </xf>
    <xf numFmtId="0" fontId="38" fillId="0" borderId="12" xfId="25" applyFont="1" applyBorder="1" applyAlignment="1">
      <alignment horizontal="right" vertical="center" wrapText="1"/>
    </xf>
    <xf numFmtId="0" fontId="38" fillId="4" borderId="5" xfId="25" applyFont="1" applyFill="1" applyBorder="1" applyAlignment="1">
      <alignment horizontal="left" vertical="center" wrapText="1"/>
    </xf>
    <xf numFmtId="0" fontId="38" fillId="4" borderId="38" xfId="25" applyFont="1" applyFill="1" applyBorder="1" applyAlignment="1">
      <alignment horizontal="left" vertical="center" wrapText="1"/>
    </xf>
    <xf numFmtId="0" fontId="36" fillId="0" borderId="85" xfId="13" applyFont="1" applyBorder="1" applyAlignment="1">
      <alignment horizontal="center" vertical="center" wrapText="1"/>
    </xf>
    <xf numFmtId="0" fontId="36" fillId="0" borderId="82" xfId="13" applyFont="1" applyBorder="1" applyAlignment="1">
      <alignment horizontal="center" vertical="center" wrapText="1"/>
    </xf>
    <xf numFmtId="0" fontId="38" fillId="4" borderId="11" xfId="25" applyFont="1" applyFill="1" applyBorder="1" applyAlignment="1">
      <alignment horizontal="left" vertical="center" wrapText="1"/>
    </xf>
    <xf numFmtId="0" fontId="38" fillId="4" borderId="12" xfId="25" applyFont="1" applyFill="1" applyBorder="1" applyAlignment="1">
      <alignment horizontal="left" vertical="center" wrapText="1"/>
    </xf>
    <xf numFmtId="0" fontId="38" fillId="4" borderId="17" xfId="25" applyFont="1" applyFill="1" applyBorder="1" applyAlignment="1">
      <alignment horizontal="left" vertical="center" wrapText="1"/>
    </xf>
    <xf numFmtId="0" fontId="17" fillId="7" borderId="38" xfId="0" applyFont="1" applyFill="1" applyBorder="1" applyAlignment="1">
      <alignment horizontal="center" vertical="center" wrapText="1"/>
    </xf>
    <xf numFmtId="0" fontId="17" fillId="7" borderId="39" xfId="0" applyFont="1" applyFill="1" applyBorder="1" applyAlignment="1">
      <alignment horizontal="center" vertical="center" wrapText="1"/>
    </xf>
    <xf numFmtId="0" fontId="87" fillId="35" borderId="6" xfId="193" applyFont="1" applyFill="1" applyBorder="1" applyAlignment="1">
      <alignment horizontal="center" vertical="center" wrapText="1"/>
    </xf>
    <xf numFmtId="0" fontId="88" fillId="35" borderId="7" xfId="193" applyFont="1" applyFill="1" applyBorder="1" applyAlignment="1">
      <alignment horizontal="center" vertical="center"/>
    </xf>
    <xf numFmtId="0" fontId="87" fillId="35" borderId="5" xfId="193" applyFont="1" applyFill="1" applyBorder="1" applyAlignment="1">
      <alignment horizontal="center" vertical="center" wrapText="1"/>
    </xf>
    <xf numFmtId="0" fontId="88" fillId="35" borderId="38" xfId="193" applyFont="1" applyFill="1" applyBorder="1" applyAlignment="1">
      <alignment horizontal="center" vertical="center"/>
    </xf>
    <xf numFmtId="0" fontId="88" fillId="35" borderId="39" xfId="193" applyFont="1" applyFill="1" applyBorder="1" applyAlignment="1">
      <alignment horizontal="center" vertical="center"/>
    </xf>
    <xf numFmtId="0" fontId="87" fillId="35" borderId="81" xfId="193" applyFont="1" applyFill="1" applyBorder="1" applyAlignment="1">
      <alignment horizontal="center" vertical="center" wrapText="1"/>
    </xf>
    <xf numFmtId="0" fontId="88" fillId="35" borderId="10" xfId="193" applyFont="1" applyFill="1" applyBorder="1" applyAlignment="1">
      <alignment horizontal="center" vertical="center"/>
    </xf>
    <xf numFmtId="0" fontId="88" fillId="35" borderId="52" xfId="193" applyFont="1" applyFill="1" applyBorder="1" applyAlignment="1">
      <alignment horizontal="center" vertical="center"/>
    </xf>
    <xf numFmtId="0" fontId="33" fillId="0" borderId="99" xfId="193" applyFont="1" applyBorder="1" applyAlignment="1">
      <alignment horizontal="center" vertical="center"/>
    </xf>
    <xf numFmtId="0" fontId="33" fillId="0" borderId="100" xfId="193" applyFont="1" applyBorder="1" applyAlignment="1">
      <alignment horizontal="center" vertical="center"/>
    </xf>
    <xf numFmtId="0" fontId="33" fillId="0" borderId="101" xfId="193" applyFont="1" applyBorder="1" applyAlignment="1">
      <alignment horizontal="center" vertical="center"/>
    </xf>
    <xf numFmtId="0" fontId="33" fillId="0" borderId="5" xfId="193" applyFont="1" applyBorder="1" applyAlignment="1">
      <alignment horizontal="center" vertical="center"/>
    </xf>
    <xf numFmtId="0" fontId="33" fillId="0" borderId="38" xfId="193" applyFont="1" applyBorder="1" applyAlignment="1">
      <alignment horizontal="center" vertical="center"/>
    </xf>
    <xf numFmtId="0" fontId="33" fillId="0" borderId="39" xfId="193" applyFont="1" applyBorder="1" applyAlignment="1">
      <alignment horizontal="center" vertical="center"/>
    </xf>
    <xf numFmtId="0" fontId="38" fillId="3" borderId="8" xfId="196" applyFont="1" applyFill="1" applyBorder="1" applyAlignment="1">
      <alignment horizontal="left" vertical="top" wrapText="1"/>
    </xf>
    <xf numFmtId="0" fontId="38" fillId="3" borderId="0" xfId="196" applyFont="1" applyFill="1" applyBorder="1" applyAlignment="1">
      <alignment horizontal="left" vertical="top" wrapText="1"/>
    </xf>
    <xf numFmtId="0" fontId="33" fillId="3" borderId="0" xfId="196" applyFont="1" applyFill="1" applyBorder="1" applyAlignment="1">
      <alignment horizontal="center" vertical="top" wrapText="1"/>
    </xf>
    <xf numFmtId="0" fontId="33" fillId="3" borderId="9" xfId="196" applyFont="1" applyFill="1" applyBorder="1" applyAlignment="1">
      <alignment horizontal="center" vertical="top" wrapText="1"/>
    </xf>
    <xf numFmtId="0" fontId="38" fillId="3" borderId="6" xfId="196" applyFont="1" applyFill="1" applyBorder="1" applyAlignment="1">
      <alignment horizontal="center"/>
    </xf>
    <xf numFmtId="0" fontId="38" fillId="3" borderId="7" xfId="196" applyFont="1" applyFill="1" applyBorder="1" applyAlignment="1">
      <alignment horizontal="center"/>
    </xf>
    <xf numFmtId="0" fontId="38" fillId="3" borderId="3" xfId="196" applyFont="1" applyFill="1" applyBorder="1" applyAlignment="1">
      <alignment horizontal="center"/>
    </xf>
    <xf numFmtId="0" fontId="38" fillId="3" borderId="9" xfId="196" applyFont="1" applyFill="1" applyBorder="1" applyAlignment="1">
      <alignment horizontal="left" vertical="top" wrapText="1"/>
    </xf>
    <xf numFmtId="0" fontId="33" fillId="0" borderId="83" xfId="203" applyFont="1" applyBorder="1" applyAlignment="1">
      <alignment horizontal="left"/>
    </xf>
    <xf numFmtId="0" fontId="33" fillId="0" borderId="79" xfId="203" applyFont="1" applyBorder="1" applyAlignment="1">
      <alignment horizontal="left"/>
    </xf>
    <xf numFmtId="2" fontId="85" fillId="3" borderId="91" xfId="193" applyNumberFormat="1" applyFont="1" applyFill="1" applyBorder="1" applyAlignment="1">
      <alignment horizontal="center" vertical="center"/>
    </xf>
    <xf numFmtId="2" fontId="85" fillId="3" borderId="93" xfId="193" applyNumberFormat="1" applyFont="1" applyFill="1" applyBorder="1" applyAlignment="1">
      <alignment horizontal="center" vertical="center"/>
    </xf>
    <xf numFmtId="0" fontId="33" fillId="0" borderId="94" xfId="203" applyFont="1" applyBorder="1" applyAlignment="1">
      <alignment horizontal="left"/>
    </xf>
    <xf numFmtId="0" fontId="33" fillId="0" borderId="92" xfId="203" applyFont="1" applyBorder="1" applyAlignment="1">
      <alignment horizontal="left"/>
    </xf>
    <xf numFmtId="0" fontId="33" fillId="0" borderId="93" xfId="203" applyFont="1" applyBorder="1" applyAlignment="1">
      <alignment horizontal="left"/>
    </xf>
    <xf numFmtId="0" fontId="38" fillId="3" borderId="99" xfId="193" applyFont="1" applyFill="1" applyBorder="1" applyAlignment="1">
      <alignment horizontal="right" vertical="center"/>
    </xf>
    <xf numFmtId="0" fontId="38" fillId="3" borderId="100" xfId="193" applyFont="1" applyFill="1" applyBorder="1" applyAlignment="1">
      <alignment horizontal="right" vertical="center"/>
    </xf>
    <xf numFmtId="0" fontId="38" fillId="3" borderId="102" xfId="193" applyFont="1" applyFill="1" applyBorder="1" applyAlignment="1">
      <alignment horizontal="right" vertical="center"/>
    </xf>
    <xf numFmtId="0" fontId="38" fillId="0" borderId="5" xfId="203" applyFont="1" applyBorder="1" applyAlignment="1">
      <alignment horizontal="right"/>
    </xf>
    <xf numFmtId="0" fontId="38" fillId="0" borderId="38" xfId="203" applyFont="1" applyBorder="1" applyAlignment="1">
      <alignment horizontal="right"/>
    </xf>
    <xf numFmtId="0" fontId="38" fillId="0" borderId="78" xfId="203" applyFont="1" applyBorder="1" applyAlignment="1">
      <alignment horizontal="right"/>
    </xf>
    <xf numFmtId="0" fontId="38" fillId="3" borderId="5" xfId="193" applyFont="1" applyFill="1" applyBorder="1" applyAlignment="1">
      <alignment horizontal="right" vertical="center"/>
    </xf>
    <xf numFmtId="0" fontId="38" fillId="3" borderId="38" xfId="193" applyFont="1" applyFill="1" applyBorder="1" applyAlignment="1">
      <alignment horizontal="right" vertical="center"/>
    </xf>
    <xf numFmtId="0" fontId="38" fillId="3" borderId="78" xfId="193" applyFont="1" applyFill="1" applyBorder="1" applyAlignment="1">
      <alignment horizontal="right" vertical="center"/>
    </xf>
    <xf numFmtId="0" fontId="87" fillId="35" borderId="38" xfId="193" applyFont="1" applyFill="1" applyBorder="1" applyAlignment="1">
      <alignment horizontal="center" vertical="center" wrapText="1"/>
    </xf>
    <xf numFmtId="0" fontId="87" fillId="35" borderId="78" xfId="193" applyFont="1" applyFill="1" applyBorder="1" applyAlignment="1">
      <alignment horizontal="center" vertical="center" wrapText="1"/>
    </xf>
    <xf numFmtId="0" fontId="90" fillId="36" borderId="40" xfId="193" applyFont="1" applyFill="1" applyBorder="1" applyAlignment="1">
      <alignment horizontal="center" vertical="center"/>
    </xf>
    <xf numFmtId="0" fontId="90" fillId="36" borderId="13" xfId="193" applyFont="1" applyFill="1" applyBorder="1" applyAlignment="1">
      <alignment horizontal="center" vertical="center"/>
    </xf>
    <xf numFmtId="0" fontId="33" fillId="3" borderId="79" xfId="193" applyFont="1" applyFill="1" applyBorder="1" applyAlignment="1">
      <alignment horizontal="left"/>
    </xf>
    <xf numFmtId="175" fontId="33" fillId="3" borderId="79" xfId="193" applyNumberFormat="1" applyFont="1" applyFill="1" applyBorder="1" applyAlignment="1">
      <alignment horizontal="center" vertical="center"/>
    </xf>
    <xf numFmtId="175" fontId="33" fillId="0" borderId="79" xfId="193" applyNumberFormat="1" applyFont="1" applyBorder="1" applyAlignment="1">
      <alignment horizontal="center" vertical="center"/>
    </xf>
    <xf numFmtId="0" fontId="38" fillId="37" borderId="100" xfId="193" applyFont="1" applyFill="1" applyBorder="1" applyAlignment="1">
      <alignment horizontal="right" vertical="center"/>
    </xf>
    <xf numFmtId="0" fontId="38" fillId="3" borderId="39" xfId="193" applyFont="1" applyFill="1" applyBorder="1" applyAlignment="1">
      <alignment horizontal="right" vertical="center"/>
    </xf>
    <xf numFmtId="0" fontId="90" fillId="36" borderId="12" xfId="193" applyFont="1" applyFill="1" applyBorder="1" applyAlignment="1">
      <alignment horizontal="center" vertical="center"/>
    </xf>
    <xf numFmtId="0" fontId="90" fillId="36" borderId="17" xfId="193" applyFont="1" applyFill="1" applyBorder="1" applyAlignment="1">
      <alignment horizontal="center" vertical="center"/>
    </xf>
    <xf numFmtId="0" fontId="33" fillId="0" borderId="79" xfId="193" applyFont="1" applyBorder="1" applyAlignment="1">
      <alignment horizontal="center"/>
    </xf>
    <xf numFmtId="0" fontId="86" fillId="35" borderId="85" xfId="0" applyFont="1" applyFill="1" applyBorder="1" applyAlignment="1">
      <alignment horizontal="center"/>
    </xf>
    <xf numFmtId="0" fontId="5" fillId="0" borderId="11" xfId="198" applyFont="1" applyBorder="1" applyAlignment="1">
      <alignment horizontal="center" vertical="center" wrapText="1"/>
    </xf>
    <xf numFmtId="0" fontId="5" fillId="0" borderId="12" xfId="198" applyFont="1" applyBorder="1" applyAlignment="1">
      <alignment horizontal="center" vertical="center" wrapText="1"/>
    </xf>
    <xf numFmtId="0" fontId="5" fillId="0" borderId="17" xfId="198" applyFont="1" applyBorder="1" applyAlignment="1">
      <alignment horizontal="center" vertical="center" wrapText="1"/>
    </xf>
    <xf numFmtId="0" fontId="38" fillId="0" borderId="6" xfId="0" applyFont="1" applyBorder="1" applyAlignment="1">
      <alignment horizontal="center" vertical="center" wrapText="1"/>
    </xf>
    <xf numFmtId="0" fontId="38" fillId="0" borderId="7" xfId="0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38" fillId="0" borderId="9" xfId="0" applyFont="1" applyBorder="1" applyAlignment="1">
      <alignment horizontal="center" vertical="center" wrapText="1"/>
    </xf>
    <xf numFmtId="0" fontId="38" fillId="0" borderId="81" xfId="0" applyFont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 wrapText="1"/>
    </xf>
    <xf numFmtId="0" fontId="38" fillId="0" borderId="52" xfId="0" applyFont="1" applyBorder="1" applyAlignment="1">
      <alignment horizontal="center" vertical="center" wrapText="1"/>
    </xf>
    <xf numFmtId="0" fontId="4" fillId="0" borderId="8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4" fillId="0" borderId="0" xfId="0" quotePrefix="1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8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72" fillId="7" borderId="0" xfId="184" applyFont="1" applyFill="1" applyBorder="1" applyAlignment="1">
      <alignment horizontal="center" vertical="center" wrapText="1"/>
    </xf>
    <xf numFmtId="0" fontId="73" fillId="7" borderId="75" xfId="184" applyFont="1" applyFill="1" applyBorder="1" applyAlignment="1">
      <alignment horizontal="center" vertical="center"/>
    </xf>
    <xf numFmtId="0" fontId="73" fillId="7" borderId="76" xfId="184" applyFont="1" applyFill="1" applyBorder="1" applyAlignment="1">
      <alignment horizontal="center" vertical="center"/>
    </xf>
    <xf numFmtId="0" fontId="12" fillId="0" borderId="5" xfId="0" applyFont="1" applyBorder="1" applyAlignment="1">
      <alignment horizontal="left" vertical="top"/>
    </xf>
    <xf numFmtId="0" fontId="12" fillId="0" borderId="38" xfId="0" applyFont="1" applyBorder="1" applyAlignment="1">
      <alignment horizontal="left" vertical="top"/>
    </xf>
    <xf numFmtId="0" fontId="12" fillId="0" borderId="39" xfId="0" applyFont="1" applyBorder="1" applyAlignment="1">
      <alignment horizontal="left" vertical="top"/>
    </xf>
    <xf numFmtId="0" fontId="49" fillId="0" borderId="5" xfId="0" applyFont="1" applyBorder="1" applyAlignment="1">
      <alignment horizontal="left" vertical="top" wrapText="1"/>
    </xf>
    <xf numFmtId="0" fontId="49" fillId="0" borderId="38" xfId="0" applyFont="1" applyBorder="1" applyAlignment="1">
      <alignment horizontal="left" vertical="top" wrapText="1"/>
    </xf>
    <xf numFmtId="0" fontId="49" fillId="0" borderId="39" xfId="0" applyFont="1" applyBorder="1" applyAlignment="1">
      <alignment horizontal="left" vertical="top" wrapText="1"/>
    </xf>
    <xf numFmtId="0" fontId="7" fillId="0" borderId="36" xfId="0" applyFont="1" applyBorder="1" applyAlignment="1">
      <alignment horizontal="center" vertical="center" wrapText="1"/>
    </xf>
    <xf numFmtId="0" fontId="101" fillId="8" borderId="11" xfId="193" applyFont="1" applyFill="1" applyBorder="1" applyAlignment="1">
      <alignment horizontal="center"/>
    </xf>
    <xf numFmtId="0" fontId="101" fillId="8" borderId="12" xfId="193" applyFont="1" applyFill="1" applyBorder="1" applyAlignment="1">
      <alignment horizontal="center"/>
    </xf>
    <xf numFmtId="0" fontId="101" fillId="8" borderId="17" xfId="193" applyFont="1" applyFill="1" applyBorder="1" applyAlignment="1">
      <alignment horizontal="center"/>
    </xf>
    <xf numFmtId="0" fontId="103" fillId="7" borderId="79" xfId="193" applyFont="1" applyFill="1" applyBorder="1" applyAlignment="1">
      <alignment horizontal="justify" vertical="center" wrapText="1"/>
    </xf>
    <xf numFmtId="0" fontId="103" fillId="7" borderId="80" xfId="193" applyFont="1" applyFill="1" applyBorder="1" applyAlignment="1">
      <alignment horizontal="justify" vertical="center" wrapText="1"/>
    </xf>
    <xf numFmtId="0" fontId="103" fillId="7" borderId="79" xfId="193" applyFont="1" applyFill="1" applyBorder="1" applyAlignment="1">
      <alignment horizontal="left" vertical="center" wrapText="1"/>
    </xf>
    <xf numFmtId="0" fontId="103" fillId="7" borderId="80" xfId="193" applyFont="1" applyFill="1" applyBorder="1" applyAlignment="1">
      <alignment horizontal="left" vertical="center" wrapText="1"/>
    </xf>
    <xf numFmtId="0" fontId="103" fillId="43" borderId="5" xfId="193" applyFont="1" applyFill="1" applyBorder="1" applyAlignment="1">
      <alignment horizontal="center" vertical="center" wrapText="1"/>
    </xf>
    <xf numFmtId="0" fontId="103" fillId="43" borderId="38" xfId="193" applyFont="1" applyFill="1" applyBorder="1" applyAlignment="1">
      <alignment horizontal="center" vertical="center" wrapText="1"/>
    </xf>
    <xf numFmtId="0" fontId="103" fillId="43" borderId="39" xfId="193" applyFont="1" applyFill="1" applyBorder="1" applyAlignment="1">
      <alignment horizontal="center" vertical="center" wrapText="1"/>
    </xf>
    <xf numFmtId="0" fontId="103" fillId="43" borderId="11" xfId="193" applyFont="1" applyFill="1" applyBorder="1" applyAlignment="1">
      <alignment horizontal="left" vertical="center" wrapText="1"/>
    </xf>
    <xf numFmtId="0" fontId="103" fillId="43" borderId="12" xfId="193" applyFont="1" applyFill="1" applyBorder="1" applyAlignment="1">
      <alignment horizontal="left" vertical="center" wrapText="1"/>
    </xf>
    <xf numFmtId="1" fontId="107" fillId="43" borderId="99" xfId="193" applyNumberFormat="1" applyFont="1" applyFill="1" applyBorder="1" applyAlignment="1">
      <alignment horizontal="left" vertical="center"/>
    </xf>
    <xf numFmtId="1" fontId="107" fillId="43" borderId="100" xfId="193" applyNumberFormat="1" applyFont="1" applyFill="1" applyBorder="1" applyAlignment="1">
      <alignment horizontal="left" vertical="center"/>
    </xf>
    <xf numFmtId="1" fontId="107" fillId="43" borderId="101" xfId="193" applyNumberFormat="1" applyFont="1" applyFill="1" applyBorder="1" applyAlignment="1">
      <alignment horizontal="left" vertical="center"/>
    </xf>
    <xf numFmtId="0" fontId="102" fillId="46" borderId="99" xfId="193" applyFont="1" applyFill="1" applyBorder="1" applyAlignment="1">
      <alignment horizontal="left"/>
    </xf>
    <xf numFmtId="0" fontId="102" fillId="46" borderId="100" xfId="193" applyFont="1" applyFill="1" applyBorder="1" applyAlignment="1">
      <alignment horizontal="left"/>
    </xf>
    <xf numFmtId="0" fontId="102" fillId="46" borderId="103" xfId="193" applyFont="1" applyFill="1" applyBorder="1" applyAlignment="1"/>
    <xf numFmtId="0" fontId="102" fillId="46" borderId="102" xfId="193" applyFont="1" applyFill="1" applyBorder="1" applyAlignment="1"/>
    <xf numFmtId="0" fontId="103" fillId="46" borderId="11" xfId="193" applyFont="1" applyFill="1" applyBorder="1" applyAlignment="1">
      <alignment horizontal="center"/>
    </xf>
    <xf numFmtId="0" fontId="103" fillId="46" borderId="12" xfId="193" applyFont="1" applyFill="1" applyBorder="1" applyAlignment="1">
      <alignment horizontal="center"/>
    </xf>
    <xf numFmtId="0" fontId="103" fillId="46" borderId="94" xfId="193" applyFont="1" applyFill="1" applyBorder="1" applyAlignment="1"/>
    <xf numFmtId="0" fontId="103" fillId="46" borderId="92" xfId="193" applyFont="1" applyFill="1" applyBorder="1" applyAlignment="1"/>
    <xf numFmtId="0" fontId="103" fillId="3" borderId="5" xfId="193" applyFont="1" applyFill="1" applyBorder="1" applyAlignment="1">
      <alignment horizontal="right"/>
    </xf>
    <xf numFmtId="0" fontId="103" fillId="3" borderId="38" xfId="193" applyFont="1" applyFill="1" applyBorder="1" applyAlignment="1">
      <alignment horizontal="right"/>
    </xf>
    <xf numFmtId="0" fontId="103" fillId="47" borderId="5" xfId="193" applyFont="1" applyFill="1" applyBorder="1" applyAlignment="1">
      <alignment horizontal="right"/>
    </xf>
    <xf numFmtId="0" fontId="103" fillId="47" borderId="38" xfId="193" applyFont="1" applyFill="1" applyBorder="1" applyAlignment="1">
      <alignment horizontal="right"/>
    </xf>
    <xf numFmtId="0" fontId="103" fillId="47" borderId="5" xfId="193" applyFont="1" applyFill="1" applyBorder="1" applyAlignment="1">
      <alignment horizontal="center" vertical="center" wrapText="1"/>
    </xf>
    <xf numFmtId="0" fontId="103" fillId="47" borderId="38" xfId="193" applyFont="1" applyFill="1" applyBorder="1" applyAlignment="1">
      <alignment horizontal="center" vertical="center" wrapText="1"/>
    </xf>
    <xf numFmtId="0" fontId="103" fillId="47" borderId="39" xfId="193" applyFont="1" applyFill="1" applyBorder="1" applyAlignment="1">
      <alignment horizontal="center" vertical="center" wrapText="1"/>
    </xf>
    <xf numFmtId="1" fontId="107" fillId="43" borderId="99" xfId="193" applyNumberFormat="1" applyFont="1" applyFill="1" applyBorder="1" applyAlignment="1">
      <alignment horizontal="left" vertical="center" wrapText="1"/>
    </xf>
    <xf numFmtId="1" fontId="107" fillId="43" borderId="100" xfId="193" applyNumberFormat="1" applyFont="1" applyFill="1" applyBorder="1" applyAlignment="1">
      <alignment horizontal="left" vertical="center" wrapText="1"/>
    </xf>
    <xf numFmtId="1" fontId="107" fillId="43" borderId="101" xfId="193" applyNumberFormat="1" applyFont="1" applyFill="1" applyBorder="1" applyAlignment="1">
      <alignment horizontal="left" vertical="center" wrapText="1"/>
    </xf>
    <xf numFmtId="0" fontId="110" fillId="49" borderId="114" xfId="0" applyFont="1" applyFill="1" applyBorder="1" applyAlignment="1">
      <alignment horizontal="center" vertical="center" wrapText="1"/>
    </xf>
    <xf numFmtId="0" fontId="110" fillId="49" borderId="38" xfId="0" applyFont="1" applyFill="1" applyBorder="1" applyAlignment="1">
      <alignment horizontal="center" vertical="center" wrapText="1"/>
    </xf>
    <xf numFmtId="0" fontId="110" fillId="49" borderId="115" xfId="0" applyFont="1" applyFill="1" applyBorder="1" applyAlignment="1">
      <alignment horizontal="center" vertical="center" wrapText="1"/>
    </xf>
    <xf numFmtId="0" fontId="111" fillId="7" borderId="110" xfId="0" applyFont="1" applyFill="1" applyBorder="1" applyAlignment="1">
      <alignment horizontal="left" vertical="center" wrapText="1"/>
    </xf>
    <xf numFmtId="0" fontId="111" fillId="7" borderId="21" xfId="0" applyFont="1" applyFill="1" applyBorder="1" applyAlignment="1">
      <alignment horizontal="left" vertical="center" wrapText="1"/>
    </xf>
    <xf numFmtId="0" fontId="111" fillId="7" borderId="109" xfId="0" applyFont="1" applyFill="1" applyBorder="1" applyAlignment="1">
      <alignment horizontal="left" vertical="center" wrapText="1"/>
    </xf>
    <xf numFmtId="0" fontId="109" fillId="7" borderId="91" xfId="0" applyFont="1" applyFill="1" applyBorder="1" applyAlignment="1">
      <alignment horizontal="left" vertical="center" wrapText="1"/>
    </xf>
    <xf numFmtId="0" fontId="109" fillId="7" borderId="93" xfId="0" applyFont="1" applyFill="1" applyBorder="1" applyAlignment="1">
      <alignment horizontal="left" vertical="center" wrapText="1"/>
    </xf>
    <xf numFmtId="0" fontId="111" fillId="7" borderId="91" xfId="0" applyFont="1" applyFill="1" applyBorder="1" applyAlignment="1">
      <alignment horizontal="center" wrapText="1"/>
    </xf>
    <xf numFmtId="0" fontId="111" fillId="7" borderId="93" xfId="0" applyFont="1" applyFill="1" applyBorder="1" applyAlignment="1">
      <alignment horizontal="center" wrapText="1"/>
    </xf>
    <xf numFmtId="0" fontId="111" fillId="7" borderId="8" xfId="0" applyFont="1" applyFill="1" applyBorder="1" applyAlignment="1">
      <alignment vertical="center" wrapText="1"/>
    </xf>
    <xf numFmtId="0" fontId="109" fillId="7" borderId="0" xfId="0" applyFont="1" applyFill="1" applyAlignment="1">
      <alignment vertical="center" wrapText="1"/>
    </xf>
    <xf numFmtId="0" fontId="37" fillId="7" borderId="91" xfId="0" applyFont="1" applyFill="1" applyBorder="1" applyAlignment="1">
      <alignment horizontal="left" vertical="center" wrapText="1"/>
    </xf>
    <xf numFmtId="0" fontId="37" fillId="7" borderId="93" xfId="0" applyFont="1" applyFill="1" applyBorder="1" applyAlignment="1">
      <alignment horizontal="left" vertical="center" wrapText="1"/>
    </xf>
  </cellXfs>
  <cellStyles count="414">
    <cellStyle name="20% - Énfasis1 2" xfId="44" xr:uid="{00000000-0005-0000-0000-000000000000}"/>
    <cellStyle name="20% - Énfasis2 2" xfId="45" xr:uid="{00000000-0005-0000-0000-000001000000}"/>
    <cellStyle name="20% - Énfasis3 2" xfId="46" xr:uid="{00000000-0005-0000-0000-000002000000}"/>
    <cellStyle name="20% - Énfasis4 2" xfId="47" xr:uid="{00000000-0005-0000-0000-000003000000}"/>
    <cellStyle name="20% - Énfasis5 2" xfId="48" xr:uid="{00000000-0005-0000-0000-000004000000}"/>
    <cellStyle name="20% - Énfasis6 2" xfId="49" xr:uid="{00000000-0005-0000-0000-000005000000}"/>
    <cellStyle name="40% - Énfasis1 2" xfId="50" xr:uid="{00000000-0005-0000-0000-000006000000}"/>
    <cellStyle name="40% - Énfasis2 2" xfId="51" xr:uid="{00000000-0005-0000-0000-000007000000}"/>
    <cellStyle name="40% - Énfasis3 2" xfId="52" xr:uid="{00000000-0005-0000-0000-000008000000}"/>
    <cellStyle name="40% - Énfasis4 2" xfId="53" xr:uid="{00000000-0005-0000-0000-000009000000}"/>
    <cellStyle name="40% - Énfasis5 2" xfId="54" xr:uid="{00000000-0005-0000-0000-00000A000000}"/>
    <cellStyle name="40% - Énfasis6 2" xfId="55" xr:uid="{00000000-0005-0000-0000-00000B000000}"/>
    <cellStyle name="60% - Énfasis1 2" xfId="56" xr:uid="{00000000-0005-0000-0000-00000C000000}"/>
    <cellStyle name="60% - Énfasis2 2" xfId="57" xr:uid="{00000000-0005-0000-0000-00000D000000}"/>
    <cellStyle name="60% - Énfasis3 2" xfId="58" xr:uid="{00000000-0005-0000-0000-00000E000000}"/>
    <cellStyle name="60% - Énfasis4 2" xfId="59" xr:uid="{00000000-0005-0000-0000-00000F000000}"/>
    <cellStyle name="60% - Énfasis5 2" xfId="60" xr:uid="{00000000-0005-0000-0000-000010000000}"/>
    <cellStyle name="60% - Énfasis6 2" xfId="61" xr:uid="{00000000-0005-0000-0000-000011000000}"/>
    <cellStyle name="Buena 2" xfId="62" xr:uid="{00000000-0005-0000-0000-000012000000}"/>
    <cellStyle name="Bueno" xfId="368" builtinId="26"/>
    <cellStyle name="Cálculo 2" xfId="63" xr:uid="{00000000-0005-0000-0000-000013000000}"/>
    <cellStyle name="Celda de comprobación 2" xfId="64" xr:uid="{00000000-0005-0000-0000-000014000000}"/>
    <cellStyle name="Celda vinculada 2" xfId="65" xr:uid="{00000000-0005-0000-0000-000015000000}"/>
    <cellStyle name="Comma 2" xfId="194" xr:uid="{CD5AE582-8AFF-4FBC-BE5E-7CFB55EF6B87}"/>
    <cellStyle name="Comma 2 2" xfId="358" xr:uid="{E3AEAE55-3EE9-4FF0-A2E6-6900149BBE4C}"/>
    <cellStyle name="Comma 3" xfId="298" xr:uid="{D2E3C58E-F9CB-4C3E-A139-F9C2DD417352}"/>
    <cellStyle name="Comma 4" xfId="372" xr:uid="{9EE97F08-F7B2-454B-89C8-78BCE117157D}"/>
    <cellStyle name="Currency [0] 2" xfId="205" xr:uid="{D3A74838-514B-4B80-9731-7B391552C408}"/>
    <cellStyle name="Currency [0] 2 2" xfId="357" xr:uid="{4E5A48E4-B884-4F12-85C6-33BF4BA0CD00}"/>
    <cellStyle name="Currency [0] 2 3" xfId="412" xr:uid="{02DD0D4D-2B13-423C-B8D8-4731FF804484}"/>
    <cellStyle name="Currency [0] 3" xfId="326" xr:uid="{D1766AAB-0015-4775-9C00-A4E057A6D0CB}"/>
    <cellStyle name="Currency [0] 4" xfId="384" xr:uid="{D72C0ED1-16DF-4493-9EC5-A2CC15F13CE4}"/>
    <cellStyle name="Currency 2" xfId="207" xr:uid="{83E7845C-76CE-40F9-BDD9-401DB5C9745D}"/>
    <cellStyle name="Currency 3" xfId="364" xr:uid="{D185DBE5-9BFD-48EB-B4E6-1D50AF869AF4}"/>
    <cellStyle name="Currency 4" xfId="371" xr:uid="{357C309A-3114-4ED2-B9E4-222B5AE71051}"/>
    <cellStyle name="Currency 5" xfId="373" xr:uid="{59884F64-2C98-4D99-B629-8946337C9D39}"/>
    <cellStyle name="Encabezado 4 2" xfId="66" xr:uid="{00000000-0005-0000-0000-000016000000}"/>
    <cellStyle name="Énfasis1 2" xfId="67" xr:uid="{00000000-0005-0000-0000-000017000000}"/>
    <cellStyle name="Énfasis2 2" xfId="68" xr:uid="{00000000-0005-0000-0000-000018000000}"/>
    <cellStyle name="Énfasis3 2" xfId="69" xr:uid="{00000000-0005-0000-0000-000019000000}"/>
    <cellStyle name="Énfasis4 2" xfId="70" xr:uid="{00000000-0005-0000-0000-00001A000000}"/>
    <cellStyle name="Énfasis5 2" xfId="71" xr:uid="{00000000-0005-0000-0000-00001B000000}"/>
    <cellStyle name="Énfasis6 2" xfId="72" xr:uid="{00000000-0005-0000-0000-00001C000000}"/>
    <cellStyle name="Entrada 2" xfId="73" xr:uid="{00000000-0005-0000-0000-00001D000000}"/>
    <cellStyle name="Estilo 1" xfId="74" xr:uid="{00000000-0005-0000-0000-00001E000000}"/>
    <cellStyle name="Euro" xfId="75" xr:uid="{00000000-0005-0000-0000-00001F000000}"/>
    <cellStyle name="Euro 2" xfId="208" xr:uid="{07954BB3-83B6-4F42-BF70-100AFA1EE752}"/>
    <cellStyle name="Hipervínculo 2" xfId="76" xr:uid="{00000000-0005-0000-0000-000020000000}"/>
    <cellStyle name="Incorrecto 2" xfId="77" xr:uid="{00000000-0005-0000-0000-000021000000}"/>
    <cellStyle name="Millares [0] 2" xfId="79" xr:uid="{00000000-0005-0000-0000-000022000000}"/>
    <cellStyle name="Millares [0] 2 2" xfId="211" xr:uid="{166CC56A-E26B-401B-88AD-53D164E87728}"/>
    <cellStyle name="Millares [0] 2 2 2" xfId="212" xr:uid="{4C2450C5-D4C4-4C1F-B48E-E0D24C3D0D42}"/>
    <cellStyle name="Millares [0] 2 2 2 2" xfId="330" xr:uid="{DF3CE161-5715-4C7F-A73F-D30AEEF6AE89}"/>
    <cellStyle name="Millares [0] 2 2 2 2 2" xfId="387" xr:uid="{610E0069-E9B3-408F-A142-D7D7624C2571}"/>
    <cellStyle name="Millares [0] 2 2 2 3" xfId="375" xr:uid="{6B458573-1CFF-4AED-82D6-A2EF2B094F07}"/>
    <cellStyle name="Millares [0] 2 2 3" xfId="329" xr:uid="{AB30426C-EFC3-4164-93E8-A911B2C8DDCC}"/>
    <cellStyle name="Millares [0] 2 2 3 2" xfId="386" xr:uid="{257A9D16-EF97-4F69-BB10-A0B45B2E8E09}"/>
    <cellStyle name="Millares [0] 2 2 4" xfId="374" xr:uid="{28553B6E-DBDC-4050-B1C2-DC050363078E}"/>
    <cellStyle name="Millares [0] 2 3" xfId="210" xr:uid="{DA33FA84-EDDC-4128-AB7F-598F8E86EE66}"/>
    <cellStyle name="Millares [2]" xfId="80" xr:uid="{00000000-0005-0000-0000-000023000000}"/>
    <cellStyle name="Millares 10" xfId="6" xr:uid="{00000000-0005-0000-0000-000024000000}"/>
    <cellStyle name="Millares 10 2" xfId="36" xr:uid="{00000000-0005-0000-0000-000025000000}"/>
    <cellStyle name="Millares 10 2 2" xfId="200" xr:uid="{0C3525D9-9452-46A1-93D6-B09DF9926D7B}"/>
    <cellStyle name="Millares 10 2 3" xfId="343" xr:uid="{D4991CB9-BDA6-4AAD-82A0-9A577A85DA36}"/>
    <cellStyle name="Millares 10 2 4" xfId="400" xr:uid="{AC6C8818-7084-47A8-A287-B604F60164E9}"/>
    <cellStyle name="Millares 10 3" xfId="38" xr:uid="{00000000-0005-0000-0000-000026000000}"/>
    <cellStyle name="Millares 10 3 2" xfId="82" xr:uid="{00000000-0005-0000-0000-000027000000}"/>
    <cellStyle name="Millares 10 4" xfId="81" xr:uid="{00000000-0005-0000-0000-000028000000}"/>
    <cellStyle name="Millares 10 5" xfId="294" xr:uid="{44154E39-DD62-4637-BAB2-94F76A58ED7D}"/>
    <cellStyle name="Millares 109" xfId="26" xr:uid="{00000000-0005-0000-0000-000029000000}"/>
    <cellStyle name="Millares 11" xfId="83" xr:uid="{00000000-0005-0000-0000-00002A000000}"/>
    <cellStyle name="Millares 11 2" xfId="342" xr:uid="{53242DBB-CF5F-4FEF-AC32-BD8B36BB3F47}"/>
    <cellStyle name="Millares 11 2 2" xfId="399" xr:uid="{2D2AEB1A-2D5B-4E40-AF91-DF05E7138467}"/>
    <cellStyle name="Millares 11 3" xfId="293" xr:uid="{C0390669-B692-4024-98CE-78F150287CB3}"/>
    <cellStyle name="Millares 12" xfId="84" xr:uid="{00000000-0005-0000-0000-00002B000000}"/>
    <cellStyle name="Millares 12 2" xfId="346" xr:uid="{C5FBE01C-7410-4552-83A6-32DAB96DBC43}"/>
    <cellStyle name="Millares 12 2 2" xfId="403" xr:uid="{8E238428-3CC2-4387-B3B7-2013E62BB3D6}"/>
    <cellStyle name="Millares 12 3" xfId="297" xr:uid="{6071B5EE-A63E-42F2-8B71-DAB8EB762649}"/>
    <cellStyle name="Millares 13" xfId="85" xr:uid="{00000000-0005-0000-0000-00002C000000}"/>
    <cellStyle name="Millares 13 2" xfId="344" xr:uid="{CD84E5AE-18C7-47CC-A11F-E48A833A38C0}"/>
    <cellStyle name="Millares 13 2 2" xfId="401" xr:uid="{090F4BDD-C5B6-41ED-A34D-635D20902E55}"/>
    <cellStyle name="Millares 13 3" xfId="295" xr:uid="{0EC5692F-0132-49B8-9B09-FF39ECBD8A67}"/>
    <cellStyle name="Millares 14" xfId="78" xr:uid="{00000000-0005-0000-0000-00002D000000}"/>
    <cellStyle name="Millares 14 2" xfId="345" xr:uid="{CA4E89E4-6DA8-408D-ADF7-D3D7BDFB2FB3}"/>
    <cellStyle name="Millares 14 2 2" xfId="402" xr:uid="{9A739749-A347-4968-A4DC-E3A2583A66C7}"/>
    <cellStyle name="Millares 14 3" xfId="296" xr:uid="{B436E215-D320-4D50-95E6-CCB50A0B8097}"/>
    <cellStyle name="Millares 15" xfId="305" xr:uid="{097FDC1C-049E-4751-BE05-A0D8D13323A9}"/>
    <cellStyle name="Millares 15 2" xfId="347" xr:uid="{196C4A23-F513-459B-AF02-E06FEB6EB6CE}"/>
    <cellStyle name="Millares 15 2 2" xfId="404" xr:uid="{50EF03A9-7F97-4324-817B-BD4FF1C4BFEC}"/>
    <cellStyle name="Millares 16" xfId="307" xr:uid="{8A13B4CE-95F9-489A-8D45-13FBCD24351F}"/>
    <cellStyle name="Millares 16 2" xfId="349" xr:uid="{871DC099-D764-40CB-A7C0-A208EAE18216}"/>
    <cellStyle name="Millares 16 2 2" xfId="405" xr:uid="{EBB2910A-12E4-4057-90A7-7AC164764A0E}"/>
    <cellStyle name="Millares 17" xfId="308" xr:uid="{869093CD-E184-4589-99FD-F9063577E26E}"/>
    <cellStyle name="Millares 17 2" xfId="350" xr:uid="{820BA1AF-8394-44BB-AA52-4420F4E6DB78}"/>
    <cellStyle name="Millares 17 2 2" xfId="406" xr:uid="{E1175308-D268-45CA-A5B8-9F1D6B43268B}"/>
    <cellStyle name="Millares 18" xfId="309" xr:uid="{7FC091A3-4F93-46AE-8688-F3FAFFADE767}"/>
    <cellStyle name="Millares 18 2" xfId="351" xr:uid="{677F285C-CE8D-40FE-B01E-16718B688CEE}"/>
    <cellStyle name="Millares 18 2 2" xfId="407" xr:uid="{DA0A6025-7876-4464-A09A-90CB2455C4E7}"/>
    <cellStyle name="Millares 19" xfId="310" xr:uid="{E41C37CA-F357-4DB0-8195-F1C2C023B45B}"/>
    <cellStyle name="Millares 19 2" xfId="352" xr:uid="{3D1A9F8D-7B9B-4E66-A6FF-AA7962E62EA0}"/>
    <cellStyle name="Millares 19 2 2" xfId="408" xr:uid="{86FA4342-58D8-4DDF-BABE-42A8CC679ED0}"/>
    <cellStyle name="Millares 2" xfId="86" xr:uid="{00000000-0005-0000-0000-00002E000000}"/>
    <cellStyle name="Millares 2 11" xfId="33" xr:uid="{00000000-0005-0000-0000-00002F000000}"/>
    <cellStyle name="Millares 2 2" xfId="9" xr:uid="{00000000-0005-0000-0000-000030000000}"/>
    <cellStyle name="Millares 2 2 2" xfId="39" xr:uid="{00000000-0005-0000-0000-000031000000}"/>
    <cellStyle name="Millares 2 2 2 2" xfId="87" xr:uid="{00000000-0005-0000-0000-000032000000}"/>
    <cellStyle name="Millares 2 2 2 3" xfId="316" xr:uid="{85181BD9-4285-49F5-AFE7-59C29403AF79}"/>
    <cellStyle name="Millares 2 2 3" xfId="195" xr:uid="{442441C0-A8E6-4793-BACC-E67251B247A3}"/>
    <cellStyle name="Millares 2 2 3 2" xfId="359" xr:uid="{EC928D2B-6287-491F-9B34-F663E93E1352}"/>
    <cellStyle name="Millares 2 2 4" xfId="214" xr:uid="{A57CA8CB-C1FD-4166-BFD7-7941DD647C16}"/>
    <cellStyle name="Millares 2 3" xfId="88" xr:uid="{00000000-0005-0000-0000-000033000000}"/>
    <cellStyle name="Millares 2 3 2" xfId="215" xr:uid="{AE365637-C855-4D2C-B9F2-F996FDF60C08}"/>
    <cellStyle name="Millares 2 4" xfId="216" xr:uid="{01FE465D-4961-420F-8D74-DC0C8B8035E3}"/>
    <cellStyle name="Millares 2 4 2" xfId="217" xr:uid="{E19A04C5-1D88-4189-91D3-F6F2E07E7594}"/>
    <cellStyle name="Millares 2 4 2 2" xfId="332" xr:uid="{13DB97A5-1FBE-44C0-9C7E-98CACA7CA0CA}"/>
    <cellStyle name="Millares 2 4 2 2 2" xfId="389" xr:uid="{5A7F7234-49B7-40C7-8262-B696F99AA706}"/>
    <cellStyle name="Millares 2 4 2 3" xfId="377" xr:uid="{8A29CEAA-91AB-4AFA-83CB-4C86E57D0A94}"/>
    <cellStyle name="Millares 2 4 3" xfId="331" xr:uid="{E2653A62-2984-428A-A394-C6A0647F5CA7}"/>
    <cellStyle name="Millares 2 4 3 2" xfId="388" xr:uid="{F64E88DD-D8BD-4F1B-9A64-1F52F7E82F6A}"/>
    <cellStyle name="Millares 2 4 4" xfId="376" xr:uid="{0BB61B5D-5754-4CAF-8BAE-A7875F073419}"/>
    <cellStyle name="Millares 2 5" xfId="89" xr:uid="{00000000-0005-0000-0000-000034000000}"/>
    <cellStyle name="Millares 2 5 2" xfId="314" xr:uid="{EA97C785-0988-4CE5-B140-A03E1808C5FF}"/>
    <cellStyle name="Millares 2 5 3" xfId="339" xr:uid="{9BBBC4E7-BF28-4056-BF5B-4F2C8F08CFF0}"/>
    <cellStyle name="Millares 2 5 3 2" xfId="396" xr:uid="{384C6367-C2AF-4BEF-ADA3-2D386AB17DC0}"/>
    <cellStyle name="Millares 2 5 4" xfId="283" xr:uid="{BABEF743-7806-498D-BCAB-B5675760C4B3}"/>
    <cellStyle name="Millares 2 6" xfId="213" xr:uid="{AD11A578-8779-44AC-B7B5-76E978267F25}"/>
    <cellStyle name="Millares 20" xfId="324" xr:uid="{BC156434-BE51-4403-BBD8-D14459635EE1}"/>
    <cellStyle name="Millares 20 2" xfId="356" xr:uid="{039A68E2-BAC5-472F-9FC8-3805E70B1A46}"/>
    <cellStyle name="Millares 20 2 2" xfId="411" xr:uid="{C2CDE90B-AEB2-4DAD-AE81-56B64CD281C5}"/>
    <cellStyle name="Millares 3" xfId="90" xr:uid="{00000000-0005-0000-0000-000035000000}"/>
    <cellStyle name="Millares 3 2" xfId="91" xr:uid="{00000000-0005-0000-0000-000036000000}"/>
    <cellStyle name="Millares 3 2 2" xfId="340" xr:uid="{8D0A799B-0505-4216-A119-F23BDD9528B9}"/>
    <cellStyle name="Millares 3 2 2 2" xfId="397" xr:uid="{9ACCAF96-B63E-462F-B6D3-A72507F08106}"/>
    <cellStyle name="Millares 3 2 3" xfId="285" xr:uid="{896B9132-5C21-45A1-9A1D-24C7E2548CED}"/>
    <cellStyle name="Millares 3 2 4" xfId="317" xr:uid="{66F0B0CE-4208-4675-9253-C7DC004D8AE1}"/>
    <cellStyle name="Millares 3 2 4 2" xfId="353" xr:uid="{F6E49192-139B-4054-8000-E17051CEC924}"/>
    <cellStyle name="Millares 3 2 4 2 2" xfId="409" xr:uid="{FAA5BC19-0AE7-4128-8689-B6CC8A043446}"/>
    <cellStyle name="Millares 3 3" xfId="92" xr:uid="{00000000-0005-0000-0000-000037000000}"/>
    <cellStyle name="Millares 3 3 2" xfId="284" xr:uid="{FB729939-B2C7-405B-8A47-4467A132E395}"/>
    <cellStyle name="Millares 3 4" xfId="93" xr:uid="{00000000-0005-0000-0000-000038000000}"/>
    <cellStyle name="Millares 3 5" xfId="94" xr:uid="{00000000-0005-0000-0000-000039000000}"/>
    <cellStyle name="Millares 3 6" xfId="218" xr:uid="{2BC1A14E-35EA-475C-8495-156F9A055BC9}"/>
    <cellStyle name="Millares 3_MEMORIAS" xfId="299" xr:uid="{F0177165-6523-4BC9-BB61-0ED70C1A55A6}"/>
    <cellStyle name="Millares 4" xfId="19" xr:uid="{00000000-0005-0000-0000-00003A000000}"/>
    <cellStyle name="Millares 4 2" xfId="14" xr:uid="{00000000-0005-0000-0000-00003B000000}"/>
    <cellStyle name="Millares 4 2 2" xfId="96" xr:uid="{00000000-0005-0000-0000-00003C000000}"/>
    <cellStyle name="Millares 4 2 2 2" xfId="334" xr:uid="{9C19E48B-0A89-4070-BF84-550EEAEE8010}"/>
    <cellStyle name="Millares 4 2 2 2 2" xfId="391" xr:uid="{72B207DD-DA22-41BE-A259-4A413854597A}"/>
    <cellStyle name="Millares 4 2 2 3" xfId="221" xr:uid="{A4598B0B-AAEA-4806-AAA4-A1D4D99FC58C}"/>
    <cellStyle name="Millares 4 2 2 4" xfId="379" xr:uid="{A17107BD-AE8F-47D7-B229-05A8E26CF317}"/>
    <cellStyle name="Millares 4 2 3" xfId="333" xr:uid="{6C545F23-387B-4F3C-B563-09E7FEAF098A}"/>
    <cellStyle name="Millares 4 2 3 2" xfId="390" xr:uid="{5CD7EBC9-7930-4EA4-ABE5-44A83190B11B}"/>
    <cellStyle name="Millares 4 2 4" xfId="220" xr:uid="{5F7B5087-E8B8-4B12-A48B-A48DD1DD97AF}"/>
    <cellStyle name="Millares 4 2 5" xfId="188" xr:uid="{83634826-8DE4-4036-A0EE-0203BFB004FC}"/>
    <cellStyle name="Millares 4 2 6" xfId="378" xr:uid="{CA9A919C-E6E4-4AF1-A0D7-71097A09F4A2}"/>
    <cellStyle name="Millares 4 3" xfId="23" xr:uid="{00000000-0005-0000-0000-00003D000000}"/>
    <cellStyle name="Millares 4 3 2" xfId="181" xr:uid="{00000000-0005-0000-0000-00003E000000}"/>
    <cellStyle name="Millares 4 3 3" xfId="313" xr:uid="{E4B660D3-A73F-4670-B756-23074F6F221B}"/>
    <cellStyle name="Millares 4 4" xfId="95" xr:uid="{00000000-0005-0000-0000-00003F000000}"/>
    <cellStyle name="Millares 4 5" xfId="219" xr:uid="{5FD47385-5FB1-4310-84DD-7B95BB28ED80}"/>
    <cellStyle name="Millares 4_MEMORIAS" xfId="300" xr:uid="{E2633F69-E3D9-407C-BEAF-5672A0D770D0}"/>
    <cellStyle name="Millares 5" xfId="97" xr:uid="{00000000-0005-0000-0000-000040000000}"/>
    <cellStyle name="Millares 5 2" xfId="222" xr:uid="{9D2F63CE-386D-4A7A-9A4F-6BBBC5BBD133}"/>
    <cellStyle name="Millares 6" xfId="98" xr:uid="{00000000-0005-0000-0000-000041000000}"/>
    <cellStyle name="Millares 6 2" xfId="99" xr:uid="{00000000-0005-0000-0000-000042000000}"/>
    <cellStyle name="Millares 6 2 2" xfId="225" xr:uid="{65EF2598-ADCD-40B6-96B2-CB5B77CF8C19}"/>
    <cellStyle name="Millares 6 2 2 2" xfId="336" xr:uid="{C7CA93BE-3B32-4D83-A0C5-E1B262F6CF34}"/>
    <cellStyle name="Millares 6 2 2 2 2" xfId="393" xr:uid="{4F6A53CE-5F20-43D5-97D3-2F2EA84C80C2}"/>
    <cellStyle name="Millares 6 2 2 3" xfId="381" xr:uid="{C6FB85E9-D56F-45B3-8E7D-1C9E07D08D4D}"/>
    <cellStyle name="Millares 6 2 3" xfId="335" xr:uid="{93C8DCE0-8336-4ADA-A6B4-DB024DE3EB1F}"/>
    <cellStyle name="Millares 6 2 3 2" xfId="392" xr:uid="{191B064D-94D8-4513-854F-0EC2549B1C74}"/>
    <cellStyle name="Millares 6 2 4" xfId="224" xr:uid="{6A8DEA99-AB56-4287-B3F9-E877B8464D09}"/>
    <cellStyle name="Millares 6 2 5" xfId="380" xr:uid="{0FC09089-B077-4AF6-90EC-7FE7CE60C9B4}"/>
    <cellStyle name="Millares 6 3" xfId="223" xr:uid="{77B4B6D1-001C-45DB-ADF6-828E78F3A27E}"/>
    <cellStyle name="Millares 7" xfId="100" xr:uid="{00000000-0005-0000-0000-000043000000}"/>
    <cellStyle name="Millares 7 2" xfId="101" xr:uid="{00000000-0005-0000-0000-000044000000}"/>
    <cellStyle name="Millares 7 2 2" xfId="102" xr:uid="{00000000-0005-0000-0000-000045000000}"/>
    <cellStyle name="Millares 7 2 3" xfId="328" xr:uid="{CE838AB6-19D7-4930-B5BD-8469C5E1730D}"/>
    <cellStyle name="Millares 7 2 4" xfId="385" xr:uid="{87432DF9-074E-44A5-A85B-EA3A3D0F5E78}"/>
    <cellStyle name="Millares 7 3" xfId="209" xr:uid="{92184B30-FB91-48A9-9464-05DAF5DF03E5}"/>
    <cellStyle name="Millares 8" xfId="103" xr:uid="{00000000-0005-0000-0000-000046000000}"/>
    <cellStyle name="Millares 8 2" xfId="104" xr:uid="{00000000-0005-0000-0000-000047000000}"/>
    <cellStyle name="Millares 8 2 2" xfId="338" xr:uid="{78E8FA7F-1AAB-4C59-AE99-43004EC22918}"/>
    <cellStyle name="Millares 8 2 3" xfId="395" xr:uid="{9CE5AACE-EA8A-41DD-8516-1A63D9BB0E27}"/>
    <cellStyle name="Millares 8 3" xfId="282" xr:uid="{DB8D9988-0C8E-4E6F-AE41-9A3B2D3FF3D5}"/>
    <cellStyle name="Millares 9" xfId="105" xr:uid="{00000000-0005-0000-0000-000048000000}"/>
    <cellStyle name="Millares 9 2" xfId="106" xr:uid="{00000000-0005-0000-0000-000049000000}"/>
    <cellStyle name="Millares 9 2 2" xfId="341" xr:uid="{16555F48-27BD-4796-A8A2-C9AF8BC56D92}"/>
    <cellStyle name="Millares 9 2 3" xfId="398" xr:uid="{F670A431-AD7A-4EBA-B252-AC88B4B3D4C0}"/>
    <cellStyle name="Millares 9 3" xfId="292" xr:uid="{CAECF409-22FE-4288-9AFD-B07445FF8B88}"/>
    <cellStyle name="Millares_PPTO OFICIAL LP-SGT-SRN-001-2009" xfId="15" xr:uid="{00000000-0005-0000-0000-00004A000000}"/>
    <cellStyle name="Moneda" xfId="190" builtinId="4"/>
    <cellStyle name="Moneda [0]" xfId="1" builtinId="7"/>
    <cellStyle name="Moneda [0] 2" xfId="18" xr:uid="{00000000-0005-0000-0000-00004C000000}"/>
    <cellStyle name="Moneda [0] 2 2" xfId="108" xr:uid="{00000000-0005-0000-0000-00004D000000}"/>
    <cellStyle name="Moneda [0] 2 2 2" xfId="355" xr:uid="{BE2F4719-9C2E-4B32-8942-E9F41F46A77B}"/>
    <cellStyle name="Moneda [0] 2 2 3" xfId="410" xr:uid="{2FA7C11F-2CBD-443A-99BA-18FA541B056D}"/>
    <cellStyle name="Moneda [0] 2 3" xfId="319" xr:uid="{CA63BFF6-E70A-480A-9BA1-2D7C2C5280B9}"/>
    <cellStyle name="Moneda [0] 2 4" xfId="383" xr:uid="{10C204FF-4BD6-43C4-AEA3-2973F9585C84}"/>
    <cellStyle name="Moneda [0] 3" xfId="22" xr:uid="{00000000-0005-0000-0000-00004E000000}"/>
    <cellStyle name="Moneda [0] 3 2" xfId="34" xr:uid="{00000000-0005-0000-0000-00004F000000}"/>
    <cellStyle name="Moneda [0] 3 2 2" xfId="41" xr:uid="{00000000-0005-0000-0000-000050000000}"/>
    <cellStyle name="Moneda [0] 3 3" xfId="40" xr:uid="{00000000-0005-0000-0000-000051000000}"/>
    <cellStyle name="Moneda [0] 3 4" xfId="180" xr:uid="{00000000-0005-0000-0000-000052000000}"/>
    <cellStyle name="Moneda [0] 3 5" xfId="327" xr:uid="{E70B1814-268A-4ED7-98F8-90650878CE1D}"/>
    <cellStyle name="Moneda [0] 3 5 2" xfId="182" xr:uid="{00000000-0005-0000-0000-000053000000}"/>
    <cellStyle name="Moneda [0] 4" xfId="37" xr:uid="{00000000-0005-0000-0000-000054000000}"/>
    <cellStyle name="Moneda [0] 5" xfId="42" xr:uid="{00000000-0005-0000-0000-000055000000}"/>
    <cellStyle name="Moneda [0] 6" xfId="367" xr:uid="{0E57CF4C-B9E7-42D8-858A-348C2F556F82}"/>
    <cellStyle name="Moneda 10" xfId="286" xr:uid="{533BEA02-AA96-44EF-829B-6189EB274FFC}"/>
    <cellStyle name="Moneda 10 2" xfId="109" xr:uid="{00000000-0005-0000-0000-000056000000}"/>
    <cellStyle name="Moneda 2" xfId="43" xr:uid="{00000000-0005-0000-0000-000057000000}"/>
    <cellStyle name="Moneda 2 10" xfId="287" xr:uid="{E3DF60BD-B237-4E34-9683-7F80DA5B2A8E}"/>
    <cellStyle name="Moneda 2 11" xfId="312" xr:uid="{C049BF78-809A-45DA-91CD-0FF73C0D1B47}"/>
    <cellStyle name="Moneda 2 2" xfId="111" xr:uid="{00000000-0005-0000-0000-000058000000}"/>
    <cellStyle name="Moneda 2 2 2" xfId="112" xr:uid="{00000000-0005-0000-0000-000059000000}"/>
    <cellStyle name="Moneda 2 2 2 2" xfId="113" xr:uid="{00000000-0005-0000-0000-00005A000000}"/>
    <cellStyle name="Moneda 2 2 2 2 2" xfId="114" xr:uid="{00000000-0005-0000-0000-00005B000000}"/>
    <cellStyle name="Moneda 2 2 2 3" xfId="227" xr:uid="{D987C64D-EAFF-484C-8CCF-402853B05C85}"/>
    <cellStyle name="Moneda 2 2 3" xfId="115" xr:uid="{00000000-0005-0000-0000-00005C000000}"/>
    <cellStyle name="Moneda 2 2 3 2" xfId="228" xr:uid="{42239FF6-ED3E-46C7-BDDA-08E3E7389D49}"/>
    <cellStyle name="Moneda 2 2 4" xfId="116" xr:uid="{00000000-0005-0000-0000-00005D000000}"/>
    <cellStyle name="Moneda 2 2 4 2" xfId="204" xr:uid="{01E62251-3066-4648-9DFE-45311CF12FF4}"/>
    <cellStyle name="Moneda 2 2 5" xfId="117" xr:uid="{00000000-0005-0000-0000-00005E000000}"/>
    <cellStyle name="Moneda 2 2 6" xfId="226" xr:uid="{2E641F4A-03D4-4A8E-B7E3-88D8B7548826}"/>
    <cellStyle name="Moneda 2 3" xfId="118" xr:uid="{00000000-0005-0000-0000-00005F000000}"/>
    <cellStyle name="Moneda 2 3 2" xfId="229" xr:uid="{7D330046-558A-4DEE-BFAD-FEA387D7BD2A}"/>
    <cellStyle name="Moneda 2 4" xfId="119" xr:uid="{00000000-0005-0000-0000-000060000000}"/>
    <cellStyle name="Moneda 2 4 2" xfId="230" xr:uid="{89054804-91ED-4913-8C77-04F4976C434C}"/>
    <cellStyle name="Moneda 2 5" xfId="110" xr:uid="{00000000-0005-0000-0000-000061000000}"/>
    <cellStyle name="Moneda 2 5 2" xfId="231" xr:uid="{C299FD81-C81E-4474-81A3-12E2B88935BC}"/>
    <cellStyle name="Moneda 2 6" xfId="232" xr:uid="{A887C150-1968-4B5A-BEAA-B11724349D26}"/>
    <cellStyle name="Moneda 2 7" xfId="233" xr:uid="{82FC74D0-FF13-44FD-810F-523A86EE064F}"/>
    <cellStyle name="Moneda 2 8" xfId="234" xr:uid="{69BB0E2A-A491-4F0B-A214-DCEA5CBBA6B0}"/>
    <cellStyle name="Moneda 2 9" xfId="235" xr:uid="{AA03716D-CEAE-457D-A69C-9F4F3F1E475C}"/>
    <cellStyle name="Moneda 3" xfId="10" xr:uid="{00000000-0005-0000-0000-000062000000}"/>
    <cellStyle name="Moneda 3 2" xfId="5" xr:uid="{00000000-0005-0000-0000-000063000000}"/>
    <cellStyle name="Moneda 3 3" xfId="120" xr:uid="{00000000-0005-0000-0000-000064000000}"/>
    <cellStyle name="Moneda 3 3 2" xfId="288" xr:uid="{5757B418-40FE-4C74-A60F-31AE407E9E7E}"/>
    <cellStyle name="Moneda 3 4" xfId="185" xr:uid="{5B9BAE35-03CF-4B97-BEA3-4E2F0D024D5D}"/>
    <cellStyle name="Moneda 3 4 2" xfId="366" xr:uid="{294E2E2F-0C7A-4277-95EF-78100C066E1C}"/>
    <cellStyle name="Moneda 3 5" xfId="236" xr:uid="{D0619B0C-A18A-4CEC-BF2E-D6B9825DCDE7}"/>
    <cellStyle name="Moneda 3_MEMORIAS" xfId="301" xr:uid="{A8E65325-E772-4185-AD47-243E07E82655}"/>
    <cellStyle name="Moneda 4" xfId="107" xr:uid="{00000000-0005-0000-0000-000066000000}"/>
    <cellStyle name="Moneda 4 2" xfId="187" xr:uid="{B976A9E3-496E-4D40-92CB-90FA83B119B9}"/>
    <cellStyle name="Moneda 4 3" xfId="189" xr:uid="{F93114CE-7081-44ED-AAD6-F815E58EE73C}"/>
    <cellStyle name="Moneda 4 4" xfId="237" xr:uid="{A47B3559-2A6C-44DF-9970-6D5C13DB5E4E}"/>
    <cellStyle name="Moneda 5" xfId="20" xr:uid="{00000000-0005-0000-0000-000067000000}"/>
    <cellStyle name="Moneda 5 2" xfId="238" xr:uid="{9BB02C52-F54B-4AD8-8114-29B29D3ABD70}"/>
    <cellStyle name="Moneda 6" xfId="239" xr:uid="{0B5086DD-3ABF-405C-AD37-CDEB8D13C47E}"/>
    <cellStyle name="Moneda 6 2" xfId="337" xr:uid="{797E46FD-B73F-4705-9B47-7EE669C64300}"/>
    <cellStyle name="Moneda 6 2 2" xfId="394" xr:uid="{FFBE7D2B-D773-47B7-8E5B-D9ED2AD751A2}"/>
    <cellStyle name="Moneda 6 3" xfId="382" xr:uid="{98F17ECE-08E5-44E9-B6AB-7C28D62ECD05}"/>
    <cellStyle name="Moneda 7" xfId="322" xr:uid="{807FB01C-F22E-42CD-90F6-E280DD87AE75}"/>
    <cellStyle name="Moneda 95" xfId="30" xr:uid="{00000000-0005-0000-0000-000068000000}"/>
    <cellStyle name="Moneda_Propuesta SCV-045-99 2" xfId="3" xr:uid="{00000000-0005-0000-0000-000069000000}"/>
    <cellStyle name="Neutral 2" xfId="122" xr:uid="{00000000-0005-0000-0000-00006A000000}"/>
    <cellStyle name="Neutral 3" xfId="121" xr:uid="{00000000-0005-0000-0000-00006B000000}"/>
    <cellStyle name="Normal" xfId="0" builtinId="0"/>
    <cellStyle name="Normal 10" xfId="29" xr:uid="{00000000-0005-0000-0000-00006D000000}"/>
    <cellStyle name="Normal 11" xfId="197" xr:uid="{E5A0F680-A451-4256-AFB4-ACE9BB90F685}"/>
    <cellStyle name="Normal 13 2" xfId="123" xr:uid="{00000000-0005-0000-0000-00006E000000}"/>
    <cellStyle name="Normal 14" xfId="31" xr:uid="{00000000-0005-0000-0000-00006F000000}"/>
    <cellStyle name="Normal 14 2" xfId="203" xr:uid="{5CBE3823-6B0B-4822-93F8-4697A0CED34C}"/>
    <cellStyle name="Normal 19" xfId="289" xr:uid="{0DAD5F26-C8EC-4580-8570-EAE542921D7C}"/>
    <cellStyle name="Normal 19 2" xfId="290" xr:uid="{C6390741-3D79-439F-BE3F-B63A8036682B}"/>
    <cellStyle name="Normal 2" xfId="124" xr:uid="{00000000-0005-0000-0000-000070000000}"/>
    <cellStyle name="Normal 2 10" xfId="125" xr:uid="{00000000-0005-0000-0000-000071000000}"/>
    <cellStyle name="Normal 2 10 2" xfId="126" xr:uid="{00000000-0005-0000-0000-000072000000}"/>
    <cellStyle name="Normal 2 10 2 2" xfId="32" xr:uid="{00000000-0005-0000-0000-000073000000}"/>
    <cellStyle name="Normal 2 10 3" xfId="127" xr:uid="{00000000-0005-0000-0000-000074000000}"/>
    <cellStyle name="Normal 2 11" xfId="128" xr:uid="{00000000-0005-0000-0000-000075000000}"/>
    <cellStyle name="Normal 2 12" xfId="129" xr:uid="{00000000-0005-0000-0000-000076000000}"/>
    <cellStyle name="Normal 2 13" xfId="130" xr:uid="{00000000-0005-0000-0000-000077000000}"/>
    <cellStyle name="Normal 2 14" xfId="206" xr:uid="{5BDBC432-8526-4F55-B953-0F423B825C2E}"/>
    <cellStyle name="Normal 2 2" xfId="25" xr:uid="{00000000-0005-0000-0000-000078000000}"/>
    <cellStyle name="Normal 2 2 2" xfId="193" xr:uid="{516EC964-D1BE-41C0-BC5C-3A7A9ED62CB4}"/>
    <cellStyle name="Normal 2 2 2 2" xfId="196" xr:uid="{FB3F460F-38D0-4B6A-8DFE-F84ED42F3069}"/>
    <cellStyle name="Normal 2 2 3" xfId="240" xr:uid="{8DF8AC29-2B42-487E-89EA-B25AA6B5A31B}"/>
    <cellStyle name="Normal 2 3" xfId="131" xr:uid="{00000000-0005-0000-0000-000079000000}"/>
    <cellStyle name="Normal 2 3 2" xfId="362" xr:uid="{C86F1877-1DC6-4DC9-AC5C-05C5685491C0}"/>
    <cellStyle name="Normal 2 4" xfId="132" xr:uid="{00000000-0005-0000-0000-00007A000000}"/>
    <cellStyle name="Normal 2 5" xfId="133" xr:uid="{00000000-0005-0000-0000-00007B000000}"/>
    <cellStyle name="Normal 2 6" xfId="134" xr:uid="{00000000-0005-0000-0000-00007C000000}"/>
    <cellStyle name="Normal 2 7" xfId="135" xr:uid="{00000000-0005-0000-0000-00007D000000}"/>
    <cellStyle name="Normal 2 8" xfId="136" xr:uid="{00000000-0005-0000-0000-00007E000000}"/>
    <cellStyle name="Normal 2 9" xfId="137" xr:uid="{00000000-0005-0000-0000-00007F000000}"/>
    <cellStyle name="Normal 2_APU NO PREVISTOS MTTO" xfId="138" xr:uid="{00000000-0005-0000-0000-000080000000}"/>
    <cellStyle name="Normal 29" xfId="139" xr:uid="{00000000-0005-0000-0000-000081000000}"/>
    <cellStyle name="Normal 3" xfId="8" xr:uid="{00000000-0005-0000-0000-000082000000}"/>
    <cellStyle name="Normal 3 10" xfId="311" xr:uid="{128F15FC-EE72-4A34-91F2-F85DF0CEB462}"/>
    <cellStyle name="Normal 3 11" xfId="141" xr:uid="{00000000-0005-0000-0000-000083000000}"/>
    <cellStyle name="Normal 3 11 2" xfId="191" xr:uid="{9F6048A3-A1E0-4099-8B79-BBCF85E96589}"/>
    <cellStyle name="Normal 3 12" xfId="241" xr:uid="{4FB2E8E9-7552-4292-9A07-7B93F4C4DE67}"/>
    <cellStyle name="Normal 3 2" xfId="142" xr:uid="{00000000-0005-0000-0000-000084000000}"/>
    <cellStyle name="Normal 3 2 2" xfId="143" xr:uid="{00000000-0005-0000-0000-000085000000}"/>
    <cellStyle name="Normal 3 2 3 2" xfId="201" xr:uid="{07639423-86B3-4A43-ACD6-73A52E868EB9}"/>
    <cellStyle name="Normal 3 3" xfId="140" xr:uid="{00000000-0005-0000-0000-000086000000}"/>
    <cellStyle name="Normal 3 3 2" xfId="365" xr:uid="{9C984F0D-1F76-4361-9784-E2E84F36EE20}"/>
    <cellStyle name="Normal 3 3 3" xfId="242" xr:uid="{ECE613EC-E10D-4351-9B78-882C83B9E726}"/>
    <cellStyle name="Normal 3 3 3 2" xfId="369" xr:uid="{08E6CC85-ACFA-46EE-BC5E-F5E8BEACD0C4}"/>
    <cellStyle name="Normal 3 4" xfId="243" xr:uid="{A093C1FE-7FEC-4243-B8AC-B92EE0F0A72A}"/>
    <cellStyle name="Normal 3 5" xfId="244" xr:uid="{0FECBD9B-CA4C-4C94-B8A7-E31123F73F71}"/>
    <cellStyle name="Normal 3 6" xfId="245" xr:uid="{D82A7FD5-2914-48D1-803D-944D545462F0}"/>
    <cellStyle name="Normal 3 7" xfId="246" xr:uid="{3A446C8B-AB0F-46F4-A5B6-B57FBA5B963F}"/>
    <cellStyle name="Normal 3 8" xfId="247" xr:uid="{D0115E0E-08AB-4E62-9AFD-0D83D5D1DE81}"/>
    <cellStyle name="Normal 3 9" xfId="248" xr:uid="{96847A0C-D8B6-41C1-A89F-D0665F8724DC}"/>
    <cellStyle name="Normal 3_MEMORIAS" xfId="302" xr:uid="{5F3A638C-D3ED-46EE-9094-C9724003EE45}"/>
    <cellStyle name="Normal 31" xfId="183" xr:uid="{00000000-0005-0000-0000-000087000000}"/>
    <cellStyle name="Normal 4" xfId="17" xr:uid="{00000000-0005-0000-0000-000088000000}"/>
    <cellStyle name="Normal 4 10" xfId="249" xr:uid="{19F2771A-4B17-43A9-A245-4CDCA07EF5BF}"/>
    <cellStyle name="Normal 4 2" xfId="16" xr:uid="{00000000-0005-0000-0000-000089000000}"/>
    <cellStyle name="Normal 4 2 2" xfId="4" xr:uid="{00000000-0005-0000-0000-00008A000000}"/>
    <cellStyle name="Normal 4 3" xfId="21" xr:uid="{00000000-0005-0000-0000-00008B000000}"/>
    <cellStyle name="Normal 4 3 2" xfId="250" xr:uid="{280C408C-3305-4A2B-B308-3437C38E3858}"/>
    <cellStyle name="Normal 4 3 4" xfId="361" xr:uid="{0146F712-72E9-427C-9F83-3BB3CAD2199E}"/>
    <cellStyle name="Normal 4 4" xfId="251" xr:uid="{22BEE59F-4914-465B-B4D6-493F7157570D}"/>
    <cellStyle name="Normal 4 5" xfId="252" xr:uid="{B5405D96-F51C-4F24-A4EE-924EB15928E8}"/>
    <cellStyle name="Normal 4 6" xfId="253" xr:uid="{6E33FB28-6908-47F5-A9AD-24C17B114CB8}"/>
    <cellStyle name="Normal 4 7" xfId="254" xr:uid="{B3CB3888-F872-432F-9B71-3A1816649768}"/>
    <cellStyle name="Normal 4 8" xfId="255" xr:uid="{5295C476-FC52-49CE-BEAE-6C1F818E49DB}"/>
    <cellStyle name="Normal 4 9" xfId="256" xr:uid="{25BB31E8-812E-48B2-8152-5DEF8CDC4283}"/>
    <cellStyle name="Normal 4_MEMORIAS" xfId="303" xr:uid="{C9395F75-CDE7-4468-BCFF-BED1727B8DF1}"/>
    <cellStyle name="Normal 5" xfId="144" xr:uid="{00000000-0005-0000-0000-00008C000000}"/>
    <cellStyle name="Normal 5 10" xfId="306" xr:uid="{358FC92E-AF83-4A7B-86EE-9674E87B6134}"/>
    <cellStyle name="Normal 5 10 2" xfId="348" xr:uid="{B7ABE349-4246-46D9-B091-4D4A019A4619}"/>
    <cellStyle name="Normal 5 11" xfId="198" xr:uid="{6D7A9A7B-7054-47DE-A317-3E08469E9F3F}"/>
    <cellStyle name="Normal 5 2" xfId="24" xr:uid="{00000000-0005-0000-0000-00008D000000}"/>
    <cellStyle name="Normal 5 2 2" xfId="257" xr:uid="{0068F2C1-85DB-4EB4-B186-67ED6369ECA0}"/>
    <cellStyle name="Normal 5 3" xfId="258" xr:uid="{4333BFAA-9B00-4B6D-8706-51F4B25A2CF4}"/>
    <cellStyle name="Normal 5 4" xfId="259" xr:uid="{BA0D7E5E-1D04-4290-8895-9E2B341553EE}"/>
    <cellStyle name="Normal 5 5" xfId="260" xr:uid="{77C7C48A-6A76-4322-A580-F85675B84563}"/>
    <cellStyle name="Normal 5 6" xfId="261" xr:uid="{A26C488E-D233-4132-97E5-1AAB5725E7E0}"/>
    <cellStyle name="Normal 5 7" xfId="262" xr:uid="{D48181DF-A72E-4823-B141-CF75EFC8B84A}"/>
    <cellStyle name="Normal 5 8" xfId="263" xr:uid="{16BD20ED-79E3-4616-AC1E-2CE77F42D30E}"/>
    <cellStyle name="Normal 5 9" xfId="291" xr:uid="{66774461-FAC7-4574-B11D-3DCC155561A0}"/>
    <cellStyle name="Normal 5_MEMORIAS" xfId="304" xr:uid="{9559F756-36EA-4496-81EC-9105ECF15B29}"/>
    <cellStyle name="Normal 6" xfId="145" xr:uid="{00000000-0005-0000-0000-00008E000000}"/>
    <cellStyle name="Normal 6 2" xfId="192" xr:uid="{E06E15BF-8DED-44A7-9FE2-C055170EBADB}"/>
    <cellStyle name="Normal 6 2 2" xfId="363" xr:uid="{74484A24-ED35-4A5F-ADAF-6D25C9F1C38C}"/>
    <cellStyle name="Normal 6 3" xfId="264" xr:uid="{3B36E5A7-8554-4356-A083-EC80F708E2ED}"/>
    <cellStyle name="Normal 6 4" xfId="265" xr:uid="{D9C4F39A-3458-4AA2-962E-FFF2D081C6E7}"/>
    <cellStyle name="Normal 6 5" xfId="266" xr:uid="{16E9FECC-113E-4D27-BC79-D12E9C5D7696}"/>
    <cellStyle name="Normal 6 6" xfId="267" xr:uid="{8EBEAD84-9ABA-46BE-BA25-B3BDE2C3D931}"/>
    <cellStyle name="Normal 6 7" xfId="268" xr:uid="{5D0365D5-6608-435D-A925-948BF75DD9CA}"/>
    <cellStyle name="Normal 6 8" xfId="269" xr:uid="{0341512B-099C-4D80-8909-871D10A0EA63}"/>
    <cellStyle name="Normal 7" xfId="28" xr:uid="{00000000-0005-0000-0000-00008F000000}"/>
    <cellStyle name="Normal 7 2" xfId="271" xr:uid="{C9EA9EA8-D46A-45C9-B727-804BD8274FB3}"/>
    <cellStyle name="Normal 7 3" xfId="272" xr:uid="{CC7429F0-ECCE-4B96-8F5C-B12DA8E49B6F}"/>
    <cellStyle name="Normal 7 4" xfId="273" xr:uid="{2B57E671-115C-45A5-9B6D-780120579C80}"/>
    <cellStyle name="Normal 7 5" xfId="274" xr:uid="{9B8B1D2C-2341-4F61-B14A-2C49954B1B8D}"/>
    <cellStyle name="Normal 7 6" xfId="275" xr:uid="{BBD4AA56-6740-49F9-84AA-FBA1D01A2E40}"/>
    <cellStyle name="Normal 7 7" xfId="276" xr:uid="{2C758151-CDB1-4313-828C-34B1C1C44C77}"/>
    <cellStyle name="Normal 7 8" xfId="277" xr:uid="{D9870EB8-DB2A-4291-BA0F-80E33A19F69F}"/>
    <cellStyle name="Normal 7 9" xfId="270" xr:uid="{29F3BEA7-45B3-4E4D-BDF5-A8A68DD67B69}"/>
    <cellStyle name="Normal 8" xfId="318" xr:uid="{A652C288-F640-4A42-B269-E531F0FF6958}"/>
    <cellStyle name="Normal 8 2" xfId="354" xr:uid="{E3CAD191-D8CB-4866-A8C7-7807BDCB6B51}"/>
    <cellStyle name="Normal 9" xfId="320" xr:uid="{65D6CA8F-2AF6-4DBE-95FF-0304AFEDD8C1}"/>
    <cellStyle name="Normal 9 2" xfId="146" xr:uid="{00000000-0005-0000-0000-000090000000}"/>
    <cellStyle name="Normal_APU ADICIONALES" xfId="7" xr:uid="{00000000-0005-0000-0000-000091000000}"/>
    <cellStyle name="Normal_Libro1" xfId="184" xr:uid="{0FF57702-3AF8-4554-A7A1-B46E84E9DE8B}"/>
    <cellStyle name="Normal_PTO OFICIAL PREPLIEGO (CORREGIDO) 2" xfId="27" xr:uid="{00000000-0005-0000-0000-000093000000}"/>
    <cellStyle name="Normal_PTO OFICIAL y APU MODELO 2010 (2)" xfId="13" xr:uid="{00000000-0005-0000-0000-000094000000}"/>
    <cellStyle name="Notas 2" xfId="147" xr:uid="{00000000-0005-0000-0000-000095000000}"/>
    <cellStyle name="Notas 2 2" xfId="321" xr:uid="{127689BE-08DE-42D4-81E1-77E92E07DDB4}"/>
    <cellStyle name="Percent 2" xfId="202" xr:uid="{B6B1DB11-154A-4440-ADC9-B96943F20796}"/>
    <cellStyle name="Percent 3" xfId="370" xr:uid="{3603CE3F-A8FA-44DE-9539-1C8118171057}"/>
    <cellStyle name="Porcentaje" xfId="2" builtinId="5"/>
    <cellStyle name="Porcentaje 2" xfId="35" xr:uid="{00000000-0005-0000-0000-000097000000}"/>
    <cellStyle name="Porcentaje 2 2" xfId="148" xr:uid="{00000000-0005-0000-0000-000098000000}"/>
    <cellStyle name="Porcentaje 2 3" xfId="278" xr:uid="{E9CA945F-F676-447F-BEDC-048DC66CEC80}"/>
    <cellStyle name="Porcentaje 2 4" xfId="199" xr:uid="{ADC74F47-BC1B-45F8-8BA5-05981B20B989}"/>
    <cellStyle name="Porcentaje 3" xfId="149" xr:uid="{00000000-0005-0000-0000-000099000000}"/>
    <cellStyle name="Porcentaje 3 2" xfId="279" xr:uid="{5B1109AE-C7FF-43F2-8332-9BFD8EFD2515}"/>
    <cellStyle name="Porcentaje 4" xfId="11" xr:uid="{00000000-0005-0000-0000-00009A000000}"/>
    <cellStyle name="Porcentaje 5" xfId="325" xr:uid="{5E2E1374-2E08-4B4B-8E21-8285BA22C289}"/>
    <cellStyle name="Porcentual 10" xfId="315" xr:uid="{4F4A83A7-5E7D-478E-8083-1AAAC8A2A2BC}"/>
    <cellStyle name="Porcentual 2" xfId="12" xr:uid="{00000000-0005-0000-0000-00009B000000}"/>
    <cellStyle name="Porcentual 2 10" xfId="151" xr:uid="{00000000-0005-0000-0000-00009C000000}"/>
    <cellStyle name="Porcentual 2 10 2" xfId="152" xr:uid="{00000000-0005-0000-0000-00009D000000}"/>
    <cellStyle name="Porcentual 2 11" xfId="153" xr:uid="{00000000-0005-0000-0000-00009E000000}"/>
    <cellStyle name="Porcentual 2 12" xfId="154" xr:uid="{00000000-0005-0000-0000-00009F000000}"/>
    <cellStyle name="Porcentual 2 13" xfId="150" xr:uid="{00000000-0005-0000-0000-0000A0000000}"/>
    <cellStyle name="Porcentual 2 2" xfId="155" xr:uid="{00000000-0005-0000-0000-0000A1000000}"/>
    <cellStyle name="Porcentual 2 2 2" xfId="280" xr:uid="{CBC9BDA2-4B13-48DF-A342-36738FF09B92}"/>
    <cellStyle name="Porcentual 2 2 3" xfId="281" xr:uid="{2F34EFEB-C2BF-491D-9E6E-F1EAAF02916C}"/>
    <cellStyle name="Porcentual 2 3" xfId="156" xr:uid="{00000000-0005-0000-0000-0000A2000000}"/>
    <cellStyle name="Porcentual 2 4" xfId="157" xr:uid="{00000000-0005-0000-0000-0000A3000000}"/>
    <cellStyle name="Porcentual 2 5" xfId="158" xr:uid="{00000000-0005-0000-0000-0000A4000000}"/>
    <cellStyle name="Porcentual 2 6" xfId="159" xr:uid="{00000000-0005-0000-0000-0000A5000000}"/>
    <cellStyle name="Porcentual 2 7" xfId="160" xr:uid="{00000000-0005-0000-0000-0000A6000000}"/>
    <cellStyle name="Porcentual 2 8" xfId="161" xr:uid="{00000000-0005-0000-0000-0000A7000000}"/>
    <cellStyle name="Porcentual 2 9" xfId="162" xr:uid="{00000000-0005-0000-0000-0000A8000000}"/>
    <cellStyle name="Porcentual 3" xfId="163" xr:uid="{00000000-0005-0000-0000-0000A9000000}"/>
    <cellStyle name="Porcentual 4" xfId="164" xr:uid="{00000000-0005-0000-0000-0000AA000000}"/>
    <cellStyle name="Porcentual 4 2" xfId="165" xr:uid="{00000000-0005-0000-0000-0000AB000000}"/>
    <cellStyle name="Porcentual 5" xfId="166" xr:uid="{00000000-0005-0000-0000-0000AC000000}"/>
    <cellStyle name="Porcentual 6" xfId="167" xr:uid="{00000000-0005-0000-0000-0000AD000000}"/>
    <cellStyle name="Porcentual 6 2" xfId="168" xr:uid="{00000000-0005-0000-0000-0000AE000000}"/>
    <cellStyle name="Porcentual 7" xfId="169" xr:uid="{00000000-0005-0000-0000-0000AF000000}"/>
    <cellStyle name="Porcentual 8" xfId="170" xr:uid="{00000000-0005-0000-0000-0000B0000000}"/>
    <cellStyle name="Porcentual 9" xfId="323" xr:uid="{3D93A9BC-54AC-443F-A61A-04B3D90E0474}"/>
    <cellStyle name="Porcentual_AIU 2008 SESAC JULIO 42" xfId="186" xr:uid="{1298BDA6-C2EF-4B1C-A621-A231114A4986}"/>
    <cellStyle name="Salida 2" xfId="171" xr:uid="{00000000-0005-0000-0000-0000B1000000}"/>
    <cellStyle name="Texto de advertencia 2" xfId="172" xr:uid="{00000000-0005-0000-0000-0000B2000000}"/>
    <cellStyle name="Texto explicativo 2" xfId="173" xr:uid="{00000000-0005-0000-0000-0000B3000000}"/>
    <cellStyle name="Título 1 2" xfId="174" xr:uid="{00000000-0005-0000-0000-0000B4000000}"/>
    <cellStyle name="Título 2 2" xfId="175" xr:uid="{00000000-0005-0000-0000-0000B5000000}"/>
    <cellStyle name="Título 3 2" xfId="176" xr:uid="{00000000-0005-0000-0000-0000B6000000}"/>
    <cellStyle name="Título 4" xfId="177" xr:uid="{00000000-0005-0000-0000-0000B7000000}"/>
    <cellStyle name="Total" xfId="413" builtinId="25"/>
    <cellStyle name="Total 2" xfId="179" xr:uid="{00000000-0005-0000-0000-0000B8000000}"/>
    <cellStyle name="Total 2 2" xfId="360" xr:uid="{DC6180AC-F98E-42AA-8823-FB185F21CD27}"/>
    <cellStyle name="Total 3" xfId="178" xr:uid="{00000000-0005-0000-0000-0000B9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95.xml"/><Relationship Id="rId21" Type="http://schemas.openxmlformats.org/officeDocument/2006/relationships/worksheet" Target="worksheets/sheet21.xml"/><Relationship Id="rId42" Type="http://schemas.openxmlformats.org/officeDocument/2006/relationships/externalLink" Target="externalLinks/externalLink20.xml"/><Relationship Id="rId63" Type="http://schemas.openxmlformats.org/officeDocument/2006/relationships/externalLink" Target="externalLinks/externalLink41.xml"/><Relationship Id="rId84" Type="http://schemas.openxmlformats.org/officeDocument/2006/relationships/externalLink" Target="externalLinks/externalLink62.xml"/><Relationship Id="rId138" Type="http://schemas.openxmlformats.org/officeDocument/2006/relationships/externalLink" Target="externalLinks/externalLink116.xml"/><Relationship Id="rId107" Type="http://schemas.openxmlformats.org/officeDocument/2006/relationships/externalLink" Target="externalLinks/externalLink85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10.xml"/><Relationship Id="rId53" Type="http://schemas.openxmlformats.org/officeDocument/2006/relationships/externalLink" Target="externalLinks/externalLink31.xml"/><Relationship Id="rId74" Type="http://schemas.openxmlformats.org/officeDocument/2006/relationships/externalLink" Target="externalLinks/externalLink52.xml"/><Relationship Id="rId128" Type="http://schemas.openxmlformats.org/officeDocument/2006/relationships/externalLink" Target="externalLinks/externalLink106.xml"/><Relationship Id="rId149" Type="http://schemas.openxmlformats.org/officeDocument/2006/relationships/theme" Target="theme/theme1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73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5.xml"/><Relationship Id="rId43" Type="http://schemas.openxmlformats.org/officeDocument/2006/relationships/externalLink" Target="externalLinks/externalLink21.xml"/><Relationship Id="rId48" Type="http://schemas.openxmlformats.org/officeDocument/2006/relationships/externalLink" Target="externalLinks/externalLink26.xml"/><Relationship Id="rId64" Type="http://schemas.openxmlformats.org/officeDocument/2006/relationships/externalLink" Target="externalLinks/externalLink42.xml"/><Relationship Id="rId69" Type="http://schemas.openxmlformats.org/officeDocument/2006/relationships/externalLink" Target="externalLinks/externalLink47.xml"/><Relationship Id="rId113" Type="http://schemas.openxmlformats.org/officeDocument/2006/relationships/externalLink" Target="externalLinks/externalLink91.xml"/><Relationship Id="rId118" Type="http://schemas.openxmlformats.org/officeDocument/2006/relationships/externalLink" Target="externalLinks/externalLink96.xml"/><Relationship Id="rId134" Type="http://schemas.openxmlformats.org/officeDocument/2006/relationships/externalLink" Target="externalLinks/externalLink112.xml"/><Relationship Id="rId139" Type="http://schemas.openxmlformats.org/officeDocument/2006/relationships/externalLink" Target="externalLinks/externalLink117.xml"/><Relationship Id="rId80" Type="http://schemas.openxmlformats.org/officeDocument/2006/relationships/externalLink" Target="externalLinks/externalLink58.xml"/><Relationship Id="rId85" Type="http://schemas.openxmlformats.org/officeDocument/2006/relationships/externalLink" Target="externalLinks/externalLink63.xml"/><Relationship Id="rId150" Type="http://schemas.openxmlformats.org/officeDocument/2006/relationships/styles" Target="styles.xml"/><Relationship Id="rId155" Type="http://schemas.openxmlformats.org/officeDocument/2006/relationships/customXml" Target="../customXml/item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externalLink" Target="externalLinks/externalLink11.xml"/><Relationship Id="rId38" Type="http://schemas.openxmlformats.org/officeDocument/2006/relationships/externalLink" Target="externalLinks/externalLink16.xml"/><Relationship Id="rId59" Type="http://schemas.openxmlformats.org/officeDocument/2006/relationships/externalLink" Target="externalLinks/externalLink37.xml"/><Relationship Id="rId103" Type="http://schemas.openxmlformats.org/officeDocument/2006/relationships/externalLink" Target="externalLinks/externalLink81.xml"/><Relationship Id="rId108" Type="http://schemas.openxmlformats.org/officeDocument/2006/relationships/externalLink" Target="externalLinks/externalLink86.xml"/><Relationship Id="rId124" Type="http://schemas.openxmlformats.org/officeDocument/2006/relationships/externalLink" Target="externalLinks/externalLink102.xml"/><Relationship Id="rId129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32.xml"/><Relationship Id="rId70" Type="http://schemas.openxmlformats.org/officeDocument/2006/relationships/externalLink" Target="externalLinks/externalLink48.xml"/><Relationship Id="rId75" Type="http://schemas.openxmlformats.org/officeDocument/2006/relationships/externalLink" Target="externalLinks/externalLink53.xml"/><Relationship Id="rId91" Type="http://schemas.openxmlformats.org/officeDocument/2006/relationships/externalLink" Target="externalLinks/externalLink69.xml"/><Relationship Id="rId96" Type="http://schemas.openxmlformats.org/officeDocument/2006/relationships/externalLink" Target="externalLinks/externalLink74.xml"/><Relationship Id="rId140" Type="http://schemas.openxmlformats.org/officeDocument/2006/relationships/externalLink" Target="externalLinks/externalLink118.xml"/><Relationship Id="rId145" Type="http://schemas.openxmlformats.org/officeDocument/2006/relationships/externalLink" Target="externalLinks/externalLink12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.xml"/><Relationship Id="rId28" Type="http://schemas.openxmlformats.org/officeDocument/2006/relationships/externalLink" Target="externalLinks/externalLink6.xml"/><Relationship Id="rId49" Type="http://schemas.openxmlformats.org/officeDocument/2006/relationships/externalLink" Target="externalLinks/externalLink27.xml"/><Relationship Id="rId114" Type="http://schemas.openxmlformats.org/officeDocument/2006/relationships/externalLink" Target="externalLinks/externalLink92.xml"/><Relationship Id="rId119" Type="http://schemas.openxmlformats.org/officeDocument/2006/relationships/externalLink" Target="externalLinks/externalLink97.xml"/><Relationship Id="rId44" Type="http://schemas.openxmlformats.org/officeDocument/2006/relationships/externalLink" Target="externalLinks/externalLink22.xml"/><Relationship Id="rId60" Type="http://schemas.openxmlformats.org/officeDocument/2006/relationships/externalLink" Target="externalLinks/externalLink38.xml"/><Relationship Id="rId65" Type="http://schemas.openxmlformats.org/officeDocument/2006/relationships/externalLink" Target="externalLinks/externalLink43.xml"/><Relationship Id="rId81" Type="http://schemas.openxmlformats.org/officeDocument/2006/relationships/externalLink" Target="externalLinks/externalLink59.xml"/><Relationship Id="rId86" Type="http://schemas.openxmlformats.org/officeDocument/2006/relationships/externalLink" Target="externalLinks/externalLink64.xml"/><Relationship Id="rId130" Type="http://schemas.openxmlformats.org/officeDocument/2006/relationships/externalLink" Target="externalLinks/externalLink108.xml"/><Relationship Id="rId135" Type="http://schemas.openxmlformats.org/officeDocument/2006/relationships/externalLink" Target="externalLinks/externalLink113.xml"/><Relationship Id="rId151" Type="http://schemas.openxmlformats.org/officeDocument/2006/relationships/sharedStrings" Target="sharedStrings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17.xml"/><Relationship Id="rId109" Type="http://schemas.openxmlformats.org/officeDocument/2006/relationships/externalLink" Target="externalLinks/externalLink87.xml"/><Relationship Id="rId34" Type="http://schemas.openxmlformats.org/officeDocument/2006/relationships/externalLink" Target="externalLinks/externalLink12.xml"/><Relationship Id="rId50" Type="http://schemas.openxmlformats.org/officeDocument/2006/relationships/externalLink" Target="externalLinks/externalLink28.xml"/><Relationship Id="rId55" Type="http://schemas.openxmlformats.org/officeDocument/2006/relationships/externalLink" Target="externalLinks/externalLink33.xml"/><Relationship Id="rId76" Type="http://schemas.openxmlformats.org/officeDocument/2006/relationships/externalLink" Target="externalLinks/externalLink54.xml"/><Relationship Id="rId97" Type="http://schemas.openxmlformats.org/officeDocument/2006/relationships/externalLink" Target="externalLinks/externalLink75.xml"/><Relationship Id="rId104" Type="http://schemas.openxmlformats.org/officeDocument/2006/relationships/externalLink" Target="externalLinks/externalLink82.xml"/><Relationship Id="rId120" Type="http://schemas.openxmlformats.org/officeDocument/2006/relationships/externalLink" Target="externalLinks/externalLink98.xml"/><Relationship Id="rId125" Type="http://schemas.openxmlformats.org/officeDocument/2006/relationships/externalLink" Target="externalLinks/externalLink103.xml"/><Relationship Id="rId141" Type="http://schemas.openxmlformats.org/officeDocument/2006/relationships/externalLink" Target="externalLinks/externalLink119.xml"/><Relationship Id="rId146" Type="http://schemas.openxmlformats.org/officeDocument/2006/relationships/externalLink" Target="externalLinks/externalLink124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49.xml"/><Relationship Id="rId92" Type="http://schemas.openxmlformats.org/officeDocument/2006/relationships/externalLink" Target="externalLinks/externalLink7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.xml"/><Relationship Id="rId40" Type="http://schemas.openxmlformats.org/officeDocument/2006/relationships/externalLink" Target="externalLinks/externalLink18.xml"/><Relationship Id="rId45" Type="http://schemas.openxmlformats.org/officeDocument/2006/relationships/externalLink" Target="externalLinks/externalLink23.xml"/><Relationship Id="rId66" Type="http://schemas.openxmlformats.org/officeDocument/2006/relationships/externalLink" Target="externalLinks/externalLink44.xml"/><Relationship Id="rId87" Type="http://schemas.openxmlformats.org/officeDocument/2006/relationships/externalLink" Target="externalLinks/externalLink65.xml"/><Relationship Id="rId110" Type="http://schemas.openxmlformats.org/officeDocument/2006/relationships/externalLink" Target="externalLinks/externalLink88.xml"/><Relationship Id="rId115" Type="http://schemas.openxmlformats.org/officeDocument/2006/relationships/externalLink" Target="externalLinks/externalLink93.xml"/><Relationship Id="rId131" Type="http://schemas.openxmlformats.org/officeDocument/2006/relationships/externalLink" Target="externalLinks/externalLink109.xml"/><Relationship Id="rId136" Type="http://schemas.openxmlformats.org/officeDocument/2006/relationships/externalLink" Target="externalLinks/externalLink114.xml"/><Relationship Id="rId61" Type="http://schemas.openxmlformats.org/officeDocument/2006/relationships/externalLink" Target="externalLinks/externalLink39.xml"/><Relationship Id="rId82" Type="http://schemas.openxmlformats.org/officeDocument/2006/relationships/externalLink" Target="externalLinks/externalLink60.xml"/><Relationship Id="rId152" Type="http://schemas.openxmlformats.org/officeDocument/2006/relationships/calcChain" Target="calcChain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externalLink" Target="externalLinks/externalLink8.xml"/><Relationship Id="rId35" Type="http://schemas.openxmlformats.org/officeDocument/2006/relationships/externalLink" Target="externalLinks/externalLink13.xml"/><Relationship Id="rId56" Type="http://schemas.openxmlformats.org/officeDocument/2006/relationships/externalLink" Target="externalLinks/externalLink34.xml"/><Relationship Id="rId77" Type="http://schemas.openxmlformats.org/officeDocument/2006/relationships/externalLink" Target="externalLinks/externalLink55.xml"/><Relationship Id="rId100" Type="http://schemas.openxmlformats.org/officeDocument/2006/relationships/externalLink" Target="externalLinks/externalLink78.xml"/><Relationship Id="rId105" Type="http://schemas.openxmlformats.org/officeDocument/2006/relationships/externalLink" Target="externalLinks/externalLink83.xml"/><Relationship Id="rId126" Type="http://schemas.openxmlformats.org/officeDocument/2006/relationships/externalLink" Target="externalLinks/externalLink104.xml"/><Relationship Id="rId147" Type="http://schemas.openxmlformats.org/officeDocument/2006/relationships/externalLink" Target="externalLinks/externalLink125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29.xml"/><Relationship Id="rId72" Type="http://schemas.openxmlformats.org/officeDocument/2006/relationships/externalLink" Target="externalLinks/externalLink50.xml"/><Relationship Id="rId93" Type="http://schemas.openxmlformats.org/officeDocument/2006/relationships/externalLink" Target="externalLinks/externalLink71.xml"/><Relationship Id="rId98" Type="http://schemas.openxmlformats.org/officeDocument/2006/relationships/externalLink" Target="externalLinks/externalLink76.xml"/><Relationship Id="rId121" Type="http://schemas.openxmlformats.org/officeDocument/2006/relationships/externalLink" Target="externalLinks/externalLink99.xml"/><Relationship Id="rId142" Type="http://schemas.openxmlformats.org/officeDocument/2006/relationships/externalLink" Target="externalLinks/externalLink120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3.xml"/><Relationship Id="rId46" Type="http://schemas.openxmlformats.org/officeDocument/2006/relationships/externalLink" Target="externalLinks/externalLink24.xml"/><Relationship Id="rId67" Type="http://schemas.openxmlformats.org/officeDocument/2006/relationships/externalLink" Target="externalLinks/externalLink45.xml"/><Relationship Id="rId116" Type="http://schemas.openxmlformats.org/officeDocument/2006/relationships/externalLink" Target="externalLinks/externalLink94.xml"/><Relationship Id="rId137" Type="http://schemas.openxmlformats.org/officeDocument/2006/relationships/externalLink" Target="externalLinks/externalLink115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9.xml"/><Relationship Id="rId62" Type="http://schemas.openxmlformats.org/officeDocument/2006/relationships/externalLink" Target="externalLinks/externalLink40.xml"/><Relationship Id="rId83" Type="http://schemas.openxmlformats.org/officeDocument/2006/relationships/externalLink" Target="externalLinks/externalLink61.xml"/><Relationship Id="rId88" Type="http://schemas.openxmlformats.org/officeDocument/2006/relationships/externalLink" Target="externalLinks/externalLink66.xml"/><Relationship Id="rId111" Type="http://schemas.openxmlformats.org/officeDocument/2006/relationships/externalLink" Target="externalLinks/externalLink89.xml"/><Relationship Id="rId132" Type="http://schemas.openxmlformats.org/officeDocument/2006/relationships/externalLink" Target="externalLinks/externalLink110.xml"/><Relationship Id="rId153" Type="http://schemas.openxmlformats.org/officeDocument/2006/relationships/customXml" Target="../customXml/item1.xml"/><Relationship Id="rId15" Type="http://schemas.openxmlformats.org/officeDocument/2006/relationships/worksheet" Target="worksheets/sheet15.xml"/><Relationship Id="rId36" Type="http://schemas.openxmlformats.org/officeDocument/2006/relationships/externalLink" Target="externalLinks/externalLink14.xml"/><Relationship Id="rId57" Type="http://schemas.openxmlformats.org/officeDocument/2006/relationships/externalLink" Target="externalLinks/externalLink35.xml"/><Relationship Id="rId106" Type="http://schemas.openxmlformats.org/officeDocument/2006/relationships/externalLink" Target="externalLinks/externalLink84.xml"/><Relationship Id="rId127" Type="http://schemas.openxmlformats.org/officeDocument/2006/relationships/externalLink" Target="externalLinks/externalLink105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9.xml"/><Relationship Id="rId52" Type="http://schemas.openxmlformats.org/officeDocument/2006/relationships/externalLink" Target="externalLinks/externalLink30.xml"/><Relationship Id="rId73" Type="http://schemas.openxmlformats.org/officeDocument/2006/relationships/externalLink" Target="externalLinks/externalLink51.xml"/><Relationship Id="rId78" Type="http://schemas.openxmlformats.org/officeDocument/2006/relationships/externalLink" Target="externalLinks/externalLink56.xml"/><Relationship Id="rId94" Type="http://schemas.openxmlformats.org/officeDocument/2006/relationships/externalLink" Target="externalLinks/externalLink72.xml"/><Relationship Id="rId99" Type="http://schemas.openxmlformats.org/officeDocument/2006/relationships/externalLink" Target="externalLinks/externalLink77.xml"/><Relationship Id="rId101" Type="http://schemas.openxmlformats.org/officeDocument/2006/relationships/externalLink" Target="externalLinks/externalLink79.xml"/><Relationship Id="rId122" Type="http://schemas.openxmlformats.org/officeDocument/2006/relationships/externalLink" Target="externalLinks/externalLink100.xml"/><Relationship Id="rId143" Type="http://schemas.openxmlformats.org/officeDocument/2006/relationships/externalLink" Target="externalLinks/externalLink121.xml"/><Relationship Id="rId148" Type="http://schemas.openxmlformats.org/officeDocument/2006/relationships/externalLink" Target="externalLinks/externalLink12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externalLink" Target="externalLinks/externalLink4.xml"/><Relationship Id="rId47" Type="http://schemas.openxmlformats.org/officeDocument/2006/relationships/externalLink" Target="externalLinks/externalLink25.xml"/><Relationship Id="rId68" Type="http://schemas.openxmlformats.org/officeDocument/2006/relationships/externalLink" Target="externalLinks/externalLink46.xml"/><Relationship Id="rId89" Type="http://schemas.openxmlformats.org/officeDocument/2006/relationships/externalLink" Target="externalLinks/externalLink67.xml"/><Relationship Id="rId112" Type="http://schemas.openxmlformats.org/officeDocument/2006/relationships/externalLink" Target="externalLinks/externalLink90.xml"/><Relationship Id="rId133" Type="http://schemas.openxmlformats.org/officeDocument/2006/relationships/externalLink" Target="externalLinks/externalLink111.xml"/><Relationship Id="rId15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37" Type="http://schemas.openxmlformats.org/officeDocument/2006/relationships/externalLink" Target="externalLinks/externalLink15.xml"/><Relationship Id="rId58" Type="http://schemas.openxmlformats.org/officeDocument/2006/relationships/externalLink" Target="externalLinks/externalLink36.xml"/><Relationship Id="rId79" Type="http://schemas.openxmlformats.org/officeDocument/2006/relationships/externalLink" Target="externalLinks/externalLink57.xml"/><Relationship Id="rId102" Type="http://schemas.openxmlformats.org/officeDocument/2006/relationships/externalLink" Target="externalLinks/externalLink80.xml"/><Relationship Id="rId123" Type="http://schemas.openxmlformats.org/officeDocument/2006/relationships/externalLink" Target="externalLinks/externalLink101.xml"/><Relationship Id="rId144" Type="http://schemas.openxmlformats.org/officeDocument/2006/relationships/externalLink" Target="externalLinks/externalLink122.xml"/><Relationship Id="rId90" Type="http://schemas.openxmlformats.org/officeDocument/2006/relationships/externalLink" Target="externalLinks/externalLink6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panal\depanal\Users\alvaro\Downloads\wetransfer-17cf5c\RESUM96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uvan\Trabajos%20de%20la%20U\8%20semestre\Construccion%201\Proyecto\APUS%20-%20Nuevo%20Amanece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\2018\ACF\OCAD%20PAZ\Proyecto%20Curillo%20OCAD%20PAZ\AIU%20CURILL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ART%202023\2.%20Revision%20Mecm\Montados\PIR-ART-0338%20Carepa%20Antioquia\3.%20Presupuesto%20ajustado%202024\PRESUPUESTO%205-7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ART%202023\2.%20Revision%20Mecm\Montados\PIR-ART-0338%20Carepa%20Antioquia\3.%20Presupuesto%20ajustado%202024\Presupuesto%20Construcci&#243;n%20Puente%20Peatonal%20Manita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\G\Area%20Proyectos\A\AiuBPMarco98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ART%202023\2.%20Revision%20Mecm\Montados\PIR-ART-0338%20Carepa%20Antioquia\3.%20Presupuesto%20ajustado%202024\APU%20VOL%20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Paola%20Pati&#241;o\AppData\Local\Microsoft\Windows\Temporary%20Internet%20Files\Content.Outlook\EGT9VZJ0\2kprincipal\licitaciones2\Datos\LICITACIONES\Planes%20de%20accion\DATOS\Equipos\COSTO%20DE%20PROPIEDAD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Users\Users\usuario\Desktop\PROYECTO%20COLASFALTOS\Proyecto%20Palermo-Sitio%20Nuevo\Lincon\c\WINDOWS\Escritorio\Mis%20documentos\GermanUribe\Personal\German\AldeaVerde\ControlGerencial\FactibilidadSabanetaEtapa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IEGO%20DIAZ\PROYECTOS\2019\BARRANCABERMEJA\V05\1.%20REQUISITOS%20-%20REQUISITOS%20GENERALES\5.%20PRESUPUESTO%20Y%20ANEXOS\d.%20MEMORIAS%20CANTIDADES\Memoria%20Cantidades%20Bca_HVAC_V1_con%20firma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ARRILLO\ARAUCA\NEGOCIACION1ARONDA\CA-3368-ADI-OXY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365uact-my.sharepoint.com/Users/usuario/Desktop/PROYECTO%20COLASFALTOS/Proyecto%20Palermo-Sitio%20Nuevo/C:/Documents%20and%20Settings/crendon.HMV/Local%20Settings/Temporary%20Internet%20Files/OLK3/8599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:\Ing%20Luisa\Escritorio\ARGELIA-BALBOA\ENTREGA%202016-07-08\ANEXO%202%20-%20PRESUPUESTO%20Y%20APU\C.E.%20LA%20FACHADA\Presupuesto%20estructura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Wcorredor\AppData\Local\Microsoft\Windows\Temporary%20Internet%20Files\Content.Outlook\N8UQB43B\Users\dchaves\Desktop\NARI&#209;O\CONECTIVIDAD\EL%20EMPATE%20-%20LA%20UNION%20PR%2060+240%20al%20PR%2066+090\OBRA\BASE\PRESUPUESTO%20P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365uact-my.sharepoint.com/Mis%20documentos/contratos-en-ejecuci&#243;n/contratos-inv&#237;as-2002/consulv&#237;as-advial/WINDOWS/TEMP/TD_0025.DIR/NOV-%20DIC-2002/INF%20NOV-DIC_2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ART%202023\2.%20Revision%20Mecm\Montados\PIR-ART-0338%20Carepa%20Antioquia\3.%20Presupuesto%20ajustado%202024\PRESUPUESTO%20Y%20APUS%20608-MONIQUIRAMARZO.LXS.xlsm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uvan\Trabajos%20de%20la%20U\8%20semestre\Construccion%201\Proyecto\An&#225;lisis%20Unitarios%20-%20Francis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365uact-my.sharepoint.com/invmeta/INFORMES/infabr98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365uact-my.sharepoint.com/Mis%20documentos/contratos-en-ejecuci&#243;n/contratos-inv&#237;as-2002/consulv&#237;as-advial/Mis%20documentos/Advial-Jul-01-jul-03/formatos/FORMATOS%20UTILES/APU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dvial-Jul-01-jul-03\formatos\FORMATOS%20UTILES\APU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brielaapabone\d%20copias\a%20%20aaInformaci&#243;n%20GRUPO%204\A%20MInformes%20Mensuales\Informe%20de%20estado%20vial%20ene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RETERAS\carreteras\VIAS%20VASCULARES\UNITARIOS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rq.%20LUIS%20ARTURO%20HERNANDEZ%20ORTIZ%20(21%20Agosto%202014)\Consultoria\CDE%20S.A\Borrador%20Arq%20Maria%20Luz\Presupu%20Ilumin%20Estadio%20Barranca%2014%20Agosto%202014%20REVISION%20ARQ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ART%202023\2.%20Revision%20Mecm\Montados\PIR-ART-0338%20Carepa%20Antioquia\3.%20Presupuesto%20ajustado%202024\PTTO%20COMUNICACIONES%2014-ABR-09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ART%202023\2.%20Revision%20Mecm\Montados\PIR-ART-0338%20Carepa%20Antioquia\3.%20Presupuesto%20ajustado%202024\Insumos%202009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25.DIR\NOV-%20DIC-2002\INF%20NOV-DIC_2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LIRIO\Acued%20y%20Alcant\Presup%20Colector%20Aux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ART%202023\2.%20Revision%20Mecm\Montados\PIR-ART-0338%20Carepa%20Antioquia\3.%20Presupuesto%20ajustado%202024\Presupuesto%20Tramo%203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%20%20aaInformaci&#243;n%20GRUPO%204\A%20MInformes%20Mensuales\Informe%20de%20estado%20vial%20ene\aCCIDENTES%20DE%201995%20-%201996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Juanchito\Downloads\Ricaurte\1.%20%20%20PROYECTO_VIA%20SUBREGIONAL\5.0%20%20%20PRESUPUESTO\PROGRAMACION%202007\PROPUESTA%20ORQUIDEAS\APU.xls" TargetMode="External"/></Relationships>
</file>

<file path=xl/externalLinks/_rels/externalLink45.xml.rels><?xml version="1.0" encoding="UTF-8" standalone="yes"?>
<Relationships xmlns="http://schemas.openxmlformats.org/package/2006/relationships"><Relationship Id="rId2" Type="http://schemas.microsoft.com/office/2019/04/relationships/externalLinkLongPath" Target="file:///E:\Documents%20and%20Settings\mromero\Configuraci&#243;n%20local\Archivos%20temporales%20de%20Internet\OLK77\20-02-09%20observaciones%20de%20mario%20romero\enviado%20por%20la%20territorial\Documents%20and%20Settings\Jaime%20Rojas\Mis%20documentos\Contrato\Interv\JunBarba\a%20%20aaInformaci&#243;n%20GRUPO?71E8A032" TargetMode="External"/><Relationship Id="rId1" Type="http://schemas.openxmlformats.org/officeDocument/2006/relationships/externalLinkPath" Target="file:///\\71E8A032\a%20%20aaInformaci&#243;n%20GRUPO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ART%202023\2.%20Revision%20Mecm\Montados\PIR-ART-0338%20Carepa%20Antioquia\3.%20Presupuesto%20ajustado%202024\CIRCUITOS%20CODENSA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:\Ing%20Luisa\Escritorio\ARGELIA-BALBOA\ENTREGA%202016-07-08\ANEXO%202%20-%20PRESUPUESTO%20Y%20APU\EDEQ\BASE%20DE%20DATO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vid\AppData\Local\Temp\Costos%20operaci&#243;n%20y%20mantenimiento%20-%20Proyectos%20Tipo%20V2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ART%202023\2.%20Revision%20Mecm\Montados\PIR-ART-0338%20Carepa%20Antioquia\3.%20Presupuesto%20ajustado%202024\SOACHA%20Presupuesto_750%20_Intermedia_Suelo%20CD_V04V2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Juanchito\Downloads\Ricaurte\1.%20%20%20PROYECTO_VIA%20SUBREGIONAL\5.0%20%20%20PRESUPUESTO\Users\luis1\Downloads\PRESUPUESTO%20PROVIDENCIA%20CON%20PTO%20INTERVENTORIA%20MODIFICADO%202000%20millones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NIERO2\My%20Documents\Mis%20documentos\Andres\Presupuestos\Administra%20UQ%20V%201.0\Administra%20Planeaci&#243;n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ART%202023\2.%20Revision%20Mecm\Montados\PIR-ART-0338%20Carepa%20Antioquia\3.%20Presupuesto%20ajustado%202024\COSTEO%20DE%20A.I.U.%20Y%20FACTOR%20MULTIPLICADOR%20PARA%20PROYECTAR%20A&#209;O%202009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lsy-pc\Aquitania\Cofinanciacion\FICHAS%20Y%20FORMATOS\UNITARIOS%20GENERALE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emestre%209%20IX\Concreto%20II\Muro\Dise&#241;o%20muro%20contencion\APUS%20Y%20PRESUPUESTO3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ART%202023\2.%20Revision%20Mecm\Montados\PIR-ART-0338%20Carepa%20Antioquia\3.%20Presupuesto%20ajustado%202024\GP-469%20-%20Ppto%20Teatro%20Jerico%20V16%20-%20etapa%202.xlsx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42\Escaner\Documents\Desktop\documentos%20trabajo%20PTTO\Aiu.xlsx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ART%202023\2.%20Revision%20Mecm\Montados\PIR-ART-0338%20Carepa%20Antioquia\3.%20Presupuesto%20ajustado%202024\Presupuesto%20Da&#241;os%20Interinstitucionales1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ART%202023\2.%20Revision%20Mecm\Montados\PIR-ART-0338%20Carepa%20Antioquia\3.%20Presupuesto%20ajustado%202024\PRESUPUESTO%20INGENIE.xlsx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ART%202023\2.%20Revision%20Mecm\Montados\PIR-ART-0338%20Carepa%20Antioquia\3.%20Presupuesto%20ajustado%202024\Datos%20b&#225;sico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ART%202023\2.%20Revision%20Mecm\Montados\PIR-ART-0338%20Carepa%20Antioquia\3.%20Presupuesto%20ajustado%202024\Ppto%20de%20Obra%20INARE-IDU-202-05%20-%20Tramo%20Cra-15-19%20-Separador-%20v.16-04-07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ART%202023\2.%20Revision%20Mecm\Montados\PIR-ART-0338%20Carepa%20Antioquia\3.%20Presupuesto%20ajustado%202024\Presupuesto%20Nechi%20(2Feb.2015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ART%202023\2.%20Revision%20Mecm\Montados\PIR-ART-0338%20Carepa%20Antioquia\3.%20Presupuesto%20ajustado%202024\Cargabilidad%20econ&#243;mica5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ndows\Temp\Rar$DI00.750\APUS%20BOY_GRUPO%201_MARZO%20DE%20201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ART%202023\2.%20Revision%20Mecm\Montados\PIR-ART-0338%20Carepa%20Antioquia\3.%20Presupuesto%20ajustado%202024\SABANA_PRESUPUESTO_CanchaMultiple_900_08sep2012.xlsx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ART%202023\2.%20Revision%20Mecm\Montados\PIR-ART-0338%20Carepa%20Antioquia\3.%20Presupuesto%20ajustado%202024\Copia%20de%20PRESUPUESTO%20PUENTE%20TRANSVERSAL%2045%20-%20V.1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ART%202023\2.%20Revision%20Mecm\Montados\PIR-ART-0338%20Carepa%20Antioquia\3.%20Presupuesto%20ajustado%202024\APU_GRUPO_G-Base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ART%202023\2.%20Revision%20Mecm\Montados\PIR-ART-0338%20Carepa%20Antioquia\3.%20Presupuesto%20ajustado%202024\APUS%20JUNIO%2015-04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AD10\Desktop\Cantidades%20totales%20%20tramo%202.xlsx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365uact-my.sharepoint.com/2.%20Revision%20Mecm/.PIR-ART-0150%20Nva%20Frontera&#8211;Libertad,%20Solita,%20Caquet&#225;%20PH/0%20revision/Definitivos/PIR-ART-0150-Solita-Presupuesto%20APU%20Ajustado%20MCVF3.xlsx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ART%202023\2.%20Revision%20Mecm\Montados\PIR-ART-0338%20Carepa%20Antioquia\3.%20Presupuesto%20ajustado%202024\1.%20PRESUPUESTO%20CALI%20TUNA%20BAJA%20FINA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honatanmauricio\Downloads\F:\VILLA%20TAKOA\Presupuesto\APUS%20VILLA%20TAKO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UARIO\Downloads\apus%20febrero%202012%20BOYACA%20(1)\apus%20febrero%20de%202012%20-%20GRUPO%201.xlsx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ART%202023\2.%20Revision%20Mecm\Montados\PIR-ART-0338%20Carepa%20Antioquia\3.%20Presupuesto%20ajustado%202024\1&#186;%20de%20Mayo%20con%2049C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ART%202023\2.%20Revision%20Mecm\Montados\PIR-ART-0338%20Carepa%20Antioquia\3.%20Presupuesto%20ajustado%202024\MATRIZ%20PARA%20EL%20CALCULO%20DEL%20AIU%202009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&#250;ngaro\c-gerencia\ESSA_ESP\Gua_HPaj\Calc_Lin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ART%202023\2.%20Revision%20Mecm\Montados\PIR-ART-0338%20Carepa%20Antioquia\3.%20Presupuesto%20ajustado%202024\PRESUPUESTO%20DEL%20POLIDEPORTIVO%20COMPLETO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:\Ing%20Luisa\Escritorio\ARGELIA-BALBOA\ENTREGA%202016-07-08\ANEXO%202%20-%20PRESUPUESTO%20Y%20APU\ALCALD&#205;A\PISCINA%20DE%20OLAS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rino\C\AMV-3005-2005\ADMON%20GRUPO%203%202004%20-2005\PRESUPUESTOS\Analisis%20de%20Precios%20Unitarios%20ASTRID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rupolhs\DOCUME~1\DORIAN~1\CONFIG~1\Temp\PRESUPUESTOS\Obras%20Licitadas\Licitaciones%20del%202004\71%20al%2080\78%20PUENTE%20QUEBRADA%20LA%20UNION%20-%20PORCE%20III\Excel\RELACI~1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rupolhs\DOCUME~1\DORIAN~1\CONFIG~1\Temp\WINDOWS\TEMP\RELACI~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pptos\presupuestos\PRESUPUESTOS\Obras%20Licitadas\Licitaciones%20del%202004\71%20al%2080\78%20PUENTE%20QUEBRADA%20LA%20UNION%20-%20PORCE%20III\Excel\RELACI~1.XLS" TargetMode="External"/></Relationships>
</file>

<file path=xl/externalLinks/_rels/externalLink88.xml.rels><?xml version="1.0" encoding="UTF-8" standalone="yes"?>
<Relationships xmlns="http://schemas.openxmlformats.org/package/2006/relationships"><Relationship Id="rId2" Type="http://schemas.microsoft.com/office/2019/04/relationships/externalLinkLongPath" Target="https://365uact-my.sharepoint.com/Users/Juank/AppData/Local/Microsoft/Windows/Temporary%20Internet%20Files/Content.IE5/RLYE1U8M/Documents%20and%20Settings/Administrador/Escritorio/JULIO%20SEPTIEMBRE/Documents%20and%20Settings/Compaq_Propietari?E05D98D8" TargetMode="External"/><Relationship Id="rId1" Type="http://schemas.openxmlformats.org/officeDocument/2006/relationships/externalLinkPath" Target="file:///\\E05D98D8\Compaq_Propietari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IEGO%20DIAZ\PROYECTOS\2019\1.0%20BARRANCABERMEJA\PARQUE%20INTERACTIVO\V05\1.%20REQUISITOS%20-%20REQUISITOS%20GENERALES\5.%20PRESUPUESTO%20Y%20ANEXOS\a.%20PRESUPUESTO_GENERAL\bca_parq_presupuesto.xlsx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ADM%20VIAL%2003%20-%20CORDOBA\ESTADO%20DE%20RED\2103mar%20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DM%20VIAL%2003%20-%20CORDOBA\ESTADO%20DE%20RED\2103mar%20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formaci&#243;n%20Metrol&#237;nea\Contratos\Metrolinea\CONSULTORIA%20METROLINEA\ESTRUCTURACION%20PLIEGOS%20DE%20CONDICIONES%20PORTAL%20NORTE\ENVIO%20%23%209\NORTE\PRESUPUESTO%20PORTAL%20NORTE%20V.3.1%20-%2009-07-2017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Wcorredor\AppData\Local\Microsoft\Windows\Temporary%20Internet%20Files\Content.Outlook\N8UQB43B\Users\GeoTuneles\Downloads\DA_PROCESO_13-1-108154_124002002_9512407%20(1)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ART%202023\2.%20Revision%20Mecm\Montados\PIR-ART-0338%20Carepa%20Antioquia\3.%20Presupuesto%20ajustado%202024\1409-2012_Presupuesto_750(1)...........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ART%202023\2.%20Revision%20Mecm\Montados\PIR-ART-0338%20Carepa%20Antioquia\3.%20Presupuesto%20ajustado%202024\PRESUPUESTO%20Y%20APU&#180;s%20TIPACOQUE%20%20%2006-10-2014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ART%202023\2.%20Revision%20Mecm\Montados\PIR-ART-0338%20Carepa%20Antioquia\3.%20Presupuesto%20ajustado%202024\APU'S%20GOBERNACION%202013%20GENERAL%20-%20CABETO.xlsm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Juanchito\Downloads\Ricaurte\1.%20%20%20PROYECTO_VIA%20SUBREGIONAL\5.0%20%20%20PRESUPUESTO\Users\pc\Desktop\GUALMATAN\PRESUPUESTO\PRESUPUESTO%20DE%20OBRA%20-%20BELEN-JAN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Juanchito\Downloads\Ricaurte\1.%20%20%20PROYECTO_VIA%20SUBREGIONAL\5.0%20%20%20PRESUPUESTO\MORDOR\Mis%20documentos\Juancho\SAMANIEGO\UNIT%20%20PR%2083+0700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%20%20aaInformaci&#243;n%20GRUPO%204\A%20MInformes%20Mensuales\Informe%20de%20estado%20vial%20ene\aCCIDENTES%20DE%201995%20-%201996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MV-02-BOL\EST.V&#205;A%20CRIT.TECNICO%20AMB-BOL-02\DICIEMBRE-2008\EST.V&#205;A%20CRITERIO%20TECNICO%2090BLB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ST.V&#205;A%20CRITERIO%20TECNICO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ART%202023\2.%20Revision%20Mecm\Montados\PIR-ART-0338%20Carepa%20Antioquia\3.%20Presupuesto%20ajustado%202024\P127-PO-GE-002%20V1%20EN%20PROCESO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rino\C\Documents%20and%20Settings\Hector%20Guerrero\Mis%20documentos\Licitaciones%20realizadas\Invias\INTER-Taraza-caucasia\DIFERGO\WINDOWS\TEMP\UNITARIOS.xls" TargetMode="External"/></Relationships>
</file>

<file path=xl/externalLinks/_rels/externalLink105.xml.rels><?xml version="1.0" encoding="UTF-8" standalone="yes"?>
<Relationships xmlns="http://schemas.openxmlformats.org/package/2006/relationships"><Relationship Id="rId2" Type="http://schemas.microsoft.com/office/2019/04/relationships/externalLinkLongPath" Target="https://365uact-my.sharepoint.com/Users/Juank/AppData/Local/Microsoft/Windows/Temporary%20Internet%20Files/Content.IE5/RLYE1U8M/Documents%20and%20Settings/Administrador/Escritorio/JULIO%20SEPTIEMBRE/trimestral%20Oct%20Dic%202007/trimestral%20OCTUB?3BF93453" TargetMode="External"/><Relationship Id="rId1" Type="http://schemas.openxmlformats.org/officeDocument/2006/relationships/externalLinkPath" Target="file:///\\3BF93453\trimestral%20OCTUB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MV%20GRUPO2-05\presupuestos\ajuste%20presupuestos\$%20PR20%20al%20PR23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IEGO%20DIAZ\VEHICULOS\3.%20SUF616%20TAXI\accidente%202023\gastos.xlsx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ART%202023\2.%20Revision%20Mecm\Montados\PIR-ART-0338%20Carepa%20Antioquia\3.%20Presupuesto%20ajustado%202024\V&#237;nculoExternoRecuperado1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ART%202023\2.%20Revision%20Mecm\Montados\PIR-ART-0338%20Carepa%20Antioquia\3.%20Presupuesto%20ajustado%202024\Analisis%20precios%20Gobernacion%202006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365uact-my.sharepoint.com/Mis%20documentos/contratos-en-ejecuci&#243;n/contratos-inv&#237;as-2002/consulv&#237;as-advial/WINDOWS/TEMP/TD_0025.DIR/NOV-%20DIC-2002/oficina/accidentes%20le%20NOV-02-1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Wcorredor\AppData\Local\Microsoft\Windows\Temporary%20Internet%20Files\Content.Outlook\N8UQB43B\PAVICOL\MSOFFICE\LICITAR\analisis%20del%20AIU\AIU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lufer\Documents\8.%20Contratista%20FCP\2.%20Apoyo%20Supervisi&#243;n\1.%20Dctos%20PDET%204\35%20%20PROYECTOS%20%20CON%20VALORES%20%20def.xlsx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ART%202023\2.%20Revision%20Mecm\Montados\PIR-ART-0338%20Carepa%20Antioquia\3.%20Presupuesto%20ajustado%202024\PLANOBRASING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lsy-pc\Aquitania\Mis%20documentos\MIKO%20EN%20EJECUCION\NUNCHIA\Cofinanciacion\FICHAS%20Y%20FORMATOS\UNITARIOS%20GENERALES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ontrato-2060-2014\Principal\CONTRATO%204031%202013\APU%202014%20def\presup%20varios\20120806%20-%20CMS%20-%20APUs%20definitivos_v6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:\Ing%20Luisa\Escritorio\ARGELIA-BALBOA\ENTREGA%202016-07-08\ANEXO%202%20-%20PRESUPUESTO%20Y%20APU\BANCO%20DEL%20ESTADO\BANESTADO\BANESTADO\Programacion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ART%202023\2.%20Revision%20Mecm\Montados\PIR-ART-0338%20Carepa%20Antioquia\3.%20Presupuesto%20ajustado%202024\costodisteeb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panal\depanal\Users\jmperez\Documents\TECNICA\DEPORTE%20Y%20RECREACION\02%20ESTANDARIZADO%20POLIDEPORTIVO\Presupuesto_750%20_Baja_Suelo%20AB%20actualizado%202015%20con%20ICCP.xlsx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\2018\ACF\OCAD%20PAZ\Proyecto%20Curillo%20OCAD%20PAZ\Memoria%20de%20Calculo%20de%20Cantidades%20de%20Obra.xlsx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rino\C\Documents%20and%20Settings\Hector%20Guerrero\Mis%20documentos\Licitaciones%20realizadas\Invias\INTER-Taraza-caucasia\DIFERGO\WINDOWS\TEMP\Preobra\ModeloPresupuesto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ART%202023\2.%20Revision%20Mecm\Montados\PIR-ART-0338%20Carepa%20Antioquia\3.%20Presupuesto%20ajustado%202024\Costeo%20Consultoria%20Bancol.xls" TargetMode="External"/></Relationships>
</file>

<file path=xl/externalLinks/_rels/externalLink125.xml.rels><?xml version="1.0" encoding="UTF-8" standalone="yes"?>
<Relationships xmlns="http://schemas.openxmlformats.org/package/2006/relationships"><Relationship Id="rId2" Type="http://schemas.microsoft.com/office/2019/04/relationships/externalLinkLongPath" Target="https://365uact-my.sharepoint.com/personal/manuel_caicedo_renovacionterritorio_gov_co/Documents/Consolidado%20Revisiones/2023%20.%20AAA%20Montados/PIR-ART-0338%20Carepa%20Antioquia/3.%20Presupuesto%20ajustado%202024/Cantidades%20PIR%20ART%200338%20Carepa%20Memorias%202024%20Convenio%20v2.xlsx?B85659D6" TargetMode="External"/><Relationship Id="rId1" Type="http://schemas.openxmlformats.org/officeDocument/2006/relationships/externalLinkPath" Target="file:///\\B85659D6\Cantidades%20PIR%20ART%200338%20Carepa%20Memorias%202024%20Convenio%20v2.xlsx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365uact-my.sharepoint.com/2.%20Revision%20Mecm/.PIR-ART-0338%20CAREPA,%20ANTIOQUIA%20(06-06-21)/0%20Documentos%20revision/8.%20Pto%20Toribio%20mod%20carepa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96"/>
      <sheetName val="Hoja2"/>
      <sheetName val="Hoja5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 prestacional"/>
      <sheetName val="Cuadrillas"/>
      <sheetName val="APUS Preliminares"/>
      <sheetName val="APUS Alcantarillado"/>
      <sheetName val="precios unitarios"/>
      <sheetName val="precios unitarios (2)"/>
      <sheetName val="cantidades de obra"/>
      <sheetName val="INSUMOS"/>
      <sheetName val="valor total"/>
      <sheetName val="genéric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AIU CURILLO"/>
    </sheetNames>
    <definedNames>
      <definedName name="err" refersTo="#¡REF!"/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U (2)"/>
      <sheetName val="PESOS"/>
      <sheetName val="G&amp;G"/>
      <sheetName val="CABG"/>
      <sheetName val="COSTOS UNITARIOS"/>
      <sheetName val="CA-2909"/>
      <sheetName val="TRAYECTO 1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APU´s"/>
      <sheetName val="Información"/>
      <sheetName val="ACTIVIDADES"/>
      <sheetName val="BD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ramo 2"/>
      <sheetName val="Accidentalidad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Causa Posible"/>
      <sheetName val="SNP7 Anclajes pasivos6j_x0000_"/>
      <sheetName val="Elementos Involucrados"/>
      <sheetName val="TARIFAS MATERIALES"/>
      <sheetName val="TARIFAS EQUIPOS "/>
      <sheetName val="TARIFA SALARIOS"/>
      <sheetName val="PRES"/>
      <sheetName val="Base de Datos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RESU"/>
      <sheetName val="Datos_CO"/>
      <sheetName val="Skid Lifting Lug"/>
      <sheetName val="Lista ICCU"/>
      <sheetName val="Paral. 1"/>
      <sheetName val="Paral. 2"/>
      <sheetName val="Paral. 3"/>
      <sheetName val="Paral.4"/>
      <sheetName val="AMOBLAMINETO"/>
      <sheetName val="LISTA"/>
      <sheetName val="BASE DE DATOS DE PRECIOS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 refreshError="1"/>
      <sheetData sheetId="446"/>
      <sheetData sheetId="447" refreshError="1"/>
      <sheetData sheetId="448" refreshError="1"/>
      <sheetData sheetId="449" refreshError="1"/>
      <sheetData sheetId="450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 refreshError="1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/>
      <sheetData sheetId="752" refreshError="1"/>
      <sheetData sheetId="753" refreshError="1"/>
      <sheetData sheetId="754" refreshError="1"/>
      <sheetData sheetId="755" refreshError="1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Est_y_Dis1"/>
      <sheetName val="Fondo_Ensayos1"/>
      <sheetName val="Obra_puente1"/>
      <sheetName val="Fondo_Ajustes1"/>
      <sheetName val="FACTOR_MULTIPLICADOR1"/>
      <sheetName val="Datos_Generales1"/>
      <sheetName val="APU_ANTICORROSIVO1"/>
      <sheetName val="APU_LIMPIEZA_Y_PINTURA1"/>
      <sheetName val="APU_REFUERZOS1"/>
      <sheetName val="APU_ADECUACIÓN_PASAMANOS1"/>
      <sheetName val="APU_DESMONTE_BARANDA1"/>
      <sheetName val="APU_REINSTALACIÓN_BARANDA1"/>
      <sheetName val="APU_BARANDA_NUEVA1"/>
      <sheetName val="APU_PINTURA_BARANDA1"/>
      <sheetName val="APU_CONCRETO_-_METALDECK1"/>
      <sheetName val="Est_y_Dis4"/>
      <sheetName val="Fondo_Ensayos4"/>
      <sheetName val="Obra_puente4"/>
      <sheetName val="Fondo_Ajustes4"/>
      <sheetName val="FACTOR_MULTIPLICADOR4"/>
      <sheetName val="Datos_Generales4"/>
      <sheetName val="APU_ANTICORROSIVO4"/>
      <sheetName val="APU_LIMPIEZA_Y_PINTURA4"/>
      <sheetName val="APU_REFUERZOS4"/>
      <sheetName val="APU_ADECUACIÓN_PASAMANOS4"/>
      <sheetName val="APU_DESMONTE_BARANDA4"/>
      <sheetName val="APU_REINSTALACIÓN_BARANDA4"/>
      <sheetName val="APU_BARANDA_NUEVA4"/>
      <sheetName val="APU_PINTURA_BARANDA4"/>
      <sheetName val="APU_CONCRETO_-_METALDECK4"/>
      <sheetName val="Est_y_Dis2"/>
      <sheetName val="Fondo_Ensayos2"/>
      <sheetName val="Obra_puente2"/>
      <sheetName val="Fondo_Ajustes2"/>
      <sheetName val="FACTOR_MULTIPLICADOR2"/>
      <sheetName val="Datos_Generales2"/>
      <sheetName val="APU_ANTICORROSIVO2"/>
      <sheetName val="APU_LIMPIEZA_Y_PINTURA2"/>
      <sheetName val="APU_REFUERZOS2"/>
      <sheetName val="APU_ADECUACIÓN_PASAMANOS2"/>
      <sheetName val="APU_DESMONTE_BARANDA2"/>
      <sheetName val="APU_REINSTALACIÓN_BARANDA2"/>
      <sheetName val="APU_BARANDA_NUEVA2"/>
      <sheetName val="APU_PINTURA_BARANDA2"/>
      <sheetName val="APU_CONCRETO_-_METALDECK2"/>
      <sheetName val="Est_y_Dis3"/>
      <sheetName val="Fondo_Ensayos3"/>
      <sheetName val="Obra_puente3"/>
      <sheetName val="Fondo_Ajustes3"/>
      <sheetName val="FACTOR_MULTIPLICADOR3"/>
      <sheetName val="Datos_Generales3"/>
      <sheetName val="APU_ANTICORROSIVO3"/>
      <sheetName val="APU_LIMPIEZA_Y_PINTURA3"/>
      <sheetName val="APU_REFUERZOS3"/>
      <sheetName val="APU_ADECUACIÓN_PASAMANOS3"/>
      <sheetName val="APU_DESMONTE_BARANDA3"/>
      <sheetName val="APU_REINSTALACIÓN_BARANDA3"/>
      <sheetName val="APU_BARANDA_NUEVA3"/>
      <sheetName val="APU_PINTURA_BARANDA3"/>
      <sheetName val="APU_CONCRETO_-_METALDECK3"/>
      <sheetName val="Est_y_Dis5"/>
      <sheetName val="Fondo_Ensayos5"/>
      <sheetName val="Obra_puente5"/>
      <sheetName val="Fondo_Ajustes5"/>
      <sheetName val="FACTOR_MULTIPLICADOR5"/>
      <sheetName val="Datos_Generales5"/>
      <sheetName val="APU_ANTICORROSIVO5"/>
      <sheetName val="APU_LIMPIEZA_Y_PINTURA5"/>
      <sheetName val="APU_REFUERZOS5"/>
      <sheetName val="APU_ADECUACIÓN_PASAMANOS5"/>
      <sheetName val="APU_DESMONTE_BARANDA5"/>
      <sheetName val="APU_REINSTALACIÓN_BARANDA5"/>
      <sheetName val="APU_BARANDA_NUEVA5"/>
      <sheetName val="APU_PINTURA_BARANDA5"/>
      <sheetName val="APU_CONCRETO_-_METALDECK5"/>
      <sheetName val="Est_y_Dis6"/>
      <sheetName val="Fondo_Ensayos6"/>
      <sheetName val="Obra_puente6"/>
      <sheetName val="Fondo_Ajustes6"/>
      <sheetName val="FACTOR_MULTIPLICADOR6"/>
      <sheetName val="Datos_Generales6"/>
      <sheetName val="APU_ANTICORROSIVO6"/>
      <sheetName val="APU_LIMPIEZA_Y_PINTURA6"/>
      <sheetName val="APU_REFUERZOS6"/>
      <sheetName val="APU_ADECUACIÓN_PASAMANOS6"/>
      <sheetName val="APU_DESMONTE_BARANDA6"/>
      <sheetName val="APU_REINSTALACIÓN_BARANDA6"/>
      <sheetName val="APU_BARANDA_NUEVA6"/>
      <sheetName val="APU_PINTURA_BARANDA6"/>
      <sheetName val="APU_CONCRETO_-_METALDECK6"/>
      <sheetName val="Est_y_Dis7"/>
      <sheetName val="Fondo_Ensayos7"/>
      <sheetName val="Obra_puente7"/>
      <sheetName val="Fondo_Ajustes7"/>
      <sheetName val="FACTOR_MULTIPLICADOR7"/>
      <sheetName val="Datos_Generales7"/>
      <sheetName val="APU_ANTICORROSIVO7"/>
      <sheetName val="APU_LIMPIEZA_Y_PINTURA7"/>
      <sheetName val="APU_REFUERZOS7"/>
      <sheetName val="APU_ADECUACIÓN_PASAMANOS7"/>
      <sheetName val="APU_DESMONTE_BARANDA7"/>
      <sheetName val="APU_REINSTALACIÓN_BARANDA7"/>
      <sheetName val="APU_BARANDA_NUEVA7"/>
      <sheetName val="APU_PINTURA_BARANDA7"/>
      <sheetName val="APU_CONCRETO_-_METALDECK7"/>
      <sheetName val="días habiles 201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ogram"/>
      <sheetName val="COSTOS"/>
      <sheetName val="EVA"/>
      <sheetName val="AiuBPMarco98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"/>
      <sheetName val="1.1.1"/>
      <sheetName val="1.2.1"/>
      <sheetName val="1.2.2"/>
      <sheetName val="1.2.3"/>
      <sheetName val="1.2.4"/>
      <sheetName val="1.2.5"/>
      <sheetName val="1.2.6"/>
      <sheetName val="1.3.1"/>
      <sheetName val="1.3.2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5.1"/>
      <sheetName val="1.5.2"/>
      <sheetName val="1.5.3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1.22"/>
      <sheetName val="2.1.23"/>
      <sheetName val="2.1.24"/>
      <sheetName val="2.1.25"/>
      <sheetName val="2.1.26"/>
      <sheetName val="2.2.1"/>
      <sheetName val="2.2.2"/>
      <sheetName val="2.2.3"/>
      <sheetName val="2.2.4"/>
      <sheetName val="2.4.1"/>
      <sheetName val="2.4.2"/>
      <sheetName val="2.4.3"/>
      <sheetName val="2.4.4"/>
      <sheetName val="2.4.5"/>
      <sheetName val="2.4.6"/>
      <sheetName val="2.4.7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4.1.1"/>
      <sheetName val="4.1.2"/>
      <sheetName val="4.1.3"/>
      <sheetName val="4.1.4"/>
      <sheetName val="4.2.1"/>
      <sheetName val="4.2.2"/>
      <sheetName val="4.2.3"/>
      <sheetName val="4.2.4"/>
      <sheetName val="4.2.5"/>
      <sheetName val="4.2.6"/>
      <sheetName val="4.3.1"/>
      <sheetName val="4.3.2"/>
      <sheetName val="4.6.1"/>
      <sheetName val="4.6.2"/>
      <sheetName val="4.6.3"/>
      <sheetName val="4.6.4"/>
      <sheetName val="4.6.5"/>
      <sheetName val="4.6.6"/>
      <sheetName val="4.6.7"/>
      <sheetName val="4.6.8"/>
      <sheetName val="4.6.9"/>
      <sheetName val="4.6.10"/>
      <sheetName val="4.6.11"/>
      <sheetName val="4.6.12"/>
      <sheetName val="4.6.13"/>
      <sheetName val="4.6.14"/>
      <sheetName val="4.6.15"/>
      <sheetName val="4.6.16"/>
      <sheetName val="4.6.17"/>
      <sheetName val="4.6.18"/>
      <sheetName val="4.6.19"/>
      <sheetName val="4.6.20"/>
      <sheetName val="4.6.21"/>
      <sheetName val="4.6.22"/>
      <sheetName val="4.6.23"/>
      <sheetName val="4.6.24"/>
      <sheetName val="4.6.25"/>
      <sheetName val="4.6.26"/>
      <sheetName val="4.6.27"/>
      <sheetName val="4.6.28"/>
      <sheetName val="4.6.29"/>
      <sheetName val="4.6.30"/>
      <sheetName val="4.6.31"/>
      <sheetName val="4.6.32"/>
      <sheetName val="4.6.33"/>
      <sheetName val="4.6.34"/>
      <sheetName val="4.6.35"/>
      <sheetName val="4.6.36"/>
      <sheetName val="4.6.37"/>
      <sheetName val="4.6.38"/>
      <sheetName val="4.6.39"/>
      <sheetName val="4.6.40"/>
      <sheetName val="4.6.41"/>
      <sheetName val="4.6.42"/>
      <sheetName val="4.6.43"/>
      <sheetName val="4.6.44"/>
      <sheetName val="4.6.45"/>
      <sheetName val="4.6.46"/>
      <sheetName val="4.6.47"/>
      <sheetName val="4.6.48"/>
      <sheetName val="4.6.49"/>
      <sheetName val="4.6.50"/>
      <sheetName val="4.6.51"/>
      <sheetName val="4.6.52"/>
      <sheetName val="4.6.53"/>
      <sheetName val="4.6.54"/>
      <sheetName val="4.6.55"/>
      <sheetName val="4.6.56"/>
      <sheetName val="4.6.57"/>
      <sheetName val="4.6.58"/>
      <sheetName val="4.6.59"/>
      <sheetName val="4.6.60"/>
      <sheetName val="4.6.61"/>
      <sheetName val="4.6.62"/>
      <sheetName val="4.6.63"/>
      <sheetName val="4.6.64"/>
      <sheetName val="4.6.65"/>
      <sheetName val="4.6.66"/>
      <sheetName val="4.6.67"/>
      <sheetName val="4.6.68"/>
      <sheetName val="4.6.69"/>
      <sheetName val="4.6.70"/>
      <sheetName val="4.6.71"/>
      <sheetName val="4.6.72"/>
      <sheetName val="4.6.73"/>
      <sheetName val="4.6.74"/>
      <sheetName val="4.6.75"/>
      <sheetName val="4.6.76"/>
      <sheetName val="4.6.77"/>
      <sheetName val="4.6.78"/>
      <sheetName val="4.6.79"/>
      <sheetName val="4.6.80"/>
      <sheetName val="4.6.81"/>
      <sheetName val="4.6.82"/>
      <sheetName val="4.6.83"/>
      <sheetName val="4.6.84"/>
      <sheetName val="4.6.85"/>
      <sheetName val="4.6.86"/>
      <sheetName val="4.6.87"/>
      <sheetName val="4.6.88"/>
      <sheetName val="4.6.89"/>
      <sheetName val="4.6.90"/>
      <sheetName val="4.7.1"/>
      <sheetName val="4.7.2"/>
      <sheetName val="4.7.3"/>
      <sheetName val="4.7.5"/>
      <sheetName val="4.7.6"/>
      <sheetName val="4.7.7"/>
      <sheetName val="4.7.8"/>
      <sheetName val="4.7.9"/>
      <sheetName val="4.7.10"/>
      <sheetName val="4.7.11"/>
      <sheetName val="4.8.1"/>
      <sheetName val="4.8.2"/>
      <sheetName val="4.8.3"/>
      <sheetName val="4.8.4"/>
      <sheetName val="4.8.5"/>
      <sheetName val="4.8.6"/>
      <sheetName val="4.8.7"/>
      <sheetName val="4.8.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CTUBRE"/>
      <sheetName val="AIU"/>
      <sheetName val="EVA"/>
      <sheetName val="Program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REALES"/>
      <sheetName val="FLUJO DE FONDOS"/>
    </sheetNames>
    <sheetDataSet>
      <sheetData sheetId="0" refreshError="1"/>
      <sheetData sheetId="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"/>
      <sheetName val="18.1"/>
      <sheetName val="18.2"/>
      <sheetName val="18.3"/>
      <sheetName val="18.4"/>
      <sheetName val="18.5"/>
      <sheetName val="18.6"/>
      <sheetName val="18.7"/>
      <sheetName val="18.8"/>
      <sheetName val="18.9"/>
      <sheetName val="18,10"/>
      <sheetName val="18,11"/>
      <sheetName val="18,12"/>
      <sheetName val="18,13"/>
      <sheetName val="18,14"/>
      <sheetName val="18,15"/>
      <sheetName val="18,16"/>
      <sheetName val="18,17"/>
      <sheetName val="18,18"/>
      <sheetName val="18,19"/>
      <sheetName val="18,20"/>
      <sheetName val="18,21"/>
      <sheetName val="18,22"/>
      <sheetName val="18,23"/>
      <sheetName val="18,24"/>
      <sheetName val="18,25"/>
      <sheetName val="18,26"/>
      <sheetName val="18,27"/>
      <sheetName val="18,28"/>
      <sheetName val="18,29"/>
      <sheetName val="18,30"/>
      <sheetName val="18,31"/>
      <sheetName val="18,32"/>
      <sheetName val="18,33"/>
      <sheetName val="18,34"/>
      <sheetName val="18,35"/>
      <sheetName val="18,36"/>
      <sheetName val="18,37"/>
      <sheetName val="18,38"/>
      <sheetName val="18,39"/>
      <sheetName val="18,40"/>
      <sheetName val="18,4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CONT_ADI"/>
      <sheetName val="Datos"/>
      <sheetName val="aCCIDENTES%20DE%201995%20-%2019"/>
      <sheetName val="aCCIDENTES DE 1995 - 1996.xls"/>
      <sheetName val="\a  aaInformación GRUPO 4\A MIn"/>
      <sheetName val="items"/>
      <sheetName val="ACTA DE MODIFICACION  (2)"/>
      <sheetName val="INDICMICROEMP"/>
      <sheetName val="#¡REF"/>
      <sheetName val="MATERIALES"/>
      <sheetName val="SUB APU"/>
      <sheetName val="Datos Básicos"/>
      <sheetName val="SALARIOS"/>
      <sheetName val="Informacion"/>
      <sheetName val="INV"/>
      <sheetName val="AASHTO"/>
      <sheetName val="Informe"/>
      <sheetName val="Seguim-16"/>
      <sheetName val="aCCIDENTES_DE_1995_-_1996"/>
      <sheetName val="aCCIDENTES_DE_1995_-_1996_xls"/>
      <sheetName val="\a__aaInformación_GRUPO_4\A_MIn"/>
      <sheetName val="ACTA_DE_MODIFICACION__(2)"/>
      <sheetName val="PESOS"/>
      <sheetName val="Formulario N° 4"/>
      <sheetName val="EQUIPO"/>
      <sheetName val="Base Muestras"/>
      <sheetName val="otros"/>
      <sheetName val="PRESUPUESTO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R 1"/>
      <sheetName val="\Users\HP\AppData\Local\Microso"/>
      <sheetName val="\Users\USUARIO\Downloads\a  aaI"/>
      <sheetName val="Hoja1 (2)"/>
      <sheetName val="Hoja1 (3)"/>
      <sheetName val="precios-básicos2002"/>
      <sheetName val="APUs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LISTADO "/>
      <sheetName val="M.O."/>
      <sheetName val="_a  aaInformación GRUPO 4_A MIn"/>
      <sheetName val="#REF"/>
      <sheetName val="EQUIPOS"/>
      <sheetName val="MANO DE OBRA"/>
      <sheetName val="TRANSPORTE"/>
      <sheetName val="ESTADO VÍA-CRIT.TECNICO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Hoja2"/>
      <sheetName val="G.G"/>
      <sheetName val="MURO PR25+221-235"/>
      <sheetName val="MURO PR25+261-267"/>
      <sheetName val="CANT OBRA"/>
      <sheetName val="\Users\ANDRES FELIPE MUÑOZ\Down"/>
      <sheetName val="ACTA No.1 "/>
      <sheetName val="ACTA No.5"/>
      <sheetName val="ACTA MAYORES - GENERAL"/>
      <sheetName val=" ACTA FINAL + MODIFICATORIA "/>
      <sheetName val="_aCCIDENTES_DE_1995___1996_xl_4"/>
      <sheetName val="//ccefici"/>
      <sheetName val="//d.docs.live.net/a  aaInformac"/>
      <sheetName val="_aCCIDENTES_DE_1995___1996_xl_3"/>
      <sheetName val="_aCCIDENTES_DE_1995___1996_xl_2"/>
      <sheetName val="HISTORICOS FUEL OIL EXP"/>
      <sheetName val="_aCCIDENTES_DE_1995___1996_xl_5"/>
      <sheetName val="AC2-AG96"/>
      <sheetName val="COSTOS UNITARIOS"/>
      <sheetName val="CA-2909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6"/>
      <sheetName val="_aCCIDENTES_DE_1995___1996_xl_8"/>
      <sheetName val="_aCCIDENTES_DE_1995___1996_xl_7"/>
      <sheetName val="_aCCIDENTES_DE_1995___1996_xl_9"/>
      <sheetName val="_aCCIDENTES_DE_1995___1996_x_10"/>
      <sheetName val="MAT"/>
      <sheetName val="HER"/>
      <sheetName val="PER"/>
      <sheetName val="TRANS"/>
      <sheetName val="\Nuevos APU Córdoba\a  aaInform"/>
      <sheetName val="\E\Nuevos APU Córdoba\a  aaInfo"/>
      <sheetName val="\Users\JoseGabriel\Documents\Mi"/>
      <sheetName val="Paral. 1"/>
      <sheetName val="Paral. 2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Base_Muestras"/>
      <sheetName val="Formulario_N°_4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Documents_and_Settings\Pedro_"/>
      <sheetName val="\\Escritorio\amv_2011\a__aaInfo"/>
      <sheetName val="\Documents_and_Settings\jviteri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\Giovanni\administracion_vial\"/>
      <sheetName val="\MONTO_AGOTABLE_2010\a__aaInfor"/>
      <sheetName val="\\Sistemas_serv1\xx\Documents_a"/>
      <sheetName val="\Mini_HP_Enero_2015\Proyectos_i"/>
      <sheetName val="\Volumes\USB_PIOLIN\Escritorio\"/>
      <sheetName val="PR_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Users\USUARIO\Downloads\a__aaI"/>
      <sheetName val="Hoja1_(2)"/>
      <sheetName val="Hoja1_(3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SEGUIM_Y_REPROG_MES_1_(2)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 refreshError="1"/>
      <sheetData sheetId="310" refreshError="1"/>
      <sheetData sheetId="311"/>
      <sheetData sheetId="312"/>
      <sheetData sheetId="313"/>
      <sheetData sheetId="314" refreshError="1"/>
      <sheetData sheetId="315" refreshError="1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 refreshError="1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 refreshError="1"/>
      <sheetData sheetId="406"/>
      <sheetData sheetId="407"/>
      <sheetData sheetId="408" refreshError="1"/>
      <sheetData sheetId="409" refreshError="1"/>
      <sheetData sheetId="410"/>
      <sheetData sheetId="411" refreshError="1"/>
      <sheetData sheetId="412" refreshError="1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 refreshError="1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justes estimados"/>
      <sheetName val="Prestaciones y AIU"/>
      <sheetName val="DESGLOSES"/>
      <sheetName val="presupuesto"/>
      <sheetName val="U-P1"/>
      <sheetName val="Database"/>
      <sheetName val="cantidades"/>
      <sheetName val="MO-P1"/>
      <sheetName val="MO horario"/>
      <sheetName val="EQ-P1"/>
      <sheetName val="Equipos horarios"/>
    </sheetNames>
    <sheetDataSet>
      <sheetData sheetId="0"/>
      <sheetData sheetId="1"/>
      <sheetData sheetId="2"/>
      <sheetData sheetId="3" refreshError="1"/>
      <sheetData sheetId="4"/>
      <sheetData sheetId="5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6W9"/>
      <sheetName val="Presentacion"/>
    </sheetNames>
    <sheetDataSet>
      <sheetData sheetId="0" refreshError="1"/>
      <sheetData sheetId="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A.P.U."/>
      <sheetName val="Acero"/>
      <sheetName val="Concreto"/>
      <sheetName val="Ppto estructura"/>
      <sheetName val="Estadio San José"/>
      <sheetName val="Ppto SIJIN "/>
      <sheetName val="Ppto PINA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OCTUBRE"/>
      <sheetName val="AEA_944"/>
      <sheetName val="DUB_823"/>
      <sheetName val="ESTADO FINANCIERO"/>
      <sheetName val="BASE DATOS"/>
      <sheetName val="TARIFA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  <sheetData sheetId="10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Civil"/>
      <sheetName val="A_A310"/>
      <sheetName val="A_G105"/>
      <sheetName val="A_G200"/>
      <sheetName val="PS P-514"/>
      <sheetName val="1. MODELO 60KB"/>
      <sheetName val="civ_roma"/>
      <sheetName val="E21"/>
      <sheetName val="main"/>
      <sheetName val="EQUIPOS"/>
      <sheetName val="M.O."/>
      <sheetName val="MATERIALES"/>
      <sheetName val="MAQUINARIA"/>
      <sheetName val="calculation"/>
      <sheetName val="SABANA"/>
      <sheetName val="CURVA_S"/>
      <sheetName val="Curva_&quot;S&quot;_General"/>
      <sheetName val="mto_electr_"/>
      <sheetName val="M_O_"/>
      <sheetName val="1__MODELO_60KB"/>
      <sheetName val="CURVA_S1"/>
      <sheetName val="mto_electr_1"/>
      <sheetName val="Curva_&quot;S&quot;_General1"/>
      <sheetName val="1__MODELO_60KB1"/>
      <sheetName val="data"/>
      <sheetName val="API93"/>
      <sheetName val="MOD-DEV.XLS"/>
      <sheetName val="BDD Operadores"/>
      <sheetName val="Hoja6"/>
      <sheetName val="Suministros"/>
      <sheetName val="Recursos HH"/>
      <sheetName val="Recursos HE"/>
      <sheetName val="Transporte"/>
      <sheetName val="SC"/>
      <sheetName val="LISTA DE LAS MACROS "/>
      <sheetName val="MI"/>
      <sheetName val="Resumen"/>
      <sheetName val="Proforma Guia"/>
      <sheetName val="BHA"/>
      <sheetName val="PDM RUN"/>
      <sheetName val="DATOS"/>
      <sheetName val="RES GASOL"/>
      <sheetName val="POZOS"/>
      <sheetName val="EQUIPOS CIVILE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AC2-AG9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otros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DICMICROEMP"/>
      <sheetName val="Informacion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Base Muestras"/>
      <sheetName val="[aCCIDENTES DE 1995 - 1996.xls]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\Giovanni\administracion vial\"/>
      <sheetName val="\MONTO AGOTABLE 2010\a  aaInfor"/>
      <sheetName val="_a  aaInformación GRUPO 4_A MIn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aactividad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 DE AIU"/>
      <sheetName val="AIU-ROSARIO"/>
      <sheetName val="Datos Principales"/>
      <sheetName val="PRESUP COMP."/>
      <sheetName val="PRESUP ACT."/>
      <sheetName val="Presup Resum"/>
      <sheetName val="Reporte Viabilidad"/>
      <sheetName val="Dotacion"/>
      <sheetName val="Transp."/>
      <sheetName val="Equipo"/>
      <sheetName val="Cuadrilla"/>
      <sheetName val="M.Obra"/>
      <sheetName val="Material"/>
      <sheetName val="Mort.1-3"/>
      <sheetName val="Mortero 1-3 imperm"/>
      <sheetName val="Mortero 1-4"/>
      <sheetName val="Mortero 1-4 imperm."/>
      <sheetName val="Mortero 1-6"/>
      <sheetName val="Concreto de 2000 psi"/>
      <sheetName val="Concreto de 2500"/>
      <sheetName val="Concreto de 3000 psi"/>
      <sheetName val="Acero de 37.000 psi "/>
      <sheetName val="Acero de 60.000psi"/>
      <sheetName val="1.1.1campamento"/>
      <sheetName val="1.1.2. Cerram.prov"/>
      <sheetName val="1.1.3Limp. Desca. y Retiro"/>
      <sheetName val="1.1.4Localización y Rep."/>
      <sheetName val="1.1.7Localiz y rep"/>
      <sheetName val="1.3.1Demol.const exit"/>
      <sheetName val="1.3.3Demol de muros"/>
      <sheetName val="1.3.6Demol placa maciza"/>
      <sheetName val="1.3.7Demol const manual"/>
      <sheetName val="1.4.2Traslado poste"/>
      <sheetName val="2.1.1Excav.Mecan."/>
      <sheetName val="2.1.2Excav. man."/>
      <sheetName val="2.1.3xcav man receb"/>
      <sheetName val="2.1.5Relleno mat com"/>
      <sheetName val="2.1.06 Recebo Comun"/>
      <sheetName val="2.1.10Relleno Recebo B-200"/>
      <sheetName val="2.2.1Concreto pobre"/>
      <sheetName val="2.2.2Conc.ciclopeo"/>
      <sheetName val="2.2.3Muro contencion"/>
      <sheetName val="2.2.4Concreto Zapatas"/>
      <sheetName val="2.2.5Viga Ciment"/>
      <sheetName val="2.2.6PILOTES"/>
      <sheetName val="2.2.7DADOS"/>
      <sheetName val="2.2.8.1Placa Contrapiso"/>
      <sheetName val="2.2.8.2Placa aligerada 50cm"/>
      <sheetName val="2.3.3Malla Electros."/>
      <sheetName val="3,1,2,3Tubo novafor 4&quot;"/>
      <sheetName val="3.1.2.4Tubo novafor 10"/>
      <sheetName val="3.1.2.5Tuberia novafor12&quot;"/>
      <sheetName val="3.2.1.2Tubo PVC sanit4"/>
      <sheetName val="3.1.1.3Tuberia sanitr6&quot;"/>
      <sheetName val="3.4.1.1Caja de Insp.60"/>
      <sheetName val="3.4.5canalteta aguas ll"/>
      <sheetName val="3.4.9Caja insp.0.8"/>
      <sheetName val="3.4.10Caja insp 1"/>
      <sheetName val="3.4.11Caja insp.0.4"/>
      <sheetName val="3.5.1Excavacion manual"/>
      <sheetName val="3.5.5Retiro de Sobrantes"/>
      <sheetName val="3,5,6Relleno en grava3-4"/>
      <sheetName val="3.6.1Empate camara"/>
      <sheetName val="4.1.1Conc. Columnas"/>
      <sheetName val="4.2.1Viga Aerea"/>
      <sheetName val="4.2.2Viga Canal"/>
      <sheetName val="4.3.2Losa aliger"/>
      <sheetName val="4.3.3.1Losa con lamina"/>
      <sheetName val="4.3.1.4Placa e=.2"/>
      <sheetName val="4.3.1.1Placa e=.1"/>
      <sheetName val="4.3.1,3Placa e=.15"/>
      <sheetName val="4.3.1.2Placa e=.12"/>
      <sheetName val="4.3.10Placa alig 30"/>
      <sheetName val="4.3.11Placa alig 50"/>
      <sheetName val="4.4.1Escal en concret"/>
      <sheetName val="4.4.2Rampa en concret"/>
      <sheetName val="4.4.3concreto tanque"/>
      <sheetName val="4,5,1Acero34000"/>
      <sheetName val="4.5.2Acero 6000 psi"/>
      <sheetName val="4.6.1perfil metalico placa"/>
      <sheetName val="4.7.4.1Perfil metalico"/>
      <sheetName val="4.6.2.6Anclajes"/>
      <sheetName val="4.6.2.7Columna metalica"/>
      <sheetName val="4.6.2.8Viga Met."/>
      <sheetName val="4.6.2.9Viga met 60"/>
      <sheetName val="4.6.2.10Viga met 65"/>
      <sheetName val="5.1.3.1bloque piedra"/>
      <sheetName val="5.1.2.4Bloque cocr 12"/>
      <sheetName val="5.1.1.3Bloque concr19"/>
      <sheetName val="5.2.2Ladrillo Tolete Fino 2 car"/>
      <sheetName val="5.2.3Ladrillo toletefino 1 cara"/>
      <sheetName val="5.2.7Muro Bloque 5"/>
      <sheetName val="5.2.6.1Muro Bloque 4"/>
      <sheetName val="5,3,4Remates ladrillo tolete "/>
      <sheetName val="5.4.1Grouting"/>
      <sheetName val="5,6,1 Chazos para carpinteria"/>
      <sheetName val="6.1.1Alfajia"/>
      <sheetName val="COLUMNETA MAMPOSTERIA"/>
      <sheetName val="6.1.3Pref conc a la vista"/>
      <sheetName val="6,1,9Gargola"/>
      <sheetName val="6.1.12Zocalo"/>
      <sheetName val="6.1.14 ventana prefab concreto"/>
      <sheetName val="6.1.18Cañuela perim ag lluvias"/>
      <sheetName val="6.1.19.1Pref piso"/>
      <sheetName val="6.2.2Meson lavamanos"/>
      <sheetName val="6.2.3.2Meson laboratorio"/>
      <sheetName val="6.2.1.Meson laborat"/>
      <sheetName val="6,2,5Banca en concreto"/>
      <sheetName val="6.3.6Alero concreto"/>
      <sheetName val="6.2.3.1Mezon vidrio"/>
      <sheetName val="7.1.3.1.1Tubo hg1&quot;"/>
      <sheetName val="7.1.3.1.2Tubo hg1 1-2"/>
      <sheetName val="7.1.3.1.3Tubp hg2"/>
      <sheetName val="7.1.3.1.4Tubo hg3"/>
      <sheetName val="7.1.3.3.3Registro 1 1-2"/>
      <sheetName val="7.1.3.3.5Registro 3"/>
      <sheetName val="7.1.3.4.1Cheque 1 "/>
      <sheetName val="7.1.6.3Tuberia 1&quot;PVCP13.5"/>
      <sheetName val="7.1.1.4 Cheque 1&quot;"/>
      <sheetName val=" 7.1.11.5Bajante Amaz"/>
      <sheetName val="7.1.2.4Sumin Tanq 1000 lts"/>
      <sheetName val="7.1.6.1Tuberia PVCP Media"/>
      <sheetName val="7.1.6.2Tuberia PVCP1&quot;"/>
      <sheetName val="7.1.6.8Registro de media"/>
      <sheetName val="7.1.6.10Registro1&quot;"/>
      <sheetName val="7.1.6.4TuboPVC1.1-4"/>
      <sheetName val="7.1.6.6Tubo PVC2&quot;"/>
      <sheetName val="7.1.6.13Caja plastica reg"/>
      <sheetName val="7.1.6.5Tub. y acc. de 1y1-2"/>
      <sheetName val="7.1.6.9Registro de 3-4"/>
      <sheetName val="7.1.6.11Registro 1 1-4"/>
      <sheetName val="7.1.6.12Registro 2&quot;"/>
      <sheetName val="7.1.6.2TuberiaPVC 3-4"/>
      <sheetName val="7.1.8.1Pto agua Lavamanos"/>
      <sheetName val="7.1.8.3Pto agua Sanitario "/>
      <sheetName val="7.1.8.4Pto agua Orinal"/>
      <sheetName val="7.1.8.12Recamara HG para orinal"/>
      <sheetName val="7.1.8.13Camara de Aire"/>
      <sheetName val="7.1.9.1Pto sanit lavamanos"/>
      <sheetName val="7.1.10.3Bajant sanit 4&quot;"/>
      <sheetName val="7.1.10.1Bajnte sanit 2&quot;"/>
      <sheetName val="7,1,10,2Tubo sanit3&quot;"/>
      <sheetName val="7.1.11.3 Bajante Ag Ll 4&quot;"/>
      <sheetName val="7.1.11.1Tubo PVCL2&quot;"/>
      <sheetName val="7,1,11,5 Tubo PVCfiltro 4&quot;"/>
      <sheetName val="7.1.11.6Bajantt tipo Amaz"/>
      <sheetName val="7.1.12.1Montaje lavamanos"/>
      <sheetName val="7.1.12.8Llave de mang"/>
      <sheetName val="7,2,1,4Tubo 12 galv"/>
      <sheetName val="7.2.1.11registro 1-2 gas"/>
      <sheetName val="7.2.1.12Regulador"/>
      <sheetName val="7.2.1.17Punto gas"/>
      <sheetName val="7.2.1.18Tapon HG 1-2"/>
      <sheetName val="8.1.1Salida lamp Fluor."/>
      <sheetName val="8.1.2Salida Lamp incan"/>
      <sheetName val="8.1.4Salida pto"/>
      <sheetName val="8.1.5Salida Toma"/>
      <sheetName val="8.1.8Salida Toma GFCI"/>
      <sheetName val="8.3.4Acom a T1"/>
      <sheetName val="8.3.7Tubo Galvanizado"/>
      <sheetName val="8.3.9Acometida"/>
      <sheetName val="8.3.14Acometida 1&quot; 2#8"/>
      <sheetName val="8,3,14Acometida4#6"/>
      <sheetName val="8.3.15Canaliz. conduit nedia"/>
      <sheetName val="8.3.16Ducto 3-4"/>
      <sheetName val="8.4.2Tablero18circuitos"/>
      <sheetName val="8.4.5Caja Medidor"/>
      <sheetName val="8.4.7Interruptor"/>
      <sheetName val="8.4.8Interrup 60 A"/>
      <sheetName val="8.4.11Caja 6 Circuit"/>
      <sheetName val="8.4.13Tablero de 12 circ"/>
      <sheetName val="8.4.14Tablero30circuit"/>
      <sheetName val="8.6.1Salida TV"/>
      <sheetName val="8.6.4Salid ventilador"/>
      <sheetName val="8.8.2Tierra"/>
      <sheetName val="8.11.1Camara CS 274"/>
      <sheetName val="8.11.4Caja de Insp"/>
      <sheetName val="9.1.1 PAÑETE IMPERMEA 1 3"/>
      <sheetName val="9.1.2Pañete Int"/>
      <sheetName val="9.1.3Pañete Ext"/>
      <sheetName val="9.1.5Pañete int ml"/>
      <sheetName val="9.1.5.1Pañete rustico exterior"/>
      <sheetName val="9.2.1Pañete Bajo Placa"/>
      <sheetName val="10.1.2Alist pisos"/>
      <sheetName val="10.1.3 ALISTADO DE PISOS CON MO"/>
      <sheetName val="10.1.5.1Mortero afin piso"/>
      <sheetName val="10,2,1,3Ceramica 20 20 trafico"/>
      <sheetName val="10.2.1.2Duropiso"/>
      <sheetName val="10.2.2.4Concreto esmaltado"/>
      <sheetName val="10.2.2.5Concreto es+tabla etrus"/>
      <sheetName val="10.2.3.4Tablon30x30"/>
      <sheetName val="10.2.3.9Tableta etrusca"/>
      <sheetName val="10,2,3,6Tableta cuarto26"/>
      <sheetName val="10.3,2,1Tableta cuarto ml"/>
      <sheetName val="10.2.3.7Tableta cuarto ml"/>
      <sheetName val="10.2.4.1Baldosa grano marmol"/>
      <sheetName val="10.2.4.4Tableta"/>
      <sheetName val="10.3.3.6 Guardaescob granito"/>
      <sheetName val="10.3.2.3Media caña mort"/>
      <sheetName val="10.3.2.6Tableta ml"/>
      <sheetName val="10.3.7.2remate ladrillo"/>
      <sheetName val="10.4.2Gradas en Gravilla"/>
      <sheetName val="11,1,3Afinado Vigas Canales imp"/>
      <sheetName val="11,1,4Impermeh manto asfalt"/>
      <sheetName val="11.1.4Impermehab manto asfaltic"/>
      <sheetName val="11,2,6,2Remate superior"/>
      <sheetName val="11.2.6.3Remate lateral"/>
      <sheetName val="11.2.4Teja Sandwich"/>
      <sheetName val="11.4.1Teja termoacustica"/>
      <sheetName val="11.6.1Teja cindu"/>
      <sheetName val="11.7.1.1Canal lamina"/>
      <sheetName val="11.3.5Canal PVC"/>
      <sheetName val="12.1.1Ventana aluminio fija"/>
      <sheetName val="12.1.3 Ventana aluminio"/>
      <sheetName val="12.1.4Persiana alumin"/>
      <sheetName val="12.2.7Puerta Metalica 0.6"/>
      <sheetName val="12.2.4Puerta Metalica ,70"/>
      <sheetName val="12.2.2Puerta Metalica 1.55x2.95"/>
      <sheetName val="12,2,3Puerta metalica1.55x2.85"/>
      <sheetName val="12.2.5Puertalamina 1x2.1"/>
      <sheetName val="12.2.6Puerta1.5x2.1"/>
      <sheetName val="12.2.3.1Ventana Acero rect2.85"/>
      <sheetName val="12.2.6.2Ventana Acero rect.m2"/>
      <sheetName val="12.2.1.8Ventana Acerorect.1"/>
      <sheetName val="12,2,2,2Pasamanos 2&quot;"/>
      <sheetName val="12.3.2.1Baranda en Tubo 1 1 2&quot;"/>
      <sheetName val="12.3.2.2Baranda en Tubo 3&quot;"/>
      <sheetName val="12.2.3.1Reja varilla cuad"/>
      <sheetName val="12.2.3.7Ventana "/>
      <sheetName val="12.2.3.8Ventana"/>
      <sheetName val="12.2.3.9Puertas"/>
      <sheetName val="12.2.3.10Pta vent."/>
      <sheetName val="12.2.3.2.2 Persiana metalica"/>
      <sheetName val="12.3.5Baranda tubo 3&quot;y2&quot;"/>
      <sheetName val="12.4.2.1Reja perfilovalado"/>
      <sheetName val="12.5.10estruct lavamanos"/>
      <sheetName val="14.1.1Enchape en ceramica 20x20"/>
      <sheetName val="14.3.1 Poceta en granito"/>
      <sheetName val="15.1.3 Lampara fluorecente"/>
      <sheetName val="15.1.6Lampara tortuga"/>
      <sheetName val="16.1.1Sanitario discap"/>
      <sheetName val="16.1.2Sanitario Infantil"/>
      <sheetName val="16.1.3Sanitario"/>
      <sheetName val="16.1.4Orinal"/>
      <sheetName val="16.1.5Lavamalos de sobreponer"/>
      <sheetName val="16.1.7Lavamalos de colgar"/>
      <sheetName val="16.1.11Lavamanos acero inox"/>
      <sheetName val="16.2.1Dispensador papel hig"/>
      <sheetName val="16.2.3 Dispensador jabon"/>
      <sheetName val="16.2.7Barra discap"/>
      <sheetName val="16.2.8.1GriferiaPush"/>
      <sheetName val="18.1.1Hidrofugo"/>
      <sheetName val="18.1.2Pintura Plast"/>
      <sheetName val="18.1.3Pintura plast fachadas"/>
      <sheetName val="18.1.2Esmalte epoxico"/>
      <sheetName val="18.1.4Vinilo"/>
      <sheetName val="18.1.7pint coraza"/>
      <sheetName val="19.3.3Vidrio temp 6mm"/>
      <sheetName val="18.2,1,Esmalte sobre marcos lam"/>
      <sheetName val="18.3,6Esmalte sobre mueble bajo"/>
      <sheetName val="19.1,1Cerradura baños y aulas"/>
      <sheetName val="19.3.1Espejo"/>
      <sheetName val="20,4,3Jardinera"/>
      <sheetName val="21.1.3Aseo "/>
      <sheetName val="20,2,6Adoquin gress"/>
      <sheetName val="1.2.1. Instalacion prov. agua"/>
      <sheetName val="1.2.2. Instalacion prov. energi"/>
      <sheetName val="1.2.3. Instalacion prov. tel."/>
      <sheetName val="5.1.3.1bloque en concreto estru"/>
      <sheetName val="Concreto de 4000 psi "/>
      <sheetName val="Concreto de 3500 psi "/>
      <sheetName val="APU 12"/>
      <sheetName val="APU 11"/>
      <sheetName val="APU 10"/>
      <sheetName val="APU 9"/>
      <sheetName val="APU 8"/>
      <sheetName val="APU 7"/>
      <sheetName val="APU 6"/>
      <sheetName val="APU 5"/>
      <sheetName val="APU 4"/>
      <sheetName val="APU 3"/>
      <sheetName val="APU 2"/>
      <sheetName val="APU 1"/>
      <sheetName val="5.2.2. Ladrillo Prensado"/>
      <sheetName val="10.3.3.4.1. GUARDAESCOBA EN CEM"/>
      <sheetName val="Hoja13"/>
      <sheetName val="3.1.4. ACCESORIO SANIT."/>
      <sheetName val="21.1.2.aseo muros interiores"/>
      <sheetName val="21.1.4.RETIRO DE ESCOMBROS"/>
      <sheetName val="21.1.2. ASEO FACHADAS"/>
      <sheetName val="PE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  <sheetName val="ESTADO RE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ecios unitarios"/>
      <sheetName val="Análisis - Resumido"/>
      <sheetName val="Base"/>
      <sheetName val="46W9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CUMPLIMI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  <sheetName val="INDICMICROEM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DATOS"/>
      <sheetName val="precios-básicos2002"/>
      <sheetName val="\\Gabrielaapabone\d copias\a  a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A.P.U."/>
      <sheetName val="A.P.U. (2)"/>
      <sheetName val="RESUMEN VIAS"/>
      <sheetName val="Hoja1"/>
      <sheetName val="COSTOS POR KM"/>
      <sheetName val="RESUMEN UNITARIOS"/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 final"/>
      <sheetName val="CRONOGRAMA"/>
      <sheetName val="DESGLOSE AIU"/>
      <sheetName val="herramienta y equipo"/>
      <sheetName val="Prestaciones  80%  CORREGIR "/>
      <sheetName val="lista de personal con jornal "/>
      <sheetName val="lista de material con precios"/>
      <sheetName val="APUS"/>
      <sheetName val="03 Análisis de precio unitario"/>
      <sheetName val="AIU"/>
      <sheetName val="analisis utilidad"/>
      <sheetName val="OPCIÓN 1 REVISADA"/>
      <sheetName val="Cantidades"/>
      <sheetName val="Precios"/>
      <sheetName val="Hoja3"/>
      <sheetName val="OPCION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UNIDAD_MEDIDA"/>
      <sheetName val="HERRAMIENTA"/>
      <sheetName val="MATERIALES"/>
      <sheetName val="TRANSPORTE"/>
      <sheetName val="MANO_OBRA"/>
      <sheetName val="PPTO"/>
      <sheetName val="1.0"/>
      <sheetName val="2.0"/>
      <sheetName val="3.0"/>
      <sheetName val="4.0"/>
      <sheetName val="5.0"/>
      <sheetName val="6.0"/>
      <sheetName val="7.0"/>
      <sheetName val="8.0"/>
      <sheetName val="9.0"/>
      <sheetName val="10.0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otros"/>
      <sheetName val="\\SERVIDOR\Public2\MANTENIMIENT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\Users\USUARIO\Downloads\MANTEN"/>
      <sheetName val="Formulario N° 4"/>
      <sheetName val="MATERIALES"/>
      <sheetName val="EQUIPO"/>
      <sheetName val="CONT_ADI"/>
      <sheetName val="INDICMICROEMP"/>
      <sheetName val="INDICE"/>
      <sheetName val="\I\I\MANTENIMIENTO RUTA 1001_MA"/>
      <sheetName val="\Users\Personal\Downloads\MANTE"/>
      <sheetName val="TOTALES"/>
      <sheetName val="Datos"/>
      <sheetName val="Cuadrillas"/>
      <sheetName val="Jornal"/>
      <sheetName val="\G\I\MANTENIMIENTO RUTA 1001_MA"/>
      <sheetName val="\D\MANTENIMIENTO RUTA 1001_MARZ"/>
      <sheetName val="\G\D\MANTENIMIENTO RUTA 1001_MA"/>
      <sheetName val="#REF"/>
      <sheetName val="Fornato 6"/>
      <sheetName val="Concretos y morteros"/>
      <sheetName val="Datos iniciales "/>
      <sheetName val="Transporte"/>
      <sheetName val="INFORME SEMANAL"/>
      <sheetName val="AVANCE SEMANAL"/>
      <sheetName val="CLIMA mes"/>
      <sheetName val="REG FOTO"/>
      <sheetName val="SISOMA"/>
      <sheetName val="[a  aaInformación]__cceficien_2"/>
      <sheetName val="[a  aaInformación]__cceficien_3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__cceficien_6"/>
      <sheetName val="[a  aaInformación]__cceficien_4"/>
      <sheetName val="[a  aaInformación]__cceficien_5"/>
      <sheetName val="[a  aaInformación]__cceficien_7"/>
      <sheetName val="[a  aaInformación]__cceficien_8"/>
      <sheetName val="M.O."/>
      <sheetName val="PANEL"/>
      <sheetName val="Res-Accide-10"/>
      <sheetName val="precios-básicos200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CUMPLIMIENTO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CDItem"/>
      <sheetName val="Plan auditoría"/>
      <sheetName val="Presupuesto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INSUMOS"/>
      <sheetName val="EMPRESA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ANEXO 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/>
      <sheetData sheetId="21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Hoja2"/>
      <sheetName val="Hoja3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BaseUnitarios"/>
      <sheetName val="Insumos"/>
      <sheetName val="BaseDatos"/>
      <sheetName val="Res-Accide-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ACIO PÚBLICO"/>
      <sheetName val="Indices"/>
    </sheetNames>
    <sheetDataSet>
      <sheetData sheetId="0"/>
      <sheetData sheetId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CIDENTES%20DE%201995%20-%2019"/>
      <sheetName val="#¡REF"/>
      <sheetName val="ACTA DE MODIFICACION  (2)"/>
      <sheetName val="CONT_ADI"/>
      <sheetName val="Informe"/>
      <sheetName val="\a  aaInformación GRUPO 4\A MIn"/>
      <sheetName val="otros"/>
      <sheetName val="PRESUPUESTO"/>
      <sheetName val="Seguim-16"/>
      <sheetName val="Informacion"/>
      <sheetName val="INDICMICROEMP"/>
      <sheetName val="Datos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Base Muestras"/>
      <sheetName val="[aCCIDENTES DE 1995 - 1996.xls]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RCUITOS CODENSA"/>
      <sheetName val="CIRCUITOS eec"/>
      <sheetName val="CIRCUITOS rc"/>
      <sheetName val="CIRCUITOS rn"/>
      <sheetName val="CIRCUITOS ro"/>
      <sheetName val="CIRCUITOS r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A.P.U."/>
      <sheetName val="BDatosRisa"/>
      <sheetName val="A.P.U. (2)"/>
      <sheetName val="A.I.U."/>
    </sheetNames>
    <sheetDataSet>
      <sheetData sheetId="0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  <sheetName val="BaseDatos"/>
      <sheetName val="Cotización"/>
      <sheetName val="5.2"/>
      <sheetName val="CUMPLIMIENTO"/>
      <sheetName val="RECURSOS"/>
      <sheetName val="GENERALIDADES_"/>
      <sheetName val="ESTADO_RED"/>
      <sheetName val="TABLA_DE_CONTENIDO"/>
      <sheetName val="CUMPLIMIENTO_%_"/>
      <sheetName val="CUMPLIMIENTO_%__(2)"/>
      <sheetName val="SEMAFORO_45A-04"/>
      <sheetName val="SEMAFORO_55-01"/>
      <sheetName val="SEMAFORO_56-07"/>
      <sheetName val="SEMAFORO_55CN-03"/>
      <sheetName val="SEMAFORO_55CN-01"/>
      <sheetName val="TORTA_EST__VIAS_"/>
      <sheetName val="EST__VIAS"/>
      <sheetName val="MAPA_EST_RED"/>
      <sheetName val="NECESIDAD_VIA"/>
      <sheetName val="Necesidades_cr_"/>
      <sheetName val="SITIOS_CRITICOS"/>
      <sheetName val="CANT_OBRA_B-C"/>
      <sheetName val="CANT_OBRA_C-G"/>
      <sheetName val="CANT_OBRA_Z-U"/>
      <sheetName val="CANT_OBRA_B-T"/>
      <sheetName val="INF__EMERGENCIAS"/>
      <sheetName val="NEC_PTES"/>
      <sheetName val="NEC__PONTONES"/>
      <sheetName val="señal_v"/>
      <sheetName val="señal_H"/>
      <sheetName val="ACCIDENTALIDAD_junio"/>
      <sheetName val="ACCIDENTALIDAD_julio"/>
      <sheetName val="ACCIDENTALIDAD_agosto"/>
      <sheetName val="ACCIDENT_"/>
      <sheetName val="DEFENSA_VIAS"/>
      <sheetName val="ZONAS_RETIRO"/>
      <sheetName val="CUANTI_AMV"/>
      <sheetName val="CUALI_AMV"/>
      <sheetName val="CUANTI_MICRO"/>
      <sheetName val="CUALI_MICRO"/>
      <sheetName val="ACC_EJECUTIVO"/>
      <sheetName val="RESUM_ACCID"/>
      <sheetName val="RESUM_ACCID_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ectos tipo V2"/>
      <sheetName val="O &amp; M Placa Huella V.2"/>
      <sheetName val="O &amp; M Unidades Sanitarias V.2"/>
      <sheetName val="O &amp; M Pavimento Rígido"/>
      <sheetName val="O &amp; M P. Parque Recreodeportiv "/>
      <sheetName val="O &amp; M Cancha Sintética"/>
      <sheetName val="O &amp; M P. Polideportiva"/>
      <sheetName val="O &amp; M VISR"/>
      <sheetName val="O &amp; M Biblioteca"/>
      <sheetName val="O &amp; M Centro TIC"/>
      <sheetName val="O &amp; M Escuela de música"/>
      <sheetName val="O &amp; M Carpaz"/>
      <sheetName val="O &amp; M Pavimento Rígido V.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\\Pc1\E\AMV-3005-2005\ADMON GRU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FLUJOS"/>
      <sheetName val="PRESUPUESTO "/>
      <sheetName val="Cuadrillas"/>
      <sheetName val="Equ"/>
      <sheetName val="Trans"/>
      <sheetName val="Mat"/>
      <sheetName val="Salarios"/>
      <sheetName val="COSTOS OFICINA"/>
      <sheetName val="COSTOS CAMPAMENTO"/>
      <sheetName val="BAS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 refreshError="1"/>
      <sheetData sheetId="113" refreshError="1"/>
      <sheetData sheetId="11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up_Cancha"/>
      <sheetName val="Soporte de cantidades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EQUIPO"/>
      <sheetName val="MATERIALES"/>
      <sheetName val="CUADRILLAS"/>
      <sheetName val="110.1 P"/>
      <sheetName val="BASICOS"/>
      <sheetName val="CRONOGRAMA"/>
      <sheetName val="FM INTERV1"/>
      <sheetName val="PRESUPUESTO FINAL"/>
      <sheetName val="RGI"/>
      <sheetName val="INTERVENTORIA"/>
      <sheetName val="CANTIDADES"/>
      <sheetName val="LOCALIZACION"/>
      <sheetName val="200.1"/>
      <sheetName val="200.2"/>
      <sheetName val="200.1 P"/>
      <sheetName val="201.1 P"/>
      <sheetName val="201.4 P"/>
      <sheetName val="201.7"/>
      <sheetName val="201.7.1 P"/>
      <sheetName val="201.7.2 P"/>
      <sheetName val="201.9"/>
      <sheetName val="201.10"/>
      <sheetName val="201.11"/>
      <sheetName val="201.12"/>
      <sheetName val="201.14"/>
      <sheetName val="201.15"/>
      <sheetName val="201.16"/>
      <sheetName val="201.17"/>
      <sheetName val="210.1.1"/>
      <sheetName val="EXCAVACION"/>
      <sheetName val="EXCAV. ROCA"/>
      <sheetName val="MEJORAMIENTO"/>
      <sheetName val="RELLENO ESTRUC."/>
      <sheetName val="EXCAV. VARIAS"/>
      <sheetName val="TRANS. MAT"/>
      <sheetName val="PEDRAPLEN"/>
      <sheetName val="BASE G."/>
      <sheetName val="CTO PAVIMENTO"/>
      <sheetName val="TUBERIA 4&quot;"/>
      <sheetName val="FILTROS"/>
      <sheetName val="GEOTEXTIL F."/>
      <sheetName val="CUNETAS"/>
      <sheetName val="CUNETAS FUND LUGAR"/>
      <sheetName val="TUBERIA 900mm"/>
      <sheetName val="CTO D"/>
      <sheetName val="CTO E"/>
      <sheetName val="CTO F"/>
      <sheetName val="CTO G"/>
      <sheetName val="ACERO REF"/>
      <sheetName val="CONFORMACION"/>
      <sheetName val="SEÑALES T 1"/>
      <sheetName val="DEFEN MET"/>
      <sheetName val="DEMARCACION"/>
      <sheetName val="210.2.1"/>
      <sheetName val="210.2.2"/>
      <sheetName val="210.2.4"/>
      <sheetName val="220.1"/>
      <sheetName val="221.1"/>
      <sheetName val="221.2"/>
      <sheetName val="225P"/>
      <sheetName val="230.1"/>
      <sheetName val="230.2"/>
      <sheetName val="230.2.1P"/>
      <sheetName val="232.1"/>
      <sheetName val="310.1"/>
      <sheetName val="311.1"/>
      <sheetName val="313.1P"/>
      <sheetName val="314.1P"/>
      <sheetName val="315.1 P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3.1 P"/>
      <sheetName val="344.1 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5.1"/>
      <sheetName val="420.1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 P"/>
      <sheetName val="450.2 P"/>
      <sheetName val="450.3 P "/>
      <sheetName val="450.9 P"/>
      <sheetName val="451. 1 P "/>
      <sheetName val="451. 2 P"/>
      <sheetName val="451.3 P"/>
      <sheetName val="452.1"/>
      <sheetName val="452.2"/>
      <sheetName val="452.3"/>
      <sheetName val="452.4"/>
      <sheetName val="453.1"/>
      <sheetName val="460.1"/>
      <sheetName val="460.1P"/>
      <sheetName val="461.1"/>
      <sheetName val="461.2"/>
      <sheetName val="462.2"/>
      <sheetName val="461.1P"/>
      <sheetName val="462.1.1P"/>
      <sheetName val="462.1.2P"/>
      <sheetName val="462.1.3P"/>
      <sheetName val="464.1P"/>
      <sheetName val="465.1"/>
      <sheetName val="466P"/>
      <sheetName val="500.1"/>
      <sheetName val="500.1P"/>
      <sheetName val="510.1"/>
      <sheetName val="511.1P"/>
      <sheetName val="512.1P"/>
      <sheetName val="513.1P"/>
      <sheetName val="600.1"/>
      <sheetName val="600.2.1P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.1"/>
      <sheetName val="621.1.2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2.1"/>
      <sheetName val="633.1P"/>
      <sheetName val="633.2P"/>
      <sheetName val="634.1P"/>
      <sheetName val="635.1P"/>
      <sheetName val="640.1.3"/>
      <sheetName val="641.1"/>
      <sheetName val="642.1 "/>
      <sheetName val="642.2"/>
      <sheetName val="650.1"/>
      <sheetName val="650.2"/>
      <sheetName val="650.3"/>
      <sheetName val="650.3.1 P"/>
      <sheetName val="650.4"/>
      <sheetName val="660.1"/>
      <sheetName val="660.3"/>
      <sheetName val="661.1"/>
      <sheetName val="662.1"/>
      <sheetName val="662.2"/>
      <sheetName val="670.1P"/>
      <sheetName val="670.2"/>
      <sheetName val="671.1"/>
      <sheetName val="672.1"/>
      <sheetName val="673.1"/>
      <sheetName val="673.2"/>
      <sheetName val="673.3"/>
      <sheetName val="680.1"/>
      <sheetName val="680.2"/>
      <sheetName val="680.3"/>
      <sheetName val="681.1"/>
      <sheetName val="683P"/>
      <sheetName val="700.1"/>
      <sheetName val="700.3"/>
      <sheetName val="701.1"/>
      <sheetName val="702.1P"/>
      <sheetName val="710.1.1"/>
      <sheetName val="710.1.2"/>
      <sheetName val="710.1.3"/>
      <sheetName val="710.1.4"/>
      <sheetName val="710.2"/>
      <sheetName val="720.1"/>
      <sheetName val="721.1 P"/>
      <sheetName val="730.1"/>
      <sheetName val="730.2"/>
      <sheetName val="730.3"/>
      <sheetName val="740.1"/>
      <sheetName val="800.1"/>
      <sheetName val="800.2"/>
      <sheetName val="800.3"/>
      <sheetName val="800.4"/>
      <sheetName val="801.1"/>
      <sheetName val="810.1"/>
      <sheetName val="810.1P"/>
      <sheetName val="810.2"/>
      <sheetName val="815P"/>
      <sheetName val="900.1"/>
      <sheetName val="900.2"/>
      <sheetName val="900.3"/>
      <sheetName val="PARTICULARES"/>
      <sheetName val="mortero epoxico"/>
      <sheetName val="Mortero Sello Grietas O. D."/>
      <sheetName val="Mortero Anillar Tubería"/>
      <sheetName val="Mortero Revest.  O. D."/>
      <sheetName val="Geotextil para Gavión"/>
      <sheetName val="Mampostería en piedra"/>
      <sheetName val="Mortero Tratam. Superf."/>
      <sheetName val="MDC2 COMPRADA (1003)"/>
      <sheetName val="MDC2 COMPRADA (2501B)"/>
      <sheetName val="exc. sin claexplana,canal, pres"/>
      <sheetName val="esx. mat común exp,canal.pres"/>
      <sheetName val="subbase cbr 20"/>
      <sheetName val="sub base cbr 30"/>
      <sheetName val="COSTO MEZCLA"/>
      <sheetName val="mezcla densa para bacheo (1003)"/>
      <sheetName val="mezcla densa bacheo(1702)"/>
      <sheetName val="mezcla densa bacheo (2501A)"/>
      <sheetName val="mezcla densa bacheo (25NRB)"/>
      <sheetName val="mezcla densa bacheo (2501B)"/>
      <sheetName val="Caisson"/>
      <sheetName val="tuberia 900mm tipo 2"/>
      <sheetName val="geotextil sep subrasante"/>
      <sheetName val="cemento asf{altico retencion ge"/>
      <sheetName val="emul.asf. retencion geotex"/>
      <sheetName val="muro de contenciom suelño refor"/>
      <sheetName val="Pilote fundido in situ"/>
      <sheetName val="Demolición pisos, andenes,bordi"/>
      <sheetName val="640.1.1"/>
      <sheetName val="640.1.2"/>
      <sheetName val="Hoja1"/>
      <sheetName val="PLAN MANEJO SOCIAL"/>
      <sheetName val="VALLA INF."/>
      <sheetName val="T. CAPACIT"/>
      <sheetName val="GES. AMBIENTAL"/>
      <sheetName val="SISOM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DAT PROY"/>
      <sheetName val="PLANTILLA APU"/>
      <sheetName val="APUS"/>
      <sheetName val="APUS Res"/>
      <sheetName val="COST DIR"/>
      <sheetName val="PORC PART CAP"/>
      <sheetName val="PORC PART ITEM"/>
      <sheetName val="ADMIN"/>
      <sheetName val="PRESUP"/>
      <sheetName val="Ing insumo"/>
      <sheetName val="Ing cap"/>
      <sheetName val="Ing MO"/>
      <sheetName val="Ing MyE"/>
      <sheetName val="Ing unid"/>
      <sheetName val="Capitulos"/>
      <sheetName val="Unidades"/>
      <sheetName val="Insumos"/>
      <sheetName val="Maqui Equip"/>
      <sheetName val="Mano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 MT"/>
      <sheetName val="FP"/>
      <sheetName val="PERSONAL"/>
      <sheetName val="IMPUESTOS"/>
      <sheetName val="AIU"/>
      <sheetName val="TOTAL OBRA"/>
      <sheetName val="FM (2)"/>
      <sheetName val="COSTEO FM"/>
      <sheetName val="IPC"/>
      <sheetName val="Ensayos Laborato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Otros"/>
      <sheetName val="Equipo"/>
      <sheetName val="Accidentalidad"/>
      <sheetName val="Causa Posible"/>
      <sheetName val="Elementos Involucrados"/>
      <sheetName val="INSUMOS"/>
      <sheetName val="A.P.U."/>
      <sheetName val="A.P.U. (2)"/>
      <sheetName val="RESUMEN VIAS"/>
      <sheetName val="COSTOS POR KM"/>
      <sheetName val="RESUMEN UNIT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  <sheetName val="Summary"/>
      <sheetName val="ANEXO 9 (MATERIAL)"/>
      <sheetName val="Anexo 13"/>
      <sheetName val="PRECIOS"/>
      <sheetName val="UNITARIOS"/>
      <sheetName val="PE-02"/>
      <sheetName val="BASE"/>
      <sheetName val="PE_02"/>
      <sheetName val="DATOS GRAFICOS"/>
      <sheetName val="Estruc_ Tarif"/>
      <sheetName val="Listado"/>
      <sheetName val="FICHA EBI 1 de 6 "/>
      <sheetName val="BASE DATOS"/>
      <sheetName val="RECIBO FINAL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Listas"/>
      <sheetName val="Desmonte y Limpieza"/>
      <sheetName val="Form5 _Pág_ 1"/>
      <sheetName val="Form5 _Pág_ 2"/>
      <sheetName val="Datos Generales"/>
      <sheetName val="ITEMS"/>
      <sheetName val="APU"/>
      <sheetName val="AIU"/>
      <sheetName val="CONS"/>
      <sheetName val="31"/>
      <sheetName val="7.12"/>
      <sheetName val="Tablas"/>
      <sheetName val="UNITARIOS GENERALES.xls"/>
      <sheetName val="Hoja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 prest"/>
      <sheetName val="Cuadrillas"/>
      <sheetName val="Costos"/>
      <sheetName val="A.I.U."/>
      <sheetName val="% Sena"/>
      <sheetName val="Camp"/>
      <sheetName val="Valla"/>
      <sheetName val="Soport"/>
      <sheetName val="Cinta"/>
      <sheetName val="Barric"/>
      <sheetName val="Señal"/>
      <sheetName val="Localiz"/>
      <sheetName val="Descap"/>
      <sheetName val="Exc cimie"/>
      <sheetName val="Exc. Manual"/>
      <sheetName val="Arm.Acero"/>
      <sheetName val="Perfil Talud"/>
      <sheetName val="Form Base Vastago"/>
      <sheetName val="Form h&gt;2.80m"/>
      <sheetName val="Coloc conc"/>
      <sheetName val="Conc altura"/>
      <sheetName val="Llenos comp"/>
      <sheetName val="Ret Mater"/>
      <sheetName val="Propuesta"/>
      <sheetName val="Demarc."/>
      <sheetName val="Conc 2500"/>
      <sheetName val="Conc 3000"/>
      <sheetName val="Mater"/>
      <sheetName val="Flujo"/>
      <sheetName val="Cronog"/>
      <sheetName val="FINDE2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Ppto completo"/>
      <sheetName val="Ppto Et1"/>
      <sheetName val="Ppto Et2"/>
      <sheetName val="AIU"/>
      <sheetName val="apu"/>
      <sheetName val="Auxiliares"/>
      <sheetName val="Insumos"/>
      <sheetName val="CO Teatro"/>
      <sheetName val="Ref Teatro"/>
      <sheetName val="CO MUROS NIVEL 1"/>
      <sheetName val="CO MUROS NIVEL 2"/>
      <sheetName val="CO MUROS CUARTO PROYECCION"/>
      <sheetName val="ELE-PPTO"/>
      <sheetName val="ELE-APU"/>
      <sheetName val="HID-PPTO"/>
      <sheetName val="HID-APU"/>
      <sheetName val="GP-469 - Ppto Teatro Jerico V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AIU (2)"/>
    </sheetNames>
    <definedNames>
      <definedName name="FES"/>
      <definedName name="item" refersTo="#¡REF!" sheetId="1"/>
      <definedName name="LG"/>
      <definedName name="PVT"/>
    </definedNames>
    <sheetDataSet>
      <sheetData sheetId="0" refreshError="1"/>
      <sheetData sheetId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Versión_Final_Telecomun"/>
      <sheetName val="Versión_Final_EAAB"/>
      <sheetName val="Versión_Final_IDU"/>
      <sheetName val="Mano_de_Obra"/>
      <sheetName val="Presupuestos_Daños_IDU"/>
      <sheetName val="9_4"/>
      <sheetName val="Versión_Final_Telecomun1"/>
      <sheetName val="Versión_Final_EAAB1"/>
      <sheetName val="Versión_Final_IDU1"/>
      <sheetName val="Mano_de_Obra1"/>
      <sheetName val="Presupuestos_Daños_IDU1"/>
      <sheetName val="9_41"/>
      <sheetName val="Versión_Final_Telecomun4"/>
      <sheetName val="Versión_Final_EAAB4"/>
      <sheetName val="Versión_Final_IDU4"/>
      <sheetName val="Mano_de_Obra4"/>
      <sheetName val="Presupuestos_Daños_IDU4"/>
      <sheetName val="9_44"/>
      <sheetName val="Versión_Final_Telecomun2"/>
      <sheetName val="Versión_Final_EAAB2"/>
      <sheetName val="Versión_Final_IDU2"/>
      <sheetName val="Mano_de_Obra2"/>
      <sheetName val="Presupuestos_Daños_IDU2"/>
      <sheetName val="9_42"/>
      <sheetName val="Versión_Final_Telecomun3"/>
      <sheetName val="Versión_Final_EAAB3"/>
      <sheetName val="Versión_Final_IDU3"/>
      <sheetName val="Mano_de_Obra3"/>
      <sheetName val="Presupuestos_Daños_IDU3"/>
      <sheetName val="9_43"/>
      <sheetName val="Versión_Final_Telecomun5"/>
      <sheetName val="Versión_Final_EAAB5"/>
      <sheetName val="Versión_Final_IDU5"/>
      <sheetName val="Mano_de_Obra5"/>
      <sheetName val="Presupuestos_Daños_IDU5"/>
      <sheetName val="9_45"/>
      <sheetName val="Versión_Final_Telecomun6"/>
      <sheetName val="Versión_Final_EAAB6"/>
      <sheetName val="Versión_Final_IDU6"/>
      <sheetName val="Mano_de_Obra6"/>
      <sheetName val="Presupuestos_Daños_IDU6"/>
      <sheetName val="9_46"/>
      <sheetName val="Versión_Final_Telecomun7"/>
      <sheetName val="Versión_Final_EAAB7"/>
      <sheetName val="Versión_Final_IDU7"/>
      <sheetName val="Mano_de_Obra7"/>
      <sheetName val="Presupuestos_Daños_IDU7"/>
      <sheetName val="9_47"/>
      <sheetName val="PRESUPUESTO PYTO"/>
      <sheetName val="Cronograma inversión_actividad"/>
      <sheetName val="Actividad 1.1"/>
      <sheetName val="Actividad 1.2"/>
      <sheetName val="Actividad 1.3"/>
      <sheetName val="Actividad 2.1"/>
      <sheetName val="Actividad 2.2"/>
      <sheetName val=" ADMINISTRACION OK"/>
      <sheetName val="INTERVENTORIA"/>
      <sheetName val="FACTOR MULTIPLICADOR"/>
      <sheetName val="PORCENTAJES "/>
      <sheetName val="Hoja2"/>
      <sheetName val="A. P. U."/>
      <sheetName val="AIU"/>
      <sheetName val="Insum"/>
      <sheetName val="REPLANTEO"/>
      <sheetName val="BASES"/>
      <sheetName val="Workings"/>
      <sheetName val="Inputs-SUMMARY"/>
      <sheetName val="Tax"/>
      <sheetName val="Hoja1"/>
      <sheetName val="Versión_Final_Telecomun8"/>
      <sheetName val="Versión_Final_EAAB8"/>
      <sheetName val="Versión_Final_IDU8"/>
      <sheetName val="Mano_de_Obra8"/>
      <sheetName val="Presupuestos_Daños_IDU8"/>
      <sheetName val="Versión_Final_Telecomun9"/>
      <sheetName val="Versión_Final_EAAB9"/>
      <sheetName val="Versión_Final_IDU9"/>
      <sheetName val="Mano_de_Obra9"/>
      <sheetName val="Presupuestos_Daños_IDU9"/>
      <sheetName val="DATOS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de actividades Zona 1 "/>
      <sheetName val="Cuadro Comparativo "/>
      <sheetName val="Presupuesto"/>
      <sheetName val="A.P.U"/>
      <sheetName val="Insumos"/>
      <sheetName val="Cuadrillas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  <sheetName val="USME"/>
      <sheetName val="BOSA"/>
      <sheetName val="KENNEDY"/>
      <sheetName val="FONTIBON"/>
      <sheetName val="ENGATIVA"/>
      <sheetName val="SUBA"/>
      <sheetName val="MARTIRES"/>
      <sheetName val="PUENTE ARANDA"/>
      <sheetName val="RAFAEL URIBE"/>
      <sheetName val="CIUDAD BOLIVAR"/>
      <sheetName val="CALCULO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RESUPUESTO"/>
      <sheetName val="AI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Datos"/>
      <sheetName val="Insum"/>
      <sheetName val="indices"/>
      <sheetName val="Insumos"/>
      <sheetName val="M.Obra"/>
      <sheetName val="Equipo_Trans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/>
      <sheetData sheetId="162" refreshError="1"/>
      <sheetData sheetId="163" refreshError="1"/>
      <sheetData sheetId="164" refreshError="1"/>
      <sheetData sheetId="165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3"/>
      <sheetName val="TarifaMT (2)"/>
      <sheetName val="TarifaMT"/>
      <sheetName val="RESUMEN"/>
      <sheetName val="ANALISIS PREV"/>
      <sheetName val="CONSULTORÍA "/>
      <sheetName val="INTERVE."/>
      <sheetName val="SUPERV."/>
      <sheetName val="AIU"/>
      <sheetName val="COSTEO TOTAL OBRA"/>
      <sheetName val="Componente minimo"/>
      <sheetName val="IPC"/>
      <sheetName val="Ensayos Laboratorio"/>
      <sheetName val="proyecc desembol"/>
      <sheetName val="Top_Y_Batimetria"/>
      <sheetName val="PLAN.CAR-"/>
      <sheetName val="F.M. VIA"/>
      <sheetName val="TABLA Honorarios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uación Financiera"/>
      <sheetName val="Escenario1"/>
      <sheetName val="Modelo"/>
      <sheetName val="Parámetros"/>
      <sheetName val="Factorcarga y pérdidas"/>
      <sheetName val="Cálculo FCC"/>
      <sheetName val="S_E y trafo"/>
      <sheetName val="Módulo Línea B. sencilla"/>
      <sheetName val="Módulo Barraje Tipo 2"/>
      <sheetName val="Módulo Común Tipo2"/>
      <sheetName val="Costo Subestación"/>
      <sheetName val="Costo línea AT"/>
      <sheetName val="Costos RED MT y BT"/>
      <sheetName val="Cálculo pérdidas"/>
      <sheetName val="Cond. económico"/>
      <sheetName val="Costos Red"/>
      <sheetName val="Al_Alma_Ace_desn"/>
      <sheetName val="Cable_subte"/>
      <sheetName val="Costos Conductores"/>
      <sheetName val="AAAC"/>
      <sheetName val="ASC-AAC"/>
      <sheetName val="ACAR"/>
      <sheetName val="ACSR-COMPLE"/>
      <sheetName val="Cable_subte1"/>
      <sheetName val="Validación"/>
      <sheetName val="ipp"/>
      <sheetName val="Cargabilidad económica5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  <sheetName val="TARIF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SUMOS"/>
      <sheetName val="XComponentes"/>
      <sheetName val="XActividades"/>
      <sheetName val="AIU Nuevo"/>
      <sheetName val="ANALISIS DE AIU"/>
      <sheetName val="Cuadro Resumen"/>
      <sheetName val="Resumen m2"/>
      <sheetName val="DOTACIÓN"/>
      <sheetName val="Datos entrada"/>
      <sheetName val="Salarios"/>
      <sheetName val="Cuadrillas"/>
      <sheetName val="Trans"/>
      <sheetName val="Equ"/>
      <sheetName val="Mat"/>
      <sheetName val="Hoja Base"/>
      <sheetName val="Mort 1-3"/>
      <sheetName val="Mort 1-3 Imper"/>
      <sheetName val="Mort 1-4"/>
      <sheetName val="Mort 1-4 Imper"/>
      <sheetName val="Mort 1-5"/>
      <sheetName val="Mort 1-7"/>
      <sheetName val="Concr 1,500"/>
      <sheetName val="Concr 2,000"/>
      <sheetName val="Concr 2,500"/>
      <sheetName val="Concr 3,000"/>
      <sheetName val="Concr 3,500"/>
      <sheetName val="Concr 4,000 "/>
      <sheetName val=" Acero 60000 Refuerzo "/>
      <sheetName val=" Malla Electrosoldada "/>
      <sheetName val="P Eléctrico"/>
      <sheetName val="P Agua Fria"/>
      <sheetName val="P Sanitario"/>
      <sheetName val="Granito pulido "/>
      <sheetName val="Marcos puerta"/>
      <sheetName val="Marcos ventana"/>
      <sheetName val="1,1,1 Campamt"/>
      <sheetName val="1,1,2 Alquiler Campameto"/>
      <sheetName val="1,1,3 Limpieza"/>
      <sheetName val="1,1,4 Localización y replanteo"/>
      <sheetName val="1,1,6 Cerramiento Lona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1 Exc Mec"/>
      <sheetName val="2,1,2 Exc Man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1,10 Relleno Recebo"/>
      <sheetName val="2,2,1 Concr pobre"/>
      <sheetName val="2,2,2 Concr Ciclopeo"/>
      <sheetName val="2,2,3 Muros de contencion"/>
      <sheetName val="2,2,4 Concreto Zapatas"/>
      <sheetName val="2,2,5 Vigas de cimentación"/>
      <sheetName val="2,2,6,1 Pilotes 0,30"/>
      <sheetName val="2,2,6,2 Pilotes 0,40"/>
      <sheetName val="2,2,6,3 Pilotes 0,60"/>
      <sheetName val="2,2,6,4 Pilotes 0,80"/>
      <sheetName val="2,2,6,5 Pilotes 0,90 "/>
      <sheetName val="2,2,7 Dados en concreto"/>
      <sheetName val="2,2,8 Placa Flotante 0,60"/>
      <sheetName val="2,2,9 Placas cont= 0,1"/>
      <sheetName val="2,2,10 Placas cont= 0,125"/>
      <sheetName val="2,2,11 Placas cont= 0,15"/>
      <sheetName val="2,3,1 Acero 37000 "/>
      <sheetName val="2,3,2 Acero 60000 Refuerzo"/>
      <sheetName val="2,3,3 Malla Electrosoldada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1 Novafort A.N. 4&quot; 110 "/>
      <sheetName val="3,2,2 Novafort A.N.6&quot; 160m 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1 Caja inspección 0,60 "/>
      <sheetName val="3,4,2 Caja inspección 0,80"/>
      <sheetName val="3,4,3 Caja inspección 1,00"/>
      <sheetName val="3,4,6 Carcamo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3,3,6 POZO INFILTRACIÓN"/>
      <sheetName val="3,4,4 Caja Distribuciòn 0,40  "/>
      <sheetName val="3,4,9 Caja discipadora"/>
      <sheetName val="3,6,2 Cabezal descarga"/>
      <sheetName val="4,1,1 Columnas"/>
      <sheetName val="4,1,2 Pantalla en concreto"/>
      <sheetName val="4,1,3 Muros"/>
      <sheetName val="4,2,1 Vigas aéreas"/>
      <sheetName val="4,2,2 Viga canal"/>
      <sheetName val="4,2,3  Vigas Prefabricadas"/>
      <sheetName val="4,3,1 Placa alig. Caseton 60"/>
      <sheetName val="4,3,2 Caseton 50 cm"/>
      <sheetName val="4,3,3 Caseton 45 cm"/>
      <sheetName val="4,3,4 Caseton 40 cm "/>
      <sheetName val="4,3,6 Placa maciza 0,20"/>
      <sheetName val="4,3,7 Placa maciza 0,125"/>
      <sheetName val="4,3,8 Placa maciza 0,10"/>
      <sheetName val="4,3,9 Placa maciza 0,15"/>
      <sheetName val="4,4,1 Escalera"/>
      <sheetName val="4,4,2 Rampas"/>
      <sheetName val="4,4,3 POZO CONCRETO 20 M3"/>
      <sheetName val="4,4,4 POZO CONCRETO"/>
      <sheetName val="4,4,5 Graderias en concreto"/>
      <sheetName val="4,5,1 Acero 37000  "/>
      <sheetName val="4,5,2 Acero 60000 est"/>
      <sheetName val="4,5,3 Malla Electrosoldada est"/>
      <sheetName val="4,6,1,1 Est Cubierta"/>
      <sheetName val="4,6,2,3 Cerrchas  Metàlica"/>
      <sheetName val="4,6,2,4 Perfil "/>
      <sheetName val="4,6,2,5 Templete"/>
      <sheetName val="5,1,1 Bloq Conc Estruc 0,12"/>
      <sheetName val="5,1,2 Bloque concreto divisorio"/>
      <sheetName val="5,1,3 Bloq tipo piedra"/>
      <sheetName val="5,1,5  Calados en Concreto"/>
      <sheetName val="5,1,6 Bloq Conc Estruc 014"/>
      <sheetName val="5,1,7 Bloq Conc Estruc 019"/>
      <sheetName val="5,2,1 Ladrillo común"/>
      <sheetName val="5,2,2 Ladrillo estructural"/>
      <sheetName val="5,2,3 Ladrillo común sobrecimie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4,1 Grouting-Concreto fluido"/>
      <sheetName val="5,4,2 Remates"/>
      <sheetName val="5,5,1 Anclajes Epoxicos"/>
      <sheetName val="5,5,2 Acero 37000 mamp"/>
      <sheetName val="5,5,3 Malla Electrosoldada "/>
      <sheetName val="5,5,4 Grafiles 6 mm"/>
      <sheetName val="5,6,1 Instalaciòn carpint. Meta"/>
      <sheetName val="6,1,1 Alfajias"/>
      <sheetName val="6,1,2 Dinteles"/>
      <sheetName val="6,1,3 Remates sobre mamposteria"/>
      <sheetName val="6.1.8 Pergolas"/>
      <sheetName val="6.1.9 Gargolas"/>
      <sheetName val="6,1,10 Gradas en Concreto"/>
      <sheetName val="6,1,11 PLAQUETAS"/>
      <sheetName val="6,1,15 Bordillos ducha y aseo"/>
      <sheetName val="6,1,17 Carcamo"/>
      <sheetName val="6,1,18 Cañuela Per"/>
      <sheetName val="6,2,1 Mesones en concreto"/>
      <sheetName val="6,2,2 Mesones lavamanos"/>
      <sheetName val="6,2,3 Mesones laboratorios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1,6 Bajantes A.N 4&quot;"/>
      <sheetName val="7,1,2,1 Tuberia H.G. 1&quot;"/>
      <sheetName val="7,1,2,2  Accesorio H.G. 1&quot; "/>
      <sheetName val="7,1,2,3 Flotador 1"/>
      <sheetName val="7,1,2,4 Tanque Plastico"/>
      <sheetName val="7,1,3,1 Tuberia H.G. 1&quot;cuarto "/>
      <sheetName val="7,1,3,2  Accesorio H.G.1&quot;cuarto"/>
      <sheetName val="7,1,3,3  Registro R. W. 1&quot;"/>
      <sheetName val="7,1,3,4  Cheque Helber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5 Registro 1 12"/>
      <sheetName val="7,1,5,6 Registro 2 "/>
      <sheetName val="7,1,5,8 Caja registro "/>
      <sheetName val="7,1,6,1 Acometida media"/>
      <sheetName val="7,1,6,2 Acometida 1PL"/>
      <sheetName val="7,1,6,3 Registro PD media"/>
      <sheetName val="7,1,6,4 Acometida 1 14"/>
      <sheetName val="7,1,6,5 Tuberia 1 12"/>
      <sheetName val="7,1,6,6 Acometida 2"/>
      <sheetName val="7,1,6,7 Tubo UZ 2&quot;"/>
      <sheetName val="7,1,6,8 Acometida 1 12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1 P Agua Fria Lavamanos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1 P Sanitario lavamanos"/>
      <sheetName val="7,1,9,3 P Sanitario Sanit"/>
      <sheetName val="7,1,9,4 P Sanitario Orinales"/>
      <sheetName val="7,1,9,5  P Sifòn PVC-S 4&quot;"/>
      <sheetName val="7,1,9,6  P Sifòn PVC-S 2&quot; "/>
      <sheetName val="7,1,9,7 P Sanitario Pocetas"/>
      <sheetName val="7,1,9,9 P Sanitario sifon"/>
      <sheetName val="7,1,10,1 Acomet sanit"/>
      <sheetName val="7,1,10,2 Pto 3&quot;"/>
      <sheetName val="7,1,10,2 Punto Vent 3&quot;"/>
      <sheetName val="7,1,10,3  Sanit 2"/>
      <sheetName val="6,1,19 Carcamo IDRD Tipo 5"/>
      <sheetName val="7,1,10,4 Sanit 3"/>
      <sheetName val="7,1,10,5 4pLG S"/>
      <sheetName val="7,1,11,1 Acomet lluvia"/>
      <sheetName val="7,1,11,2 Acomet lluvia 2"/>
      <sheetName val="7,1,11,3 3plg"/>
      <sheetName val="7,1,11,4&quot;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1 Punto de gas"/>
      <sheetName val="7,2,1,2 Preinstalación gas"/>
      <sheetName val="7,2,1,3 Tuberia  tipo L 1.2&quot;"/>
      <sheetName val="7,2,1,4 Tuberia  tipo L 1&quot;"/>
      <sheetName val="7,2,1,5  Registro bola 1&quot; "/>
      <sheetName val="7,2,1,7  Rejilla vent. plastica"/>
      <sheetName val="8,1,1"/>
      <sheetName val="8,1,2"/>
      <sheetName val="8,1,3"/>
      <sheetName val="8,1,4"/>
      <sheetName val="8,2,1"/>
      <sheetName val="8,2,2"/>
      <sheetName val="8,2,3"/>
      <sheetName val="8,2,4"/>
      <sheetName val="8,3,1"/>
      <sheetName val="8,3,2"/>
      <sheetName val="8,3,3"/>
      <sheetName val="8,4,1"/>
      <sheetName val="8,5,1"/>
      <sheetName val="8,5,2"/>
      <sheetName val="8,5,3"/>
      <sheetName val="8,5,4"/>
      <sheetName val="8,5,5"/>
      <sheetName val="8,16"/>
      <sheetName val="8,17"/>
      <sheetName val="8,18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39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49"/>
      <sheetName val="8,50"/>
      <sheetName val="8,51"/>
      <sheetName val="8,52"/>
      <sheetName val="8,53"/>
      <sheetName val="8,54"/>
      <sheetName val="8,55"/>
      <sheetName val="8,56"/>
      <sheetName val="8,57"/>
      <sheetName val="8,58"/>
      <sheetName val="8,59"/>
      <sheetName val="8,60"/>
      <sheetName val="8,61"/>
      <sheetName val="8,62"/>
      <sheetName val="8,63"/>
      <sheetName val="8,64"/>
      <sheetName val="8,65"/>
      <sheetName val="8,66"/>
      <sheetName val="8,67"/>
      <sheetName val="8,68"/>
      <sheetName val="8,69"/>
      <sheetName val="8,70"/>
      <sheetName val="8,71"/>
      <sheetName val="8,72"/>
      <sheetName val="8,73"/>
      <sheetName val="8,74"/>
      <sheetName val="8,75"/>
      <sheetName val="8,76"/>
      <sheetName val="8,77"/>
      <sheetName val="8,78"/>
      <sheetName val="8,79"/>
      <sheetName val="8,80"/>
      <sheetName val="8,81"/>
      <sheetName val="8,82"/>
      <sheetName val="8,83"/>
      <sheetName val="8,84"/>
      <sheetName val="8,85"/>
      <sheetName val="8,86"/>
      <sheetName val="8,87"/>
      <sheetName val="8,88"/>
      <sheetName val="8,89"/>
      <sheetName val="8,90"/>
      <sheetName val="8,91"/>
      <sheetName val="8,92"/>
      <sheetName val="8,93"/>
      <sheetName val="8,94"/>
      <sheetName val="9,1,1 Pañete impermeabilizado"/>
      <sheetName val="9,1,2 Pañete muros interiores"/>
      <sheetName val="9,1,3 Pañete Exteriores"/>
      <sheetName val="9,2,1 Pañete bajo placa"/>
      <sheetName val="10,1,1 base mueble concreto"/>
      <sheetName val="10,1,3 Alistado pisos"/>
      <sheetName val="10,1,4 Mortero afinado"/>
      <sheetName val="10,1,6 Acabado Escobeado"/>
      <sheetName val="10,2,1,3 Ceramica 0,20 x 0,20 "/>
      <sheetName val="10,2,2,3 Piso tablòn ges 0,30 "/>
      <sheetName val="10,2,4,1 Baldosin granito"/>
      <sheetName val="10,2,4,3 gravilla m2"/>
      <sheetName val="10,3,1,1 Tablòn cuarto 26"/>
      <sheetName val="10,3,2,1 Guardaescoba"/>
      <sheetName val="10,3,2,3 Media Caña"/>
      <sheetName val="10,3,2,5 Gravilla "/>
      <sheetName val="10,3,2,6 Granito"/>
      <sheetName val="10,4,2 Escalera en Granito"/>
      <sheetName val="10,5,3 Cenefas Gravilla "/>
      <sheetName val="11,1,1 Afinado Mortero"/>
      <sheetName val="11,1,2 Media Caña"/>
      <sheetName val="11,1,3 Afinado Viga canales"/>
      <sheetName val="11,1,4 foil aluminio"/>
      <sheetName val="11,2,2,1 Caballete"/>
      <sheetName val="11,2,2,2 remate"/>
      <sheetName val="11,2,3,1 Domo acrílico"/>
      <sheetName val="11,2,3,2 Acrilico transparente"/>
      <sheetName val="11,2,3,3 Teja trapezoidal Plast"/>
      <sheetName val="11,2,4,1  teja acero"/>
      <sheetName val="11,2,4,2 Tejaluz"/>
      <sheetName val="11,2,5,1 Teja Barro"/>
      <sheetName val="11,2,5,2 Limahoyas"/>
      <sheetName val="11,3,1 Canal Lámina"/>
      <sheetName val="11,3,2 Flashing"/>
      <sheetName val="11,3,3 Tragante 5x3"/>
      <sheetName val="11,3,4 Tragante 6x4"/>
      <sheetName val="11,3,5 Canal PVC"/>
      <sheetName val="12,1,1 Ventanas aluminio "/>
      <sheetName val="12,1,2 Ventanas aluminio reja"/>
      <sheetName val="12,1,3 Puerta aluminio sencillo"/>
      <sheetName val="12,1,4 Puert Alum dob reja"/>
      <sheetName val="12,1,5 Puerta aluminio doble"/>
      <sheetName val="12,1,6 Puert baños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1 Pasamanos "/>
      <sheetName val="12,2,2,2 Pasamanos"/>
      <sheetName val="12,2,2,3 Baranda Malla"/>
      <sheetName val=" 12,2,2,4 Cerramiento acrílilc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 12,2,2,5 Baranda M80"/>
      <sheetName val="14,1,1 Ceramica 20 "/>
      <sheetName val="15,1,3 Lampara Fluorecente 2x32"/>
      <sheetName val="16,1,3 Sanitarios tanque"/>
      <sheetName val="16,1,4 Orinal "/>
      <sheetName val="16,1,5 Lavamanos Sobreponer"/>
      <sheetName val="16,1,7 Lavamanos de colgar"/>
      <sheetName val="16,1,8 Sanit Disc"/>
      <sheetName val="16,1,9 Duchas"/>
      <sheetName val="16,1,11 POCETA"/>
      <sheetName val="16,2,1 Pocetas Aseo"/>
      <sheetName val="16,2,5 Llave Terminal"/>
      <sheetName val="16,2,6 Incrustaciones"/>
      <sheetName val="16,2,7 Barras disc"/>
      <sheetName val="17,2,1 Puerta Vidrio"/>
      <sheetName val="17,2,2 Puerta PVC Baterias"/>
      <sheetName val="17,2,3 Divisiones 0,06"/>
      <sheetName val="17,2,4 Divisiones baños "/>
      <sheetName val="18,1,1 pintura koraza"/>
      <sheetName val="18,1,2 pintura plastica"/>
      <sheetName val="18,1,3 Vinilo con estuco"/>
      <sheetName val="18,1,4 Vinilo sin estuco "/>
      <sheetName val="18,1,5 Vinilo Cielos "/>
      <sheetName val="19,1,1 Cerraduras"/>
      <sheetName val="19,4,1 Espejo"/>
      <sheetName val="19,4,2 Vidrio Crudo"/>
      <sheetName val="20,1,2 Exc Man"/>
      <sheetName val="20,1,5 Subbase recebo"/>
      <sheetName val="20,2,1 Andenes"/>
      <sheetName val="20,2,2 Sardinel"/>
      <sheetName val="20,2,3"/>
      <sheetName val="20,2,4 Banca"/>
      <sheetName val="20,2,5 Adoquin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2,6 Adoquin Arcilla"/>
      <sheetName val="20,2,7 Loseta A-50"/>
      <sheetName val="20,4,2 Pradización"/>
      <sheetName val="20.2.10 Bordillo A-80"/>
      <sheetName val="20,4,4 Arborización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3 Aseo"/>
      <sheetName val="21,1,4 Retiro Escombros"/>
      <sheetName val="Pasamanos "/>
      <sheetName val="Hoja1"/>
      <sheetName val="Hoja31"/>
      <sheetName val="Hoja3"/>
      <sheetName val="M.Med_Arq"/>
      <sheetName val="AIU"/>
      <sheetName val="Pres_cu;tural"/>
      <sheetName val="1_Preliminares"/>
      <sheetName val="2_Cimentación_Est.Met"/>
      <sheetName val="3_Mampost"/>
      <sheetName val="Apus_Pisos"/>
      <sheetName val="Apu Enchapes"/>
      <sheetName val="Apus_Elec Bloq A"/>
      <sheetName val="Apus_Elec Bloq B"/>
      <sheetName val="Apus_Cub_CM"/>
      <sheetName val="Apu_Hidro"/>
      <sheetName val="Apus_Dotación_Pintura"/>
      <sheetName val="Equipo_Trans "/>
      <sheetName val="M.Obra"/>
      <sheetName val="Pres_cultural"/>
      <sheetName val="CUAD-DIURN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Formulario N° 4"/>
      <sheetName val="MATERIALES"/>
      <sheetName val="EQUIPO"/>
      <sheetName val="AC2_AG96"/>
      <sheetName val="G.G"/>
      <sheetName val="Reprograma 4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"/>
      <sheetName val="Program"/>
      <sheetName val="EVA"/>
      <sheetName val="AIU"/>
      <sheetName val="BASE DATOS"/>
      <sheetName val="fdedo1"/>
      <sheetName val="INV"/>
      <sheetName val="Datos"/>
      <sheetName val="AASHTO"/>
      <sheetName val="PROPUESTA PRESENTADA"/>
      <sheetName val="PROPUESTA"/>
      <sheetName val="PREACTA"/>
      <sheetName val="presupuesto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ITEMS"/>
      <sheetName val="APU"/>
      <sheetName val="MATERIALES"/>
      <sheetName val="AIU"/>
      <sheetName val="EQUIPOS"/>
      <sheetName val="TRANSPORTES"/>
      <sheetName val="personal"/>
      <sheetName val="SALARIOS"/>
      <sheetName val="DOTACIONES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unitario"/>
      <sheetName val="Informacion"/>
      <sheetName val="DATOS"/>
      <sheetName val="Circuitos"/>
      <sheetName val="REF - Listas"/>
      <sheetName val="2008 Capital Budget"/>
      <sheetName val="5094-200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INSUMOS"/>
      <sheetName val="Insum"/>
      <sheetName val="Datos"/>
      <sheetName val="Cuadrillas"/>
      <sheetName val="Jornal"/>
      <sheetName val="Macro1"/>
      <sheetName val="Banderas"/>
      <sheetName val="DATOS EPAN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200.4P localización y replanteo"/>
      <sheetName val="201.15 rem.alcant"/>
      <sheetName val="201.17 tras. postes"/>
      <sheetName val="201,7 Dem. estruc"/>
      <sheetName val="210.2.2 volumenes exc"/>
      <sheetName val="211.1 remoción derrumbes"/>
      <sheetName val=" 220.1 terraplenes"/>
      <sheetName val="330.1 base granular"/>
      <sheetName val="320.1 subbase granular "/>
      <sheetName val="420.1 riego imprimacion"/>
      <sheetName val="450.2 mezcla asfaltica"/>
      <sheetName val="600.2.3 Exc. estructuras Alc"/>
      <sheetName val="600.2.3 Exc. estructuras Muros"/>
      <sheetName val="600,2,3 Exc. Estructuras Box"/>
      <sheetName val="600,2,3 Exc. Subdren"/>
      <sheetName val="610 Rellenos estructuras Alc."/>
      <sheetName val="610 Rellenos estructuras Muros"/>
      <sheetName val="610 Rellenos estructuras Box"/>
      <sheetName val="232,1 geotextil ref taludes "/>
      <sheetName val="630,1 Muros. Ccto clase D "/>
      <sheetName val="630,1. Box. Ccto clase D"/>
      <sheetName val="630,1 Alc. Ccto clase E "/>
      <sheetName val="630,1disip cct clase E"/>
      <sheetName val="630,1 Alc. Ccto clase F"/>
      <sheetName val="630,1 Muros. Ccto clase F"/>
      <sheetName val="630,1. Box. Ccto clase F"/>
      <sheetName val="640,1 Acero Alc. Fy 420 MPa"/>
      <sheetName val="640,1 Acero disip fy 420Mpa "/>
      <sheetName val="640,1 Acero Muros. Fy 420 M "/>
      <sheetName val="640,1 Acero Box. Fy 420 MPa"/>
      <sheetName val="ALTURA DE CABEZAL"/>
      <sheetName val="661,1 Tuberia Ccto Ref."/>
      <sheetName val="671,1 cuneta de Ccto "/>
      <sheetName val="674 Dren Horizontal"/>
      <sheetName val="673,P Subdrenes muros y via"/>
      <sheetName val="700.1 Demarcacion horizontal"/>
      <sheetName val="701.1 Tachas reflectivas"/>
      <sheetName val="730,1Barrera de contensión"/>
      <sheetName val="710.1.1 Señalizacion vertical"/>
      <sheetName val="810,1 Proteccion Vegetal"/>
      <sheetName val="900.2 Transpo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"/>
      <sheetName val="1.1"/>
      <sheetName val="1.2"/>
      <sheetName val="2.1"/>
      <sheetName val="3.1"/>
      <sheetName val="3.2"/>
      <sheetName val="3.3"/>
      <sheetName val="3.4"/>
      <sheetName val="3.5"/>
      <sheetName val="3.6"/>
      <sheetName val="4.1"/>
      <sheetName val="5.1"/>
      <sheetName val="5.5"/>
      <sheetName val="PPTO PMA"/>
      <sheetName val="PPTO PMT"/>
      <sheetName val=" Inventario Vial"/>
      <sheetName val="EQUIPOS"/>
      <sheetName val="MATERIALES"/>
      <sheetName val="MANO DE OBRA"/>
      <sheetName val="TRANSPORTE"/>
      <sheetName val="AIU s"/>
      <sheetName val="ETAPA I OBRA"/>
      <sheetName val="FM Obra Etapa I"/>
      <sheetName val="INTERVENTORIA"/>
      <sheetName val="ETAPA I Intervent"/>
      <sheetName val="FM Int Etapa I"/>
      <sheetName val="FM Int Etapa II"/>
      <sheetName val="Sheet6"/>
      <sheetName val="SALARIOS Y PRESTAC.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RECIOS"/>
      <sheetName val="UNITARIOS"/>
      <sheetName val="Av. Cali K4+880 - K4+970"/>
      <sheetName val="AIU"/>
      <sheetName val="SOCIAL"/>
      <sheetName val="AJUSTE"/>
      <sheetName val="PMT"/>
      <sheetName val="AIU PMT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TERIAL"/>
      <sheetName val=" AdoVh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COSTOS OFICINA"/>
      <sheetName val="COSTOS CAMPAMENTO"/>
      <sheetName val="Insum"/>
      <sheetName val="Presupuesto remoción de derrumb"/>
      <sheetName val="DATOS"/>
      <sheetName val="INFORME SEMANAL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 Av 68 con 64"/>
      <sheetName val="Presup Av 1o de mayo con 73a "/>
      <sheetName val="Presup Av 68 con 10"/>
      <sheetName val="Presup Clle 63 con 50"/>
      <sheetName val="BASES"/>
    </sheetNames>
    <sheetDataSet>
      <sheetData sheetId="0"/>
      <sheetData sheetId="1" refreshError="1"/>
      <sheetData sheetId="2"/>
      <sheetData sheetId="3"/>
      <sheetData sheetId="4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  <sheetName val="EQUIPO"/>
      <sheetName val="MATERIAL"/>
      <sheetName val="Presup_Cancha"/>
      <sheetName val="Res-Accide-10"/>
      <sheetName val="Insumos"/>
      <sheetName val="materiales"/>
      <sheetName val="otros"/>
      <sheetName val="APU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Itemes Renovació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_Gene"/>
      <sheetName val="Par_Dise"/>
      <sheetName val="Inf_Topo"/>
      <sheetName val="Cal_Plan"/>
      <sheetName val="Loc_Apoy"/>
      <sheetName val="Sel_Estr"/>
      <sheetName val="Van_Regu"/>
      <sheetName val="Cal_Gene"/>
      <sheetName val="Ten_Part"/>
      <sheetName val="Par_Part"/>
      <sheetName val="Esf_Viento"/>
      <sheetName val="Vano_Aso"/>
      <sheetName val="Van_Peso"/>
      <sheetName val="Carg_Ver"/>
      <sheetName val="Ten_Tend"/>
      <sheetName val="Cal_Post"/>
      <sheetName val="Esf_Tran"/>
      <sheetName val="Esf_Vert"/>
      <sheetName val="Ins_Temp"/>
      <sheetName val="Ins_Amor"/>
      <sheetName val="Res_Estr"/>
      <sheetName val="Cant_Obra"/>
      <sheetName val="Pla_Dibu"/>
      <sheetName val="Car_Cond"/>
      <sheetName val="Car_Post"/>
      <sheetName val="Car_Acer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/>
      <sheetData sheetId="24" refreshError="1"/>
      <sheetData sheetId="25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CálculoTarifasMR"/>
      <sheetName val="Análisis de precios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A.P.U."/>
      <sheetName val="La Secreta"/>
      <sheetName val="Cronograma"/>
      <sheetName val="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  <sheetName val="BASE"/>
    </sheetNames>
    <sheetDataSet>
      <sheetData sheetId="0"/>
      <sheetData sheetId="1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temes Renovació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UPUESTO"/>
      <sheetName val="ANALISIS"/>
      <sheetName val="INSUMOS"/>
      <sheetName val="inter"/>
      <sheetName val="Sumini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FECHAS DE CORTE"/>
      <sheetName val="Informacion General"/>
      <sheetName val="PR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  <sheetName val="PR 1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Equipo"/>
      <sheetName val="materiales"/>
      <sheetName val="otros"/>
      <sheetName val="TARIFAS"/>
      <sheetName val="Personalizar"/>
      <sheetName val="Formulas"/>
      <sheetName val="INDICE"/>
      <sheetName val="DISTANCIA"/>
      <sheetName val="PERSONAL"/>
      <sheetName val="FIBRA ÓPTICA"/>
      <sheetName val="2103mar%20.xl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PRESUPUESTO"/>
      <sheetName val="ANALISIS"/>
      <sheetName val="INSUMOS"/>
      <sheetName val="INTERVENTORIA"/>
      <sheetName val="F.M 2,4"/>
      <sheetName val="F.M 1,5"/>
      <sheetName val="AIU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Densidades"/>
      <sheetName val="INDICE"/>
      <sheetName val="Materiales"/>
      <sheetName val="Equipo"/>
      <sheetName val="Otros"/>
      <sheetName val="200.2"/>
      <sheetName val="210.1.1"/>
      <sheetName val="211.1"/>
      <sheetName val="220.1"/>
      <sheetName val="2P"/>
      <sheetName val="221.2"/>
      <sheetName val="230.2"/>
      <sheetName val="320.1"/>
      <sheetName val="330.1"/>
      <sheetName val="900.1"/>
      <sheetName val="900.2"/>
      <sheetName val="640.1"/>
      <sheetName val="701.1"/>
      <sheetName val="710.1 "/>
      <sheetName val="710.2"/>
      <sheetName val="730.1"/>
      <sheetName val="730.2"/>
      <sheetName val="740.1"/>
      <sheetName val="BARANDA NEW JERSEY,"/>
      <sheetName val="641.1"/>
      <sheetName val="MALLA ELECTRO "/>
      <sheetName val="201.6"/>
      <sheetName val="DEM PAVIMENTOS"/>
      <sheetName val="600.1"/>
      <sheetName val="610.1"/>
      <sheetName val="621.1"/>
      <sheetName val="630.3"/>
      <sheetName val="630.4"/>
      <sheetName val="630.5"/>
      <sheetName val="630.6"/>
      <sheetName val="630.7"/>
      <sheetName val="661.1 TIPO 1"/>
      <sheetName val="671.7"/>
      <sheetName val="672"/>
      <sheetName val="673.1 "/>
      <sheetName val="674.2"/>
      <sheetName val="CINTA PVC"/>
      <sheetName val="RONDAS"/>
      <sheetName val="810.2"/>
      <sheetName val="NOVAFORT"/>
      <sheetName val="670.2 "/>
      <sheetName val="LANZADO CIELO ABIERTO"/>
      <sheetName val="720.1"/>
      <sheetName val="ANCLAJES PASIVOS"/>
      <sheetName val="ANCLAJES ACTIVOS"/>
      <sheetName val="PRUEBA DE CARGA"/>
      <sheetName val="INY PRESION"/>
      <sheetName val="630.1"/>
      <sheetName val="642.1"/>
      <sheetName val="420.1"/>
      <sheetName val="450.2comprada"/>
      <sheetName val="450.1P COMPRADA"/>
      <sheetName val="673.2 "/>
      <sheetName val="18 - 1"/>
      <sheetName val="18 - 2"/>
      <sheetName val="231.1"/>
      <sheetName val="700.1 "/>
      <sheetName val="700.3"/>
      <sheetName val="REPERFILACION"/>
      <sheetName val="Exc Sub Adicional"/>
      <sheetName val="PERNOS A"/>
      <sheetName val="PERNOS RESINA"/>
      <sheetName val="LANZADO TUNEL"/>
      <sheetName val="concreto para revestimiento "/>
      <sheetName val="MORTERO RELLENO"/>
      <sheetName val="R CONC CONV"/>
      <sheetName val="PERFORACION HUECOS INY"/>
      <sheetName val="CONEXIONES INY"/>
      <sheetName val="TUBO A MANCHETE"/>
      <sheetName val="PERNO FIBRA"/>
      <sheetName val="LOSA PAVIMENTO"/>
      <sheetName val="GEOMEMBRANA"/>
      <sheetName val="TUB DRENAJE 15"/>
      <sheetName val="TUB DRENAJE 20"/>
      <sheetName val="TUB DRENAJE 30"/>
      <sheetName val="FIBRA ACERO"/>
      <sheetName val="PERF DE HUECOSDRENAJE"/>
      <sheetName val="MALLA ELECTRO S"/>
      <sheetName val="arco acero"/>
      <sheetName val="LAMINA TRAPEZOIDAL"/>
      <sheetName val="item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s_Preliminares"/>
      <sheetName val="Apus_Cimentación_Est.Met"/>
      <sheetName val="Apus_HS"/>
      <sheetName val="Apus_In.Elect"/>
      <sheetName val="Apus_Cubierta"/>
      <sheetName val="Insumos"/>
      <sheetName val="Equipo_Trans "/>
      <sheetName val="M.Obra"/>
      <sheetName val="ESP.GENER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TIPACOQUE"/>
      <sheetName val="Presupuesto PASO ELEVADO"/>
      <sheetName val="Lista Base"/>
      <sheetName val="Niples"/>
      <sheetName val="Ins_MO"/>
      <sheetName val="Ins_Mat"/>
      <sheetName val="Ins_TR"/>
      <sheetName val="Ins_EH"/>
      <sheetName val="Print"/>
      <sheetName val="3.1.13A"/>
      <sheetName val="2.1.17"/>
      <sheetName val="3.3.1"/>
      <sheetName val="1.1.86"/>
      <sheetName val="1.2.4"/>
      <sheetName val="2.1.21"/>
      <sheetName val="2.1.1"/>
      <sheetName val="2.7.4"/>
      <sheetName val="1.2.25"/>
      <sheetName val="2.5.44"/>
      <sheetName val="2.5.44A"/>
      <sheetName val="6.4.2.196"/>
      <sheetName val="6.4.2.196A"/>
      <sheetName val="2.5.6"/>
      <sheetName val="2.5.6A"/>
      <sheetName val="6.4.2.197"/>
      <sheetName val="6.4.2.197A"/>
      <sheetName val="6.4.2.198"/>
      <sheetName val="6.4.2.198A"/>
      <sheetName val="2.6.45"/>
      <sheetName val="2.6.46"/>
      <sheetName val="2.6.47"/>
      <sheetName val="2.6.48"/>
      <sheetName val="3.17.10A"/>
      <sheetName val="3.17.10B"/>
      <sheetName val="3.17.3"/>
      <sheetName val="6.4.2.199"/>
      <sheetName val="2.7.1"/>
      <sheetName val="2.6.11"/>
      <sheetName val="PASO ELEVADO"/>
      <sheetName val="1.1.7"/>
      <sheetName val="3.11.2"/>
      <sheetName val="3.5.1"/>
      <sheetName val="1.2.10"/>
      <sheetName val="3.3.13"/>
      <sheetName val="6.4.2.206"/>
      <sheetName val="6.4.2.207"/>
      <sheetName val="6.4.2.208"/>
      <sheetName val="6.4.2.209"/>
      <sheetName val="6.4.2.210"/>
      <sheetName val="6.4.2.211"/>
      <sheetName val="6.4.2.212"/>
      <sheetName val="6.4.2.213"/>
      <sheetName val="6.4.2.214"/>
      <sheetName val="6.4.2.215"/>
      <sheetName val="6.4.2.216"/>
      <sheetName val="6.4.2.217"/>
      <sheetName val="6.4.2.218"/>
      <sheetName val="6.4.2.219"/>
      <sheetName val="6.4.2.220"/>
      <sheetName val="SISTEMA RAMMING"/>
      <sheetName val="6.4.2.221"/>
      <sheetName val="3.3.4"/>
      <sheetName val="COSTOS AMBIENTALES"/>
      <sheetName val="6.4.2.306"/>
      <sheetName val="1.1.62"/>
      <sheetName val="6.4.2.307"/>
      <sheetName val="6.4.2.308"/>
      <sheetName val="6.4.2.309"/>
      <sheetName val="6.4.2.310"/>
      <sheetName val="6.4.2.311"/>
      <sheetName val="EQUIPO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Niples"/>
      <sheetName val="Lista Base"/>
      <sheetName val="Ins_MO"/>
      <sheetName val="Ins_TR"/>
      <sheetName val="Ins_Mat"/>
      <sheetName val="Clasif_Mat"/>
      <sheetName val="Ins_EH"/>
      <sheetName val="Print"/>
      <sheetName val="1.1.1"/>
      <sheetName val="1.1.2"/>
      <sheetName val="1.1.7"/>
      <sheetName val="1.1.8"/>
      <sheetName val="1.1.9"/>
      <sheetName val="1.1.11"/>
      <sheetName val="1.1.12"/>
      <sheetName val="1.1.12A"/>
      <sheetName val="1.1.13"/>
      <sheetName val="1.1.14"/>
      <sheetName val="1.1.15"/>
      <sheetName val="1.1.16"/>
      <sheetName val="1.1.17"/>
      <sheetName val="1.1.18"/>
      <sheetName val="1.1.24"/>
      <sheetName val="1.1.25"/>
      <sheetName val="1.1.26"/>
      <sheetName val="1.1.27"/>
      <sheetName val="1.1.28"/>
      <sheetName val="1.1.29"/>
      <sheetName val="1.1.32"/>
      <sheetName val="1.1.33"/>
      <sheetName val="1.1.35"/>
      <sheetName val="1.1.36"/>
      <sheetName val="1.1.37"/>
      <sheetName val="1.1.40"/>
      <sheetName val="1.1.41"/>
      <sheetName val="1.1.42"/>
      <sheetName val="1.1.43"/>
      <sheetName val="1.1.44"/>
      <sheetName val="1.1.45"/>
      <sheetName val="1.1.46"/>
      <sheetName val="1.1.47"/>
      <sheetName val="1.1.48"/>
      <sheetName val="1.1.49"/>
      <sheetName val="1.1.50"/>
      <sheetName val="1.1.51"/>
      <sheetName val="1.1.52"/>
      <sheetName val="1.1.53"/>
      <sheetName val="1.1.54"/>
      <sheetName val="1.1.55"/>
      <sheetName val="1.1.58"/>
      <sheetName val="1.1.59"/>
      <sheetName val="1.1.60"/>
      <sheetName val="1.1.61"/>
      <sheetName val="1.1.62"/>
      <sheetName val="1.1.63"/>
      <sheetName val="1.1.64"/>
      <sheetName val="1.1.65"/>
      <sheetName val="1.1.66"/>
      <sheetName val="1.1.70"/>
      <sheetName val="1.1.71"/>
      <sheetName val="1.1.74"/>
      <sheetName val="1.1.75"/>
      <sheetName val="1.1.76"/>
      <sheetName val="1.1.78"/>
      <sheetName val="1.1.79"/>
      <sheetName val="1.1.80"/>
      <sheetName val="1.1.81"/>
      <sheetName val="1.1.82"/>
      <sheetName val="1.1.83"/>
      <sheetName val="1.1.83A"/>
      <sheetName val="1.1.84"/>
      <sheetName val="1.1.85"/>
      <sheetName val="1.1.86"/>
      <sheetName val="1.2.1"/>
      <sheetName val="1.2.2"/>
      <sheetName val="1.2.3"/>
      <sheetName val="1.2.4"/>
      <sheetName val="1.2.5"/>
      <sheetName val="1.2.6"/>
      <sheetName val="1.2.7"/>
      <sheetName val="1.2.8"/>
      <sheetName val="1.2.9"/>
      <sheetName val="1.2.10"/>
      <sheetName val="1.2.11"/>
      <sheetName val="1.2.12"/>
      <sheetName val="1.2.13"/>
      <sheetName val="1.2.14"/>
      <sheetName val="1.2.15"/>
      <sheetName val="1.2.16"/>
      <sheetName val="1.2.17"/>
      <sheetName val="1.2.18"/>
      <sheetName val="1.2.19"/>
      <sheetName val="1.2.20"/>
      <sheetName val="1.2.21"/>
      <sheetName val="1.2.22"/>
      <sheetName val="1.2.23"/>
      <sheetName val="1.2.24"/>
      <sheetName val="1.2.25"/>
      <sheetName val="1.2.26"/>
      <sheetName val="1.2.27"/>
      <sheetName val="1.2.28"/>
      <sheetName val="1.2.29"/>
      <sheetName val="1.2.30"/>
      <sheetName val="1.2.31"/>
      <sheetName val="1.2.32"/>
      <sheetName val="1.2.33"/>
      <sheetName val="1.2.34"/>
      <sheetName val="1.2.35"/>
      <sheetName val="1.2.36"/>
      <sheetName val="1.2.37"/>
      <sheetName val="1.2.38"/>
      <sheetName val="1.2.39"/>
      <sheetName val="1.2.40"/>
      <sheetName val="1.2.41"/>
      <sheetName val="1.2.42"/>
      <sheetName val="1.2.43"/>
      <sheetName val="1.2.44"/>
      <sheetName val="1.2.45"/>
      <sheetName val="1.2.46"/>
      <sheetName val="1.2.47"/>
      <sheetName val="1.2.48"/>
      <sheetName val="1.2.49"/>
      <sheetName val="1.2.50"/>
      <sheetName val="1.2.51"/>
      <sheetName val="1.2.52"/>
      <sheetName val="1.2.53"/>
      <sheetName val="1.2.54"/>
      <sheetName val="1.2.55"/>
      <sheetName val="1.2.56"/>
      <sheetName val="1.2.57"/>
      <sheetName val="1.2.58"/>
      <sheetName val="1.2.59"/>
      <sheetName val="1.3.1"/>
      <sheetName val="1.3.2"/>
      <sheetName val="1.3.3"/>
      <sheetName val="1.3.4"/>
      <sheetName val="1.3.5"/>
      <sheetName val="1.3.6"/>
      <sheetName val="1.3.7"/>
      <sheetName val="1.3.8"/>
      <sheetName val="1.3.9"/>
      <sheetName val="1.3.10"/>
      <sheetName val="1.3.11"/>
      <sheetName val="1.3.12"/>
      <sheetName val="1.3.13"/>
      <sheetName val="1.3.14"/>
      <sheetName val="1.3.15"/>
      <sheetName val="1.3.16"/>
      <sheetName val="1.3.17"/>
      <sheetName val="1.3.18"/>
      <sheetName val="1.3.19"/>
      <sheetName val="1.3.20"/>
      <sheetName val="1.3.21"/>
      <sheetName val="1.3.22"/>
      <sheetName val="1.3.23"/>
      <sheetName val="1.3.24"/>
      <sheetName val="1.3.25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4.15"/>
      <sheetName val="1.4.16"/>
      <sheetName val="1.4.17"/>
      <sheetName val="1.4.18"/>
      <sheetName val="1.4.19"/>
      <sheetName val="1.4.20"/>
      <sheetName val="1.4.21"/>
      <sheetName val="1.4.22"/>
      <sheetName val="1.4.23"/>
      <sheetName val="1.4.24"/>
      <sheetName val="1.4.25"/>
      <sheetName val="1.4.26"/>
      <sheetName val="1.4.27"/>
      <sheetName val="1.4.28"/>
      <sheetName val="1.4.29"/>
      <sheetName val="1.4.30"/>
      <sheetName val="1.4.31"/>
      <sheetName val="1.4.32"/>
      <sheetName val="1.4.33"/>
      <sheetName val="1.4.34"/>
      <sheetName val="1.4.35"/>
      <sheetName val="1.4.36"/>
      <sheetName val="1.4.37"/>
      <sheetName val="1.4.38"/>
      <sheetName val="1.4.39"/>
      <sheetName val="1.5.1"/>
      <sheetName val="1.5.2"/>
      <sheetName val="1.5.3"/>
      <sheetName val="1.5.4"/>
      <sheetName val="1.5.5"/>
      <sheetName val="1.5.6"/>
      <sheetName val="1.5.7"/>
      <sheetName val="1.5.8"/>
      <sheetName val="1.5.9"/>
      <sheetName val="1.5.10"/>
      <sheetName val="1.5.11"/>
      <sheetName val="1.5.12"/>
      <sheetName val="1.5.13"/>
      <sheetName val="1.5.14"/>
      <sheetName val="1.5.15"/>
      <sheetName val="1.5.16"/>
      <sheetName val="1.5.17"/>
      <sheetName val="1.5.18"/>
      <sheetName val="1.6.1"/>
      <sheetName val="1.6.2"/>
      <sheetName val="1.6.3"/>
      <sheetName val="1.6.4"/>
      <sheetName val="1.6.5"/>
      <sheetName val="1.6.6"/>
      <sheetName val="1.6.7"/>
      <sheetName val="1.6.8"/>
      <sheetName val="1.6.9"/>
      <sheetName val="1.6.10"/>
      <sheetName val="1.6.11"/>
      <sheetName val="1.6.12"/>
      <sheetName val="1.6.13"/>
      <sheetName val="1.6.14"/>
      <sheetName val="1.6.15"/>
      <sheetName val="1.6.16"/>
      <sheetName val="1.6.17"/>
      <sheetName val="1.6.18"/>
      <sheetName val="1.6.19"/>
      <sheetName val="1.6.20"/>
      <sheetName val="1.6.21"/>
      <sheetName val="1.6.22"/>
      <sheetName val="1.6.23"/>
      <sheetName val="1.6.24"/>
      <sheetName val="1.6.25"/>
      <sheetName val="1.6.28"/>
      <sheetName val="1.6.29"/>
      <sheetName val="1.6.30"/>
      <sheetName val="1.6.31"/>
      <sheetName val="1.6.32"/>
      <sheetName val="1.6.33"/>
      <sheetName val="1.6.34"/>
      <sheetName val="1.6.35"/>
      <sheetName val="1.6.36"/>
      <sheetName val="1.6.37"/>
      <sheetName val="1.6.38"/>
      <sheetName val="1.6.39"/>
      <sheetName val="1.6.40"/>
      <sheetName val="1.6.41"/>
      <sheetName val="1.6.42"/>
      <sheetName val="1.9.1"/>
      <sheetName val="1.9.2"/>
      <sheetName val="1.9.3"/>
      <sheetName val="1.9.4"/>
      <sheetName val="1.9.5"/>
      <sheetName val="1.9.6"/>
      <sheetName val="1.9.7"/>
      <sheetName val="1.9.8"/>
      <sheetName val="1.9.9"/>
      <sheetName val="1.9.10"/>
      <sheetName val="1.9.11"/>
      <sheetName val="1.9.12"/>
      <sheetName val="1.9.13"/>
      <sheetName val="1.9.14"/>
      <sheetName val="1.9.15"/>
      <sheetName val="1.9.16"/>
      <sheetName val="1.9.17"/>
      <sheetName val="1.9.18"/>
      <sheetName val="1.9.19"/>
      <sheetName val="1.9.20"/>
      <sheetName val="1.9.21"/>
      <sheetName val="1.9.22"/>
      <sheetName val="1.9.23"/>
      <sheetName val="1.10.1"/>
      <sheetName val="1.10.2"/>
      <sheetName val="1.10.3"/>
      <sheetName val="1.10.4"/>
      <sheetName val="1.10.5"/>
      <sheetName val="1.10.6"/>
      <sheetName val="1.10.7"/>
      <sheetName val="1.10.8"/>
      <sheetName val="1.10.9"/>
      <sheetName val="1.10.10"/>
      <sheetName val="1.10.11"/>
      <sheetName val="1.10.14"/>
      <sheetName val="1.10.15"/>
      <sheetName val="1.10.16"/>
      <sheetName val="1.10.17"/>
      <sheetName val="1.10.18"/>
      <sheetName val="1.10.19"/>
      <sheetName val="1.10.20"/>
      <sheetName val="1.10.21"/>
      <sheetName val="1.10.22"/>
      <sheetName val="1.11.1"/>
      <sheetName val="1.11.2"/>
      <sheetName val="1.11.3"/>
      <sheetName val="1.11.4"/>
      <sheetName val="1.11.5"/>
      <sheetName val="1.11.6"/>
      <sheetName val="1.11.7"/>
      <sheetName val="1.11.8"/>
      <sheetName val="1.11.9"/>
      <sheetName val="1.11.10"/>
      <sheetName val="1.11.11"/>
      <sheetName val="1.11.12"/>
      <sheetName val="1.11.13"/>
      <sheetName val="1.11.14"/>
      <sheetName val="1.11.15"/>
      <sheetName val="1.11.16"/>
      <sheetName val="1.11.17"/>
      <sheetName val="1.11.18"/>
      <sheetName val="1.11.19"/>
      <sheetName val="1.11.20"/>
      <sheetName val="1.11.21"/>
      <sheetName val="1.11.22"/>
      <sheetName val="1.11.23"/>
      <sheetName val="1.11.24"/>
      <sheetName val="1.11.25"/>
      <sheetName val="1.11.26"/>
      <sheetName val="1.11.27"/>
      <sheetName val="1.11.28"/>
      <sheetName val="1.11.29"/>
      <sheetName val="1.11.30"/>
      <sheetName val="1.11.31"/>
      <sheetName val="1.11.32"/>
      <sheetName val="1.11.33"/>
      <sheetName val="1.11.34"/>
      <sheetName val="1.11.35"/>
      <sheetName val="1.11.36"/>
      <sheetName val="1.11.37"/>
      <sheetName val="1.11.38"/>
      <sheetName val="1.11.39"/>
      <sheetName val="1.11.40"/>
      <sheetName val="1.11.41"/>
      <sheetName val="1.11.42"/>
      <sheetName val="1.11.43"/>
      <sheetName val="1.11.44"/>
      <sheetName val="1.11.45"/>
      <sheetName val="1.12 CUBIERTAS"/>
      <sheetName val="1.12.1"/>
      <sheetName val="1.12.2"/>
      <sheetName val="1.12.3"/>
      <sheetName val="1.12.4"/>
      <sheetName val="1.12.5"/>
      <sheetName val="1.12.6"/>
      <sheetName val="1.12.7"/>
      <sheetName val="1.12.8"/>
      <sheetName val="1.12.9"/>
      <sheetName val="1.12.10"/>
      <sheetName val="1.12.11"/>
      <sheetName val="1.12.12"/>
      <sheetName val="1.12.13"/>
      <sheetName val="1.12.14"/>
      <sheetName val="1.12.15"/>
      <sheetName val="1.12.16"/>
      <sheetName val="1.12.17"/>
      <sheetName val="1.12.18"/>
      <sheetName val="1.12.19"/>
      <sheetName val="1.12.20"/>
      <sheetName val="1.12.21"/>
      <sheetName val="1.12.22"/>
      <sheetName val="1.12.23"/>
      <sheetName val="1.12.24"/>
      <sheetName val="1.12.25"/>
      <sheetName val="1.12.26"/>
      <sheetName val="1.12.27"/>
      <sheetName val="1.12.28"/>
      <sheetName val="1.12.29"/>
      <sheetName val="1.12.30"/>
      <sheetName val="1.12.31"/>
      <sheetName val="1.12.32"/>
      <sheetName val="1.12.33"/>
      <sheetName val="1.12.34"/>
      <sheetName val="1.12.35"/>
      <sheetName val="1.12.36"/>
      <sheetName val="1.12.37"/>
      <sheetName val="1.12.38"/>
      <sheetName val="1.12.39"/>
      <sheetName val="1.12.40"/>
      <sheetName val="1.12.41"/>
      <sheetName val="1.12.42"/>
      <sheetName val="1.12.43"/>
      <sheetName val="1.12.44"/>
      <sheetName val="1.12.45"/>
      <sheetName val="1.12.46"/>
      <sheetName val="1.12.47"/>
      <sheetName val="1.12.48"/>
      <sheetName val="1.12.49"/>
      <sheetName val="1.12.50"/>
      <sheetName val="1.12.51"/>
      <sheetName val="1.12.52"/>
      <sheetName val="1.12.53"/>
      <sheetName val="1.12.58"/>
      <sheetName val="1.15 CARPINTERIA METALICA"/>
      <sheetName val="1.15.1"/>
      <sheetName val="1.15.2"/>
      <sheetName val="1.15.3"/>
      <sheetName val="1.15.4"/>
      <sheetName val="1.15.5"/>
      <sheetName val="1.15.6"/>
      <sheetName val="1.15.7"/>
      <sheetName val="1.15.8"/>
      <sheetName val="1.15.9"/>
      <sheetName val="1.15.10"/>
      <sheetName val="1.15.11"/>
      <sheetName val="1.15.12"/>
      <sheetName val="1.15.13"/>
      <sheetName val="1.15.14"/>
      <sheetName val="1.15.15"/>
      <sheetName val="1.15.16"/>
      <sheetName val="1.16 APARATOS SANITARIOS"/>
      <sheetName val="1.16.1"/>
      <sheetName val="1.16.2"/>
      <sheetName val="1.16.3"/>
      <sheetName val="1.16.4"/>
      <sheetName val="1.16.5"/>
      <sheetName val="1.16.6"/>
      <sheetName val="1.16.7"/>
      <sheetName val="1.16.8"/>
      <sheetName val="1.16.9"/>
      <sheetName val="1.16.10"/>
      <sheetName val="1.16.11"/>
      <sheetName val="1.16.12"/>
      <sheetName val="1.16.13"/>
      <sheetName val="1.16.14"/>
      <sheetName val="1.16.15"/>
      <sheetName val="1.16.16"/>
      <sheetName val="1.17 VIDRIOS Y CERRADURAS"/>
      <sheetName val="1.17.1"/>
      <sheetName val="1.17.2"/>
      <sheetName val="1.17.3"/>
      <sheetName val="1.17.4"/>
      <sheetName val="1.17.5"/>
      <sheetName val="1.17.6"/>
      <sheetName val="1.18 OBRAS EXTERIORES"/>
      <sheetName val="1.18.1"/>
      <sheetName val="1.18.2"/>
      <sheetName val="1.18.3"/>
      <sheetName val="1.18.4"/>
      <sheetName val="1.18.5"/>
      <sheetName val="1.18.6"/>
      <sheetName val="1.18.7"/>
      <sheetName val="1.18.8"/>
      <sheetName val="1.18.9"/>
      <sheetName val="1.18.10"/>
      <sheetName val="1.20 OTROS"/>
      <sheetName val="1.20.1"/>
      <sheetName val="1.20.2"/>
      <sheetName val="1.20.3"/>
      <sheetName val="1.20.4"/>
      <sheetName val="1.20.5"/>
      <sheetName val="1.20.6"/>
      <sheetName val="1.20.7"/>
      <sheetName val="1.20.8"/>
      <sheetName val="1.20.9"/>
      <sheetName val="1.20.10"/>
      <sheetName val="1.20.11"/>
      <sheetName val="2.1 TUBERIA PVC - ACUEDUCTO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1.22"/>
      <sheetName val="2.1.23"/>
      <sheetName val="2.1.24"/>
      <sheetName val="2.1.25"/>
      <sheetName val="2.1.26"/>
      <sheetName val="2.1.27"/>
      <sheetName val="2.1.28"/>
      <sheetName val="2.1.29"/>
      <sheetName val="2.1.29A "/>
      <sheetName val="2.1.29B"/>
      <sheetName val="2.1.30"/>
      <sheetName val="2.1.31"/>
      <sheetName val="2.1.32"/>
      <sheetName val="2.1.33"/>
      <sheetName val="2.1.33A"/>
      <sheetName val="2.1.33B"/>
      <sheetName val="2.1.34"/>
      <sheetName val="2.1.35"/>
      <sheetName val="2.1.36"/>
      <sheetName val="2.1.37"/>
      <sheetName val="2.1.38"/>
      <sheetName val="2.1.38A"/>
      <sheetName val="2.1.38B"/>
      <sheetName val="2.1.39"/>
      <sheetName val="2.1.40"/>
      <sheetName val="2.1.41"/>
      <sheetName val="2.1.42"/>
      <sheetName val="2.1.43"/>
      <sheetName val="2.1.44"/>
      <sheetName val="2.1.45"/>
      <sheetName val="2.1.46"/>
      <sheetName val="2.1.47"/>
      <sheetName val="2.1.48"/>
      <sheetName val="2.1.49"/>
      <sheetName val="2.1.50"/>
      <sheetName val="2.1.51"/>
      <sheetName val="2.1.52"/>
      <sheetName val="2.2 TUBERIA POLIETILENO PE 100 "/>
      <sheetName val="2.2.1"/>
      <sheetName val="2.2.2"/>
      <sheetName val="2.2.3"/>
      <sheetName val="2.2.4"/>
      <sheetName val="2.2.5"/>
      <sheetName val="2.2.6"/>
      <sheetName val="2.2.7"/>
      <sheetName val="2.2.8"/>
      <sheetName val="2.2.9"/>
      <sheetName val="2.2.10"/>
      <sheetName val="2.3 TUBERIA HG - ACUEDUCTO"/>
      <sheetName val="2.3.1"/>
      <sheetName val="2.3.2"/>
      <sheetName val="2.3.3"/>
      <sheetName val="2.3.4"/>
      <sheetName val="2.3.5"/>
      <sheetName val="2.3.6"/>
      <sheetName val="2.4 ACCESORIOS DE ACUEDUCTOS"/>
      <sheetName val="2.4.1"/>
      <sheetName val="2.4.2"/>
      <sheetName val="2.4.3"/>
      <sheetName val="2.4.4"/>
      <sheetName val="2.4.5"/>
      <sheetName val="2.4.6"/>
      <sheetName val="2.4.7"/>
      <sheetName val="2.4.8"/>
      <sheetName val="2.4.9"/>
      <sheetName val="2.4.10"/>
      <sheetName val="2.4.11"/>
      <sheetName val="2.4.12"/>
      <sheetName val="2.4.13"/>
      <sheetName val="2.4.16"/>
      <sheetName val="2.4.17"/>
      <sheetName val="2.4.18"/>
      <sheetName val="2.4.19"/>
      <sheetName val="2.4.20"/>
      <sheetName val="2.4.21"/>
      <sheetName val="2.4.22"/>
      <sheetName val="2.4.23"/>
      <sheetName val="2.4.24"/>
      <sheetName val="2.4.25"/>
      <sheetName val="2.4.26"/>
      <sheetName val="2.4.27"/>
      <sheetName val="2.4.28"/>
      <sheetName val="2.4.29"/>
      <sheetName val="2.4.30"/>
      <sheetName val="2.4.31"/>
      <sheetName val="2.4.32"/>
      <sheetName val="2.4.33"/>
      <sheetName val="2.4.34"/>
      <sheetName val="2.4.35"/>
      <sheetName val="2.4.36"/>
      <sheetName val="2.4.37"/>
      <sheetName val="2.4.38"/>
      <sheetName val="2.4.39"/>
      <sheetName val="2.4.40"/>
      <sheetName val="2.4.41"/>
      <sheetName val="2.4.42"/>
      <sheetName val="2.4.43"/>
      <sheetName val="2.4.44"/>
      <sheetName val="2.4.45"/>
      <sheetName val="2.4.46"/>
      <sheetName val="2.4.47"/>
      <sheetName val="2.4.48"/>
      <sheetName val="2.4.49"/>
      <sheetName val="2.4.50"/>
      <sheetName val="2.4.51"/>
      <sheetName val="2.4.52"/>
      <sheetName val="2.4.53"/>
      <sheetName val="2.4.54"/>
      <sheetName val="2.4.55"/>
      <sheetName val="2.4.56"/>
      <sheetName val="2.4.57"/>
      <sheetName val="2.4.58"/>
      <sheetName val="2.4.59"/>
      <sheetName val="2.4.60"/>
      <sheetName val="2.4.61"/>
      <sheetName val="2.4.62"/>
      <sheetName val="2.4.63"/>
      <sheetName val="2.4.64"/>
      <sheetName val="2.4.65"/>
      <sheetName val="2.4.66"/>
      <sheetName val="2.4.67"/>
      <sheetName val="2.4.68"/>
      <sheetName val="2.4.69"/>
      <sheetName val="2.4.70"/>
      <sheetName val="2.4.71"/>
      <sheetName val="2.4.72"/>
      <sheetName val="2.4.73"/>
      <sheetName val="2.4.74"/>
      <sheetName val="2.4.75"/>
      <sheetName val="2.4.76"/>
      <sheetName val="2.4.77"/>
      <sheetName val="2.4.78"/>
      <sheetName val="2.4.79"/>
      <sheetName val="2.4.80"/>
      <sheetName val="2.4.81"/>
      <sheetName val="2.4.82"/>
      <sheetName val="2.4.83"/>
      <sheetName val="2.4.84"/>
      <sheetName val="2.4.85"/>
      <sheetName val="2.4.86"/>
      <sheetName val="2.4.87"/>
      <sheetName val="2.4.88"/>
      <sheetName val="2.4.89"/>
      <sheetName val="2.4.90"/>
      <sheetName val="2.4.91"/>
      <sheetName val="2.4.92"/>
      <sheetName val="2.4.93"/>
      <sheetName val="2.4.94"/>
      <sheetName val="2.4.95"/>
      <sheetName val="2.4.96"/>
      <sheetName val="2.4.97"/>
      <sheetName val="2.4.98"/>
      <sheetName val="2.4.99"/>
      <sheetName val="2.4.100"/>
      <sheetName val="2.4.118"/>
      <sheetName val="2.4.119"/>
      <sheetName val="2.2.49"/>
      <sheetName val="2.4.120"/>
      <sheetName val="2.4.121"/>
      <sheetName val="2.4.122"/>
      <sheetName val="2.4.123"/>
      <sheetName val="2.4.124"/>
      <sheetName val="2.4.125"/>
      <sheetName val="2.4.126"/>
      <sheetName val="2.4.127"/>
      <sheetName val="2.4.128"/>
      <sheetName val="2.4.129"/>
      <sheetName val="2.4.130"/>
      <sheetName val="2.4.131"/>
      <sheetName val="2.4.132"/>
      <sheetName val="2.4.133"/>
      <sheetName val="2.4.134"/>
      <sheetName val="2.4.135"/>
      <sheetName val="2.4.136"/>
      <sheetName val="2.4.137"/>
      <sheetName val="2.4.138"/>
      <sheetName val="2.4.139"/>
      <sheetName val="2.4.140"/>
      <sheetName val="2.4.141"/>
      <sheetName val="2.4.142"/>
      <sheetName val="2.4.143"/>
      <sheetName val="2.4.144"/>
      <sheetName val="2.4.145"/>
      <sheetName val="2.4.146"/>
      <sheetName val="2.4.147"/>
      <sheetName val="2.4.148"/>
      <sheetName val="2.4.149"/>
      <sheetName val="2.4.150"/>
      <sheetName val="2.4.151"/>
      <sheetName val="2.4.152"/>
      <sheetName val="2.4.153"/>
      <sheetName val="2.4.154"/>
      <sheetName val="2.4.155"/>
      <sheetName val="2.4.156"/>
      <sheetName val="2.4.157"/>
      <sheetName val="2.4.158"/>
      <sheetName val="2.4.159"/>
      <sheetName val="2.4.160"/>
      <sheetName val="2.4.161"/>
      <sheetName val="2.4.162"/>
      <sheetName val="2.4.163"/>
      <sheetName val="2.4.164"/>
      <sheetName val="2.4.165"/>
      <sheetName val="2.4.166"/>
      <sheetName val="2.4.167"/>
      <sheetName val="2.4.168"/>
      <sheetName val="2.4.169"/>
      <sheetName val="2.4.169A"/>
      <sheetName val="2.4.170"/>
      <sheetName val="2.4.171"/>
      <sheetName val="2.4.172"/>
      <sheetName val="2.4.172A"/>
      <sheetName val="2.4.173"/>
      <sheetName val="2.4.174"/>
      <sheetName val="2.4.175"/>
      <sheetName val="2.4.177"/>
      <sheetName val="2.4.178"/>
      <sheetName val="2.4.181"/>
      <sheetName val="2.4.182"/>
      <sheetName val="2.4.183"/>
      <sheetName val="2.4.184"/>
      <sheetName val="2.4.185"/>
      <sheetName val="2.4.186"/>
      <sheetName val="2.4.187"/>
      <sheetName val="2.4.188"/>
      <sheetName val="2.4.176"/>
      <sheetName val="2.4.179"/>
      <sheetName val="2.4.180"/>
      <sheetName val="2.4.189"/>
      <sheetName val="2.4.190"/>
      <sheetName val="2.4.191"/>
      <sheetName val="2.4.192"/>
      <sheetName val="2.4.193"/>
      <sheetName val="2.4.194"/>
      <sheetName val="2.4.195"/>
      <sheetName val="2.4.196"/>
      <sheetName val="2.4.197"/>
      <sheetName val="2.4.198"/>
      <sheetName val="2.4.199"/>
      <sheetName val="2.4.200"/>
      <sheetName val="2.4.201"/>
      <sheetName val="2.4.202"/>
      <sheetName val="2.4.203"/>
      <sheetName val="2.4.204"/>
      <sheetName val="2.4.205"/>
      <sheetName val="2.4.206"/>
      <sheetName val="2.4.207"/>
      <sheetName val="2.4.208"/>
      <sheetName val="2.4.209"/>
      <sheetName val="2.4.210"/>
      <sheetName val="2.4.211"/>
      <sheetName val="2.4.212"/>
      <sheetName val="2.4.213"/>
      <sheetName val="2.4.214"/>
      <sheetName val="2.4.215"/>
      <sheetName val="2.4.216"/>
      <sheetName val="2.4.217"/>
      <sheetName val="2.4.218"/>
      <sheetName val="2.4.219"/>
      <sheetName val="2.4.220"/>
      <sheetName val="2.4.221"/>
      <sheetName val="2.4.222"/>
      <sheetName val="2.4.223"/>
      <sheetName val="2.4.224"/>
      <sheetName val="2.4.225"/>
      <sheetName val="2.4.226"/>
      <sheetName val="2.4.227"/>
      <sheetName val="2.4.228"/>
      <sheetName val="2.4.229"/>
      <sheetName val="2.4.230"/>
      <sheetName val="2.4.231"/>
      <sheetName val="2.4.232"/>
      <sheetName val="2.4.233"/>
      <sheetName val="2.4.234"/>
      <sheetName val="2.4.235"/>
      <sheetName val="2.4.236"/>
      <sheetName val="2.4.237"/>
      <sheetName val="2.4.238"/>
      <sheetName val="2.4.239"/>
      <sheetName val="2.4.240"/>
      <sheetName val="2.4.241"/>
      <sheetName val="2.4.242"/>
      <sheetName val="2.4.243"/>
      <sheetName val="2.4.244"/>
      <sheetName val="2.4.245"/>
      <sheetName val="2.4.246"/>
      <sheetName val="2.4.247"/>
      <sheetName val="2.4.248"/>
      <sheetName val="2.4.249"/>
      <sheetName val="2.4.250"/>
      <sheetName val="2.4.251"/>
      <sheetName val="2.4.252"/>
      <sheetName val="2.4.253"/>
      <sheetName val="2.4.254"/>
      <sheetName val="2.4.255"/>
      <sheetName val="2.4.256"/>
      <sheetName val="2.4.257"/>
      <sheetName val="2.4.258"/>
      <sheetName val="2.4.258A"/>
      <sheetName val="2.4.259"/>
      <sheetName val="2.4.260"/>
      <sheetName val="2.4.261"/>
      <sheetName val="2.4.262"/>
      <sheetName val="2.5.1"/>
      <sheetName val="2.5.2"/>
      <sheetName val="2.5.3"/>
      <sheetName val="2.5.4"/>
      <sheetName val="2.5.5"/>
      <sheetName val="2.5.6"/>
      <sheetName val="2.5.7"/>
      <sheetName val="2.5.8"/>
      <sheetName val="2.5.9"/>
      <sheetName val="2.5.10"/>
      <sheetName val="2.5.11"/>
      <sheetName val="2.5.12"/>
      <sheetName val="2.5.13"/>
      <sheetName val="2.5.14"/>
      <sheetName val="2.5.15"/>
      <sheetName val="2.5.16"/>
      <sheetName val="2.5.17"/>
      <sheetName val="2.5.18"/>
      <sheetName val="2.5.19"/>
      <sheetName val="2.5.20"/>
      <sheetName val="2.5.21"/>
      <sheetName val="2.5.22"/>
      <sheetName val="2.5.23"/>
      <sheetName val="2.5.24"/>
      <sheetName val="2.5.25"/>
      <sheetName val="2.5.26"/>
      <sheetName val="2.5.27"/>
      <sheetName val="2.5.28"/>
      <sheetName val="2.5.29"/>
      <sheetName val="2.5.30"/>
      <sheetName val="2.5.31"/>
      <sheetName val="2.5.32"/>
      <sheetName val="2.5.33"/>
      <sheetName val="2.5.34"/>
      <sheetName val="2.5.35"/>
      <sheetName val="2.5.36"/>
      <sheetName val="2.5.37"/>
      <sheetName val="2.5.38"/>
      <sheetName val="2.5.39"/>
      <sheetName val="2.5.40"/>
      <sheetName val="2.5.41"/>
      <sheetName val="2.5.42"/>
      <sheetName val="2.5.43"/>
      <sheetName val="2.5.44"/>
      <sheetName val="2.5.45"/>
      <sheetName val="2.5.46"/>
      <sheetName val="2.5.47"/>
      <sheetName val="2.5.48"/>
      <sheetName val="2.6.1"/>
      <sheetName val="2.6.2"/>
      <sheetName val="2.6.3"/>
      <sheetName val="2.6.4"/>
      <sheetName val="2.6.5"/>
      <sheetName val="2.6.6"/>
      <sheetName val="2.6.7"/>
      <sheetName val="2.6.8"/>
      <sheetName val="2.6.9"/>
      <sheetName val="2.6.10"/>
      <sheetName val="2.6.11"/>
      <sheetName val="2.6.12"/>
      <sheetName val="2.6.13"/>
      <sheetName val="2.6.14"/>
      <sheetName val="2.6.15"/>
      <sheetName val="2.6.16"/>
      <sheetName val="2.6.17"/>
      <sheetName val="2.6.18"/>
      <sheetName val="2.6.19"/>
      <sheetName val="2.6.20"/>
      <sheetName val="2.6.21"/>
      <sheetName val="2.6.22"/>
      <sheetName val="2.6.23"/>
      <sheetName val="2.6.24"/>
      <sheetName val="2.6.25"/>
      <sheetName val="2.6.26"/>
      <sheetName val="2.6.27"/>
      <sheetName val="2.6.28"/>
      <sheetName val="2.6.29"/>
      <sheetName val="2.6.30"/>
      <sheetName val="2.6.31"/>
      <sheetName val="2.6.32"/>
      <sheetName val="2.6.33"/>
      <sheetName val="2.6.34"/>
      <sheetName val="2.6.35"/>
      <sheetName val="2.6.36"/>
      <sheetName val="2.6.37"/>
      <sheetName val="2.6.38"/>
      <sheetName val="2.6.39"/>
      <sheetName val="2.6.40"/>
      <sheetName val="2.6.41"/>
      <sheetName val="2.6.42"/>
      <sheetName val="2.6.43"/>
      <sheetName val="2.6.44"/>
      <sheetName val="2.6.45"/>
      <sheetName val="2.6.46"/>
      <sheetName val="2.6.47"/>
      <sheetName val="2.6.48"/>
      <sheetName val="2.6.49"/>
      <sheetName val="2.6.50"/>
      <sheetName val="2.6.51"/>
      <sheetName val="2.6.52"/>
      <sheetName val="2.6.53"/>
      <sheetName val="2.6.54"/>
      <sheetName val="2.7.1"/>
      <sheetName val="2.7.2"/>
      <sheetName val="2.7.3"/>
      <sheetName val="2.7.4"/>
      <sheetName val="2.7.5"/>
      <sheetName val="2.7.6"/>
      <sheetName val="2.7.7"/>
      <sheetName val="2.7.8"/>
      <sheetName val="2.7.9"/>
      <sheetName val="2.7.10"/>
      <sheetName val="2.7.11"/>
      <sheetName val="2.8.1"/>
      <sheetName val="2.8.2"/>
      <sheetName val="2.8.3"/>
      <sheetName val="2.9.1"/>
      <sheetName val="2.9.2"/>
      <sheetName val="2.9.3"/>
      <sheetName val="2.10.1"/>
      <sheetName val="2.10.2"/>
      <sheetName val="2.10.3"/>
      <sheetName val="2.10.4"/>
      <sheetName val="2.11.1"/>
      <sheetName val="2.11.2"/>
      <sheetName val="2.11.3"/>
      <sheetName val="2.11.4"/>
      <sheetName val="2.12.1"/>
      <sheetName val="3.1.8"/>
      <sheetName val="3.1.13"/>
      <sheetName val="3.3.1"/>
      <sheetName val="3.3.7"/>
      <sheetName val="3.3.25"/>
      <sheetName val="3.15.43"/>
      <sheetName val="6.3.2"/>
      <sheetName val="6.2.1"/>
      <sheetName val="PRUEBA"/>
      <sheetName val="6.4.2.2"/>
      <sheetName val="6.4.2.3"/>
      <sheetName val="6.4.2.4"/>
      <sheetName val="6.4.2.5"/>
      <sheetName val="6.4.2.6"/>
      <sheetName val="6.4.2.7"/>
      <sheetName val="6.4.2.8"/>
      <sheetName val="6.4.2.9"/>
      <sheetName val="6.4.2.10"/>
      <sheetName val="6.4.2.11"/>
      <sheetName val="6.4.2.12"/>
      <sheetName val="6.4.2.13"/>
      <sheetName val="6.4.2.14"/>
      <sheetName val="6.4.2.15"/>
      <sheetName val="6.4.2.15A"/>
      <sheetName val="6.4.2.16"/>
      <sheetName val="6.4.2.17"/>
      <sheetName val="6.4.2.18"/>
      <sheetName val="6.4.2.19"/>
      <sheetName val="6.4.2.20"/>
      <sheetName val="6.4.2.21"/>
      <sheetName val="6.4.2.22"/>
      <sheetName val="6.4.2.23"/>
      <sheetName val="6.4.2.24"/>
      <sheetName val="6.4.2.25"/>
      <sheetName val="6.4.2.26"/>
      <sheetName val="6.4.2.28"/>
      <sheetName val="6.4.2.29"/>
      <sheetName val="6.4.2.30"/>
      <sheetName val="6.4.2.31"/>
      <sheetName val="6.4.2.32"/>
      <sheetName val="6.4.2.33"/>
      <sheetName val="6.4.2.34"/>
      <sheetName val="6.4.2.35"/>
      <sheetName val="6.4.2.36"/>
      <sheetName val="6.4.2.37"/>
      <sheetName val="6.4.2.38"/>
      <sheetName val="6.4.2.39"/>
      <sheetName val="6.4.2.39A"/>
      <sheetName val="6.4.2.40"/>
      <sheetName val="6.4.2.41"/>
      <sheetName val="6.4.2.43"/>
      <sheetName val="6.4.2.43A"/>
      <sheetName val="6.4.2.44"/>
      <sheetName val="6.4.2.45"/>
      <sheetName val="6.4.2.46"/>
      <sheetName val="3.3.17"/>
      <sheetName val="3.3.18"/>
      <sheetName val="6.4.2.52"/>
      <sheetName val="6.4.2.53"/>
      <sheetName val="6.4.2.54"/>
      <sheetName val="6.4.2.55"/>
      <sheetName val="6.4.2.56"/>
      <sheetName val="6.4.2.57"/>
      <sheetName val="6.4.2.58"/>
      <sheetName val="6.4.2.59"/>
      <sheetName val="6.4.2.60"/>
      <sheetName val="6.4.2.61"/>
      <sheetName val="6.4.2.62"/>
      <sheetName val="6.4.2.63"/>
      <sheetName val="6.4.2.64"/>
      <sheetName val="6.4.2.65"/>
      <sheetName val="6.4.2.66"/>
      <sheetName val="6.4.2.67"/>
      <sheetName val="6.4.2.69"/>
      <sheetName val="6.4.2.70"/>
      <sheetName val="6.4.2.71"/>
      <sheetName val="6.4.2.72"/>
      <sheetName val="6.4.2.73"/>
      <sheetName val="6.4.2.74"/>
      <sheetName val="6.4.2.75"/>
      <sheetName val="6.4.2.76"/>
      <sheetName val="1.7.46"/>
      <sheetName val="6.4.2.78"/>
      <sheetName val="2.1.32A"/>
      <sheetName val="2.1.32B"/>
      <sheetName val="2.1.28A"/>
      <sheetName val="6.4.2.79"/>
      <sheetName val="6.4.2.80"/>
      <sheetName val="6.4.2.81"/>
      <sheetName val="3.3.13"/>
      <sheetName val="6.4.2.82"/>
      <sheetName val="6.4.2.83"/>
      <sheetName val="6.4.2.84"/>
      <sheetName val="6.4.2.85"/>
      <sheetName val="6.4.2.86"/>
      <sheetName val="6.4.2.87"/>
      <sheetName val="6.4.2.88"/>
      <sheetName val="6.4.2.89"/>
      <sheetName val="3.3.5"/>
      <sheetName val="6.4.2.90"/>
      <sheetName val="6.4.2.91"/>
      <sheetName val="6.4.2.92"/>
      <sheetName val="6.4.2.93"/>
      <sheetName val="6.4.2.94"/>
      <sheetName val="3.3.3"/>
      <sheetName val="6.4.2.95"/>
      <sheetName val="6.4.2.95A"/>
      <sheetName val="6.4.2.96"/>
      <sheetName val="3.1.1"/>
      <sheetName val="6.4.2.97"/>
      <sheetName val="6.4.2.98"/>
      <sheetName val="6.4.2.99"/>
      <sheetName val="6.4.2.100"/>
      <sheetName val="2.4.14"/>
      <sheetName val="6.4.2.101"/>
      <sheetName val="3.5.2"/>
      <sheetName val="6.4.2.102"/>
      <sheetName val="6.4.2.105"/>
      <sheetName val="6.4.2.106"/>
      <sheetName val="3.9.21"/>
      <sheetName val="6.4.2.108"/>
      <sheetName val="3.15.42"/>
      <sheetName val="3.3.26"/>
      <sheetName val="3.15.87"/>
      <sheetName val="3.3.2"/>
      <sheetName val="1.12.54"/>
      <sheetName val="6.4.2.114"/>
      <sheetName val="6.4.2.115"/>
      <sheetName val="6.4.2.116"/>
      <sheetName val="6.4.2.117"/>
      <sheetName val="6.4.2.118"/>
      <sheetName val="6.4.2.119"/>
      <sheetName val="6.4.2.120"/>
      <sheetName val="6.4.2.121"/>
      <sheetName val="6.4.2.122"/>
      <sheetName val="6.4.2.123"/>
      <sheetName val="6.4.2.124"/>
      <sheetName val="6.4.2.125"/>
      <sheetName val="6.4.2.126"/>
      <sheetName val="6.4.2.127"/>
      <sheetName val="6.4.2.128"/>
      <sheetName val="6.4.2.129"/>
      <sheetName val="6.4.2.130"/>
      <sheetName val="6.4.2.131"/>
      <sheetName val="6.4.2.132"/>
      <sheetName val="6.4.2.133"/>
      <sheetName val="6.4.2.134"/>
      <sheetName val="6.4.2.135"/>
      <sheetName val="6.4.2.136"/>
      <sheetName val="6.4.2.137"/>
      <sheetName val="6.4.2.138"/>
      <sheetName val="6.4.2.139"/>
      <sheetName val="6.4.2.140"/>
      <sheetName val="6.4.2.141"/>
      <sheetName val="6.4.2.142"/>
      <sheetName val="6.4.2.143"/>
      <sheetName val="6.4.2.144"/>
      <sheetName val="6.4.2.145"/>
      <sheetName val="6.4.2.146"/>
      <sheetName val="6.4.2.147"/>
      <sheetName val="6.4.2.148"/>
      <sheetName val="6.4.2.149"/>
      <sheetName val="6.4.2.150"/>
      <sheetName val="6.4.2.151"/>
      <sheetName val="3.15.15A"/>
      <sheetName val="6.2.4"/>
      <sheetName val="6.2.2"/>
      <sheetName val="13.1.1"/>
      <sheetName val="6.4.2.152"/>
      <sheetName val="6.4.2.153"/>
      <sheetName val="6.4.2.154"/>
      <sheetName val="6.4.2.155"/>
      <sheetName val="6.4.2.156"/>
      <sheetName val="6.4.2.157"/>
      <sheetName val="6.4.2.158"/>
      <sheetName val="6.4.2.159"/>
      <sheetName val="6.4.2.160"/>
      <sheetName val="6.4.2.161"/>
      <sheetName val="6.4.2.162"/>
      <sheetName val="6.4.2.163"/>
      <sheetName val="6.4.2.164"/>
      <sheetName val="6.4.2.165"/>
      <sheetName val="6.4.2.166"/>
      <sheetName val="6.4.2.167"/>
      <sheetName val="6.4.2.168"/>
      <sheetName val="6.4.2.169"/>
      <sheetName val="6.4.2.170"/>
      <sheetName val="6.4.2.171"/>
      <sheetName val="6.4.2.172"/>
      <sheetName val="6.4.2.173"/>
      <sheetName val="6.4.2.174"/>
      <sheetName val="6.4.2.175"/>
      <sheetName val="6.4.2.176"/>
      <sheetName val="6.4.2.177"/>
      <sheetName val="6.4.2.178"/>
      <sheetName val="6.4.2.179"/>
      <sheetName val="6.4.2.180"/>
      <sheetName val="6.4.2.181"/>
      <sheetName val="6.4.2.182"/>
      <sheetName val="6.4.2.183"/>
      <sheetName val="6.4.2.184"/>
      <sheetName val="6.4.2.185"/>
      <sheetName val="6.4.2.186"/>
      <sheetName val="6.4.2.187"/>
      <sheetName val="6.4.2.188"/>
      <sheetName val="6.4.2.189"/>
      <sheetName val="6.4.2.190"/>
      <sheetName val="6.4.2.191"/>
      <sheetName val="6.4.2.192"/>
      <sheetName val="6.4.2.193"/>
      <sheetName val="6.4.2.194"/>
      <sheetName val="6.4.2.195"/>
      <sheetName val="6.4.2.196"/>
      <sheetName val="6.4.2.197"/>
      <sheetName val="6.4.2.198"/>
      <sheetName val="6.4.2.199"/>
      <sheetName val="6.4.2.200"/>
      <sheetName val="6.4.2.201"/>
      <sheetName val="6.4.2.202"/>
      <sheetName val="6.4.2.203"/>
      <sheetName val="6.4.2.204"/>
      <sheetName val="6.4.2.205"/>
      <sheetName val="6.4.2.206"/>
      <sheetName val="6.4.2.207"/>
      <sheetName val="6.4.2.208"/>
      <sheetName val="6.4.2.209"/>
      <sheetName val="6.4.2.210"/>
      <sheetName val="6.4.2.211"/>
      <sheetName val="6.4.2.212"/>
      <sheetName val="6.4.2.213"/>
      <sheetName val="6.4.2.214"/>
      <sheetName val="6.4.2.215"/>
      <sheetName val="6.4.2.216"/>
      <sheetName val="6.4.2.217"/>
      <sheetName val="6.4.2.218"/>
      <sheetName val="6.4.2.219"/>
      <sheetName val="6.4.2.220"/>
      <sheetName val="6.4.2.221"/>
      <sheetName val="3.17.3"/>
      <sheetName val="3.17.10A"/>
      <sheetName val="3.17.10B"/>
      <sheetName val="3.11.2"/>
      <sheetName val="3.5.1"/>
      <sheetName val="3.3.4"/>
      <sheetName val="Hoja1"/>
      <sheetName val="1.1.62A"/>
      <sheetName val="1.2.29A"/>
      <sheetName val="1.2.29B"/>
      <sheetName val="1.2.30A"/>
      <sheetName val="1.2.30B"/>
      <sheetName val="1.2.31A"/>
      <sheetName val="1.2.31B"/>
      <sheetName val="1.2.32A"/>
      <sheetName val="1.2.32B"/>
      <sheetName val="1.2.33A"/>
      <sheetName val="1.2.33B"/>
      <sheetName val="1.2.34A"/>
      <sheetName val="1.2.34B"/>
      <sheetName val="1.2.35A"/>
      <sheetName val="1.2.35B"/>
      <sheetName val="1.2.36A"/>
      <sheetName val="1.2.36B"/>
      <sheetName val="2.1.37A"/>
      <sheetName val="2.1.39A"/>
      <sheetName val="2.1.39B"/>
      <sheetName val="2.1.45A"/>
      <sheetName val="2.1.45B"/>
      <sheetName val="2.2.2A"/>
      <sheetName val="2.2.2B"/>
      <sheetName val="2.4.104"/>
      <sheetName val="2.4.102"/>
      <sheetName val="2.5.6B"/>
      <sheetName val="2.5.6C"/>
      <sheetName val="2.5.6A"/>
      <sheetName val="2.5.6AA"/>
      <sheetName val="2.5.6AB"/>
      <sheetName val="2.5.7C"/>
      <sheetName val="2.5.7D"/>
      <sheetName val="2.5.7A"/>
      <sheetName val="2.5.7A1"/>
      <sheetName val="2.5.7A2"/>
      <sheetName val="2.5.44B"/>
      <sheetName val="2.5.45A"/>
      <sheetName val="2.5.45B"/>
      <sheetName val="2.5.45C"/>
      <sheetName val="2.5.45D"/>
      <sheetName val="3.1.13A"/>
      <sheetName val="3.3.1A"/>
      <sheetName val="6.4.2.55A"/>
      <sheetName val="6.4.2.55B"/>
      <sheetName val="6.4.2.153A"/>
      <sheetName val="6.4.2.153B"/>
      <sheetName val="6.4.2.176A"/>
      <sheetName val="6.4.2.197A"/>
      <sheetName val="6.4.2.197B"/>
      <sheetName val="6.4.2.198A"/>
      <sheetName val="6.4.2.198B"/>
      <sheetName val="3.17.10C"/>
      <sheetName val="3.2.3"/>
      <sheetName val="3.3.19A"/>
      <sheetName val="3.17.2"/>
      <sheetName val="3.15.45"/>
      <sheetName val="3.15.83"/>
      <sheetName val="3.8.4"/>
      <sheetName val="3.4.10A"/>
      <sheetName val="3.3.23"/>
      <sheetName val="3.7.1"/>
      <sheetName val="2.5.7B1"/>
      <sheetName val="2.5.7B2"/>
      <sheetName val="2.5.45D1"/>
      <sheetName val="2.5.45D2"/>
      <sheetName val="3.15.74"/>
      <sheetName val="3.15.78"/>
      <sheetName val="2.4.134A"/>
      <sheetName val="2.4.206A"/>
      <sheetName val="6.4.2.135A"/>
      <sheetName val="2.4.180A"/>
      <sheetName val="6.4.2.124A"/>
      <sheetName val="6.4.2.124B"/>
      <sheetName val="6.4.2.124C"/>
      <sheetName val="6.4.2.120A"/>
      <sheetName val="6.4.2.120B"/>
      <sheetName val="6.4.2.120C"/>
      <sheetName val="6.4.2.135B"/>
      <sheetName val="6.4.2.135C"/>
      <sheetName val="2.4.180B"/>
      <sheetName val="2.4.179A"/>
      <sheetName val="6.4.2.156A"/>
      <sheetName val="6.4.2.120D"/>
      <sheetName val="6.4.2.120E"/>
      <sheetName val="6.4.2.120F"/>
      <sheetName val="6.4.2.120G"/>
      <sheetName val="6.4.2.205A"/>
      <sheetName val="6.4.2.176B"/>
      <sheetName val="6.4.2.132A"/>
      <sheetName val="6.4.2.156B"/>
      <sheetName val="6.4.2.120H"/>
      <sheetName val="6.4.2.120I"/>
      <sheetName val="6.4.2.205B"/>
      <sheetName val="6.4.2.120J"/>
      <sheetName val="6.4.2.120K"/>
      <sheetName val="3.2.7"/>
      <sheetName val="6.4.2.214A"/>
      <sheetName val="2.6.43B"/>
      <sheetName val="6.4.2.206A"/>
      <sheetName val="6.4.2.207A"/>
      <sheetName val="6.4.2.208A"/>
      <sheetName val="6.4.2.209A"/>
      <sheetName val="6.4.2.210A"/>
      <sheetName val="6.4.2.211A"/>
      <sheetName val="6.4.2.212A"/>
      <sheetName val="6.4.2.213A"/>
      <sheetName val="6.4.2.214B"/>
      <sheetName val="6.4.2.215A"/>
      <sheetName val="6.4.2.215B"/>
      <sheetName val="6.4.2.215C"/>
      <sheetName val="6.4.2.215D"/>
      <sheetName val="1.11.20A"/>
      <sheetName val="Hoja6"/>
      <sheetName val="Civil wor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 refreshError="1"/>
      <sheetData sheetId="1165" refreshError="1"/>
      <sheetData sheetId="1166"/>
      <sheetData sheetId="1167" refreshError="1"/>
      <sheetData sheetId="1168" refreshError="1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 refreshError="1"/>
      <sheetData sheetId="1196"/>
      <sheetData sheetId="1197"/>
      <sheetData sheetId="1198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/>
      <sheetData sheetId="1215" refreshError="1"/>
      <sheetData sheetId="1216" refreshError="1"/>
      <sheetData sheetId="1217"/>
      <sheetData sheetId="1218"/>
      <sheetData sheetId="1219" refreshError="1"/>
      <sheetData sheetId="1220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/>
      <sheetData sheetId="1231"/>
      <sheetData sheetId="1232"/>
      <sheetData sheetId="1233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/>
      <sheetData sheetId="1245" refreshError="1"/>
      <sheetData sheetId="1246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/>
      <sheetData sheetId="127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entrada"/>
      <sheetName val="PRESUPUESTO "/>
      <sheetName val="COMPONENTES"/>
      <sheetName val="COMPONENTES2"/>
      <sheetName val="INSUMOS 1"/>
      <sheetName val="INSUMOS"/>
      <sheetName val="ANALISIS DE AIU"/>
      <sheetName val="Cuadro Resumen"/>
      <sheetName val="Cuadro Resumen (2)"/>
      <sheetName val="DOTACIÓN"/>
      <sheetName val="CRONOGRAMA"/>
      <sheetName val="Salarios"/>
      <sheetName val="Cuadrillas"/>
      <sheetName val="Trans"/>
      <sheetName val="Equ"/>
      <sheetName val="Mat"/>
      <sheetName val="Hoja Base"/>
      <sheetName val="Mort 1-3"/>
      <sheetName val="Mort 1-3 Imper"/>
      <sheetName val="Mort 1-4"/>
      <sheetName val="Mort 1-4 Imper"/>
      <sheetName val="Mort 1-5"/>
      <sheetName val="Mort 1-7"/>
      <sheetName val="Concr 2,000"/>
      <sheetName val="Concr 2,500"/>
      <sheetName val="Concr 3,000"/>
      <sheetName val="Concr 3,500"/>
      <sheetName val="Concr 4,000 "/>
      <sheetName val=" Acero 60000 Refuerzo "/>
      <sheetName val=" Malla Electrosoldada "/>
      <sheetName val="P Eléctrico"/>
      <sheetName val="P Agua Fria"/>
      <sheetName val="P Sanitario"/>
      <sheetName val="Granito pulido "/>
      <sheetName val="Marcos puerta"/>
      <sheetName val="Marcos ventana"/>
      <sheetName val="1,1,1 Campamt"/>
      <sheetName val="1,1,2 Alquiler Campameto"/>
      <sheetName val="1,1,3 Desalojo Dm"/>
      <sheetName val="1,1,4 Localización y replanteo"/>
      <sheetName val="1,1,6 Cerramiento Lona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Entrepiso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1 Exc Mec"/>
      <sheetName val="2,1,2 Exc Man"/>
      <sheetName val="2,1,3 Desalojo de sobrantes"/>
      <sheetName val="2,1,5 Relleno M Común"/>
      <sheetName val="2,1,6  Rellenos M Selec"/>
      <sheetName val="2,1,7  Sub base Recebo "/>
      <sheetName val="2,1,8 Geotextil NT"/>
      <sheetName val="2,1,9 Geotextil Tejido"/>
      <sheetName val="2,1,10 Relleno Recebo"/>
      <sheetName val="2,2,1 Concr pobre"/>
      <sheetName val="2,2,2 Concr Ciclopeo"/>
      <sheetName val="2,2,3 Muros de contencion"/>
      <sheetName val="2,2,4 Concreto Zapatas"/>
      <sheetName val="2,2,5 Vigas de cimentación"/>
      <sheetName val="2,2,6,1 Pilotes 0,30"/>
      <sheetName val="2,2,6,2 Pilotes 0,40"/>
      <sheetName val="2,2,6,3 Pilotes 0,60"/>
      <sheetName val="2,2,6,4 Pilotes 0,80"/>
      <sheetName val="2,2,6,5 Pilotes 0,90 "/>
      <sheetName val="2,2,7 Dados en concreto"/>
      <sheetName val="2,2,8 Placa Flotante 0,60"/>
      <sheetName val="2,2,9 Placas cont= 0,1"/>
      <sheetName val="2,2,10 Placas cont= 0,125"/>
      <sheetName val="2,2,11 Placas cont= 0,15"/>
      <sheetName val="2,3,1 Acero 37000 "/>
      <sheetName val="2,3,2 Acero 60000 Refuerzo"/>
      <sheetName val="2,3,3 Malla Electrosoldada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1 Novafort A.N. 4&quot; 110 "/>
      <sheetName val="3,2,2 Novafort A.N.6&quot; 160m 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1 Caja inspección 0,60"/>
      <sheetName val="3,4,2 Caja inspección 0,80"/>
      <sheetName val="3,4,3 Caja inspección 1,00"/>
      <sheetName val="3,4,4 Caja Distribuciòn 0,40  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3,3,6 POZO INFILTRACIÓN"/>
      <sheetName val="3,4,1 Caja inspección 0,60 "/>
      <sheetName val="4,1,1 Columnas"/>
      <sheetName val="4,1,2 Pantalla en concreto"/>
      <sheetName val="4,1,3 Muros"/>
      <sheetName val="4,2,1 Vigas aéreas"/>
      <sheetName val="4,2,2 Viga canal"/>
      <sheetName val="4,2,3  Vigas Prefabricadas"/>
      <sheetName val="4,3,1 Placa alig. Caseton 60"/>
      <sheetName val="4,3,2 Caseton 50 cm"/>
      <sheetName val="4,3,3 Caseton 45 cm"/>
      <sheetName val="4,3,4 Caseton 40 cm "/>
      <sheetName val="4,3,6 Placa maciza 0,20"/>
      <sheetName val="4,3,7 Placa maciza 0,125"/>
      <sheetName val="4,3,8 Placa maciza 0,10"/>
      <sheetName val="4,3,9 Placa maciza 0,15"/>
      <sheetName val="4,4,1 Escalera"/>
      <sheetName val="4,4,2 Rampas"/>
      <sheetName val="4,4,3 POZO CONCRETO 20 M3"/>
      <sheetName val="4,4,4 POZO CONCRETO"/>
      <sheetName val="4,5,1 Acero 37000  "/>
      <sheetName val="4,5,2 Acero 60000 est"/>
      <sheetName val="4,5,3 Malla Electrosoldada est"/>
      <sheetName val="4,6,2,3 Cerrchas  Metàlica"/>
      <sheetName val="4,6,2,4 Perfil "/>
      <sheetName val="4,6,2,5 Templete"/>
      <sheetName val="5,1,1 Bloq Conc Estruc 0,12"/>
      <sheetName val="5,1,2 Bloque concreto divisorio"/>
      <sheetName val="5,1,5  Calados en Concreto"/>
      <sheetName val="5,1,6 Bloq Conc Estruc 014"/>
      <sheetName val="5,1,7 Bloq Conc Estruc 019"/>
      <sheetName val="5,2,1 Ladrillo común e=,06"/>
      <sheetName val="5,2,2 Ladrillo comun e=0,12"/>
      <sheetName val="5,2,3 Ladrillo común sobrecimie"/>
      <sheetName val="5,2,4 Muro de cierre"/>
      <sheetName val="5,2,6 Muro en bloque No 4"/>
      <sheetName val="5,3,1 Enchape ladrillo arcilla"/>
      <sheetName val="5,3,3 Alfagias ladrillo arcilla"/>
      <sheetName val="5,3,4 Remate ladrillo arcilla"/>
      <sheetName val="5,4,1 Grouting-Concreto fluido"/>
      <sheetName val="5,4,2 Remates"/>
      <sheetName val="5,5,1 Anclajes Epoxicos"/>
      <sheetName val="5,5,2 Acero 37000 mamp"/>
      <sheetName val="5,5,3 Malla Electrosoldada "/>
      <sheetName val="5,5,4 Grafiles 6 mm"/>
      <sheetName val="5,6,1 Instalaciòn carpint. Meta"/>
      <sheetName val="6,1,1 Alfajias"/>
      <sheetName val="6,1,2 Dinteles"/>
      <sheetName val="6,1,3 Remates sobre mamposteria"/>
      <sheetName val="6.1.8 Pergolas"/>
      <sheetName val="6.1.9 Gargolas"/>
      <sheetName val="6,1,10 Gradas en Concreto"/>
      <sheetName val="6,1,11 PLAQUETAS"/>
      <sheetName val="6,1,15 Bordillos ducha y aseo"/>
      <sheetName val="6,1,18 Cañuela Per"/>
      <sheetName val="6,2,1 Mesones en concreto"/>
      <sheetName val="6,2,2 Mesones lavamanos"/>
      <sheetName val="6,2,3 Mesones laboratorios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1,6 Bajantes A.N 4&quot;"/>
      <sheetName val="7,1,2,1 Tuberia H.G. 1&quot;"/>
      <sheetName val="7,1,2,2  Accesorio H.G. 1&quot; "/>
      <sheetName val="7,1,2,3 Flotador 1"/>
      <sheetName val="7,1,2,4 Tanque Plastico"/>
      <sheetName val="7,1,3,1 Tuberia H.G. 1&quot;cuarto "/>
      <sheetName val="7,1,3,2  Accesorio H.G.1&quot;cuarto"/>
      <sheetName val="7,1,3,3  Registro R. W. 1&quot;"/>
      <sheetName val="7,1,3,4  Cheque Helber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5 Registro 1 12"/>
      <sheetName val="7,1,5,6 Registro 2 "/>
      <sheetName val="7,1,5,8 Caja registro "/>
      <sheetName val="7,1,6,1 Tuberia PVC media"/>
      <sheetName val="7,1,6,2 Tuberia PVC 3-4&quot;"/>
      <sheetName val="7,1,6,3 Tuberia PVC 1&quot;"/>
      <sheetName val="7,1,6,4 Acometida 1 14"/>
      <sheetName val="7,1,6,5 Tuberia 1 12"/>
      <sheetName val="7,1,6,6 Acometida 2"/>
      <sheetName val="7,1,6,7 Tubo UZ 2&quot;"/>
      <sheetName val="7,1,6,8 Acometida 1 12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1 P Agua Fria Lavamanos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1 P Sanitario lavamanos"/>
      <sheetName val="7,1,9,3 P Sanitario Sanit"/>
      <sheetName val="7,1,9,4 P Sanitario Orinales"/>
      <sheetName val="7,1,9,5  P Sifòn PVC-S 4&quot;"/>
      <sheetName val="7,1,9,6  P Sifòn PVC-S 2&quot; "/>
      <sheetName val="7,1,9,7 P Sanitario Pocetas"/>
      <sheetName val="7,1,9,9 P Aguas lluvias"/>
      <sheetName val="7,1,10,1 P Ventilado lavamanos"/>
      <sheetName val="7,1,10,2 Pto 3&quot;"/>
      <sheetName val="7,1,10,2 Punto Vent 3&quot;"/>
      <sheetName val="7,1,10,3  Sanit 2"/>
      <sheetName val="7,1,10,4 Sanit 3"/>
      <sheetName val="7,1,10,5 Sanit 4"/>
      <sheetName val="7,1,11,1 Acomet lluvia"/>
      <sheetName val="7,1,11,2 Acomet lluvia 2"/>
      <sheetName val="7,1,11,3 3plg"/>
      <sheetName val="7,1,11,4&quot;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1 Punto de gas"/>
      <sheetName val="7,2,1,2 Preinstalación gas"/>
      <sheetName val="7,2,1,3 Tuberia  tipo L 1.2&quot;"/>
      <sheetName val="7,2,1,4 Tuberia  tipo L 1&quot;"/>
      <sheetName val="7,2,1,5  Registro bola 1&quot; "/>
      <sheetName val="7,2,1,7  Rejilla vent. plastica"/>
      <sheetName val="8,1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8,16"/>
      <sheetName val="8,17"/>
      <sheetName val="8,18"/>
      <sheetName val="8,19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39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49"/>
      <sheetName val="8,50"/>
      <sheetName val="8,51"/>
      <sheetName val="8,52"/>
      <sheetName val="8,53"/>
      <sheetName val="8,54"/>
      <sheetName val="8,55"/>
      <sheetName val="8,56"/>
      <sheetName val="8,57"/>
      <sheetName val="8,58"/>
      <sheetName val="8,59"/>
      <sheetName val="8,60"/>
      <sheetName val="8,61"/>
      <sheetName val="8,62"/>
      <sheetName val="8,63"/>
      <sheetName val="8,64"/>
      <sheetName val="8,65"/>
      <sheetName val="8,66"/>
      <sheetName val="8,67"/>
      <sheetName val="8,68"/>
      <sheetName val="8,69"/>
      <sheetName val="8,70"/>
      <sheetName val="8,71"/>
      <sheetName val="8,72"/>
      <sheetName val="8,73"/>
      <sheetName val="8,74"/>
      <sheetName val="8,75"/>
      <sheetName val="8,76"/>
      <sheetName val="8,77"/>
      <sheetName val="8,78"/>
      <sheetName val="8,79"/>
      <sheetName val="8,80"/>
      <sheetName val="8,81"/>
      <sheetName val="8,82"/>
      <sheetName val="8,83"/>
      <sheetName val="8,84"/>
      <sheetName val="8,85"/>
      <sheetName val="8,86"/>
      <sheetName val="8,87"/>
      <sheetName val="8,88"/>
      <sheetName val="8,89"/>
      <sheetName val="8,90"/>
      <sheetName val="8,91"/>
      <sheetName val="8,92"/>
      <sheetName val="9,1,1 Pañete impermeabilizado"/>
      <sheetName val="9,1,2 Pañete muros interiores"/>
      <sheetName val="9,1,3 Pañete Exteriores"/>
      <sheetName val="9,2,1 Pañete bajo placa"/>
      <sheetName val="10,1,1 base mueble concreto"/>
      <sheetName val="10,1,3 Alistado pisos"/>
      <sheetName val="10,1,4 Mortero afinado"/>
      <sheetName val="10,1,6 Concreto Estampado"/>
      <sheetName val="10,2,1,3 Ceramica 0,20 x 0,20 "/>
      <sheetName val="10,2,2,3 Piso tablòn ges 0,30 "/>
      <sheetName val="10,2,4,1 Baldosin granito"/>
      <sheetName val="10,2,4,3 gravilla m2"/>
      <sheetName val="10,3,1,1 Tablòn cuarto 26"/>
      <sheetName val="10,3,2,1 Guardaescoba"/>
      <sheetName val="10,3,2,3 Media Caña"/>
      <sheetName val="10,3,2,4 Gravilla "/>
      <sheetName val="10,3,2,6 Granito"/>
      <sheetName val="10,4,2 Escalera en Granito"/>
      <sheetName val="10,5,3 Cenefas Gravilla "/>
      <sheetName val="11,1,1 Afinado Mortero"/>
      <sheetName val="11,1,2 Media Caña"/>
      <sheetName val="11,1,3 Afinado Viga canales"/>
      <sheetName val="11,1,4 foil aluminio"/>
      <sheetName val="11,2,2,1 Caballete"/>
      <sheetName val="11,2,2,2 remate"/>
      <sheetName val="11,2,3,1 Domo acrílico"/>
      <sheetName val="11,2,3,2 Acrilico transparente"/>
      <sheetName val="11,2,3,3 Teja trapezoidal Plast"/>
      <sheetName val="11,2,4,1  teja acero"/>
      <sheetName val="11,2,4,2 Cubierta placa"/>
      <sheetName val="11,3,1 Canal Lámina"/>
      <sheetName val="11,3,2 Flashing"/>
      <sheetName val="11,3,3 Tragante 5x3"/>
      <sheetName val="11,3,4 Tragante 6x4"/>
      <sheetName val="11,3,5 Canal PVC"/>
      <sheetName val="12,1,1 Ventanas aluminio "/>
      <sheetName val="12,1,2 Ventanas aluminio reja"/>
      <sheetName val="12,1,3 Puerta aluminio sencillo"/>
      <sheetName val="12,1,4 Puert Alum dob reja"/>
      <sheetName val="12,1,5 Puerta aluminio dob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"/>
      <sheetName val="CANTIDADES"/>
      <sheetName val="preacta 1"/>
      <sheetName val="cctos"/>
      <sheetName val="CONCRETOS"/>
      <sheetName val="O DE ARTE"/>
      <sheetName val="NO PREVISTOS"/>
      <sheetName val="explanac"/>
      <sheetName val="TERRAPL"/>
      <sheetName val="EXCAVAC"/>
      <sheetName val="SUBBASE"/>
      <sheetName val="TS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CIDENTES%20DE%201995%20-%2019"/>
      <sheetName val="#¡REF"/>
      <sheetName val="ACTA DE MODIFICACION  (2)"/>
      <sheetName val="CONT_ADI"/>
      <sheetName val="Informe"/>
      <sheetName val="\a  aaInformación GRUPO 4\A MIn"/>
      <sheetName val="otros"/>
      <sheetName val="PRESUPUESTO"/>
      <sheetName val="Seguim-16"/>
      <sheetName val="Informacion"/>
      <sheetName val="INDICMICROEMP"/>
      <sheetName val="Datos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Base Muestras"/>
      <sheetName val="[aCCIDENTES DE 1995 - 1996.xls]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MATRIZ PRESUP.obra PP127"/>
      <sheetName val="MATRIZ PRESUP.REDES PP127"/>
      <sheetName val="MATRIZ CANT. OBRA"/>
      <sheetName val="COSTOS OFICINA"/>
      <sheetName val="COSTOS CAMPAMENTO"/>
      <sheetName val="ANEXO GAST. OPERAC. AIU CONST,"/>
      <sheetName val="AIU CONSTRUCCION"/>
      <sheetName val="PMT PEATONALES"/>
      <sheetName val="AIU PMT NUEVO"/>
      <sheetName val="PPTO MANTENIMIENTO"/>
      <sheetName val="AIU mantenimto nuevo"/>
      <sheetName val="ANEXO GAST. OPERAC. AIU MANT,"/>
      <sheetName val="SOCIAL"/>
      <sheetName val="AIU social nuevo"/>
      <sheetName val="AMBIENTAL 308 RYS"/>
      <sheetName val="AIU ambiental corregido"/>
      <sheetName val="PPTO INTERVENTORIA "/>
      <sheetName val="PPTO PRECONSTRUCCION"/>
      <sheetName val="PPTO MANTENIMIENTO R1"/>
      <sheetName val="MATRIZ_PRESUP_obra_PP127"/>
      <sheetName val="MATRIZ_PRESUP_REDES_PP127"/>
      <sheetName val="MATRIZ_CANT__OBRA"/>
      <sheetName val="COSTOS_OFICINA"/>
      <sheetName val="COSTOS_CAMPAMENTO"/>
      <sheetName val="ANEXO_GAST__OPERAC__AIU_CONST,"/>
      <sheetName val="AIU_CONSTRUCCION"/>
      <sheetName val="PMT_PEATONALES"/>
      <sheetName val="AIU_PMT_NUEVO"/>
      <sheetName val="PPTO_MANTENIMIENTO"/>
      <sheetName val="AIU_mantenimto_nuevo"/>
      <sheetName val="ANEXO_GAST__OPERAC__AIU_MANT,"/>
      <sheetName val="AIU_social_nuevo"/>
      <sheetName val="AMBIENTAL_308_RYS"/>
      <sheetName val="AIU_ambiental_corregido"/>
      <sheetName val="PPTO_INTERVENTORIA_"/>
      <sheetName val="PPTO_PRECONSTRUCCION"/>
      <sheetName val="PPTO_MANTENIMIENTO_R1"/>
      <sheetName val="MATRIZ_PRESUP_obra_PP1271"/>
      <sheetName val="MATRIZ_PRESUP_REDES_PP1271"/>
      <sheetName val="MATRIZ_CANT__OBRA1"/>
      <sheetName val="COSTOS_OFICINA1"/>
      <sheetName val="COSTOS_CAMPAMENTO1"/>
      <sheetName val="ANEXO_GAST__OPERAC__AIU_CONST,1"/>
      <sheetName val="AIU_CONSTRUCCION1"/>
      <sheetName val="PMT_PEATONALES1"/>
      <sheetName val="AIU_PMT_NUEVO1"/>
      <sheetName val="PPTO_MANTENIMIENTO1"/>
      <sheetName val="AIU_mantenimto_nuevo1"/>
      <sheetName val="ANEXO_GAST__OPERAC__AIU_MANT,1"/>
      <sheetName val="AIU_social_nuevo1"/>
      <sheetName val="AMBIENTAL_308_RYS1"/>
      <sheetName val="AIU_ambiental_corregido1"/>
      <sheetName val="PPTO_INTERVENTORIA_1"/>
      <sheetName val="PPTO_PRECONSTRUCCION1"/>
      <sheetName val="PPTO_MANTENIMIENTO_R11"/>
      <sheetName val="MATRIZ_PRESUP_obra_PP1274"/>
      <sheetName val="MATRIZ_PRESUP_REDES_PP1274"/>
      <sheetName val="MATRIZ_CANT__OBRA4"/>
      <sheetName val="COSTOS_OFICINA4"/>
      <sheetName val="COSTOS_CAMPAMENTO4"/>
      <sheetName val="ANEXO_GAST__OPERAC__AIU_CONST,4"/>
      <sheetName val="AIU_CONSTRUCCION4"/>
      <sheetName val="PMT_PEATONALES4"/>
      <sheetName val="AIU_PMT_NUEVO4"/>
      <sheetName val="PPTO_MANTENIMIENTO4"/>
      <sheetName val="AIU_mantenimto_nuevo4"/>
      <sheetName val="ANEXO_GAST__OPERAC__AIU_MANT,4"/>
      <sheetName val="AIU_social_nuevo4"/>
      <sheetName val="AMBIENTAL_308_RYS4"/>
      <sheetName val="AIU_ambiental_corregido4"/>
      <sheetName val="PPTO_INTERVENTORIA_4"/>
      <sheetName val="PPTO_PRECONSTRUCCION4"/>
      <sheetName val="PPTO_MANTENIMIENTO_R14"/>
      <sheetName val="MATRIZ_PRESUP_obra_PP1272"/>
      <sheetName val="MATRIZ_PRESUP_REDES_PP1272"/>
      <sheetName val="MATRIZ_CANT__OBRA2"/>
      <sheetName val="COSTOS_OFICINA2"/>
      <sheetName val="COSTOS_CAMPAMENTO2"/>
      <sheetName val="ANEXO_GAST__OPERAC__AIU_CONST,2"/>
      <sheetName val="AIU_CONSTRUCCION2"/>
      <sheetName val="PMT_PEATONALES2"/>
      <sheetName val="AIU_PMT_NUEVO2"/>
      <sheetName val="PPTO_MANTENIMIENTO2"/>
      <sheetName val="AIU_mantenimto_nuevo2"/>
      <sheetName val="ANEXO_GAST__OPERAC__AIU_MANT,2"/>
      <sheetName val="AIU_social_nuevo2"/>
      <sheetName val="AMBIENTAL_308_RYS2"/>
      <sheetName val="AIU_ambiental_corregido2"/>
      <sheetName val="PPTO_INTERVENTORIA_2"/>
      <sheetName val="PPTO_PRECONSTRUCCION2"/>
      <sheetName val="PPTO_MANTENIMIENTO_R12"/>
      <sheetName val="MATRIZ_PRESUP_obra_PP1273"/>
      <sheetName val="MATRIZ_PRESUP_REDES_PP1273"/>
      <sheetName val="MATRIZ_CANT__OBRA3"/>
      <sheetName val="COSTOS_OFICINA3"/>
      <sheetName val="COSTOS_CAMPAMENTO3"/>
      <sheetName val="ANEXO_GAST__OPERAC__AIU_CONST,3"/>
      <sheetName val="AIU_CONSTRUCCION3"/>
      <sheetName val="PMT_PEATONALES3"/>
      <sheetName val="AIU_PMT_NUEVO3"/>
      <sheetName val="PPTO_MANTENIMIENTO3"/>
      <sheetName val="AIU_mantenimto_nuevo3"/>
      <sheetName val="ANEXO_GAST__OPERAC__AIU_MANT,3"/>
      <sheetName val="AIU_social_nuevo3"/>
      <sheetName val="AMBIENTAL_308_RYS3"/>
      <sheetName val="AIU_ambiental_corregido3"/>
      <sheetName val="PPTO_INTERVENTORIA_3"/>
      <sheetName val="PPTO_PRECONSTRUCCION3"/>
      <sheetName val="PPTO_MANTENIMIENTO_R13"/>
      <sheetName val="MATRIZ_PRESUP_obra_PP1275"/>
      <sheetName val="MATRIZ_PRESUP_REDES_PP1275"/>
      <sheetName val="MATRIZ_CANT__OBRA5"/>
      <sheetName val="COSTOS_OFICINA5"/>
      <sheetName val="COSTOS_CAMPAMENTO5"/>
      <sheetName val="ANEXO_GAST__OPERAC__AIU_CONST,5"/>
      <sheetName val="AIU_CONSTRUCCION5"/>
      <sheetName val="PMT_PEATONALES5"/>
      <sheetName val="AIU_PMT_NUEVO5"/>
      <sheetName val="PPTO_MANTENIMIENTO5"/>
      <sheetName val="AIU_mantenimto_nuevo5"/>
      <sheetName val="ANEXO_GAST__OPERAC__AIU_MANT,5"/>
      <sheetName val="AIU_social_nuevo5"/>
      <sheetName val="AMBIENTAL_308_RYS5"/>
      <sheetName val="AIU_ambiental_corregido5"/>
      <sheetName val="PPTO_INTERVENTORIA_5"/>
      <sheetName val="PPTO_PRECONSTRUCCION5"/>
      <sheetName val="PPTO_MANTENIMIENTO_R15"/>
      <sheetName val="MATRIZ_PRESUP_obra_PP1276"/>
      <sheetName val="MATRIZ_PRESUP_REDES_PP1276"/>
      <sheetName val="MATRIZ_CANT__OBRA6"/>
      <sheetName val="COSTOS_OFICINA6"/>
      <sheetName val="COSTOS_CAMPAMENTO6"/>
      <sheetName val="ANEXO_GAST__OPERAC__AIU_CONST,6"/>
      <sheetName val="AIU_CONSTRUCCION6"/>
      <sheetName val="PMT_PEATONALES6"/>
      <sheetName val="AIU_PMT_NUEVO6"/>
      <sheetName val="PPTO_MANTENIMIENTO6"/>
      <sheetName val="AIU_mantenimto_nuevo6"/>
      <sheetName val="ANEXO_GAST__OPERAC__AIU_MANT,6"/>
      <sheetName val="AIU_social_nuevo6"/>
      <sheetName val="AMBIENTAL_308_RYS6"/>
      <sheetName val="AIU_ambiental_corregido6"/>
      <sheetName val="PPTO_INTERVENTORIA_6"/>
      <sheetName val="PPTO_PRECONSTRUCCION6"/>
      <sheetName val="PPTO_MANTENIMIENTO_R16"/>
      <sheetName val="MATRIZ_PRESUP_obra_PP1277"/>
      <sheetName val="MATRIZ_PRESUP_REDES_PP1277"/>
      <sheetName val="MATRIZ_CANT__OBRA7"/>
      <sheetName val="COSTOS_OFICINA7"/>
      <sheetName val="COSTOS_CAMPAMENTO7"/>
      <sheetName val="ANEXO_GAST__OPERAC__AIU_CONST,7"/>
      <sheetName val="AIU_CONSTRUCCION7"/>
      <sheetName val="PMT_PEATONALES7"/>
      <sheetName val="AIU_PMT_NUEVO7"/>
      <sheetName val="PPTO_MANTENIMIENTO7"/>
      <sheetName val="AIU_mantenimto_nuevo7"/>
      <sheetName val="ANEXO_GAST__OPERAC__AIU_MANT,7"/>
      <sheetName val="AIU_social_nuevo7"/>
      <sheetName val="AMBIENTAL_308_RYS7"/>
      <sheetName val="AIU_ambiental_corregido7"/>
      <sheetName val="PPTO_INTERVENTORIA_7"/>
      <sheetName val="PPTO_PRECONSTRUCCION7"/>
      <sheetName val="PPTO_MANTENIMIENTO_R17"/>
      <sheetName val="MATRIZ_PRESUP_obra_PP1279"/>
      <sheetName val="MATRIZ_PRESUP_REDES_PP1279"/>
      <sheetName val="MATRIZ_CANT__OBRA9"/>
      <sheetName val="COSTOS_OFICINA9"/>
      <sheetName val="COSTOS_CAMPAMENTO9"/>
      <sheetName val="ANEXO_GAST__OPERAC__AIU_CONST,9"/>
      <sheetName val="AIU_CONSTRUCCION9"/>
      <sheetName val="PMT_PEATONALES9"/>
      <sheetName val="AIU_PMT_NUEVO9"/>
      <sheetName val="PPTO_MANTENIMIENTO9"/>
      <sheetName val="AIU_mantenimto_nuevo9"/>
      <sheetName val="ANEXO_GAST__OPERAC__AIU_MANT,9"/>
      <sheetName val="AIU_social_nuevo9"/>
      <sheetName val="AMBIENTAL_308_RYS9"/>
      <sheetName val="AIU_ambiental_corregido9"/>
      <sheetName val="PPTO_INTERVENTORIA_9"/>
      <sheetName val="PPTO_PRECONSTRUCCION9"/>
      <sheetName val="PPTO_MANTENIMIENTO_R19"/>
      <sheetName val="MATRIZ_PRESUP_obra_PP1278"/>
      <sheetName val="MATRIZ_PRESUP_REDES_PP1278"/>
      <sheetName val="MATRIZ_CANT__OBRA8"/>
      <sheetName val="COSTOS_OFICINA8"/>
      <sheetName val="COSTOS_CAMPAMENTO8"/>
      <sheetName val="ANEXO_GAST__OPERAC__AIU_CONST,8"/>
      <sheetName val="AIU_CONSTRUCCION8"/>
      <sheetName val="PMT_PEATONALES8"/>
      <sheetName val="AIU_PMT_NUEVO8"/>
      <sheetName val="PPTO_MANTENIMIENTO8"/>
      <sheetName val="AIU_mantenimto_nuevo8"/>
      <sheetName val="ANEXO_GAST__OPERAC__AIU_MANT,8"/>
      <sheetName val="AIU_social_nuevo8"/>
      <sheetName val="AMBIENTAL_308_RYS8"/>
      <sheetName val="AIU_ambiental_corregido8"/>
      <sheetName val="PPTO_INTERVENTORIA_8"/>
      <sheetName val="PPTO_PRECONSTRUCCION8"/>
      <sheetName val="PPTO_MANTENIMIENTO_R18"/>
      <sheetName val="MATRIZ_PRESUP_obra_PP12710"/>
      <sheetName val="MATRIZ_PRESUP_REDES_PP12710"/>
      <sheetName val="MATRIZ_CANT__OBRA10"/>
      <sheetName val="COSTOS_OFICINA10"/>
      <sheetName val="COSTOS_CAMPAMENTO10"/>
      <sheetName val="ANEXO_GAST__OPERAC__AIU_CONST10"/>
      <sheetName val="AIU_CONSTRUCCION10"/>
      <sheetName val="PMT_PEATONALES10"/>
      <sheetName val="AIU_PMT_NUEVO10"/>
      <sheetName val="PPTO_MANTENIMIENTO10"/>
      <sheetName val="AIU_mantenimto_nuevo10"/>
      <sheetName val="ANEXO_GAST__OPERAC__AIU_MANT,10"/>
      <sheetName val="AIU_social_nuevo10"/>
      <sheetName val="AMBIENTAL_308_RYS10"/>
      <sheetName val="AIU_ambiental_corregido10"/>
      <sheetName val="PPTO_INTERVENTORIA_10"/>
      <sheetName val="PPTO_PRECONSTRUCCION10"/>
      <sheetName val="PPTO_MANTENIMIENTO_R110"/>
      <sheetName val="precios"/>
      <sheetName val="PRESUPUESTO PYTO"/>
      <sheetName val="Cronograma inversión_actividad"/>
      <sheetName val="Actividad 1.1"/>
      <sheetName val="Actividad 1.2"/>
      <sheetName val="Actividad 1.3"/>
      <sheetName val="Actividad 2.1"/>
      <sheetName val="Actividad 2.2"/>
      <sheetName val=" ADMINISTRACION OK"/>
      <sheetName val="INTERVENTORIA"/>
      <sheetName val="FACTOR MULTIPLICADOR"/>
      <sheetName val="PORCENTAJES "/>
      <sheetName val="Hoja2"/>
      <sheetName val="Hoja1"/>
      <sheetName val="DetalleMovimientoCuenta"/>
      <sheetName val="Cuadro6. Cump"/>
      <sheetName val="Datos básicos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 refreshError="1"/>
      <sheetData sheetId="232"/>
      <sheetData sheetId="233" refreshError="1"/>
      <sheetData sheetId="234" refreshError="1"/>
      <sheetData sheetId="235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</sheetNames>
    <sheetDataSet>
      <sheetData sheetId="0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 SDC"/>
      <sheetName val="PORTADA DRM"/>
      <sheetName val="VIAS"/>
      <sheetName val="tabla de contenido"/>
      <sheetName val="GENERALIDADES "/>
      <sheetName val="CUMPLIMIENTO % 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NECESIDAD VIA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Necesidades cr.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INDICE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"/>
      <sheetName val="ACC-5607 Y 55CN03"/>
      <sheetName val="ACC-4006A"/>
      <sheetName val="ACC -55CN01"/>
      <sheetName val="ACC-40CN01,CNA,CNB"/>
      <sheetName val="DEFENSA VIAS"/>
      <sheetName val="SEGUIMIENTO"/>
      <sheetName val="CUANTI AMV"/>
      <sheetName val="CUALI AMV"/>
      <sheetName val="CUANTI MICRO"/>
      <sheetName val="CUALI MICRO"/>
      <sheetName val="SEPARADORES"/>
      <sheetName val="COMENTARIOS 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$ PR20 al PR23"/>
      <sheetName val="INDIC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R 1"/>
      <sheetName val="INDICE"/>
      <sheetName val="ESTADO RED"/>
      <sheetName val="CARRETERAS"/>
      <sheetName val="GENERALIDADES "/>
      <sheetName val="BASE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EQUIPO"/>
      <sheetName val="MATERIALES"/>
      <sheetName val="MANO DE OBRA"/>
      <sheetName val="Itemes Renovación"/>
      <sheetName val="CONT_ADI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OCTU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gastos"/>
    </sheetNames>
    <definedNames>
      <definedName name="Last_Row" refersTo="#¡REF!"/>
    </defined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Equipo"/>
      <sheetName val="Materiales"/>
      <sheetName val="Otros"/>
      <sheetName val="110.1 P"/>
      <sheetName val="110.2 P"/>
      <sheetName val="200.1"/>
      <sheetName val="200.2"/>
      <sheetName val="200.1 P"/>
      <sheetName val="201.1 P"/>
      <sheetName val="201.4 P"/>
      <sheetName val="201.7"/>
      <sheetName val="201.7.1 P"/>
      <sheetName val="201.7.2 P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17"/>
      <sheetName val="210.1.1"/>
      <sheetName val="210.1.2"/>
      <sheetName val="210.2.1"/>
      <sheetName val="210.2.1 P"/>
      <sheetName val="210.2.2"/>
      <sheetName val="210.2.4"/>
      <sheetName val="211.1"/>
      <sheetName val="220.1"/>
      <sheetName val="221.1"/>
      <sheetName val="221.2"/>
      <sheetName val="225P"/>
      <sheetName val="230.1"/>
      <sheetName val="230.2"/>
      <sheetName val="230.2.1P"/>
      <sheetName val="232.1"/>
      <sheetName val="310.1"/>
      <sheetName val="311.1"/>
      <sheetName val="313.1P"/>
      <sheetName val="314.1P"/>
      <sheetName val="315.1 P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3.1 P"/>
      <sheetName val="344.1 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5.1"/>
      <sheetName val="420.1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 P"/>
      <sheetName val="450.2 P"/>
      <sheetName val="450.3 P "/>
      <sheetName val="450.9 P"/>
      <sheetName val="451. 1 P "/>
      <sheetName val="451. 2 P"/>
      <sheetName val="451.3 P"/>
      <sheetName val="452.1"/>
      <sheetName val="452.2"/>
      <sheetName val="452.3"/>
      <sheetName val="452.4"/>
      <sheetName val="453.1"/>
      <sheetName val="460.1"/>
      <sheetName val="460.1P"/>
      <sheetName val="461.1"/>
      <sheetName val="461.2"/>
      <sheetName val="462.2"/>
      <sheetName val="461.1P"/>
      <sheetName val="462.1.1P"/>
      <sheetName val="462.1.2P"/>
      <sheetName val="462.1.3P"/>
      <sheetName val="464.1P"/>
      <sheetName val="465.1"/>
      <sheetName val="466P"/>
      <sheetName val="500.1"/>
      <sheetName val="500.1P"/>
      <sheetName val="510.1"/>
      <sheetName val="511.1P"/>
      <sheetName val="512.1P"/>
      <sheetName val="513.1P"/>
      <sheetName val="600.1"/>
      <sheetName val="600.2"/>
      <sheetName val="600.2.1P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.1"/>
      <sheetName val="621.1.2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2.1"/>
      <sheetName val="633.1P"/>
      <sheetName val="633.2P"/>
      <sheetName val="634.1P"/>
      <sheetName val="635.1P"/>
      <sheetName val="640.1.3"/>
      <sheetName val="641.1"/>
      <sheetName val="642.1 "/>
      <sheetName val="642.2"/>
      <sheetName val="650.1"/>
      <sheetName val="650.2"/>
      <sheetName val="650.3"/>
      <sheetName val="650.3.1 P"/>
      <sheetName val="650.4"/>
      <sheetName val="660.1"/>
      <sheetName val="660.3"/>
      <sheetName val="661.1"/>
      <sheetName val="662.1"/>
      <sheetName val="662.2"/>
      <sheetName val="670.1P"/>
      <sheetName val="670.2"/>
      <sheetName val="671.1"/>
      <sheetName val="672.1"/>
      <sheetName val="673.1"/>
      <sheetName val="673.2"/>
      <sheetName val="673.3"/>
      <sheetName val="680.1"/>
      <sheetName val="680.2"/>
      <sheetName val="680.3"/>
      <sheetName val="681.1"/>
      <sheetName val="683P"/>
      <sheetName val="700.1"/>
      <sheetName val="700.3"/>
      <sheetName val="701.1"/>
      <sheetName val="702.1P"/>
      <sheetName val="710.1.1"/>
      <sheetName val="710.1.2"/>
      <sheetName val="710.1.3"/>
      <sheetName val="710.1.4"/>
      <sheetName val="710.2"/>
      <sheetName val="720.1"/>
      <sheetName val="721.1 P"/>
      <sheetName val="730.1"/>
      <sheetName val="730.2"/>
      <sheetName val="730.3"/>
      <sheetName val="740.1"/>
      <sheetName val="800.1"/>
      <sheetName val="800.2"/>
      <sheetName val="800.3"/>
      <sheetName val="800.4"/>
      <sheetName val="801.1"/>
      <sheetName val="810.1"/>
      <sheetName val="810.1P"/>
      <sheetName val="810.2"/>
      <sheetName val="815P"/>
      <sheetName val="900.1"/>
      <sheetName val="900.2"/>
      <sheetName val="900.3"/>
      <sheetName val="PARTICULARES"/>
      <sheetName val="mortero epoxico"/>
      <sheetName val="Mortero Sello Grietas O. D."/>
      <sheetName val="Mortero Anillar Tubería"/>
      <sheetName val="Mortero Revest.  O. D."/>
      <sheetName val="Geotextil para Gavión"/>
      <sheetName val="Mampostería en piedra"/>
      <sheetName val="Mortero Tratam. Superf."/>
      <sheetName val="MDC2 COMPRADA (1003)"/>
      <sheetName val="MDC2 COMPRADA (2501B)"/>
      <sheetName val="exc. sin claexplana,canal, pres"/>
      <sheetName val="esx. mat común exp,canal.pres"/>
      <sheetName val="subbase cbr 20"/>
      <sheetName val="sub base cbr 30"/>
      <sheetName val="COSTO MEZCLA"/>
      <sheetName val="mezcla densa para bacheo (1003)"/>
      <sheetName val="mezcla densa bacheo(1702)"/>
      <sheetName val="mezcla densa bacheo (2501A)"/>
      <sheetName val="mezcla densa bacheo (25NRB)"/>
      <sheetName val="mezcla densa bacheo (2501B)"/>
      <sheetName val="Caisson"/>
      <sheetName val="tuberia 900mm tipo 2"/>
      <sheetName val="geotextil sep subrasante"/>
      <sheetName val="cemento asf{altico retencion ge"/>
      <sheetName val="emul.asf. retencion geotex"/>
      <sheetName val="muro de contenciom suelño refor"/>
      <sheetName val="Pilote fundido in situ"/>
      <sheetName val="Demolición pisos, andenes,bordi"/>
      <sheetName val="640.1.1"/>
      <sheetName val="640.1.2"/>
      <sheetName val="anexo 4"/>
      <sheetName val="PRESUP"/>
      <sheetName val="APU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 MInformes M"/>
      <sheetName val="PRESUPUESTO RESUMIDO"/>
      <sheetName val="PRESUPUESTO APROBAR"/>
      <sheetName val="PRES. POR OBRAS julio 2013"/>
      <sheetName val="CRONOGRAMA"/>
      <sheetName val="PRESUP PMA Y PMT"/>
      <sheetName val="640.1"/>
      <sheetName val="801.5P"/>
      <sheetName val="801.6P"/>
      <sheetName val="311.1P"/>
      <sheetName val="220"/>
      <sheetName val="801.3P"/>
      <sheetName val="TUBO 4 PERFORADO"/>
      <sheetName val="LAGRIMALES"/>
      <sheetName val="MATERIALES Y EQUIPOS"/>
      <sheetName val="PRES. CUMBI-POLI TOTAL"/>
      <sheetName val="VínculoExternoRecuperado1"/>
      <sheetName val="a  aaInformación GRUPO"/>
      <sheetName val="a%20%20aaInformación%20GRUPO"/>
      <sheetName val="CUADRILLA"/>
      <sheetName val="INSUMOS"/>
      <sheetName val="Hoja3"/>
      <sheetName val="PRESUPUESTO"/>
      <sheetName val="Hoja2"/>
      <sheetName val="AIU"/>
      <sheetName val="FACTOR PREST."/>
      <sheetName val="DESGLOSE DE PERSONAL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34.1"/>
      <sheetName val="450.2P"/>
      <sheetName val="511.2P"/>
      <sheetName val="672.2P"/>
      <sheetName val="672.3P"/>
      <sheetName val="672.4P"/>
      <sheetName val="672.5P"/>
      <sheetName val="672.6P"/>
      <sheetName val="672.7P"/>
      <sheetName val="610.1.1"/>
      <sheetName val="610.1.2P"/>
      <sheetName val="610.1.3P"/>
      <sheetName val="621.1"/>
      <sheetName val="640.2"/>
      <sheetName val="642.1"/>
      <sheetName val="642.4"/>
      <sheetName val="642.5"/>
      <sheetName val="642.6"/>
      <sheetName val="642.7"/>
      <sheetName val="642.8"/>
      <sheetName val="642.3"/>
      <sheetName val="642.9"/>
      <sheetName val="642.10"/>
      <sheetName val="674.1"/>
      <sheetName val="674.1P"/>
      <sheetName val="674.2P"/>
      <sheetName val="674.3P"/>
      <sheetName val="674.4P"/>
      <sheetName val="671.2"/>
      <sheetName val="673.4"/>
      <sheetName val="673.5"/>
      <sheetName val="673.6"/>
      <sheetName val="671.3"/>
      <sheetName val="710.1"/>
      <sheetName val="700.1.1"/>
      <sheetName val="731.1"/>
      <sheetName val="810.3P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CCIDENTES DE 1995 - 1996"/>
      <sheetName val="PORTADA"/>
      <sheetName val="FNC"/>
      <sheetName val="INDICE ALFABETICO"/>
      <sheetName val="EQUIPOS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P"/>
      <sheetName val="201.13"/>
      <sheetName val="201.14P1"/>
      <sheetName val="201.21"/>
      <sheetName val="210.2.1P"/>
      <sheetName val="210.2.3"/>
      <sheetName val="220.1P"/>
      <sheetName val="311P1"/>
      <sheetName val="311P2"/>
      <sheetName val="311P3"/>
      <sheetName val="343P"/>
      <sheetName val="411P"/>
      <sheetName val="414.5"/>
      <sheetName val="420.2"/>
      <sheetName val="432.2"/>
      <sheetName val="440.1P"/>
      <sheetName val="440.2P"/>
      <sheetName val="440.3P"/>
      <sheetName val="440.4P"/>
      <sheetName val="441.1P"/>
      <sheetName val="441.2P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P"/>
      <sheetName val="452.2P"/>
      <sheetName val="452.3P"/>
      <sheetName val="452.4P"/>
      <sheetName val="460.1(5 CM)"/>
      <sheetName val="460.1 (10 CM)"/>
      <sheetName val="461.2P"/>
      <sheetName val="462.1.1"/>
      <sheetName val="462.1.2"/>
      <sheetName val="462.1.3"/>
      <sheetName val="462.1.4P"/>
      <sheetName val="462.1.4"/>
      <sheetName val="462.2P"/>
      <sheetName val="464.1"/>
      <sheetName val="464.2"/>
      <sheetName val="464.3"/>
      <sheetName val="466.1"/>
      <sheetName val="501.1"/>
      <sheetName val="510P1"/>
      <sheetName val="510P2"/>
      <sheetName val="510P3"/>
      <sheetName val="600.4P"/>
      <sheetName val="600.5P"/>
      <sheetName val="610.1P"/>
      <sheetName val="620P"/>
      <sheetName val="621.1P7"/>
      <sheetName val="621.5P2"/>
      <sheetName val="621P"/>
      <sheetName val="623P"/>
      <sheetName val="623P1"/>
      <sheetName val="630P"/>
      <sheetName val="630.1.2P"/>
      <sheetName val="630.1P"/>
      <sheetName val="630.2P"/>
      <sheetName val="630.3P"/>
      <sheetName val="630.4 "/>
      <sheetName val="632P"/>
      <sheetName val="632.P2"/>
      <sheetName val="633P"/>
      <sheetName val="640.2P"/>
      <sheetName val="642P1 JUNTAS"/>
      <sheetName val="642P2 JUNTAS"/>
      <sheetName val="642P3 JUNTAS"/>
      <sheetName val="650.3P"/>
      <sheetName val="660.2"/>
      <sheetName val="661.1.1 TIPO I"/>
      <sheetName val="661.1.2 TIPO II"/>
      <sheetName val="661.2.1 TIPO I"/>
      <sheetName val="661P"/>
      <sheetName val="670.1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P1"/>
      <sheetName val="680P2"/>
      <sheetName val="682.1"/>
      <sheetName val="690.1"/>
      <sheetName val="700P BANDAS SONORAS "/>
      <sheetName val="701P"/>
      <sheetName val="700.2"/>
      <sheetName val="700.4"/>
      <sheetName val="800.3P"/>
      <sheetName val="800.4P"/>
      <sheetName val="800P"/>
      <sheetName val="810.2P"/>
      <sheetName val="810.3"/>
      <sheetName val="811.1"/>
      <sheetName val="811P"/>
      <sheetName val="812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50.1P "/>
      <sheetName val="450.3P "/>
      <sheetName val="450.5"/>
      <sheetName val="452.1P "/>
      <sheetName val="452.2P "/>
      <sheetName val="453"/>
      <sheetName val="460"/>
      <sheetName val="460P"/>
      <sheetName val="462.1P"/>
      <sheetName val="462.3P"/>
      <sheetName val="462.4P"/>
      <sheetName val="462.5"/>
      <sheetName val="500"/>
      <sheetName val="500P"/>
      <sheetName val="510"/>
      <sheetName val="510P5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701"/>
      <sheetName val="710.3"/>
      <sheetName val="710.4"/>
      <sheetName val="710.5"/>
      <sheetName val="720"/>
      <sheetName val="740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A.E.B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/>
      <sheetData sheetId="328"/>
      <sheetData sheetId="329" refreshError="1"/>
      <sheetData sheetId="330" refreshError="1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/>
      <sheetData sheetId="650"/>
      <sheetData sheetId="651"/>
      <sheetData sheetId="652"/>
      <sheetData sheetId="653"/>
      <sheetData sheetId="654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/>
      <sheetData sheetId="830"/>
      <sheetData sheetId="831"/>
      <sheetData sheetId="832" refreshError="1"/>
      <sheetData sheetId="833" refreshError="1"/>
      <sheetData sheetId="834" refreshError="1"/>
      <sheetData sheetId="835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/>
      <sheetData sheetId="846" refreshError="1"/>
      <sheetData sheetId="847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/>
      <sheetData sheetId="880"/>
      <sheetData sheetId="88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/>
      <sheetData sheetId="919"/>
      <sheetData sheetId="920"/>
      <sheetData sheetId="921"/>
      <sheetData sheetId="922"/>
      <sheetData sheetId="923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/>
      <sheetData sheetId="1022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/>
      <sheetData sheetId="1042"/>
      <sheetData sheetId="1043"/>
      <sheetData sheetId="1044"/>
      <sheetData sheetId="1045"/>
      <sheetData sheetId="1046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 refreshError="1"/>
      <sheetData sheetId="1072" refreshError="1"/>
      <sheetData sheetId="1073"/>
      <sheetData sheetId="1074" refreshError="1"/>
      <sheetData sheetId="1075" refreshError="1"/>
      <sheetData sheetId="1076" refreshError="1"/>
      <sheetData sheetId="1077" refreshError="1"/>
      <sheetData sheetId="1078"/>
      <sheetData sheetId="1079" refreshError="1"/>
      <sheetData sheetId="1080" refreshError="1"/>
      <sheetData sheetId="1081"/>
      <sheetData sheetId="1082"/>
      <sheetData sheetId="1083" refreshError="1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 refreshError="1"/>
      <sheetData sheetId="2546"/>
      <sheetData sheetId="2547" refreshError="1"/>
      <sheetData sheetId="2548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 refreshError="1"/>
      <sheetData sheetId="2758"/>
      <sheetData sheetId="2759"/>
      <sheetData sheetId="2760" refreshError="1"/>
      <sheetData sheetId="2761" refreshError="1"/>
      <sheetData sheetId="2762" refreshError="1"/>
      <sheetData sheetId="2763" refreshError="1"/>
      <sheetData sheetId="2764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/>
      <sheetData sheetId="2811"/>
      <sheetData sheetId="2812"/>
      <sheetData sheetId="2813"/>
      <sheetData sheetId="2814"/>
      <sheetData sheetId="2815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"/>
      <sheetName val="PU"/>
      <sheetName val="01"/>
      <sheetName val="04"/>
      <sheetName val="08"/>
      <sheetName val="10"/>
      <sheetName val="11"/>
      <sheetName val="13"/>
      <sheetName val="14"/>
      <sheetName val="15"/>
      <sheetName val="17"/>
      <sheetName val="18"/>
      <sheetName val="19"/>
      <sheetName val="21"/>
      <sheetName val="25"/>
      <sheetName val="29"/>
      <sheetName val="20"/>
      <sheetName val="REC-COD,"/>
      <sheetName val="RECURSOS (ALFABETO)"/>
      <sheetName val="\50 Vivienda\RNC Carvajal\para "/>
      <sheetName val="COSTEO TOTAL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CCIDENTALIDAD"/>
      <sheetName val="ACC.EJECUTIVO"/>
      <sheetName val="ACC.EJECUTIVO-OCT-02"/>
      <sheetName val="EJEC-AGO-2002"/>
      <sheetName val="TABLA"/>
      <sheetName val="Hoja3"/>
      <sheetName val="item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Dat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ado Visitas"/>
      <sheetName val="15 Proyectos"/>
      <sheetName val="Proyectos Posibles ejecutar"/>
      <sheetName val="Proyectos sin Permisos"/>
      <sheetName val="28 PROYECTOS"/>
      <sheetName val="TOTAL"/>
      <sheetName val="VIAS"/>
      <sheetName val="GRUPO 1"/>
      <sheetName val="GRUPO 2"/>
      <sheetName val="Tabla Dinamica (3)"/>
      <sheetName val="Tabla Dinamica (4)"/>
      <sheetName val="GRUPO 3 EDUCACION"/>
      <sheetName val="Tabla Dinamica (7)"/>
      <sheetName val="GRUPO 4 MUELLE"/>
      <sheetName val="Tabla Dinamica (8)"/>
      <sheetName val="Distribución grupos (2)"/>
      <sheetName val="Hoja1"/>
      <sheetName val="Hoja4"/>
      <sheetName val="Hoja5"/>
      <sheetName val="Hoja6"/>
      <sheetName val="Proyectos a ejecut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SES"/>
      <sheetName val="RES COSTOS SES"/>
      <sheetName val="INVERSION"/>
      <sheetName val="COSTOS AT"/>
      <sheetName val="COSTOS MTyBT"/>
      <sheetName val="COSTOS SES AT"/>
      <sheetName val="COSTOS DE OBRAS LINEAS"/>
      <sheetName val="COSTOS OBRAS SES"/>
      <sheetName val="COSTOSREDMT"/>
      <sheetName val="EXPSES"/>
      <sheetName val="EXPRED"/>
      <sheetName val="ACT LINEAS"/>
      <sheetName val="ACTSESAT-AT"/>
      <sheetName val="ACT.SES"/>
      <sheetName val="SUBEST."/>
      <sheetName val="ACTREDES"/>
      <sheetName val="INVMLS"/>
      <sheetName val="INVMLSCORR"/>
      <sheetName val="OTROS PROYECTOS M.T"/>
      <sheetName val="OTROS PROYECTOS A.T"/>
      <sheetName val="Hoja4"/>
      <sheetName val="Hoja3"/>
      <sheetName val="NOTASSES"/>
      <sheetName val="SUB APU"/>
      <sheetName val="TARIFAS"/>
      <sheetName val="REC-COD,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Hoja1"/>
    </sheetNames>
    <sheetDataSet>
      <sheetData sheetId="0"/>
      <sheetData sheetId="1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P"/>
      <sheetName val="MAT"/>
      <sheetName val="MO"/>
      <sheetName val="AUI"/>
      <sheetName val="PRESUPUESTO"/>
      <sheetName val="FORMULARIO"/>
      <sheetName val="programacio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5 (2)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75"/>
      <sheetName val="76"/>
      <sheetName val="77"/>
      <sheetName val="78"/>
      <sheetName val="79"/>
      <sheetName val="80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ESTADO RED TEC"/>
      <sheetName val="Hoja1"/>
      <sheetName val="items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PRESUPUESTO"/>
      <sheetName val="ESTADO VÍA-CRIT.TECNICO"/>
      <sheetName val="TRANSPORTE"/>
      <sheetName val="Listas"/>
      <sheetName val="Excavación Mat. Común Estacione"/>
      <sheetName val="Demolición Pavimento"/>
      <sheetName val="Insum"/>
      <sheetName val="SUB APU"/>
      <sheetName val="Equipo"/>
      <sheetName val="PUNITARIOS%20PARA%20241201%202S"/>
      <sheetName val="RELACION MES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RA.MODI"/>
      <sheetName val="GCB2000"/>
      <sheetName val="A. P. U.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LASIFICACION"/>
      <sheetName val="c2.5y2.6"/>
      <sheetName val="A.P.U"/>
      <sheetName val=" Liquidacion de Obra por Tramos"/>
      <sheetName val="LISTA DE PRECIOS"/>
      <sheetName val="062"/>
      <sheetName val="Listado"/>
      <sheetName val="REC-COD,"/>
      <sheetName val="Lp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5. ELECTRICO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TODAS"/>
      <sheetName val="FINANC"/>
      <sheetName val="TRAPMO"/>
      <sheetName val="UNITARIOS"/>
      <sheetName val="THE"/>
      <sheetName val="ATHE"/>
      <sheetName val="BALANCE"/>
      <sheetName val="ITEMS NO REVISTOS"/>
      <sheetName val="APU ELECTRICOS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OCTUBRE"/>
      <sheetName val="Hoja2"/>
      <sheetName val="Cuadr."/>
      <sheetName val="PUNITARIOS PARA 241201 2S.xls"/>
      <sheetName val="OBRAS SES"/>
      <sheetName val="Summary"/>
      <sheetName val="CODCONST"/>
      <sheetName val="A_P_U1"/>
      <sheetName val="A_P_U"/>
      <sheetName val="materiales"/>
      <sheetName val="otros"/>
      <sheetName val="2,2,6,1 Pilotes 0,30"/>
      <sheetName val="Bajadas"/>
      <sheetName val="NARIÑO"/>
      <sheetName val="SALARIOS"/>
      <sheetName val="SUB_APU"/>
      <sheetName val="ESTADO_VÍA-CRIT_TECNICO"/>
      <sheetName val="7.1.8.1.1"/>
      <sheetName val="PREACTA Y CONTRATISTAS"/>
      <sheetName val="PERSONAL"/>
      <sheetName val="Tarifa MT"/>
      <sheetName val="PLAN DE INVERSION ANTICIPO"/>
      <sheetName val="inv mensual"/>
      <sheetName val="borrador flujo inv"/>
      <sheetName val="social-ambiental"/>
      <sheetName val="AU"/>
      <sheetName val="factor"/>
      <sheetName val="Requisición1"/>
      <sheetName val="CONT_ADI"/>
      <sheetName val="APU NO PREVISTO"/>
      <sheetName val="PPTA (3)"/>
      <sheetName val="PPTA (2)"/>
      <sheetName val="PP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"/>
      <sheetName val="Programacion"/>
      <sheetName val="Programacion (2)"/>
      <sheetName val="AIU"/>
      <sheetName val="Hoja2"/>
      <sheetName val="Hoja1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2.1"/>
      <sheetName val="cuad2.2"/>
      <sheetName val="cuad2.3"/>
      <sheetName val="cuad2.4"/>
      <sheetName val="c2.5y2.6"/>
      <sheetName val="Hoja4"/>
      <sheetName val="Hoja1"/>
      <sheetName val="Cambio redes"/>
      <sheetName val="Cambio A.P"/>
      <sheetName val="Cambio por ajustes"/>
      <sheetName val="Instalación redes"/>
      <sheetName val="Instalación A.P"/>
      <sheetName val="Instalación por ajustes"/>
      <sheetName val="LUMINARIAS CAMBIO1999"/>
      <sheetName val="LUMINARIAS CAMBIO2000"/>
      <sheetName val="LUMINARIAS CAMBIO2001"/>
      <sheetName val="LUMINARIAS CAMBIO2002"/>
      <sheetName val="LUMINARIAS INST1999"/>
      <sheetName val="LUMINARIAS INST2000"/>
      <sheetName val="LUMINARIAS INST2001"/>
      <sheetName val="LUMINARIAS INST2002"/>
      <sheetName val="LUMINARIAS RETIRO 1999-2002"/>
      <sheetName val="RESUMEN LUMINARIAS"/>
      <sheetName val="REMUNERACIÓN LUMINARIAS"/>
      <sheetName val="REMUNERACIÓN POSTERÍA Y REDES"/>
      <sheetName val="REMUNERACIÓN TRAFOS"/>
      <sheetName val="RESUMEN REMUNERACIÓN"/>
      <sheetName val="c2_5y2_6"/>
      <sheetName val="OBRAS SES"/>
      <sheetName val="Cuadrillas"/>
      <sheetName val="Equ"/>
      <sheetName val="Trans"/>
      <sheetName val="Mat"/>
      <sheetName val="Salarios"/>
      <sheetName val="PRESUPUESTO"/>
      <sheetName val="2,2,6,1 Pilotes 0,30"/>
      <sheetName val="cuad2_1"/>
      <sheetName val="cuad2_2"/>
      <sheetName val="cuad2_3"/>
      <sheetName val="cuad2_4"/>
      <sheetName val="c2_5y2_61"/>
      <sheetName val="Cambio_redes"/>
      <sheetName val="Cambio_A_P"/>
      <sheetName val="Cambio_por_ajustes"/>
      <sheetName val="Instalación_redes"/>
      <sheetName val="Instalación_A_P"/>
      <sheetName val="Instalación_por_ajustes"/>
      <sheetName val="LUMINARIAS_CAMBIO1999"/>
      <sheetName val="LUMINARIAS_CAMBIO2000"/>
      <sheetName val="LUMINARIAS_CAMBIO2001"/>
      <sheetName val="LUMINARIAS_CAMBIO2002"/>
      <sheetName val="LUMINARIAS_INST1999"/>
      <sheetName val="LUMINARIAS_INST2000"/>
      <sheetName val="LUMINARIAS_INST2001"/>
      <sheetName val="LUMINARIAS_INST2002"/>
      <sheetName val="LUMINARIAS_RETIRO_1999-2002"/>
      <sheetName val="RESUMEN_LUMINARIAS"/>
      <sheetName val="REMUNERACIÓN_LUMINARIAS"/>
      <sheetName val="REMUNERACIÓN_POSTERÍA_Y_REDES"/>
      <sheetName val="REMUNERACIÓN_TRAFOS"/>
      <sheetName val="RESUMEN_REMUNERACIÓN"/>
      <sheetName val="TARIFAS"/>
      <sheetName val="REC-COD,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PROGR_1"/>
      <sheetName val="PROGR_"/>
      <sheetName val="ACTA DE MODIFICACION  (2)"/>
      <sheetName val="VrEqpBasica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/>
      <sheetData sheetId="21" refreshError="1"/>
      <sheetData sheetId="22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c2.5y2.6"/>
      <sheetName val="C.LABOR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o Cantidades"/>
      <sheetName val="Items"/>
      <sheetName val="Unitarios"/>
    </sheetNames>
    <sheetDataSet>
      <sheetData sheetId="0"/>
      <sheetData sheetId="1" refreshError="1"/>
      <sheetData sheetId="2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arios"/>
    </sheetNames>
    <sheetDataSet>
      <sheetData sheetId="0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 MT"/>
      <sheetName val="FP"/>
      <sheetName val="PERSONAL"/>
      <sheetName val="IMPUESTOS"/>
      <sheetName val="AIU"/>
      <sheetName val="TOTAL OBRA"/>
      <sheetName val="FM (2)"/>
      <sheetName val="Componente minimo"/>
      <sheetName val="COSTEO FM"/>
      <sheetName val="IPC"/>
      <sheetName val="Ensayos Laboratorio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idades"/>
      <sheetName val="1-600.1.1"/>
      <sheetName val="2-220.1"/>
      <sheetName val="3 -320.3"/>
      <sheetName val="4-500.1"/>
      <sheetName val="5-600.1.1"/>
      <sheetName val="6-610.2"/>
      <sheetName val="7-640.1"/>
      <sheetName val="8-661.1"/>
      <sheetName val="9-630.4"/>
      <sheetName val="10-671.3"/>
      <sheetName val="11-710.1"/>
      <sheetName val="142-700.1"/>
    </sheetNames>
    <sheetDataSet>
      <sheetData sheetId="0">
        <row r="8">
          <cell r="H8">
            <v>740.27</v>
          </cell>
        </row>
        <row r="9">
          <cell r="H9">
            <v>932.4</v>
          </cell>
        </row>
        <row r="12">
          <cell r="H12">
            <v>600</v>
          </cell>
        </row>
        <row r="15">
          <cell r="H15">
            <v>750</v>
          </cell>
        </row>
        <row r="18">
          <cell r="H18">
            <v>414.92</v>
          </cell>
        </row>
        <row r="19">
          <cell r="H19">
            <v>57.21</v>
          </cell>
        </row>
        <row r="20">
          <cell r="H20">
            <v>20179.72</v>
          </cell>
        </row>
        <row r="21">
          <cell r="H21">
            <v>22.5</v>
          </cell>
        </row>
        <row r="22">
          <cell r="H22">
            <v>38.130000000000003</v>
          </cell>
        </row>
        <row r="23">
          <cell r="H23">
            <v>384</v>
          </cell>
        </row>
        <row r="26">
          <cell r="H26">
            <v>10</v>
          </cell>
        </row>
        <row r="27">
          <cell r="H27">
            <v>3000</v>
          </cell>
        </row>
        <row r="30">
          <cell r="H30">
            <v>1</v>
          </cell>
        </row>
        <row r="36">
          <cell r="H36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HOJA DE APROBACION"/>
      <sheetName val="Indice"/>
      <sheetName val="Hoja4 (3)"/>
      <sheetName val="PTO"/>
      <sheetName val="Hoja4 (4)"/>
      <sheetName val="Cantidades de obra"/>
      <sheetName val="APU-INP"/>
      <sheetName val="35- APU"/>
      <sheetName val="36- APU"/>
      <sheetName val="37- APU"/>
      <sheetName val="Hoja4 (5)"/>
      <sheetName val="PMT"/>
      <sheetName val="Hoja4 (6)"/>
      <sheetName val="PMA"/>
      <sheetName val="Hoja4 (7)"/>
      <sheetName val="M.O"/>
      <sheetName val="Hoja4 (8)"/>
      <sheetName val="Materiales"/>
      <sheetName val="Hoja4 (9)"/>
      <sheetName val="Transporte"/>
      <sheetName val="Hoja4 (10)"/>
      <sheetName val="Equipos"/>
      <sheetName val="Hoja4 (11)"/>
      <sheetName val="Calculo A"/>
      <sheetName val="Hoja4 (12)"/>
      <sheetName val="FP"/>
      <sheetName val="Hoja1"/>
    </sheetNames>
    <sheetDataSet>
      <sheetData sheetId="0"/>
      <sheetData sheetId="1"/>
      <sheetData sheetId="2"/>
      <sheetData sheetId="3"/>
      <sheetData sheetId="4">
        <row r="7">
          <cell r="C7"/>
          <cell r="D7"/>
          <cell r="E7"/>
          <cell r="F7"/>
        </row>
        <row r="8">
          <cell r="C8"/>
          <cell r="D8"/>
          <cell r="E8" t="str">
            <v>EXCAVACIONES</v>
          </cell>
          <cell r="F8"/>
        </row>
        <row r="9">
          <cell r="C9">
            <v>1</v>
          </cell>
          <cell r="D9" t="str">
            <v>610-22</v>
          </cell>
          <cell r="E9" t="str">
            <v>RELLENO CON MATERIAL DE EXCAVACION INCLUYE  TRANSPORTE ENTRE CIEN METROS (100 m) Y MIL METROS (1000 m) DE DISTANCIA</v>
          </cell>
          <cell r="F9" t="str">
            <v>M3</v>
          </cell>
        </row>
        <row r="10">
          <cell r="C10">
            <v>2</v>
          </cell>
          <cell r="D10" t="str">
            <v>210-22</v>
          </cell>
          <cell r="E10" t="str">
            <v xml:space="preserve">EXCAVACION MECANICA </v>
          </cell>
          <cell r="F10" t="str">
            <v>M3</v>
          </cell>
        </row>
        <row r="11">
          <cell r="C11">
            <v>3</v>
          </cell>
          <cell r="D11" t="str">
            <v>310-22</v>
          </cell>
          <cell r="E11" t="str">
            <v>CONFORMACION DE CALZADA EXISTENTE</v>
          </cell>
          <cell r="F11" t="str">
            <v>M2</v>
          </cell>
        </row>
        <row r="12">
          <cell r="C12"/>
          <cell r="D12"/>
          <cell r="E12" t="str">
            <v>PAVIMENTO Y OBRAS DE DRENAJE Y OTROS</v>
          </cell>
          <cell r="F12"/>
        </row>
        <row r="13">
          <cell r="C13">
            <v>4</v>
          </cell>
          <cell r="D13" t="str">
            <v>311-22</v>
          </cell>
          <cell r="E13" t="str">
            <v xml:space="preserve">AFIRMADO </v>
          </cell>
          <cell r="F13" t="str">
            <v>M3</v>
          </cell>
        </row>
        <row r="14">
          <cell r="C14">
            <v>5</v>
          </cell>
          <cell r="D14" t="str">
            <v>640-22</v>
          </cell>
          <cell r="E14" t="str">
            <v>ACERO DE REFUERZO FY 4200 MPA</v>
          </cell>
          <cell r="F14" t="str">
            <v>KG</v>
          </cell>
        </row>
        <row r="15">
          <cell r="C15">
            <v>6</v>
          </cell>
          <cell r="D15" t="str">
            <v>630-22</v>
          </cell>
          <cell r="E15" t="str">
            <v xml:space="preserve">CONCRETO RESISTENCIA 14MPA </v>
          </cell>
          <cell r="F15" t="str">
            <v>M3</v>
          </cell>
        </row>
        <row r="16">
          <cell r="C16">
            <v>7</v>
          </cell>
          <cell r="D16" t="str">
            <v>630-22</v>
          </cell>
          <cell r="E16" t="str">
            <v>CONCRETO RESISTENCIA 21MPA (CICOPLEO)</v>
          </cell>
          <cell r="F16" t="str">
            <v>M3</v>
          </cell>
        </row>
        <row r="17">
          <cell r="C17">
            <v>8</v>
          </cell>
          <cell r="D17" t="str">
            <v>630-22</v>
          </cell>
          <cell r="E17" t="str">
            <v xml:space="preserve">CONCRETO RESISTENCIA 14 MPA </v>
          </cell>
          <cell r="F17" t="str">
            <v>M3</v>
          </cell>
        </row>
        <row r="18">
          <cell r="C18">
            <v>9</v>
          </cell>
          <cell r="D18" t="str">
            <v>320-22</v>
          </cell>
          <cell r="E18" t="str">
            <v>SUBBASE GRANULAR CLASE B</v>
          </cell>
          <cell r="F18" t="str">
            <v>M3</v>
          </cell>
        </row>
        <row r="19">
          <cell r="C19">
            <v>10</v>
          </cell>
          <cell r="D19" t="str">
            <v>710-22</v>
          </cell>
          <cell r="E19" t="str">
            <v>SEÑAL VERTICAL DE TRANSITO VERTICAL TIPO 1 CON LAMINA RETRORREFLECTIVA TIPO III (75X75)</v>
          </cell>
          <cell r="F19" t="str">
            <v>UNIDAD</v>
          </cell>
        </row>
        <row r="20">
          <cell r="C20">
            <v>11</v>
          </cell>
          <cell r="D20"/>
          <cell r="E20" t="str">
            <v>JUNTA DE DILATACION SELLO DE POLIURETANO ELASTOMERICO DE ALTO DESEMPEÑO Y CORDON DE ESPUMA PARA FONDO DE JUNTA  DE 3/8". INCLUYE CORTE DE 5MM DE ANCHO X 3,3 A 5 CMS DE PROFUNDIDAD.</v>
          </cell>
          <cell r="F20" t="str">
            <v>ML</v>
          </cell>
        </row>
        <row r="21">
          <cell r="C21">
            <v>12</v>
          </cell>
          <cell r="D21" t="str">
            <v>640-22</v>
          </cell>
          <cell r="E21" t="str">
            <v>ACERO DE REFUERZO LISO DE 60.000 PSI DE 7/8" PARA DOVELAS</v>
          </cell>
          <cell r="F21" t="str">
            <v>kg</v>
          </cell>
        </row>
        <row r="22">
          <cell r="C22">
            <v>13</v>
          </cell>
          <cell r="D22" t="str">
            <v>640-22</v>
          </cell>
          <cell r="E22" t="str">
            <v>CANASTILLAS SOPORTES DE DOVELAS ( INCLUYE CORTE, CONFIGURACIÓN Y SOLDADURA)</v>
          </cell>
          <cell r="F22" t="str">
            <v>ML</v>
          </cell>
        </row>
        <row r="23">
          <cell r="C23">
            <v>14</v>
          </cell>
          <cell r="D23" t="str">
            <v>663-22</v>
          </cell>
          <cell r="E23" t="str">
            <v>TUBERÍA DE PLASTICO TIPO PVC NORMA NTC-5055 DE DIAMETRO 900 mm</v>
          </cell>
          <cell r="F23" t="str">
            <v>ML</v>
          </cell>
        </row>
        <row r="24">
          <cell r="C24">
            <v>15</v>
          </cell>
          <cell r="D24" t="str">
            <v>900-22</v>
          </cell>
          <cell r="E24" t="str">
            <v>TRANSPORTE DE MATERIALES PROVENIENTES DE LA EXCAVACIÓN DE LA EXPLANACIÓN, CANALES Y PRÉSTAMOS PARA DISTANCIAS MAYORES DE MIL METROS (1.000 m) MEDIDOS A PARTIR DE CIEN METROS (100 m)</v>
          </cell>
          <cell r="F24" t="str">
            <v>m3/km</v>
          </cell>
        </row>
        <row r="25">
          <cell r="C25">
            <v>16</v>
          </cell>
          <cell r="D25" t="str">
            <v>630-22</v>
          </cell>
          <cell r="E25" t="str">
            <v>PAVIMENTO EN CONCRETO HIDRAULICO MR= 3.8 Mpa</v>
          </cell>
          <cell r="F25" t="str">
            <v>M3</v>
          </cell>
        </row>
        <row r="26">
          <cell r="C26">
            <v>17</v>
          </cell>
          <cell r="D26" t="str">
            <v>232-22</v>
          </cell>
          <cell r="E26" t="str">
            <v>GEOTEXTIL TIPO NO TEJIDO CON RESISTENCIA A LA TENSIÓN GRAB MÍNIMA DE 700 N APROXIMADAMENTE</v>
          </cell>
          <cell r="F26" t="str">
            <v>M2</v>
          </cell>
        </row>
        <row r="27">
          <cell r="C27">
            <v>18</v>
          </cell>
          <cell r="D27" t="str">
            <v>600-22</v>
          </cell>
          <cell r="E27" t="str">
            <v>EXCAVACION  MANUAL</v>
          </cell>
          <cell r="F27" t="str">
            <v>m3</v>
          </cell>
        </row>
        <row r="29">
          <cell r="C29"/>
          <cell r="D29"/>
          <cell r="E29"/>
          <cell r="F29"/>
        </row>
        <row r="30">
          <cell r="C30"/>
          <cell r="D30"/>
          <cell r="E30"/>
          <cell r="F30"/>
        </row>
        <row r="31">
          <cell r="C31"/>
          <cell r="D31"/>
          <cell r="E31"/>
          <cell r="F31"/>
        </row>
        <row r="32">
          <cell r="C32"/>
          <cell r="D32"/>
          <cell r="E32"/>
          <cell r="F32"/>
        </row>
        <row r="33">
          <cell r="C33"/>
          <cell r="D33"/>
          <cell r="E33"/>
          <cell r="F33"/>
        </row>
        <row r="34">
          <cell r="C34"/>
          <cell r="D34"/>
          <cell r="E34"/>
          <cell r="F34"/>
        </row>
        <row r="36">
          <cell r="C36"/>
          <cell r="D36"/>
          <cell r="E36" t="str">
            <v>PGA Y PMT</v>
          </cell>
          <cell r="F36"/>
        </row>
        <row r="37">
          <cell r="C37">
            <v>19</v>
          </cell>
          <cell r="D37"/>
          <cell r="E37" t="str">
            <v>PLAN DE GESTIÓN AMBIENTAL</v>
          </cell>
          <cell r="F37" t="str">
            <v>und</v>
          </cell>
        </row>
        <row r="38">
          <cell r="C38">
            <v>20</v>
          </cell>
          <cell r="D38"/>
          <cell r="E38" t="str">
            <v>PLAN DE MANEJO DE TRANSITO PMT</v>
          </cell>
          <cell r="F38" t="str">
            <v>und</v>
          </cell>
        </row>
        <row r="39">
          <cell r="C39"/>
          <cell r="D39"/>
          <cell r="E39"/>
          <cell r="F39"/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8">
          <cell r="G18">
            <v>0.85</v>
          </cell>
        </row>
        <row r="23">
          <cell r="C23" t="str">
            <v>MO-01</v>
          </cell>
          <cell r="D23" t="str">
            <v xml:space="preserve">Maestro </v>
          </cell>
          <cell r="E23" t="str">
            <v>día</v>
          </cell>
          <cell r="F23">
            <v>2.5</v>
          </cell>
          <cell r="G23">
            <v>178833.33333333331</v>
          </cell>
        </row>
        <row r="24">
          <cell r="C24" t="str">
            <v>MO-02</v>
          </cell>
          <cell r="D24" t="str">
            <v>Ayudante</v>
          </cell>
          <cell r="E24" t="str">
            <v>día</v>
          </cell>
          <cell r="F24">
            <v>1.05</v>
          </cell>
          <cell r="G24">
            <v>75110</v>
          </cell>
        </row>
        <row r="25">
          <cell r="C25" t="str">
            <v>MO-03</v>
          </cell>
          <cell r="D25" t="str">
            <v>Almacenista</v>
          </cell>
          <cell r="E25" t="str">
            <v>día</v>
          </cell>
          <cell r="F25">
            <v>1.05</v>
          </cell>
          <cell r="G25">
            <v>75110</v>
          </cell>
        </row>
        <row r="26">
          <cell r="C26" t="str">
            <v>MO-04</v>
          </cell>
          <cell r="D26" t="str">
            <v>Obrero</v>
          </cell>
          <cell r="E26" t="str">
            <v>dia</v>
          </cell>
          <cell r="F26">
            <v>1</v>
          </cell>
          <cell r="G26">
            <v>71533.333333333328</v>
          </cell>
        </row>
        <row r="27">
          <cell r="C27" t="str">
            <v>MO-05</v>
          </cell>
          <cell r="D27" t="str">
            <v>Obrero (2)</v>
          </cell>
          <cell r="E27" t="str">
            <v>dia</v>
          </cell>
          <cell r="F27">
            <v>2</v>
          </cell>
          <cell r="G27">
            <v>143066.66666666666</v>
          </cell>
        </row>
        <row r="28">
          <cell r="C28" t="str">
            <v>MO-06</v>
          </cell>
          <cell r="D28" t="str">
            <v>Obrero (3)</v>
          </cell>
          <cell r="E28" t="str">
            <v>día</v>
          </cell>
          <cell r="F28">
            <v>3</v>
          </cell>
          <cell r="G28">
            <v>214600</v>
          </cell>
        </row>
        <row r="29">
          <cell r="C29" t="str">
            <v>MO-07</v>
          </cell>
          <cell r="D29" t="str">
            <v>Obrero (4)</v>
          </cell>
          <cell r="E29" t="str">
            <v>día</v>
          </cell>
          <cell r="F29">
            <v>4</v>
          </cell>
          <cell r="G29">
            <v>286133.33333333331</v>
          </cell>
        </row>
        <row r="30">
          <cell r="C30" t="str">
            <v>MO-08</v>
          </cell>
          <cell r="D30" t="str">
            <v>Obrero (5)</v>
          </cell>
          <cell r="E30" t="str">
            <v>dia</v>
          </cell>
          <cell r="F30">
            <v>5</v>
          </cell>
          <cell r="G30">
            <v>357666.66666666663</v>
          </cell>
        </row>
        <row r="31">
          <cell r="C31" t="str">
            <v>MO-09</v>
          </cell>
          <cell r="D31" t="str">
            <v>Obrero (6)</v>
          </cell>
          <cell r="E31" t="str">
            <v>dia</v>
          </cell>
          <cell r="F31">
            <v>6</v>
          </cell>
          <cell r="G31">
            <v>429200</v>
          </cell>
        </row>
        <row r="32">
          <cell r="C32" t="str">
            <v>MO-10</v>
          </cell>
          <cell r="D32" t="str">
            <v>Obrero (7)</v>
          </cell>
          <cell r="E32" t="str">
            <v>dia</v>
          </cell>
          <cell r="F32">
            <v>7</v>
          </cell>
          <cell r="G32">
            <v>500733.33333333331</v>
          </cell>
        </row>
        <row r="33">
          <cell r="C33" t="str">
            <v>MO-11</v>
          </cell>
          <cell r="D33" t="str">
            <v>Obrero (8)</v>
          </cell>
          <cell r="E33" t="str">
            <v>dia</v>
          </cell>
          <cell r="F33">
            <v>8</v>
          </cell>
          <cell r="G33">
            <v>572266.66666666663</v>
          </cell>
        </row>
        <row r="34">
          <cell r="C34" t="str">
            <v>MO-12</v>
          </cell>
          <cell r="D34" t="str">
            <v>Obrero (9)</v>
          </cell>
          <cell r="E34" t="str">
            <v>dia</v>
          </cell>
          <cell r="F34">
            <v>9</v>
          </cell>
          <cell r="G34">
            <v>643800</v>
          </cell>
        </row>
        <row r="35">
          <cell r="C35" t="str">
            <v>MO-13</v>
          </cell>
          <cell r="D35" t="str">
            <v>Obrero (10)</v>
          </cell>
          <cell r="E35" t="str">
            <v>dia</v>
          </cell>
          <cell r="F35">
            <v>10</v>
          </cell>
          <cell r="G35">
            <v>715333.33333333326</v>
          </cell>
        </row>
        <row r="36">
          <cell r="C36" t="str">
            <v>MO-14</v>
          </cell>
          <cell r="D36" t="str">
            <v>Obrero (prueba de carga)</v>
          </cell>
          <cell r="E36" t="str">
            <v>dia</v>
          </cell>
          <cell r="F36">
            <v>1.05</v>
          </cell>
          <cell r="G36">
            <v>75110</v>
          </cell>
        </row>
        <row r="37">
          <cell r="C37" t="str">
            <v>MO-15</v>
          </cell>
          <cell r="D37" t="str">
            <v xml:space="preserve">Obrero de hincado </v>
          </cell>
          <cell r="E37" t="str">
            <v>dia</v>
          </cell>
          <cell r="F37">
            <v>1</v>
          </cell>
          <cell r="G37">
            <v>71533.333333333328</v>
          </cell>
        </row>
        <row r="38">
          <cell r="C38" t="str">
            <v>MO-16</v>
          </cell>
          <cell r="D38" t="str">
            <v>Obreros de hincado (2)</v>
          </cell>
          <cell r="E38" t="str">
            <v>dia</v>
          </cell>
          <cell r="F38">
            <v>1.87</v>
          </cell>
          <cell r="G38">
            <v>133767.33333333334</v>
          </cell>
        </row>
        <row r="39">
          <cell r="C39" t="str">
            <v>MO-17</v>
          </cell>
          <cell r="D39" t="str">
            <v xml:space="preserve">Obrero de izado </v>
          </cell>
          <cell r="E39" t="str">
            <v>dia</v>
          </cell>
          <cell r="F39">
            <v>1</v>
          </cell>
          <cell r="G39">
            <v>71533.333333333328</v>
          </cell>
        </row>
        <row r="40">
          <cell r="C40" t="str">
            <v>MO-18</v>
          </cell>
          <cell r="D40" t="str">
            <v>Obreros de izado (2)</v>
          </cell>
          <cell r="E40" t="str">
            <v>dia</v>
          </cell>
          <cell r="F40">
            <v>1.87</v>
          </cell>
          <cell r="G40">
            <v>133767.33333333334</v>
          </cell>
        </row>
        <row r="41">
          <cell r="C41" t="str">
            <v>MO-19</v>
          </cell>
          <cell r="D41" t="str">
            <v>Oficial</v>
          </cell>
          <cell r="E41" t="str">
            <v>dia</v>
          </cell>
          <cell r="F41">
            <v>1.7</v>
          </cell>
          <cell r="G41">
            <v>121606.66666666666</v>
          </cell>
        </row>
        <row r="42">
          <cell r="C42" t="str">
            <v>MO-20</v>
          </cell>
          <cell r="D42" t="str">
            <v>Oficial (2)</v>
          </cell>
          <cell r="E42" t="str">
            <v>dia</v>
          </cell>
          <cell r="F42">
            <v>3.4</v>
          </cell>
          <cell r="G42">
            <v>243213.33333333331</v>
          </cell>
        </row>
        <row r="43">
          <cell r="C43" t="str">
            <v>MO-21</v>
          </cell>
          <cell r="D43" t="str">
            <v>Oficial (3)</v>
          </cell>
          <cell r="E43" t="str">
            <v>dia</v>
          </cell>
          <cell r="F43">
            <v>5.0999999999999996</v>
          </cell>
          <cell r="G43">
            <v>364819.99999999994</v>
          </cell>
        </row>
        <row r="44">
          <cell r="C44" t="str">
            <v>MO-22</v>
          </cell>
          <cell r="D44" t="str">
            <v>Oficial + 3 Ayudantes (armado e inyección de anclajes)</v>
          </cell>
          <cell r="E44" t="str">
            <v>dia</v>
          </cell>
          <cell r="F44">
            <v>4.8499999999999996</v>
          </cell>
          <cell r="G44">
            <v>346936.66666666663</v>
          </cell>
        </row>
        <row r="45">
          <cell r="C45" t="str">
            <v>MO-23</v>
          </cell>
          <cell r="D45" t="str">
            <v>Oficial experto en desmontaje</v>
          </cell>
          <cell r="E45" t="str">
            <v>dia</v>
          </cell>
          <cell r="F45">
            <v>2</v>
          </cell>
          <cell r="G45">
            <v>143066.66666666666</v>
          </cell>
        </row>
        <row r="46">
          <cell r="C46" t="str">
            <v>MO-24</v>
          </cell>
          <cell r="D46" t="str">
            <v>Oficial experto en explosivos</v>
          </cell>
          <cell r="E46" t="str">
            <v>dia</v>
          </cell>
          <cell r="F46">
            <v>2.0499999999999998</v>
          </cell>
          <cell r="G46">
            <v>146643.33333333331</v>
          </cell>
        </row>
        <row r="47">
          <cell r="C47" t="str">
            <v>MO-25</v>
          </cell>
          <cell r="D47" t="str">
            <v xml:space="preserve">Oficial  Obrero (3) Cuadrilla de un oficial y 3 Obreros. </v>
          </cell>
          <cell r="E47" t="str">
            <v>dia</v>
          </cell>
          <cell r="F47">
            <v>4.7</v>
          </cell>
          <cell r="G47">
            <v>336206.66666666663</v>
          </cell>
        </row>
        <row r="48">
          <cell r="C48" t="str">
            <v>MO-26</v>
          </cell>
          <cell r="D48" t="str">
            <v>1 Oficial y 1 Obrero.</v>
          </cell>
          <cell r="E48" t="str">
            <v>día</v>
          </cell>
          <cell r="F48">
            <v>2.7</v>
          </cell>
          <cell r="G48">
            <v>193140</v>
          </cell>
        </row>
        <row r="49">
          <cell r="C49" t="str">
            <v>MO-27</v>
          </cell>
          <cell r="D49" t="str">
            <v>Cuadrilla de Un Oficial y (2) Obreros.</v>
          </cell>
          <cell r="E49" t="str">
            <v>día</v>
          </cell>
          <cell r="F49">
            <v>3.7</v>
          </cell>
          <cell r="G49">
            <v>264673.33333333331</v>
          </cell>
        </row>
        <row r="50">
          <cell r="C50" t="str">
            <v>MO-28</v>
          </cell>
          <cell r="D50" t="str">
            <v>Cuadrilla de un oficial y (4) Obreros.</v>
          </cell>
          <cell r="E50" t="str">
            <v>día</v>
          </cell>
          <cell r="F50">
            <v>5.7</v>
          </cell>
          <cell r="G50">
            <v>407740</v>
          </cell>
        </row>
        <row r="51">
          <cell r="C51" t="str">
            <v>MO-29</v>
          </cell>
          <cell r="D51" t="str">
            <v>Cuadrilla de desmontaje (10 personas)</v>
          </cell>
          <cell r="E51" t="str">
            <v>día</v>
          </cell>
          <cell r="F51">
            <v>9.3699999999999992</v>
          </cell>
          <cell r="G51">
            <v>670267.33333333326</v>
          </cell>
        </row>
        <row r="52">
          <cell r="C52" t="str">
            <v>MO-30</v>
          </cell>
          <cell r="D52" t="str">
            <v>Cuadrilla de fabricación</v>
          </cell>
          <cell r="E52" t="str">
            <v>día</v>
          </cell>
          <cell r="F52">
            <v>5.1100000000000003</v>
          </cell>
          <cell r="G52">
            <v>365535.33333333331</v>
          </cell>
        </row>
        <row r="53">
          <cell r="C53" t="str">
            <v>MO-31</v>
          </cell>
          <cell r="D53" t="str">
            <v>Cadenero</v>
          </cell>
          <cell r="E53" t="str">
            <v>día</v>
          </cell>
          <cell r="F53">
            <v>1.1499999999999999</v>
          </cell>
          <cell r="G53">
            <v>82263.333333333328</v>
          </cell>
        </row>
        <row r="54">
          <cell r="C54" t="str">
            <v>MO-32</v>
          </cell>
          <cell r="D54" t="str">
            <v>Cadeneros (2)</v>
          </cell>
          <cell r="E54" t="str">
            <v>día</v>
          </cell>
          <cell r="F54">
            <v>2.2999999999999998</v>
          </cell>
          <cell r="G54">
            <v>164526.66666666666</v>
          </cell>
        </row>
        <row r="55">
          <cell r="C55" t="str">
            <v>MO-33</v>
          </cell>
          <cell r="D55" t="str">
            <v>Carpintero</v>
          </cell>
          <cell r="E55" t="str">
            <v>día</v>
          </cell>
          <cell r="F55">
            <v>2</v>
          </cell>
          <cell r="G55">
            <v>143066.66666666666</v>
          </cell>
        </row>
        <row r="56">
          <cell r="C56" t="str">
            <v>MO-34</v>
          </cell>
          <cell r="D56" t="str">
            <v>Armador</v>
          </cell>
          <cell r="E56" t="str">
            <v>día</v>
          </cell>
          <cell r="F56">
            <v>1.05</v>
          </cell>
          <cell r="G56">
            <v>75110</v>
          </cell>
        </row>
        <row r="57">
          <cell r="C57" t="str">
            <v>MO-35</v>
          </cell>
          <cell r="D57" t="str">
            <v>Paletero</v>
          </cell>
          <cell r="E57" t="str">
            <v>día</v>
          </cell>
          <cell r="F57">
            <v>1</v>
          </cell>
          <cell r="G57">
            <v>71533.333333333328</v>
          </cell>
        </row>
        <row r="58">
          <cell r="C58" t="str">
            <v>MO-36</v>
          </cell>
          <cell r="D58" t="str">
            <v>Paletero (2)</v>
          </cell>
          <cell r="E58" t="str">
            <v>día</v>
          </cell>
          <cell r="F58">
            <v>2</v>
          </cell>
          <cell r="G58">
            <v>143066.66666666666</v>
          </cell>
        </row>
        <row r="59">
          <cell r="C59" t="str">
            <v>MO-37</v>
          </cell>
          <cell r="D59" t="str">
            <v>Rastrillero</v>
          </cell>
          <cell r="E59" t="str">
            <v>día</v>
          </cell>
          <cell r="F59">
            <v>1.28</v>
          </cell>
          <cell r="G59">
            <v>91562.666666666657</v>
          </cell>
        </row>
        <row r="60">
          <cell r="C60" t="str">
            <v>MO-38</v>
          </cell>
          <cell r="D60" t="str">
            <v>Rastrilleros (2)</v>
          </cell>
          <cell r="E60" t="str">
            <v>día</v>
          </cell>
          <cell r="F60">
            <v>2.56</v>
          </cell>
          <cell r="G60">
            <v>183125.33333333331</v>
          </cell>
        </row>
        <row r="61">
          <cell r="C61" t="str">
            <v>MO-39</v>
          </cell>
          <cell r="D61" t="str">
            <v>Cortador</v>
          </cell>
          <cell r="E61" t="str">
            <v>día</v>
          </cell>
          <cell r="F61">
            <v>1.3</v>
          </cell>
          <cell r="G61">
            <v>92993.333333333328</v>
          </cell>
        </row>
        <row r="62">
          <cell r="C62" t="str">
            <v>MO-40</v>
          </cell>
          <cell r="D62" t="str">
            <v>Operador prueba de integridad</v>
          </cell>
          <cell r="E62" t="str">
            <v>día</v>
          </cell>
          <cell r="F62">
            <v>2.13</v>
          </cell>
          <cell r="G62">
            <v>152365.99999999997</v>
          </cell>
        </row>
        <row r="63">
          <cell r="C63" t="str">
            <v>MO-41</v>
          </cell>
          <cell r="D63" t="str">
            <v xml:space="preserve">Operador de maquinaria pesada </v>
          </cell>
          <cell r="E63" t="str">
            <v>día</v>
          </cell>
          <cell r="F63">
            <v>2.13</v>
          </cell>
          <cell r="G63">
            <v>152365.99999999997</v>
          </cell>
        </row>
        <row r="64">
          <cell r="C64" t="str">
            <v>MO-42</v>
          </cell>
          <cell r="D64" t="str">
            <v>Perforador</v>
          </cell>
          <cell r="E64" t="str">
            <v>día</v>
          </cell>
          <cell r="F64">
            <v>1.7</v>
          </cell>
          <cell r="G64">
            <v>121606.66666666666</v>
          </cell>
        </row>
        <row r="65">
          <cell r="C65" t="str">
            <v>MO-43</v>
          </cell>
          <cell r="D65" t="str">
            <v>Perforador + Ayudante1 + Ayudante2</v>
          </cell>
          <cell r="E65" t="str">
            <v>día</v>
          </cell>
          <cell r="F65">
            <v>3.8</v>
          </cell>
          <cell r="G65">
            <v>271826.66666666663</v>
          </cell>
        </row>
        <row r="66">
          <cell r="C66" t="str">
            <v>MO-44</v>
          </cell>
          <cell r="D66" t="str">
            <v>Soldador</v>
          </cell>
          <cell r="E66" t="str">
            <v>día</v>
          </cell>
          <cell r="F66">
            <v>1.7</v>
          </cell>
          <cell r="G66">
            <v>121606.66666666666</v>
          </cell>
        </row>
        <row r="67">
          <cell r="C67" t="str">
            <v>MO-45</v>
          </cell>
          <cell r="D67" t="str">
            <v>Soldador (2)</v>
          </cell>
          <cell r="E67" t="str">
            <v>día</v>
          </cell>
          <cell r="F67">
            <v>3.4</v>
          </cell>
          <cell r="G67">
            <v>243213.33333333331</v>
          </cell>
        </row>
        <row r="68">
          <cell r="C68" t="str">
            <v>MO-46</v>
          </cell>
          <cell r="D68" t="str">
            <v>Soldador 1A</v>
          </cell>
          <cell r="E68" t="str">
            <v>día</v>
          </cell>
          <cell r="F68">
            <v>2.14</v>
          </cell>
          <cell r="G68">
            <v>153081.33333333334</v>
          </cell>
        </row>
        <row r="69">
          <cell r="C69" t="str">
            <v>MO-47</v>
          </cell>
          <cell r="D69" t="str">
            <v>Soldador experto en montaje y pruebas</v>
          </cell>
          <cell r="E69" t="str">
            <v>día</v>
          </cell>
          <cell r="F69">
            <v>2.14</v>
          </cell>
          <cell r="G69">
            <v>153081.33333333334</v>
          </cell>
        </row>
        <row r="70">
          <cell r="C70" t="str">
            <v>MO-48</v>
          </cell>
          <cell r="D70" t="str">
            <v>Celador</v>
          </cell>
          <cell r="E70" t="str">
            <v>día</v>
          </cell>
          <cell r="F70">
            <v>1</v>
          </cell>
          <cell r="G70">
            <v>71533.333333333328</v>
          </cell>
        </row>
        <row r="71">
          <cell r="C71" t="str">
            <v>MO-49</v>
          </cell>
          <cell r="D71" t="str">
            <v xml:space="preserve">Inspector </v>
          </cell>
          <cell r="E71" t="str">
            <v>día</v>
          </cell>
          <cell r="F71">
            <v>1.6</v>
          </cell>
          <cell r="G71">
            <v>114453.33333333333</v>
          </cell>
        </row>
        <row r="72">
          <cell r="C72" t="str">
            <v>MO-50</v>
          </cell>
          <cell r="D72" t="str">
            <v>Inspector de fabricación y montaje</v>
          </cell>
          <cell r="E72" t="str">
            <v>día</v>
          </cell>
          <cell r="F72">
            <v>2</v>
          </cell>
          <cell r="G72">
            <v>143066.66666666666</v>
          </cell>
        </row>
        <row r="73">
          <cell r="C73" t="str">
            <v>MO-51</v>
          </cell>
          <cell r="D73" t="str">
            <v>Técnico electricista</v>
          </cell>
          <cell r="E73" t="str">
            <v>día</v>
          </cell>
          <cell r="F73">
            <v>1.6</v>
          </cell>
          <cell r="G73">
            <v>114453.33333333333</v>
          </cell>
        </row>
        <row r="74">
          <cell r="C74" t="str">
            <v>MO-52</v>
          </cell>
          <cell r="D74" t="str">
            <v>Técnico y/o profesionale HSEQ para obra</v>
          </cell>
          <cell r="E74" t="str">
            <v>día</v>
          </cell>
          <cell r="F74">
            <v>1.5</v>
          </cell>
          <cell r="G74">
            <v>107300</v>
          </cell>
        </row>
        <row r="75">
          <cell r="C75" t="str">
            <v>MO-53</v>
          </cell>
          <cell r="D75" t="str">
            <v>Topógrafo</v>
          </cell>
          <cell r="E75" t="str">
            <v>día</v>
          </cell>
          <cell r="F75">
            <v>2.4</v>
          </cell>
          <cell r="G75">
            <v>171679.99999999997</v>
          </cell>
        </row>
        <row r="76">
          <cell r="C76" t="str">
            <v>MO-54</v>
          </cell>
          <cell r="D76" t="str">
            <v>Calculista</v>
          </cell>
          <cell r="E76" t="str">
            <v>día</v>
          </cell>
          <cell r="F76">
            <v>5</v>
          </cell>
          <cell r="G76">
            <v>357666.66666666663</v>
          </cell>
        </row>
        <row r="77">
          <cell r="C77" t="str">
            <v>MO-55</v>
          </cell>
          <cell r="D77" t="str">
            <v>Dibujante</v>
          </cell>
          <cell r="E77" t="str">
            <v>día</v>
          </cell>
          <cell r="F77">
            <v>1.5</v>
          </cell>
          <cell r="G77">
            <v>107300</v>
          </cell>
        </row>
        <row r="78">
          <cell r="C78" t="str">
            <v>MO-56</v>
          </cell>
          <cell r="D78" t="str">
            <v>Dibujante 2</v>
          </cell>
          <cell r="E78" t="str">
            <v>día</v>
          </cell>
          <cell r="F78">
            <v>1.5</v>
          </cell>
          <cell r="G78">
            <v>107300</v>
          </cell>
        </row>
        <row r="79">
          <cell r="C79" t="str">
            <v>MO-57</v>
          </cell>
          <cell r="D79" t="str">
            <v xml:space="preserve">Técnico agricola, técnico en botanica y/o jardinero </v>
          </cell>
          <cell r="E79" t="str">
            <v>día</v>
          </cell>
          <cell r="F79">
            <v>1</v>
          </cell>
          <cell r="G79">
            <v>71533.333333333328</v>
          </cell>
        </row>
        <row r="80">
          <cell r="C80" t="str">
            <v>MO-58</v>
          </cell>
          <cell r="D80" t="str">
            <v>Ingeniero de montaje y prueba</v>
          </cell>
          <cell r="E80" t="str">
            <v>día</v>
          </cell>
          <cell r="F80">
            <v>7.76</v>
          </cell>
          <cell r="G80">
            <v>555098.66666666663</v>
          </cell>
        </row>
        <row r="81">
          <cell r="C81" t="str">
            <v>MO-59</v>
          </cell>
          <cell r="D81" t="str">
            <v>Ingeniero de Montaje y Prueba Pilote 1</v>
          </cell>
          <cell r="E81" t="str">
            <v>día</v>
          </cell>
          <cell r="F81">
            <v>7.62</v>
          </cell>
          <cell r="G81">
            <v>545084</v>
          </cell>
        </row>
        <row r="82">
          <cell r="C82" t="str">
            <v>MO-60</v>
          </cell>
          <cell r="D82" t="str">
            <v>Ingeniero Especialista prueba de  integridad</v>
          </cell>
          <cell r="E82" t="str">
            <v>día</v>
          </cell>
          <cell r="F82">
            <v>6.55</v>
          </cell>
          <cell r="G82">
            <v>468543.33333333331</v>
          </cell>
        </row>
        <row r="83">
          <cell r="C83" t="str">
            <v>MO-61</v>
          </cell>
          <cell r="D83" t="str">
            <v xml:space="preserve">Ingeniero Geotecnista </v>
          </cell>
          <cell r="E83" t="str">
            <v>día</v>
          </cell>
          <cell r="F83">
            <v>6.55</v>
          </cell>
          <cell r="G83">
            <v>468543.33333333331</v>
          </cell>
        </row>
        <row r="84">
          <cell r="C84" t="str">
            <v>MO-62</v>
          </cell>
          <cell r="D84" t="str">
            <v>Ingeniero supervisor</v>
          </cell>
          <cell r="E84" t="str">
            <v>día</v>
          </cell>
          <cell r="F84">
            <v>5.9</v>
          </cell>
          <cell r="G84">
            <v>422046.66666666669</v>
          </cell>
        </row>
        <row r="85">
          <cell r="C85" t="str">
            <v>MO-63</v>
          </cell>
          <cell r="D85" t="str">
            <v>Ingeniero supervisor y director de prueba</v>
          </cell>
          <cell r="E85" t="str">
            <v>día</v>
          </cell>
          <cell r="F85">
            <v>9.1</v>
          </cell>
          <cell r="G85">
            <v>650953.33333333326</v>
          </cell>
        </row>
        <row r="86">
          <cell r="C86" t="str">
            <v>MO-64</v>
          </cell>
          <cell r="D86" t="str">
            <v>Ingeniero Supervisor y Director de Prueba Pilote</v>
          </cell>
          <cell r="E86" t="str">
            <v>día</v>
          </cell>
          <cell r="F86">
            <v>9.1</v>
          </cell>
          <cell r="G86">
            <v>650953.33333333326</v>
          </cell>
        </row>
        <row r="87">
          <cell r="C87" t="str">
            <v>MO-65</v>
          </cell>
          <cell r="D87" t="str">
            <v xml:space="preserve">Inspector de fabricacion montaje y pintura </v>
          </cell>
          <cell r="E87" t="str">
            <v>día</v>
          </cell>
          <cell r="F87">
            <v>2.2000000000000002</v>
          </cell>
          <cell r="G87">
            <v>157373.33333333334</v>
          </cell>
        </row>
        <row r="88">
          <cell r="C88" t="str">
            <v>MO-66</v>
          </cell>
          <cell r="D88" t="str">
            <v>Topografo (1)</v>
          </cell>
          <cell r="E88" t="str">
            <v>día</v>
          </cell>
          <cell r="F88">
            <v>2</v>
          </cell>
          <cell r="G88">
            <v>143066.66666666666</v>
          </cell>
        </row>
        <row r="89">
          <cell r="C89" t="str">
            <v>MO-67</v>
          </cell>
          <cell r="D89" t="str">
            <v>Cadenero (1)</v>
          </cell>
          <cell r="E89" t="str">
            <v>día</v>
          </cell>
          <cell r="F89">
            <v>1.5</v>
          </cell>
          <cell r="G89">
            <v>107300</v>
          </cell>
        </row>
        <row r="90">
          <cell r="C90"/>
          <cell r="E90"/>
          <cell r="F90"/>
        </row>
        <row r="91">
          <cell r="C91"/>
          <cell r="E91"/>
          <cell r="F91"/>
        </row>
        <row r="92">
          <cell r="C92"/>
          <cell r="E92"/>
          <cell r="F92"/>
        </row>
        <row r="93">
          <cell r="C93"/>
          <cell r="E93"/>
          <cell r="F93"/>
        </row>
        <row r="94">
          <cell r="C94"/>
          <cell r="E94"/>
          <cell r="F94"/>
        </row>
        <row r="95">
          <cell r="C95"/>
          <cell r="E95"/>
          <cell r="F95"/>
        </row>
        <row r="96">
          <cell r="C96"/>
          <cell r="E96"/>
          <cell r="F96"/>
        </row>
      </sheetData>
      <sheetData sheetId="17"/>
      <sheetData sheetId="18"/>
      <sheetData sheetId="19"/>
      <sheetData sheetId="20">
        <row r="12">
          <cell r="C12" t="str">
            <v>T-01</v>
          </cell>
          <cell r="D12" t="str">
            <v>Transporte de acero</v>
          </cell>
          <cell r="E12" t="str">
            <v>kg-km</v>
          </cell>
          <cell r="F12">
            <v>0.72</v>
          </cell>
        </row>
        <row r="13">
          <cell r="C13" t="str">
            <v>T-02</v>
          </cell>
          <cell r="D13" t="str">
            <v>Transporte de agregados</v>
          </cell>
          <cell r="E13" t="str">
            <v>m3-km</v>
          </cell>
          <cell r="F13">
            <v>1503</v>
          </cell>
        </row>
        <row r="14">
          <cell r="C14" t="str">
            <v>T-03</v>
          </cell>
          <cell r="D14" t="str">
            <v>Transporte de arena</v>
          </cell>
          <cell r="E14" t="str">
            <v>m3-km</v>
          </cell>
          <cell r="F14">
            <v>1503</v>
          </cell>
        </row>
        <row r="15">
          <cell r="C15" t="str">
            <v>T-04</v>
          </cell>
          <cell r="D15" t="str">
            <v>Transporte de barrera de seguridad en concreto</v>
          </cell>
          <cell r="E15" t="str">
            <v>m3-km</v>
          </cell>
          <cell r="F15">
            <v>1503</v>
          </cell>
        </row>
        <row r="16">
          <cell r="C16" t="str">
            <v>T-05</v>
          </cell>
          <cell r="D16" t="str">
            <v>Transporte de cemento hidráulico</v>
          </cell>
          <cell r="E16" t="str">
            <v>kg-km</v>
          </cell>
          <cell r="F16">
            <v>0.7</v>
          </cell>
        </row>
        <row r="17">
          <cell r="C17" t="str">
            <v>T-06</v>
          </cell>
          <cell r="D17" t="str">
            <v>Transporte de concreto</v>
          </cell>
          <cell r="E17" t="str">
            <v>m3-km</v>
          </cell>
          <cell r="F17">
            <v>1503</v>
          </cell>
        </row>
        <row r="18">
          <cell r="C18" t="str">
            <v>T-07</v>
          </cell>
          <cell r="D18" t="str">
            <v>Transporte de material de afirmado</v>
          </cell>
          <cell r="E18" t="str">
            <v>m3-km</v>
          </cell>
          <cell r="F18">
            <v>1503</v>
          </cell>
        </row>
        <row r="19">
          <cell r="C19"/>
          <cell r="D19"/>
          <cell r="E19"/>
          <cell r="F19"/>
        </row>
        <row r="20">
          <cell r="C20"/>
          <cell r="D20"/>
          <cell r="E20"/>
          <cell r="F20"/>
        </row>
        <row r="21">
          <cell r="C21"/>
          <cell r="D21"/>
          <cell r="E21"/>
          <cell r="F21"/>
        </row>
        <row r="23">
          <cell r="C23"/>
          <cell r="E23"/>
        </row>
        <row r="24">
          <cell r="C24"/>
          <cell r="E24"/>
        </row>
        <row r="25">
          <cell r="C25"/>
          <cell r="E25"/>
        </row>
        <row r="26">
          <cell r="C26"/>
          <cell r="E26"/>
        </row>
        <row r="27">
          <cell r="C27"/>
          <cell r="E27"/>
        </row>
        <row r="28">
          <cell r="C28"/>
          <cell r="E28"/>
        </row>
        <row r="29">
          <cell r="C29"/>
          <cell r="E29"/>
        </row>
        <row r="30">
          <cell r="C30"/>
          <cell r="E30"/>
        </row>
        <row r="31">
          <cell r="C31"/>
          <cell r="E31"/>
        </row>
        <row r="32">
          <cell r="C32"/>
          <cell r="E32"/>
        </row>
        <row r="33">
          <cell r="C33"/>
          <cell r="E33"/>
        </row>
        <row r="34">
          <cell r="C34"/>
          <cell r="E34"/>
        </row>
        <row r="35">
          <cell r="C35"/>
          <cell r="E35"/>
        </row>
        <row r="36">
          <cell r="C36"/>
          <cell r="E36"/>
        </row>
        <row r="37">
          <cell r="C37"/>
          <cell r="E37"/>
        </row>
        <row r="38">
          <cell r="C38"/>
          <cell r="E38"/>
        </row>
        <row r="39">
          <cell r="C39"/>
          <cell r="E39"/>
        </row>
        <row r="40">
          <cell r="C40"/>
          <cell r="E40"/>
        </row>
        <row r="41">
          <cell r="C41"/>
          <cell r="E41"/>
        </row>
        <row r="42">
          <cell r="C42"/>
          <cell r="E42"/>
        </row>
        <row r="43">
          <cell r="C43"/>
          <cell r="E43"/>
        </row>
        <row r="44">
          <cell r="C44"/>
          <cell r="E44"/>
        </row>
        <row r="45">
          <cell r="C45"/>
          <cell r="E45"/>
        </row>
        <row r="46">
          <cell r="C46"/>
          <cell r="E46"/>
        </row>
        <row r="47">
          <cell r="C47"/>
          <cell r="E47"/>
        </row>
        <row r="48">
          <cell r="C48"/>
          <cell r="E48"/>
        </row>
        <row r="49">
          <cell r="C49"/>
          <cell r="E49"/>
        </row>
        <row r="50">
          <cell r="C50"/>
          <cell r="E50"/>
        </row>
        <row r="51">
          <cell r="C51"/>
          <cell r="E51"/>
        </row>
        <row r="52">
          <cell r="C52"/>
          <cell r="E52"/>
        </row>
        <row r="53">
          <cell r="C53"/>
          <cell r="E53"/>
        </row>
        <row r="54">
          <cell r="C54"/>
          <cell r="E54"/>
        </row>
        <row r="55">
          <cell r="C55"/>
          <cell r="E55"/>
        </row>
        <row r="56">
          <cell r="C56"/>
          <cell r="E56"/>
        </row>
        <row r="57">
          <cell r="C57"/>
          <cell r="E57"/>
        </row>
        <row r="58">
          <cell r="C58"/>
          <cell r="E58"/>
        </row>
        <row r="59">
          <cell r="C59"/>
          <cell r="E59"/>
        </row>
        <row r="60">
          <cell r="C60"/>
          <cell r="E60"/>
        </row>
        <row r="61">
          <cell r="C61"/>
          <cell r="E61"/>
        </row>
        <row r="62">
          <cell r="C62"/>
          <cell r="E62"/>
        </row>
        <row r="63">
          <cell r="C63"/>
          <cell r="E63"/>
        </row>
        <row r="64">
          <cell r="C64"/>
          <cell r="E64"/>
        </row>
        <row r="65">
          <cell r="C65"/>
          <cell r="E65"/>
        </row>
        <row r="66">
          <cell r="C66"/>
          <cell r="E66"/>
        </row>
        <row r="67">
          <cell r="C67"/>
          <cell r="E67"/>
        </row>
        <row r="68">
          <cell r="C68"/>
          <cell r="E68"/>
        </row>
        <row r="69">
          <cell r="C69"/>
          <cell r="E69"/>
        </row>
        <row r="70">
          <cell r="C70"/>
          <cell r="E70"/>
        </row>
        <row r="71">
          <cell r="C71"/>
          <cell r="E71"/>
        </row>
        <row r="72">
          <cell r="C72"/>
          <cell r="E72"/>
        </row>
        <row r="73">
          <cell r="C73"/>
          <cell r="E73"/>
        </row>
        <row r="74">
          <cell r="C74"/>
          <cell r="E74"/>
        </row>
        <row r="75">
          <cell r="C75"/>
          <cell r="E75"/>
        </row>
        <row r="76">
          <cell r="C76"/>
          <cell r="E76"/>
        </row>
        <row r="77">
          <cell r="C77"/>
          <cell r="E77"/>
        </row>
        <row r="78">
          <cell r="C78"/>
          <cell r="E78"/>
        </row>
        <row r="79">
          <cell r="C79"/>
          <cell r="E79"/>
        </row>
        <row r="80">
          <cell r="C80"/>
          <cell r="E80"/>
        </row>
        <row r="81">
          <cell r="C81"/>
          <cell r="E81"/>
        </row>
        <row r="82">
          <cell r="C82"/>
          <cell r="E82"/>
        </row>
        <row r="83">
          <cell r="C83"/>
          <cell r="E83"/>
        </row>
        <row r="84">
          <cell r="C84"/>
          <cell r="E84"/>
        </row>
        <row r="85">
          <cell r="C85"/>
          <cell r="E85"/>
        </row>
        <row r="86">
          <cell r="C86"/>
          <cell r="E86"/>
        </row>
        <row r="87">
          <cell r="C87"/>
          <cell r="E87"/>
        </row>
        <row r="88">
          <cell r="C88"/>
          <cell r="E88"/>
        </row>
        <row r="89">
          <cell r="C89"/>
          <cell r="E89"/>
        </row>
        <row r="90">
          <cell r="C90"/>
          <cell r="E90"/>
        </row>
        <row r="91">
          <cell r="C91"/>
          <cell r="E91"/>
        </row>
        <row r="92">
          <cell r="C92"/>
          <cell r="E92"/>
        </row>
        <row r="93">
          <cell r="C93"/>
          <cell r="E93"/>
        </row>
        <row r="94">
          <cell r="C94"/>
          <cell r="E94"/>
        </row>
        <row r="95">
          <cell r="C95"/>
          <cell r="E95"/>
        </row>
        <row r="96">
          <cell r="C96"/>
          <cell r="E96"/>
        </row>
        <row r="97">
          <cell r="C97"/>
          <cell r="E97"/>
        </row>
        <row r="98">
          <cell r="C98"/>
          <cell r="E98"/>
        </row>
        <row r="99">
          <cell r="C99"/>
          <cell r="E99"/>
        </row>
        <row r="100">
          <cell r="C100"/>
          <cell r="E100"/>
        </row>
        <row r="101">
          <cell r="C101"/>
          <cell r="E101"/>
        </row>
        <row r="102">
          <cell r="C102"/>
          <cell r="E102"/>
        </row>
        <row r="103">
          <cell r="C103"/>
          <cell r="E103"/>
        </row>
        <row r="104">
          <cell r="C104"/>
          <cell r="E104"/>
        </row>
        <row r="105">
          <cell r="C105"/>
          <cell r="E105"/>
        </row>
        <row r="106">
          <cell r="C106"/>
          <cell r="E106"/>
        </row>
        <row r="107">
          <cell r="C107"/>
          <cell r="E107"/>
        </row>
        <row r="108">
          <cell r="C108"/>
          <cell r="E108"/>
        </row>
        <row r="109">
          <cell r="C109"/>
          <cell r="E109"/>
        </row>
        <row r="110">
          <cell r="C110"/>
          <cell r="E110"/>
        </row>
        <row r="111">
          <cell r="C111"/>
          <cell r="E111"/>
        </row>
        <row r="112">
          <cell r="C112"/>
          <cell r="E112"/>
        </row>
        <row r="113">
          <cell r="C113"/>
          <cell r="E113"/>
        </row>
        <row r="114">
          <cell r="C114"/>
          <cell r="E114"/>
        </row>
        <row r="115">
          <cell r="C115"/>
          <cell r="E115"/>
        </row>
        <row r="116">
          <cell r="C116"/>
          <cell r="E116"/>
        </row>
        <row r="117">
          <cell r="C117"/>
          <cell r="E117"/>
        </row>
        <row r="118">
          <cell r="C118"/>
          <cell r="E118"/>
        </row>
        <row r="119">
          <cell r="C119"/>
          <cell r="E119"/>
        </row>
        <row r="120">
          <cell r="C120"/>
          <cell r="E120"/>
        </row>
        <row r="121">
          <cell r="C121"/>
          <cell r="E121"/>
        </row>
        <row r="122">
          <cell r="C122"/>
          <cell r="E122"/>
        </row>
        <row r="123">
          <cell r="C123"/>
          <cell r="E123"/>
        </row>
        <row r="124">
          <cell r="C124"/>
          <cell r="E124"/>
        </row>
        <row r="125">
          <cell r="C125"/>
          <cell r="E125"/>
        </row>
        <row r="126">
          <cell r="C126"/>
          <cell r="E126"/>
        </row>
        <row r="127">
          <cell r="C127"/>
          <cell r="E127"/>
        </row>
        <row r="128">
          <cell r="C128"/>
          <cell r="E128"/>
        </row>
        <row r="129">
          <cell r="C129"/>
          <cell r="E129"/>
        </row>
        <row r="130">
          <cell r="C130"/>
          <cell r="E130"/>
        </row>
        <row r="131">
          <cell r="C131"/>
          <cell r="E131"/>
        </row>
        <row r="132">
          <cell r="C132"/>
          <cell r="E132"/>
        </row>
        <row r="133">
          <cell r="C133"/>
          <cell r="E133"/>
        </row>
        <row r="134">
          <cell r="C134"/>
          <cell r="E134"/>
        </row>
        <row r="135">
          <cell r="C135"/>
          <cell r="E135"/>
        </row>
        <row r="136">
          <cell r="C136"/>
          <cell r="E136"/>
        </row>
        <row r="137">
          <cell r="C137"/>
          <cell r="E137"/>
        </row>
        <row r="138">
          <cell r="C138"/>
          <cell r="E138"/>
        </row>
        <row r="139">
          <cell r="C139"/>
          <cell r="E139"/>
        </row>
        <row r="140">
          <cell r="C140"/>
          <cell r="E140"/>
        </row>
        <row r="141">
          <cell r="C141"/>
          <cell r="E141"/>
        </row>
        <row r="142">
          <cell r="C142"/>
          <cell r="E142"/>
        </row>
        <row r="143">
          <cell r="C143"/>
          <cell r="E143"/>
        </row>
        <row r="144">
          <cell r="C144"/>
          <cell r="E144"/>
        </row>
        <row r="145">
          <cell r="C145"/>
          <cell r="E145"/>
        </row>
        <row r="146">
          <cell r="C146"/>
          <cell r="E146"/>
        </row>
        <row r="147">
          <cell r="C147"/>
          <cell r="E147"/>
        </row>
        <row r="148">
          <cell r="C148"/>
          <cell r="E148"/>
        </row>
        <row r="149">
          <cell r="C149"/>
          <cell r="E149"/>
        </row>
        <row r="150">
          <cell r="C150"/>
          <cell r="E150"/>
        </row>
        <row r="151">
          <cell r="C151"/>
          <cell r="E151"/>
        </row>
        <row r="152">
          <cell r="C152"/>
          <cell r="E152"/>
        </row>
        <row r="153">
          <cell r="C153"/>
          <cell r="E153"/>
        </row>
        <row r="154">
          <cell r="C154"/>
          <cell r="E154"/>
        </row>
        <row r="155">
          <cell r="C155"/>
          <cell r="E155"/>
        </row>
        <row r="156">
          <cell r="C156"/>
          <cell r="E156"/>
        </row>
        <row r="157">
          <cell r="C157"/>
          <cell r="E157"/>
        </row>
        <row r="158">
          <cell r="C158"/>
          <cell r="E158"/>
        </row>
        <row r="159">
          <cell r="C159"/>
          <cell r="E159"/>
        </row>
        <row r="160">
          <cell r="C160"/>
          <cell r="E160"/>
        </row>
        <row r="161">
          <cell r="C161"/>
          <cell r="E161"/>
        </row>
        <row r="162">
          <cell r="C162"/>
          <cell r="E162"/>
        </row>
        <row r="163">
          <cell r="C163"/>
          <cell r="E163"/>
        </row>
        <row r="164">
          <cell r="C164"/>
          <cell r="E164"/>
        </row>
        <row r="165">
          <cell r="C165"/>
          <cell r="E165"/>
        </row>
        <row r="166">
          <cell r="C166"/>
          <cell r="E166"/>
        </row>
        <row r="167">
          <cell r="C167"/>
          <cell r="E167"/>
        </row>
        <row r="168">
          <cell r="C168"/>
          <cell r="E168"/>
        </row>
        <row r="169">
          <cell r="C169"/>
          <cell r="E169"/>
        </row>
        <row r="170">
          <cell r="C170"/>
          <cell r="E170"/>
        </row>
        <row r="171">
          <cell r="C171"/>
          <cell r="E171"/>
        </row>
        <row r="172">
          <cell r="C172"/>
          <cell r="E172"/>
        </row>
        <row r="173">
          <cell r="C173"/>
          <cell r="E173"/>
        </row>
        <row r="174">
          <cell r="C174"/>
          <cell r="E174"/>
        </row>
        <row r="175">
          <cell r="C175"/>
          <cell r="E175"/>
        </row>
        <row r="176">
          <cell r="C176"/>
          <cell r="E176"/>
        </row>
        <row r="177">
          <cell r="C177"/>
          <cell r="E177"/>
        </row>
        <row r="178">
          <cell r="C178"/>
          <cell r="E178"/>
        </row>
        <row r="179">
          <cell r="C179"/>
          <cell r="E179"/>
        </row>
        <row r="180">
          <cell r="C180"/>
          <cell r="E180"/>
        </row>
        <row r="181">
          <cell r="C181"/>
          <cell r="E181"/>
        </row>
        <row r="182">
          <cell r="C182"/>
          <cell r="E182"/>
        </row>
        <row r="183">
          <cell r="C183"/>
          <cell r="E183"/>
        </row>
        <row r="184">
          <cell r="C184"/>
          <cell r="E184"/>
        </row>
        <row r="185">
          <cell r="C185"/>
          <cell r="E185"/>
        </row>
        <row r="186">
          <cell r="C186"/>
          <cell r="E186"/>
        </row>
        <row r="187">
          <cell r="C187"/>
          <cell r="E187"/>
        </row>
        <row r="188">
          <cell r="C188"/>
          <cell r="E188"/>
        </row>
        <row r="189">
          <cell r="C189"/>
          <cell r="E189"/>
        </row>
        <row r="190">
          <cell r="C190"/>
          <cell r="E190"/>
        </row>
        <row r="191">
          <cell r="C191"/>
          <cell r="E191"/>
        </row>
        <row r="192">
          <cell r="C192"/>
          <cell r="E192"/>
        </row>
        <row r="193">
          <cell r="C193"/>
          <cell r="E193"/>
        </row>
        <row r="194">
          <cell r="C194"/>
          <cell r="E194"/>
        </row>
        <row r="195">
          <cell r="C195"/>
          <cell r="E195"/>
        </row>
        <row r="196">
          <cell r="C196"/>
          <cell r="E196"/>
        </row>
        <row r="197">
          <cell r="C197"/>
          <cell r="E197"/>
        </row>
        <row r="198">
          <cell r="C198"/>
          <cell r="E198"/>
        </row>
        <row r="199">
          <cell r="C199"/>
          <cell r="E199"/>
        </row>
        <row r="200">
          <cell r="C200"/>
          <cell r="E200"/>
        </row>
        <row r="201">
          <cell r="C201"/>
          <cell r="E201"/>
        </row>
        <row r="202">
          <cell r="C202"/>
          <cell r="E202"/>
        </row>
        <row r="203">
          <cell r="C203"/>
          <cell r="E203"/>
        </row>
        <row r="204">
          <cell r="C204"/>
          <cell r="E204"/>
        </row>
        <row r="205">
          <cell r="C205"/>
          <cell r="E205"/>
        </row>
        <row r="206">
          <cell r="C206"/>
          <cell r="E206"/>
        </row>
        <row r="207">
          <cell r="C207"/>
          <cell r="E207"/>
        </row>
        <row r="208">
          <cell r="C208"/>
          <cell r="E208"/>
        </row>
        <row r="209">
          <cell r="C209"/>
          <cell r="E209"/>
        </row>
        <row r="210">
          <cell r="C210"/>
          <cell r="E210"/>
        </row>
        <row r="211">
          <cell r="C211"/>
          <cell r="E211"/>
        </row>
        <row r="212">
          <cell r="C212"/>
          <cell r="E212"/>
        </row>
        <row r="213">
          <cell r="C213"/>
          <cell r="E213"/>
        </row>
        <row r="214">
          <cell r="C214"/>
          <cell r="E214"/>
        </row>
        <row r="215">
          <cell r="C215"/>
          <cell r="E215"/>
        </row>
        <row r="216">
          <cell r="C216"/>
          <cell r="E216"/>
        </row>
        <row r="217">
          <cell r="C217"/>
          <cell r="E217"/>
        </row>
        <row r="218">
          <cell r="C218"/>
          <cell r="E218"/>
        </row>
        <row r="219">
          <cell r="C219"/>
          <cell r="E219"/>
        </row>
        <row r="220">
          <cell r="C220"/>
          <cell r="E220"/>
        </row>
        <row r="221">
          <cell r="C221"/>
          <cell r="E221"/>
        </row>
        <row r="222">
          <cell r="C222"/>
          <cell r="E222"/>
        </row>
        <row r="223">
          <cell r="C223"/>
          <cell r="E223"/>
        </row>
        <row r="224">
          <cell r="C224"/>
          <cell r="E224"/>
        </row>
        <row r="225">
          <cell r="C225"/>
          <cell r="E225"/>
        </row>
        <row r="226">
          <cell r="C226"/>
          <cell r="E226"/>
        </row>
        <row r="227">
          <cell r="C227"/>
          <cell r="E227"/>
        </row>
        <row r="228">
          <cell r="C228"/>
          <cell r="E228"/>
        </row>
        <row r="229">
          <cell r="C229"/>
          <cell r="E229"/>
        </row>
        <row r="230">
          <cell r="C230"/>
          <cell r="E230"/>
        </row>
        <row r="231">
          <cell r="C231"/>
          <cell r="E231"/>
        </row>
        <row r="232">
          <cell r="C232"/>
          <cell r="E232"/>
        </row>
        <row r="233">
          <cell r="C233"/>
          <cell r="E233"/>
        </row>
        <row r="234">
          <cell r="C234"/>
          <cell r="E234"/>
        </row>
        <row r="235">
          <cell r="C235"/>
          <cell r="E235"/>
        </row>
        <row r="236">
          <cell r="C236"/>
          <cell r="E236"/>
        </row>
        <row r="237">
          <cell r="C237"/>
          <cell r="E237"/>
        </row>
        <row r="238">
          <cell r="C238"/>
          <cell r="E238"/>
        </row>
        <row r="239">
          <cell r="C239"/>
          <cell r="E239"/>
        </row>
        <row r="240">
          <cell r="C240"/>
          <cell r="E240"/>
        </row>
        <row r="241">
          <cell r="C241"/>
          <cell r="E241"/>
        </row>
        <row r="242">
          <cell r="C242"/>
          <cell r="E242"/>
        </row>
        <row r="243">
          <cell r="C243"/>
          <cell r="E243"/>
        </row>
        <row r="244">
          <cell r="C244"/>
          <cell r="E244"/>
        </row>
        <row r="245">
          <cell r="C245"/>
          <cell r="E245"/>
        </row>
        <row r="246">
          <cell r="C246"/>
          <cell r="E246"/>
        </row>
        <row r="247">
          <cell r="C247"/>
          <cell r="E247"/>
        </row>
        <row r="248">
          <cell r="C248"/>
          <cell r="E248"/>
        </row>
        <row r="249">
          <cell r="C249"/>
          <cell r="E249"/>
        </row>
        <row r="250">
          <cell r="C250"/>
          <cell r="E250"/>
        </row>
        <row r="251">
          <cell r="C251"/>
          <cell r="E251"/>
        </row>
        <row r="252">
          <cell r="C252"/>
          <cell r="E252"/>
        </row>
        <row r="253">
          <cell r="C253"/>
          <cell r="E253"/>
        </row>
        <row r="254">
          <cell r="C254"/>
          <cell r="E254"/>
        </row>
        <row r="255">
          <cell r="C255"/>
          <cell r="E255"/>
        </row>
        <row r="256">
          <cell r="C256"/>
          <cell r="E256"/>
        </row>
        <row r="257">
          <cell r="C257"/>
          <cell r="E257"/>
        </row>
        <row r="258">
          <cell r="C258"/>
          <cell r="E258"/>
        </row>
        <row r="259">
          <cell r="C259"/>
          <cell r="E259"/>
        </row>
        <row r="260">
          <cell r="C260"/>
          <cell r="E260"/>
        </row>
        <row r="261">
          <cell r="C261"/>
          <cell r="E261"/>
        </row>
        <row r="262">
          <cell r="C262"/>
          <cell r="E262"/>
        </row>
        <row r="263">
          <cell r="C263"/>
          <cell r="E263"/>
        </row>
        <row r="264">
          <cell r="C264"/>
          <cell r="E264"/>
        </row>
        <row r="265">
          <cell r="C265"/>
          <cell r="E265"/>
        </row>
        <row r="266">
          <cell r="C266"/>
          <cell r="E266"/>
        </row>
        <row r="267">
          <cell r="C267"/>
          <cell r="E267"/>
        </row>
        <row r="268">
          <cell r="C268"/>
          <cell r="E268"/>
        </row>
        <row r="269">
          <cell r="C269"/>
          <cell r="E269"/>
        </row>
        <row r="270">
          <cell r="C270"/>
          <cell r="E270"/>
        </row>
        <row r="271">
          <cell r="C271"/>
          <cell r="E271"/>
        </row>
        <row r="272">
          <cell r="C272"/>
          <cell r="E272"/>
        </row>
        <row r="273">
          <cell r="C273"/>
          <cell r="E273"/>
        </row>
        <row r="274">
          <cell r="C274"/>
          <cell r="E274"/>
        </row>
        <row r="275">
          <cell r="C275"/>
          <cell r="E275"/>
        </row>
        <row r="276">
          <cell r="C276"/>
          <cell r="E276"/>
        </row>
        <row r="277">
          <cell r="C277"/>
          <cell r="E277"/>
        </row>
        <row r="278">
          <cell r="C278"/>
          <cell r="E278"/>
        </row>
        <row r="279">
          <cell r="C279"/>
          <cell r="E279"/>
        </row>
        <row r="280">
          <cell r="C280"/>
          <cell r="E280"/>
        </row>
        <row r="281">
          <cell r="C281"/>
          <cell r="E281"/>
        </row>
        <row r="282">
          <cell r="C282"/>
          <cell r="E282"/>
        </row>
        <row r="283">
          <cell r="C283"/>
          <cell r="E283"/>
        </row>
        <row r="284">
          <cell r="C284"/>
          <cell r="E284"/>
        </row>
        <row r="285">
          <cell r="C285"/>
          <cell r="E285"/>
        </row>
        <row r="286">
          <cell r="C286"/>
          <cell r="E286"/>
        </row>
        <row r="287">
          <cell r="C287"/>
          <cell r="E287"/>
        </row>
        <row r="288">
          <cell r="C288"/>
          <cell r="E288"/>
        </row>
        <row r="289">
          <cell r="C289"/>
          <cell r="E289"/>
        </row>
        <row r="290">
          <cell r="C290"/>
          <cell r="E290"/>
        </row>
        <row r="291">
          <cell r="C291"/>
          <cell r="E291"/>
        </row>
        <row r="292">
          <cell r="C292"/>
          <cell r="E292"/>
        </row>
        <row r="293">
          <cell r="C293"/>
          <cell r="E293"/>
        </row>
        <row r="294">
          <cell r="C294"/>
          <cell r="E294"/>
        </row>
        <row r="295">
          <cell r="C295"/>
          <cell r="E295"/>
        </row>
        <row r="296">
          <cell r="C296"/>
          <cell r="E296"/>
        </row>
        <row r="297">
          <cell r="C297"/>
          <cell r="E297"/>
        </row>
        <row r="298">
          <cell r="C298"/>
          <cell r="E298"/>
        </row>
        <row r="299">
          <cell r="C299"/>
          <cell r="E299"/>
        </row>
        <row r="300">
          <cell r="C300"/>
          <cell r="E300"/>
        </row>
        <row r="301">
          <cell r="C301"/>
          <cell r="E301"/>
        </row>
        <row r="302">
          <cell r="C302"/>
          <cell r="E302"/>
        </row>
        <row r="303">
          <cell r="C303"/>
          <cell r="E303"/>
        </row>
        <row r="304">
          <cell r="C304"/>
          <cell r="E304"/>
        </row>
        <row r="305">
          <cell r="C305"/>
          <cell r="E305"/>
        </row>
        <row r="306">
          <cell r="C306"/>
          <cell r="E306"/>
        </row>
        <row r="307">
          <cell r="C307"/>
          <cell r="E307"/>
        </row>
        <row r="308">
          <cell r="C308"/>
          <cell r="E308"/>
        </row>
        <row r="309">
          <cell r="C309"/>
          <cell r="E309"/>
        </row>
        <row r="310">
          <cell r="C310"/>
          <cell r="E310"/>
        </row>
        <row r="311">
          <cell r="C311"/>
          <cell r="E311"/>
        </row>
        <row r="312">
          <cell r="C312"/>
          <cell r="E312"/>
        </row>
        <row r="313">
          <cell r="C313"/>
          <cell r="E313"/>
        </row>
        <row r="314">
          <cell r="C314"/>
          <cell r="E314"/>
        </row>
        <row r="315">
          <cell r="C315"/>
          <cell r="E315"/>
        </row>
        <row r="316">
          <cell r="C316"/>
          <cell r="E316"/>
        </row>
        <row r="317">
          <cell r="C317"/>
          <cell r="E317"/>
        </row>
        <row r="318">
          <cell r="C318"/>
          <cell r="E318"/>
        </row>
        <row r="319">
          <cell r="C319"/>
          <cell r="E319"/>
        </row>
        <row r="320">
          <cell r="C320"/>
          <cell r="E320"/>
        </row>
        <row r="321">
          <cell r="C321"/>
          <cell r="E321"/>
        </row>
        <row r="322">
          <cell r="C322"/>
          <cell r="E322"/>
        </row>
        <row r="323">
          <cell r="C323"/>
          <cell r="E323"/>
        </row>
        <row r="324">
          <cell r="C324"/>
          <cell r="E324"/>
        </row>
        <row r="325">
          <cell r="C325"/>
          <cell r="E325"/>
        </row>
        <row r="326">
          <cell r="C326"/>
          <cell r="E326"/>
        </row>
        <row r="327">
          <cell r="C327"/>
          <cell r="E327"/>
        </row>
        <row r="328">
          <cell r="C328"/>
          <cell r="E328"/>
        </row>
        <row r="329">
          <cell r="C329"/>
          <cell r="E329"/>
        </row>
        <row r="330">
          <cell r="C330"/>
          <cell r="E330"/>
        </row>
        <row r="331">
          <cell r="C331"/>
          <cell r="E331"/>
        </row>
        <row r="332">
          <cell r="C332"/>
          <cell r="E332"/>
        </row>
        <row r="333">
          <cell r="C333"/>
          <cell r="E333"/>
        </row>
        <row r="334">
          <cell r="C334"/>
          <cell r="E334"/>
        </row>
        <row r="335">
          <cell r="C335"/>
          <cell r="E335"/>
        </row>
        <row r="336">
          <cell r="C336"/>
          <cell r="E336"/>
        </row>
        <row r="337">
          <cell r="C337"/>
          <cell r="E337"/>
        </row>
        <row r="338">
          <cell r="C338"/>
          <cell r="E338"/>
        </row>
        <row r="339">
          <cell r="C339"/>
          <cell r="E339"/>
        </row>
        <row r="340">
          <cell r="C340"/>
          <cell r="E340"/>
        </row>
        <row r="341">
          <cell r="C341"/>
          <cell r="E341"/>
        </row>
        <row r="342">
          <cell r="C342"/>
          <cell r="E342"/>
        </row>
        <row r="343">
          <cell r="C343"/>
          <cell r="E343"/>
        </row>
        <row r="344">
          <cell r="C344"/>
          <cell r="E344"/>
        </row>
        <row r="345">
          <cell r="C345"/>
          <cell r="E345"/>
        </row>
        <row r="346">
          <cell r="C346"/>
          <cell r="E346"/>
        </row>
        <row r="347">
          <cell r="C347"/>
          <cell r="E347"/>
        </row>
        <row r="348">
          <cell r="C348"/>
          <cell r="E348"/>
        </row>
        <row r="349">
          <cell r="C349"/>
          <cell r="E349"/>
        </row>
        <row r="350">
          <cell r="C350"/>
          <cell r="E350"/>
        </row>
        <row r="351">
          <cell r="C351"/>
          <cell r="E351"/>
        </row>
        <row r="352">
          <cell r="C352"/>
          <cell r="E352"/>
        </row>
        <row r="353">
          <cell r="C353"/>
          <cell r="E353"/>
        </row>
        <row r="354">
          <cell r="C354"/>
          <cell r="E354"/>
        </row>
        <row r="355">
          <cell r="C355"/>
          <cell r="E355"/>
        </row>
        <row r="356">
          <cell r="C356"/>
          <cell r="E356"/>
        </row>
        <row r="357">
          <cell r="C357"/>
          <cell r="E357"/>
        </row>
        <row r="358">
          <cell r="C358"/>
          <cell r="E358"/>
        </row>
        <row r="359">
          <cell r="C359"/>
          <cell r="E359"/>
        </row>
        <row r="360">
          <cell r="C360"/>
          <cell r="E360"/>
        </row>
        <row r="361">
          <cell r="C361"/>
          <cell r="E361"/>
        </row>
        <row r="362">
          <cell r="C362"/>
          <cell r="E362"/>
        </row>
        <row r="363">
          <cell r="C363"/>
          <cell r="E363"/>
        </row>
        <row r="364">
          <cell r="C364"/>
          <cell r="E364"/>
        </row>
        <row r="365">
          <cell r="C365"/>
          <cell r="E365"/>
        </row>
        <row r="366">
          <cell r="C366"/>
          <cell r="E366"/>
        </row>
        <row r="367">
          <cell r="C367"/>
          <cell r="E367"/>
        </row>
        <row r="368">
          <cell r="C368"/>
          <cell r="E368"/>
        </row>
        <row r="369">
          <cell r="C369"/>
          <cell r="E369"/>
        </row>
        <row r="370">
          <cell r="C370"/>
          <cell r="E370"/>
        </row>
        <row r="371">
          <cell r="C371"/>
          <cell r="E371"/>
        </row>
        <row r="372">
          <cell r="C372"/>
          <cell r="E372"/>
        </row>
        <row r="373">
          <cell r="C373"/>
          <cell r="E373"/>
        </row>
        <row r="374">
          <cell r="C374"/>
          <cell r="E374"/>
        </row>
        <row r="375">
          <cell r="C375"/>
          <cell r="E375"/>
        </row>
        <row r="376">
          <cell r="C376"/>
          <cell r="E376"/>
        </row>
        <row r="377">
          <cell r="C377"/>
          <cell r="E377"/>
        </row>
        <row r="378">
          <cell r="C378"/>
          <cell r="E378"/>
        </row>
        <row r="379">
          <cell r="C379"/>
          <cell r="E379"/>
        </row>
        <row r="380">
          <cell r="C380"/>
          <cell r="E380"/>
        </row>
        <row r="381">
          <cell r="C381"/>
          <cell r="E381"/>
        </row>
        <row r="382">
          <cell r="C382"/>
          <cell r="E382"/>
        </row>
        <row r="383">
          <cell r="C383"/>
          <cell r="E383"/>
        </row>
        <row r="384">
          <cell r="C384"/>
          <cell r="E384"/>
        </row>
        <row r="385">
          <cell r="C385"/>
          <cell r="E385"/>
        </row>
        <row r="386">
          <cell r="C386"/>
          <cell r="E386"/>
        </row>
        <row r="387">
          <cell r="C387"/>
          <cell r="E387"/>
        </row>
        <row r="388">
          <cell r="C388"/>
          <cell r="E388"/>
        </row>
        <row r="389">
          <cell r="C389"/>
          <cell r="E389"/>
        </row>
        <row r="390">
          <cell r="C390"/>
          <cell r="E390"/>
        </row>
        <row r="391">
          <cell r="C391"/>
          <cell r="E391"/>
        </row>
        <row r="392">
          <cell r="C392"/>
          <cell r="E392"/>
        </row>
        <row r="393">
          <cell r="C393"/>
          <cell r="E393"/>
        </row>
        <row r="394">
          <cell r="C394"/>
          <cell r="E394"/>
        </row>
        <row r="395">
          <cell r="C395"/>
          <cell r="E395"/>
        </row>
        <row r="396">
          <cell r="C396"/>
          <cell r="E396"/>
        </row>
        <row r="397">
          <cell r="C397"/>
          <cell r="E397"/>
        </row>
        <row r="398">
          <cell r="C398"/>
          <cell r="E398"/>
        </row>
        <row r="399">
          <cell r="C399"/>
          <cell r="E399"/>
        </row>
        <row r="400">
          <cell r="C400"/>
          <cell r="E400"/>
        </row>
        <row r="401">
          <cell r="C401"/>
          <cell r="E401"/>
        </row>
        <row r="402">
          <cell r="C402"/>
          <cell r="E402"/>
        </row>
        <row r="403">
          <cell r="C403"/>
          <cell r="E403"/>
        </row>
        <row r="404">
          <cell r="C404"/>
          <cell r="E404"/>
        </row>
        <row r="405">
          <cell r="C405"/>
          <cell r="E405"/>
        </row>
        <row r="406">
          <cell r="C406"/>
          <cell r="E406"/>
        </row>
        <row r="407">
          <cell r="C407"/>
          <cell r="E407"/>
        </row>
        <row r="408">
          <cell r="C408"/>
          <cell r="E408"/>
        </row>
        <row r="409">
          <cell r="C409"/>
          <cell r="E409"/>
        </row>
        <row r="410">
          <cell r="C410"/>
          <cell r="E410"/>
        </row>
        <row r="411">
          <cell r="C411"/>
          <cell r="E411"/>
        </row>
        <row r="412">
          <cell r="C412"/>
          <cell r="E412"/>
        </row>
        <row r="413">
          <cell r="C413"/>
          <cell r="E413"/>
        </row>
        <row r="414">
          <cell r="C414"/>
          <cell r="E414"/>
        </row>
        <row r="415">
          <cell r="C415"/>
          <cell r="E415"/>
        </row>
        <row r="416">
          <cell r="C416"/>
          <cell r="E416"/>
        </row>
        <row r="417">
          <cell r="C417"/>
          <cell r="E417"/>
        </row>
        <row r="418">
          <cell r="C418"/>
          <cell r="E418"/>
        </row>
        <row r="419">
          <cell r="C419"/>
          <cell r="E419"/>
        </row>
        <row r="420">
          <cell r="C420"/>
          <cell r="E420"/>
        </row>
        <row r="421">
          <cell r="C421"/>
          <cell r="E421"/>
        </row>
        <row r="422">
          <cell r="C422"/>
          <cell r="E422"/>
        </row>
        <row r="423">
          <cell r="C423"/>
          <cell r="E423"/>
        </row>
        <row r="424">
          <cell r="C424"/>
          <cell r="E424"/>
        </row>
        <row r="425">
          <cell r="C425"/>
          <cell r="E425"/>
        </row>
        <row r="426">
          <cell r="C426"/>
          <cell r="E426"/>
        </row>
        <row r="427">
          <cell r="C427"/>
          <cell r="E427"/>
        </row>
        <row r="428">
          <cell r="C428"/>
          <cell r="E428"/>
        </row>
        <row r="429">
          <cell r="C429"/>
          <cell r="E429"/>
        </row>
        <row r="430">
          <cell r="C430"/>
          <cell r="E430"/>
        </row>
        <row r="431">
          <cell r="C431"/>
          <cell r="E431"/>
        </row>
        <row r="432">
          <cell r="C432"/>
          <cell r="E432"/>
        </row>
        <row r="433">
          <cell r="C433"/>
          <cell r="E433"/>
        </row>
        <row r="434">
          <cell r="C434"/>
          <cell r="E434"/>
        </row>
        <row r="435">
          <cell r="C435"/>
          <cell r="E435"/>
        </row>
        <row r="436">
          <cell r="C436"/>
          <cell r="E436"/>
        </row>
        <row r="437">
          <cell r="C437"/>
          <cell r="E437"/>
        </row>
        <row r="438">
          <cell r="C438"/>
          <cell r="E438"/>
        </row>
        <row r="439">
          <cell r="C439"/>
          <cell r="E439"/>
        </row>
        <row r="440">
          <cell r="C440"/>
          <cell r="E440"/>
        </row>
        <row r="441">
          <cell r="C441"/>
          <cell r="E441"/>
        </row>
        <row r="442">
          <cell r="C442"/>
          <cell r="E442"/>
        </row>
        <row r="443">
          <cell r="C443"/>
          <cell r="E443"/>
        </row>
        <row r="444">
          <cell r="C444"/>
          <cell r="E444"/>
        </row>
        <row r="445">
          <cell r="C445"/>
          <cell r="E445"/>
        </row>
        <row r="446">
          <cell r="C446"/>
          <cell r="E446"/>
        </row>
        <row r="447">
          <cell r="C447"/>
          <cell r="E447"/>
        </row>
        <row r="448">
          <cell r="C448"/>
          <cell r="E448"/>
        </row>
        <row r="449">
          <cell r="C449"/>
          <cell r="E449"/>
        </row>
        <row r="450">
          <cell r="C450"/>
          <cell r="E450"/>
        </row>
        <row r="451">
          <cell r="C451"/>
          <cell r="E451"/>
        </row>
        <row r="452">
          <cell r="C452"/>
          <cell r="E452"/>
        </row>
        <row r="453">
          <cell r="C453"/>
          <cell r="E453"/>
        </row>
        <row r="454">
          <cell r="C454"/>
          <cell r="E454"/>
        </row>
        <row r="455">
          <cell r="C455"/>
          <cell r="E455"/>
        </row>
        <row r="456">
          <cell r="C456"/>
          <cell r="E456"/>
        </row>
        <row r="457">
          <cell r="C457"/>
          <cell r="E457"/>
        </row>
        <row r="458">
          <cell r="C458"/>
          <cell r="E458"/>
        </row>
        <row r="459">
          <cell r="C459"/>
          <cell r="E459"/>
        </row>
        <row r="460">
          <cell r="C460"/>
          <cell r="E460"/>
        </row>
        <row r="461">
          <cell r="C461"/>
          <cell r="E461"/>
        </row>
        <row r="462">
          <cell r="C462"/>
          <cell r="E462"/>
        </row>
        <row r="463">
          <cell r="C463"/>
          <cell r="E463"/>
        </row>
        <row r="464">
          <cell r="C464"/>
          <cell r="E464"/>
        </row>
        <row r="465">
          <cell r="C465"/>
          <cell r="E465"/>
        </row>
        <row r="466">
          <cell r="C466"/>
          <cell r="E466"/>
        </row>
        <row r="467">
          <cell r="C467"/>
          <cell r="E467"/>
        </row>
        <row r="468">
          <cell r="C468"/>
          <cell r="E468"/>
        </row>
        <row r="469">
          <cell r="C469"/>
          <cell r="E469"/>
        </row>
        <row r="470">
          <cell r="C470"/>
          <cell r="E470"/>
        </row>
        <row r="471">
          <cell r="C471"/>
          <cell r="E471"/>
        </row>
        <row r="472">
          <cell r="C472"/>
          <cell r="E472"/>
        </row>
        <row r="473">
          <cell r="C473"/>
          <cell r="E473"/>
        </row>
        <row r="474">
          <cell r="C474"/>
          <cell r="E474"/>
        </row>
        <row r="475">
          <cell r="C475"/>
          <cell r="E475"/>
        </row>
        <row r="476">
          <cell r="C476"/>
          <cell r="E476"/>
        </row>
        <row r="477">
          <cell r="C477"/>
          <cell r="E477"/>
        </row>
        <row r="478">
          <cell r="C478"/>
          <cell r="E478"/>
        </row>
        <row r="479">
          <cell r="C479"/>
          <cell r="E479"/>
        </row>
        <row r="480">
          <cell r="C480"/>
          <cell r="E480"/>
        </row>
        <row r="481">
          <cell r="C481"/>
          <cell r="E481"/>
        </row>
        <row r="482">
          <cell r="C482"/>
          <cell r="E482"/>
        </row>
        <row r="483">
          <cell r="C483"/>
          <cell r="E483"/>
        </row>
        <row r="484">
          <cell r="C484"/>
          <cell r="E484"/>
        </row>
        <row r="485">
          <cell r="C485"/>
          <cell r="E485"/>
        </row>
        <row r="486">
          <cell r="C486"/>
          <cell r="E486"/>
        </row>
        <row r="487">
          <cell r="C487"/>
          <cell r="E487"/>
        </row>
        <row r="488">
          <cell r="C488"/>
          <cell r="E488"/>
        </row>
        <row r="489">
          <cell r="C489"/>
          <cell r="E489"/>
        </row>
        <row r="490">
          <cell r="C490"/>
          <cell r="E490"/>
        </row>
        <row r="491">
          <cell r="C491"/>
          <cell r="E491"/>
        </row>
        <row r="492">
          <cell r="C492"/>
          <cell r="E492"/>
        </row>
        <row r="493">
          <cell r="C493"/>
          <cell r="E493"/>
        </row>
        <row r="494">
          <cell r="C494"/>
          <cell r="E494"/>
        </row>
        <row r="495">
          <cell r="C495"/>
          <cell r="E495"/>
        </row>
        <row r="496">
          <cell r="C496"/>
          <cell r="E496"/>
        </row>
        <row r="497">
          <cell r="C497"/>
          <cell r="E497"/>
        </row>
        <row r="498">
          <cell r="C498"/>
          <cell r="E498"/>
        </row>
        <row r="499">
          <cell r="C499"/>
          <cell r="E499"/>
        </row>
        <row r="500">
          <cell r="C500"/>
          <cell r="E500"/>
        </row>
        <row r="501">
          <cell r="C501"/>
          <cell r="E501"/>
        </row>
        <row r="502">
          <cell r="C502"/>
          <cell r="E502"/>
        </row>
        <row r="503">
          <cell r="C503"/>
          <cell r="E503"/>
        </row>
        <row r="504">
          <cell r="C504"/>
          <cell r="E504"/>
        </row>
        <row r="505">
          <cell r="C505"/>
          <cell r="E505"/>
        </row>
        <row r="506">
          <cell r="C506"/>
          <cell r="E506"/>
        </row>
        <row r="507">
          <cell r="C507"/>
          <cell r="E507"/>
        </row>
        <row r="508">
          <cell r="C508"/>
          <cell r="E508"/>
        </row>
        <row r="509">
          <cell r="C509"/>
          <cell r="E509"/>
        </row>
        <row r="510">
          <cell r="C510"/>
          <cell r="E510"/>
        </row>
        <row r="511">
          <cell r="C511"/>
          <cell r="E511"/>
        </row>
        <row r="512">
          <cell r="C512"/>
          <cell r="E512"/>
        </row>
        <row r="513">
          <cell r="C513"/>
          <cell r="E513"/>
        </row>
        <row r="514">
          <cell r="C514"/>
          <cell r="E514"/>
        </row>
        <row r="515">
          <cell r="C515"/>
          <cell r="E515"/>
        </row>
        <row r="516">
          <cell r="C516"/>
          <cell r="E516"/>
        </row>
        <row r="517">
          <cell r="C517"/>
          <cell r="E517"/>
        </row>
        <row r="518">
          <cell r="C518"/>
          <cell r="E518"/>
        </row>
        <row r="519">
          <cell r="C519"/>
          <cell r="E519"/>
        </row>
        <row r="520">
          <cell r="C520"/>
          <cell r="E520"/>
        </row>
        <row r="521">
          <cell r="C521"/>
          <cell r="E521"/>
        </row>
        <row r="522">
          <cell r="C522"/>
          <cell r="E522"/>
        </row>
        <row r="523">
          <cell r="C523"/>
          <cell r="E523"/>
        </row>
        <row r="524">
          <cell r="C524"/>
          <cell r="E524"/>
        </row>
        <row r="525">
          <cell r="C525"/>
          <cell r="E525"/>
        </row>
        <row r="526">
          <cell r="C526"/>
          <cell r="E526"/>
        </row>
        <row r="527">
          <cell r="C527"/>
          <cell r="E527"/>
        </row>
        <row r="528">
          <cell r="C528"/>
          <cell r="E528"/>
        </row>
        <row r="529">
          <cell r="C529"/>
          <cell r="E529"/>
        </row>
        <row r="530">
          <cell r="C530"/>
          <cell r="E530"/>
        </row>
        <row r="531">
          <cell r="C531"/>
          <cell r="E531"/>
        </row>
        <row r="532">
          <cell r="C532"/>
          <cell r="E532"/>
        </row>
        <row r="533">
          <cell r="C533"/>
          <cell r="E533"/>
        </row>
        <row r="534">
          <cell r="C534"/>
          <cell r="E534"/>
        </row>
        <row r="535">
          <cell r="C535"/>
          <cell r="E535"/>
        </row>
        <row r="536">
          <cell r="C536"/>
          <cell r="E536"/>
        </row>
        <row r="537">
          <cell r="C537"/>
          <cell r="E537"/>
        </row>
        <row r="538">
          <cell r="C538"/>
          <cell r="E538"/>
        </row>
        <row r="539">
          <cell r="C539"/>
          <cell r="E539"/>
        </row>
        <row r="540">
          <cell r="C540"/>
          <cell r="E540"/>
        </row>
        <row r="541">
          <cell r="C541"/>
          <cell r="E541"/>
        </row>
        <row r="542">
          <cell r="C542"/>
          <cell r="E542"/>
        </row>
        <row r="543">
          <cell r="C543"/>
          <cell r="E543"/>
        </row>
      </sheetData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39997558519241921"/>
    <pageSetUpPr fitToPage="1"/>
  </sheetPr>
  <dimension ref="A1:Y63"/>
  <sheetViews>
    <sheetView topLeftCell="A28" zoomScale="85" zoomScaleNormal="85" workbookViewId="0">
      <selection activeCell="J46" sqref="J46"/>
    </sheetView>
  </sheetViews>
  <sheetFormatPr baseColWidth="10" defaultColWidth="9.15625" defaultRowHeight="14.4" x14ac:dyDescent="0.55000000000000004"/>
  <cols>
    <col min="1" max="1" width="3" customWidth="1"/>
    <col min="2" max="2" width="8.68359375" customWidth="1"/>
    <col min="3" max="3" width="9.83984375" bestFit="1" customWidth="1"/>
    <col min="4" max="4" width="15.41796875" customWidth="1"/>
    <col min="5" max="5" width="12" bestFit="1" customWidth="1"/>
    <col min="6" max="6" width="62.26171875" bestFit="1" customWidth="1"/>
    <col min="7" max="7" width="7" customWidth="1"/>
    <col min="8" max="8" width="12.26171875" style="375" customWidth="1"/>
    <col min="9" max="9" width="21.68359375" bestFit="1" customWidth="1"/>
    <col min="10" max="10" width="24.15625" customWidth="1"/>
    <col min="11" max="11" width="4.15625" customWidth="1"/>
    <col min="12" max="12" width="20.15625" style="366" bestFit="1" customWidth="1"/>
    <col min="13" max="13" width="10.26171875" bestFit="1" customWidth="1"/>
    <col min="14" max="14" width="6.68359375" customWidth="1"/>
    <col min="15" max="15" width="18.15625" bestFit="1" customWidth="1"/>
    <col min="16" max="16" width="18.83984375" style="366" bestFit="1" customWidth="1"/>
    <col min="17" max="17" width="37.41796875" customWidth="1"/>
    <col min="18" max="18" width="15.26171875" bestFit="1" customWidth="1"/>
    <col min="19" max="19" width="20.15625" bestFit="1" customWidth="1"/>
    <col min="20" max="20" width="15.68359375" bestFit="1" customWidth="1"/>
    <col min="21" max="21" width="16.26171875" bestFit="1" customWidth="1"/>
    <col min="22" max="22" width="17.26171875" bestFit="1" customWidth="1"/>
    <col min="23" max="23" width="18.83984375" bestFit="1" customWidth="1"/>
  </cols>
  <sheetData>
    <row r="1" spans="1:16" ht="17.7" x14ac:dyDescent="0.55000000000000004">
      <c r="A1" s="95"/>
      <c r="B1" s="1183" t="s">
        <v>0</v>
      </c>
      <c r="C1" s="1184"/>
      <c r="D1" s="1184"/>
      <c r="E1" s="1184"/>
      <c r="F1" s="1184"/>
      <c r="G1" s="1184"/>
      <c r="H1" s="1184"/>
      <c r="I1" s="1184"/>
      <c r="J1" s="1185"/>
      <c r="K1" s="490"/>
      <c r="L1" s="945"/>
      <c r="M1" s="95"/>
    </row>
    <row r="2" spans="1:16" ht="18" thickBot="1" x14ac:dyDescent="0.6">
      <c r="A2" s="95"/>
      <c r="B2" s="981"/>
      <c r="C2" s="982"/>
      <c r="D2" s="982"/>
      <c r="E2" s="982"/>
      <c r="F2" s="982"/>
      <c r="G2" s="982"/>
      <c r="H2" s="983"/>
      <c r="I2" s="982"/>
      <c r="J2" s="141"/>
      <c r="K2" s="490"/>
      <c r="L2" s="945"/>
      <c r="M2" s="95"/>
    </row>
    <row r="3" spans="1:16" ht="18" thickBot="1" x14ac:dyDescent="0.6">
      <c r="A3" s="95"/>
      <c r="B3" s="889" t="s">
        <v>1</v>
      </c>
      <c r="C3" s="499"/>
      <c r="D3" s="499"/>
      <c r="E3" s="499"/>
      <c r="F3" s="500"/>
      <c r="G3" s="500"/>
      <c r="H3" s="788"/>
      <c r="I3" s="500"/>
      <c r="J3" s="501"/>
      <c r="K3" s="142"/>
    </row>
    <row r="4" spans="1:16" ht="22.8" x14ac:dyDescent="0.55000000000000004">
      <c r="A4" s="95"/>
      <c r="B4" s="143" t="s">
        <v>2</v>
      </c>
      <c r="C4" s="146" t="s">
        <v>3</v>
      </c>
      <c r="D4" s="148" t="s">
        <v>4</v>
      </c>
      <c r="E4" s="149"/>
      <c r="F4" s="150" t="s">
        <v>5</v>
      </c>
      <c r="G4" s="150" t="s">
        <v>6</v>
      </c>
      <c r="H4" s="789" t="s">
        <v>7</v>
      </c>
      <c r="I4" s="151" t="s">
        <v>8</v>
      </c>
      <c r="J4" s="153" t="s">
        <v>9</v>
      </c>
      <c r="K4" s="497"/>
      <c r="L4" s="946" t="s">
        <v>10</v>
      </c>
      <c r="M4" s="284">
        <v>2</v>
      </c>
      <c r="N4" s="505" t="s">
        <v>11</v>
      </c>
    </row>
    <row r="5" spans="1:16" x14ac:dyDescent="0.55000000000000004">
      <c r="A5" s="95"/>
      <c r="B5" s="144"/>
      <c r="C5" s="147"/>
      <c r="D5" s="1201" t="s">
        <v>12</v>
      </c>
      <c r="E5" s="139" t="s">
        <v>13</v>
      </c>
      <c r="F5" s="438"/>
      <c r="G5" s="438"/>
      <c r="H5" s="790"/>
      <c r="I5" s="152"/>
      <c r="J5" s="439"/>
      <c r="K5" s="498"/>
      <c r="L5" s="946" t="s">
        <v>14</v>
      </c>
      <c r="M5" s="284">
        <v>5</v>
      </c>
      <c r="N5" s="505" t="s">
        <v>11</v>
      </c>
    </row>
    <row r="6" spans="1:16" ht="14.7" thickBot="1" x14ac:dyDescent="0.6">
      <c r="A6" s="95"/>
      <c r="B6" s="145"/>
      <c r="C6" s="440"/>
      <c r="D6" s="1202"/>
      <c r="E6" s="441"/>
      <c r="F6" s="442"/>
      <c r="G6" s="442"/>
      <c r="H6" s="791"/>
      <c r="I6" s="443"/>
      <c r="J6" s="444"/>
      <c r="K6" s="498"/>
      <c r="L6" s="947" t="s">
        <v>15</v>
      </c>
      <c r="M6" s="285" t="s">
        <v>16</v>
      </c>
      <c r="N6" s="505"/>
    </row>
    <row r="7" spans="1:16" ht="15.9" thickBot="1" x14ac:dyDescent="0.6">
      <c r="A7" s="95"/>
      <c r="B7" s="68" t="s">
        <v>17</v>
      </c>
      <c r="C7" s="69"/>
      <c r="D7" s="69"/>
      <c r="E7" s="69"/>
      <c r="F7" s="69"/>
      <c r="G7" s="69"/>
      <c r="H7" s="792"/>
      <c r="I7" s="70"/>
      <c r="J7" s="71"/>
      <c r="K7" s="491"/>
      <c r="L7" s="948">
        <v>35</v>
      </c>
      <c r="M7" s="831">
        <v>15</v>
      </c>
      <c r="N7" s="505" t="s">
        <v>18</v>
      </c>
    </row>
    <row r="8" spans="1:16" ht="27.6" x14ac:dyDescent="0.55000000000000004">
      <c r="A8" s="95"/>
      <c r="B8" s="72">
        <v>1</v>
      </c>
      <c r="C8" s="73" t="s">
        <v>19</v>
      </c>
      <c r="D8" s="73" t="s">
        <v>20</v>
      </c>
      <c r="E8" s="73"/>
      <c r="F8" s="578" t="s">
        <v>21</v>
      </c>
      <c r="G8" s="74" t="s">
        <v>22</v>
      </c>
      <c r="H8" s="793">
        <f>+[125]Cantidades!$H$8</f>
        <v>740.27</v>
      </c>
      <c r="I8" s="75">
        <f>+'600.1.1'!G43</f>
        <v>75026</v>
      </c>
      <c r="J8" s="76">
        <f>ROUND((+H8*I8),0)</f>
        <v>55539497</v>
      </c>
      <c r="K8" s="486"/>
      <c r="L8" s="949" t="s">
        <v>23</v>
      </c>
      <c r="M8" s="833">
        <v>20</v>
      </c>
      <c r="N8" s="505" t="s">
        <v>18</v>
      </c>
    </row>
    <row r="9" spans="1:16" x14ac:dyDescent="0.55000000000000004">
      <c r="A9" s="95"/>
      <c r="B9" s="445">
        <v>2</v>
      </c>
      <c r="C9" s="446">
        <v>220.1</v>
      </c>
      <c r="D9" s="446" t="s">
        <v>24</v>
      </c>
      <c r="E9" s="447"/>
      <c r="F9" s="448" t="s">
        <v>25</v>
      </c>
      <c r="G9" s="446" t="s">
        <v>22</v>
      </c>
      <c r="H9" s="794">
        <f>+[125]Cantidades!$H$9</f>
        <v>932.4</v>
      </c>
      <c r="I9" s="449">
        <f>+'220.1'!G42</f>
        <v>166855</v>
      </c>
      <c r="J9" s="786">
        <f t="shared" ref="J9" si="0">ROUND((+H9*I9),0)</f>
        <v>155575602</v>
      </c>
      <c r="K9" s="487"/>
      <c r="L9" s="950"/>
      <c r="M9" s="832"/>
    </row>
    <row r="10" spans="1:16" ht="14.7" thickBot="1" x14ac:dyDescent="0.6">
      <c r="A10" s="95"/>
      <c r="B10" s="450" t="s">
        <v>26</v>
      </c>
      <c r="C10" s="451"/>
      <c r="D10" s="451"/>
      <c r="E10" s="451"/>
      <c r="F10" s="451"/>
      <c r="G10" s="451"/>
      <c r="H10" s="795"/>
      <c r="I10" s="451"/>
      <c r="J10" s="452">
        <f>ROUND(SUM(J8:J9),0)</f>
        <v>211115099</v>
      </c>
      <c r="K10" s="488"/>
      <c r="L10" s="951"/>
      <c r="M10" s="98"/>
      <c r="P10" s="880"/>
    </row>
    <row r="11" spans="1:16" ht="15.3" thickBot="1" x14ac:dyDescent="0.6">
      <c r="A11" s="95"/>
      <c r="B11" s="77" t="s">
        <v>27</v>
      </c>
      <c r="C11" s="78"/>
      <c r="D11" s="78"/>
      <c r="E11" s="78"/>
      <c r="F11" s="78"/>
      <c r="G11" s="78"/>
      <c r="H11" s="796"/>
      <c r="I11" s="79"/>
      <c r="J11" s="80"/>
      <c r="K11" s="492"/>
      <c r="L11" s="951"/>
      <c r="M11" s="98"/>
      <c r="N11" s="81"/>
    </row>
    <row r="12" spans="1:16" x14ac:dyDescent="0.55000000000000004">
      <c r="A12" s="96"/>
      <c r="B12" s="82">
        <v>3</v>
      </c>
      <c r="C12" s="839" t="s">
        <v>28</v>
      </c>
      <c r="D12" s="74" t="s">
        <v>29</v>
      </c>
      <c r="E12" s="83"/>
      <c r="F12" s="84" t="s">
        <v>30</v>
      </c>
      <c r="G12" s="74" t="s">
        <v>22</v>
      </c>
      <c r="H12" s="797">
        <f>+[125]Cantidades!$H$12</f>
        <v>600</v>
      </c>
      <c r="I12" s="85">
        <f>+'320.3'!G43</f>
        <v>198550</v>
      </c>
      <c r="J12" s="787">
        <f t="shared" ref="J12" si="1">ROUND((+H12*I12),0)</f>
        <v>119130000</v>
      </c>
      <c r="K12" s="487"/>
      <c r="L12" s="951"/>
      <c r="M12" s="98"/>
      <c r="N12" s="81"/>
    </row>
    <row r="13" spans="1:16" ht="14.7" thickBot="1" x14ac:dyDescent="0.6">
      <c r="A13" s="96"/>
      <c r="B13" s="453" t="s">
        <v>31</v>
      </c>
      <c r="C13" s="454"/>
      <c r="D13" s="454"/>
      <c r="E13" s="454"/>
      <c r="F13" s="454"/>
      <c r="G13" s="454"/>
      <c r="H13" s="799"/>
      <c r="I13" s="454"/>
      <c r="J13" s="455">
        <f>ROUND(SUM(J12:J12),0)</f>
        <v>119130000</v>
      </c>
      <c r="K13" s="488"/>
      <c r="L13" s="951"/>
      <c r="M13" s="98"/>
      <c r="N13" s="81"/>
      <c r="P13" s="880"/>
    </row>
    <row r="14" spans="1:16" ht="15.3" thickBot="1" x14ac:dyDescent="0.6">
      <c r="A14" s="95"/>
      <c r="B14" s="560" t="s">
        <v>32</v>
      </c>
      <c r="C14" s="561"/>
      <c r="D14" s="561"/>
      <c r="E14" s="561"/>
      <c r="F14" s="561"/>
      <c r="G14" s="561"/>
      <c r="H14" s="800"/>
      <c r="I14" s="562"/>
      <c r="J14" s="563"/>
      <c r="K14" s="492"/>
      <c r="L14" s="951"/>
      <c r="M14" s="98"/>
      <c r="N14" s="81"/>
    </row>
    <row r="15" spans="1:16" ht="27.6" x14ac:dyDescent="0.55000000000000004">
      <c r="A15" s="97"/>
      <c r="B15" s="557">
        <v>4</v>
      </c>
      <c r="C15" s="558">
        <v>500.1</v>
      </c>
      <c r="D15" s="558" t="s">
        <v>33</v>
      </c>
      <c r="E15" s="558"/>
      <c r="F15" s="579" t="s">
        <v>34</v>
      </c>
      <c r="G15" s="558" t="s">
        <v>22</v>
      </c>
      <c r="H15" s="895">
        <f>+[125]Cantidades!$H$15</f>
        <v>750</v>
      </c>
      <c r="I15" s="559">
        <f>+'500.1'!G44</f>
        <v>1204202</v>
      </c>
      <c r="J15" s="786">
        <f t="shared" ref="J15" si="2">ROUND((+H15*I15),0)</f>
        <v>903151500</v>
      </c>
      <c r="K15" s="489"/>
      <c r="L15" s="951"/>
      <c r="M15" s="99"/>
      <c r="N15" s="100"/>
    </row>
    <row r="16" spans="1:16" ht="14.7" thickBot="1" x14ac:dyDescent="0.6">
      <c r="A16" s="95"/>
      <c r="B16" s="554" t="s">
        <v>35</v>
      </c>
      <c r="C16" s="555"/>
      <c r="D16" s="555"/>
      <c r="E16" s="555"/>
      <c r="F16" s="555"/>
      <c r="G16" s="555"/>
      <c r="H16" s="801"/>
      <c r="I16" s="555"/>
      <c r="J16" s="556">
        <f>ROUND(J15,0)</f>
        <v>903151500</v>
      </c>
      <c r="K16" s="488"/>
      <c r="L16" s="951"/>
      <c r="M16" s="98"/>
      <c r="N16" s="841"/>
      <c r="P16" s="880"/>
    </row>
    <row r="17" spans="1:16" ht="15.3" thickBot="1" x14ac:dyDescent="0.6">
      <c r="A17" s="95"/>
      <c r="B17" s="77" t="s">
        <v>36</v>
      </c>
      <c r="C17" s="78"/>
      <c r="D17" s="78"/>
      <c r="E17" s="78"/>
      <c r="F17" s="78"/>
      <c r="G17" s="78"/>
      <c r="H17" s="796"/>
      <c r="I17" s="79"/>
      <c r="J17" s="80"/>
      <c r="K17" s="492"/>
      <c r="L17" s="951"/>
      <c r="M17" s="98"/>
      <c r="N17" s="81"/>
    </row>
    <row r="18" spans="1:16" x14ac:dyDescent="0.55000000000000004">
      <c r="A18" s="96"/>
      <c r="B18" s="82">
        <v>5</v>
      </c>
      <c r="C18" s="74" t="s">
        <v>19</v>
      </c>
      <c r="D18" s="74" t="s">
        <v>37</v>
      </c>
      <c r="E18" s="83" t="s">
        <v>38</v>
      </c>
      <c r="F18" s="84" t="s">
        <v>39</v>
      </c>
      <c r="G18" s="74" t="s">
        <v>22</v>
      </c>
      <c r="H18" s="797">
        <f>+[125]Cantidades!$H$18</f>
        <v>414.92</v>
      </c>
      <c r="I18" s="85">
        <f>+'600.1.1'!G43</f>
        <v>75026</v>
      </c>
      <c r="J18" s="86">
        <f>ROUND((+H18*I18),0)</f>
        <v>31129788</v>
      </c>
      <c r="K18" s="487"/>
      <c r="L18" s="951"/>
      <c r="M18" s="98"/>
      <c r="N18" s="81"/>
    </row>
    <row r="19" spans="1:16" x14ac:dyDescent="0.55000000000000004">
      <c r="A19" s="95"/>
      <c r="B19" s="456">
        <v>6</v>
      </c>
      <c r="C19" s="446" t="s">
        <v>40</v>
      </c>
      <c r="D19" s="446" t="s">
        <v>41</v>
      </c>
      <c r="E19" s="447"/>
      <c r="F19" s="448" t="s">
        <v>42</v>
      </c>
      <c r="G19" s="446" t="s">
        <v>22</v>
      </c>
      <c r="H19" s="798">
        <f>+[125]Cantidades!$H$19</f>
        <v>57.21</v>
      </c>
      <c r="I19" s="449">
        <f>+'610.2'!G43</f>
        <v>131856</v>
      </c>
      <c r="J19" s="457">
        <f>ROUND((+H19*I19),0)</f>
        <v>7543482</v>
      </c>
      <c r="K19" s="487"/>
      <c r="L19" s="951"/>
      <c r="M19" s="98"/>
      <c r="N19" s="81"/>
    </row>
    <row r="20" spans="1:16" x14ac:dyDescent="0.55000000000000004">
      <c r="A20" s="95"/>
      <c r="B20" s="456">
        <v>7</v>
      </c>
      <c r="C20" s="446" t="s">
        <v>43</v>
      </c>
      <c r="D20" s="446" t="s">
        <v>44</v>
      </c>
      <c r="E20" s="447"/>
      <c r="F20" s="448" t="s">
        <v>45</v>
      </c>
      <c r="G20" s="446" t="s">
        <v>46</v>
      </c>
      <c r="H20" s="798">
        <f>+[125]Cantidades!$H$20</f>
        <v>20179.72</v>
      </c>
      <c r="I20" s="449">
        <f>+'640.1'!G42</f>
        <v>8636</v>
      </c>
      <c r="J20" s="457">
        <f t="shared" ref="J20:J23" si="3">ROUND((+H20*I20),0)</f>
        <v>174272062</v>
      </c>
      <c r="K20" s="487"/>
      <c r="L20" s="951"/>
      <c r="M20" s="98"/>
      <c r="N20" s="81"/>
      <c r="O20" s="366"/>
    </row>
    <row r="21" spans="1:16" ht="27.6" x14ac:dyDescent="0.55000000000000004">
      <c r="A21" s="95"/>
      <c r="B21" s="456">
        <v>8</v>
      </c>
      <c r="C21" s="446" t="s">
        <v>47</v>
      </c>
      <c r="D21" s="446" t="s">
        <v>48</v>
      </c>
      <c r="E21" s="447"/>
      <c r="F21" s="448" t="s">
        <v>49</v>
      </c>
      <c r="G21" s="446" t="s">
        <v>50</v>
      </c>
      <c r="H21" s="798">
        <f>+[125]Cantidades!$H$21</f>
        <v>22.5</v>
      </c>
      <c r="I21" s="449">
        <f>+'661.1'!G42</f>
        <v>1121281</v>
      </c>
      <c r="J21" s="457">
        <f t="shared" si="3"/>
        <v>25228823</v>
      </c>
      <c r="K21" s="487"/>
      <c r="L21" s="951"/>
      <c r="M21" s="98"/>
      <c r="N21" s="81"/>
    </row>
    <row r="22" spans="1:16" x14ac:dyDescent="0.55000000000000004">
      <c r="A22" s="95"/>
      <c r="B22" s="456">
        <v>9</v>
      </c>
      <c r="C22" s="446" t="s">
        <v>51</v>
      </c>
      <c r="D22" s="446" t="s">
        <v>52</v>
      </c>
      <c r="E22" s="447"/>
      <c r="F22" s="448" t="s">
        <v>53</v>
      </c>
      <c r="G22" s="446" t="s">
        <v>22</v>
      </c>
      <c r="H22" s="798">
        <f>+[125]Cantidades!$H$22</f>
        <v>38.130000000000003</v>
      </c>
      <c r="I22" s="449">
        <f>+'630.4'!G42</f>
        <v>850421</v>
      </c>
      <c r="J22" s="457">
        <f t="shared" si="3"/>
        <v>32426553</v>
      </c>
      <c r="K22" s="487"/>
      <c r="L22" s="951"/>
      <c r="M22" s="98"/>
      <c r="N22" s="81"/>
    </row>
    <row r="23" spans="1:16" ht="27.6" x14ac:dyDescent="0.55000000000000004">
      <c r="A23" s="96"/>
      <c r="B23" s="456">
        <v>10</v>
      </c>
      <c r="C23" s="446" t="s">
        <v>54</v>
      </c>
      <c r="D23" s="446"/>
      <c r="E23" s="447" t="s">
        <v>55</v>
      </c>
      <c r="F23" s="448" t="s">
        <v>56</v>
      </c>
      <c r="G23" s="446" t="s">
        <v>22</v>
      </c>
      <c r="H23" s="798">
        <f>+[125]Cantidades!$H$23</f>
        <v>384</v>
      </c>
      <c r="I23" s="449">
        <f>+'671.3'!G42</f>
        <v>766050</v>
      </c>
      <c r="J23" s="457">
        <f t="shared" si="3"/>
        <v>294163200</v>
      </c>
      <c r="K23" s="487"/>
      <c r="L23" s="951"/>
      <c r="M23" s="98"/>
      <c r="N23" s="81"/>
    </row>
    <row r="24" spans="1:16" ht="14.7" thickBot="1" x14ac:dyDescent="0.6">
      <c r="A24" s="96"/>
      <c r="B24" s="458" t="s">
        <v>57</v>
      </c>
      <c r="C24" s="459"/>
      <c r="D24" s="459"/>
      <c r="E24" s="459"/>
      <c r="F24" s="459"/>
      <c r="G24" s="459"/>
      <c r="H24" s="802"/>
      <c r="I24" s="459"/>
      <c r="J24" s="460">
        <f>ROUND(+SUM(J18:J23),0)</f>
        <v>564763908</v>
      </c>
      <c r="K24" s="488"/>
      <c r="L24" s="951"/>
      <c r="M24" s="98"/>
      <c r="N24" s="81"/>
      <c r="P24" s="880"/>
    </row>
    <row r="25" spans="1:16" ht="15.3" thickBot="1" x14ac:dyDescent="0.6">
      <c r="A25" s="81"/>
      <c r="B25" s="77" t="s">
        <v>58</v>
      </c>
      <c r="C25" s="78"/>
      <c r="D25" s="78"/>
      <c r="E25" s="87"/>
      <c r="F25" s="78"/>
      <c r="G25" s="78"/>
      <c r="H25" s="796"/>
      <c r="I25" s="79"/>
      <c r="J25" s="80"/>
      <c r="K25" s="492"/>
      <c r="L25" s="951"/>
      <c r="M25" s="98"/>
    </row>
    <row r="26" spans="1:16" ht="27.6" x14ac:dyDescent="0.55000000000000004">
      <c r="A26" s="81"/>
      <c r="B26" s="82">
        <v>11</v>
      </c>
      <c r="C26" s="88" t="s">
        <v>59</v>
      </c>
      <c r="D26" s="88" t="s">
        <v>60</v>
      </c>
      <c r="E26" s="89"/>
      <c r="F26" s="90" t="s">
        <v>61</v>
      </c>
      <c r="G26" s="88" t="s">
        <v>62</v>
      </c>
      <c r="H26" s="797">
        <f>+[125]Cantidades!$H$26</f>
        <v>10</v>
      </c>
      <c r="I26" s="91">
        <f>+'710.1'!G46</f>
        <v>696803</v>
      </c>
      <c r="J26" s="86">
        <f>ROUND((+H26*I26),0)</f>
        <v>6968030</v>
      </c>
      <c r="K26" s="487"/>
      <c r="L26" s="951"/>
      <c r="M26" s="98"/>
    </row>
    <row r="27" spans="1:16" x14ac:dyDescent="0.55000000000000004">
      <c r="A27" s="81"/>
      <c r="B27" s="456">
        <v>12</v>
      </c>
      <c r="C27" s="461" t="s">
        <v>63</v>
      </c>
      <c r="D27" s="461" t="s">
        <v>64</v>
      </c>
      <c r="E27" s="461"/>
      <c r="F27" s="462" t="s">
        <v>65</v>
      </c>
      <c r="G27" s="461" t="s">
        <v>66</v>
      </c>
      <c r="H27" s="798">
        <f>+[125]Cantidades!$H$27</f>
        <v>3000</v>
      </c>
      <c r="I27" s="463">
        <f>+'700.1'!G46</f>
        <v>3474</v>
      </c>
      <c r="J27" s="457">
        <f>ROUND((+H27*I27),0)</f>
        <v>10422000</v>
      </c>
      <c r="K27" s="487"/>
      <c r="L27" s="951"/>
      <c r="M27" s="98"/>
    </row>
    <row r="28" spans="1:16" ht="14.7" thickBot="1" x14ac:dyDescent="0.6">
      <c r="A28" s="81"/>
      <c r="B28" s="453" t="s">
        <v>67</v>
      </c>
      <c r="C28" s="454"/>
      <c r="D28" s="454"/>
      <c r="E28" s="454"/>
      <c r="F28" s="454"/>
      <c r="G28" s="454"/>
      <c r="H28" s="799"/>
      <c r="I28" s="454"/>
      <c r="J28" s="464">
        <f>ROUND(+SUM(J26:J27),0)</f>
        <v>17390030</v>
      </c>
      <c r="K28" s="493"/>
      <c r="L28" s="951"/>
      <c r="M28" s="957"/>
      <c r="P28" s="880"/>
    </row>
    <row r="29" spans="1:16" x14ac:dyDescent="0.55000000000000004">
      <c r="A29" s="81"/>
      <c r="B29" s="1186" t="s">
        <v>68</v>
      </c>
      <c r="C29" s="1187"/>
      <c r="D29" s="1187"/>
      <c r="E29" s="1187"/>
      <c r="F29" s="1187"/>
      <c r="G29" s="1187"/>
      <c r="H29" s="1187"/>
      <c r="I29" s="1187"/>
      <c r="J29" s="276">
        <f>ROUND((+J28+J24+J16+J13+J10),0)</f>
        <v>1815550537</v>
      </c>
      <c r="K29" s="494"/>
      <c r="L29" s="951"/>
      <c r="M29" s="253"/>
      <c r="N29" s="958"/>
      <c r="O29" s="252"/>
      <c r="P29" s="880"/>
    </row>
    <row r="30" spans="1:16" x14ac:dyDescent="0.55000000000000004">
      <c r="A30" s="81"/>
      <c r="B30" s="1188" t="s">
        <v>69</v>
      </c>
      <c r="C30" s="1189"/>
      <c r="D30" s="1189"/>
      <c r="E30" s="1189"/>
      <c r="F30" s="1189"/>
      <c r="G30" s="1189"/>
      <c r="H30" s="1190"/>
      <c r="I30" s="465">
        <f>+'AIU '!C47</f>
        <v>0.31153837369606635</v>
      </c>
      <c r="J30" s="466">
        <f>ROUND((+$J$29*I30),0)</f>
        <v>565613662</v>
      </c>
      <c r="K30" s="495"/>
      <c r="L30" s="951"/>
      <c r="M30" s="255"/>
    </row>
    <row r="31" spans="1:16" x14ac:dyDescent="0.55000000000000004">
      <c r="A31" s="81"/>
      <c r="B31" s="1191" t="s">
        <v>70</v>
      </c>
      <c r="C31" s="1192"/>
      <c r="D31" s="1192"/>
      <c r="E31" s="1192"/>
      <c r="F31" s="1192"/>
      <c r="G31" s="1192"/>
      <c r="H31" s="1193"/>
      <c r="I31" s="882">
        <v>0.01</v>
      </c>
      <c r="J31" s="466">
        <f>ROUND((+$J$29*I31),0)</f>
        <v>18155505</v>
      </c>
      <c r="K31" s="495"/>
      <c r="L31" s="951"/>
      <c r="M31" s="255"/>
    </row>
    <row r="32" spans="1:16" x14ac:dyDescent="0.55000000000000004">
      <c r="A32" s="81"/>
      <c r="B32" s="1191" t="s">
        <v>71</v>
      </c>
      <c r="C32" s="1192"/>
      <c r="D32" s="1192"/>
      <c r="E32" s="1192"/>
      <c r="F32" s="1192"/>
      <c r="G32" s="1192"/>
      <c r="H32" s="1193"/>
      <c r="I32" s="882">
        <v>0.05</v>
      </c>
      <c r="J32" s="466">
        <f>ROUND((+$J$29*I32),0)</f>
        <v>90777527</v>
      </c>
      <c r="K32" s="495"/>
      <c r="L32" s="951"/>
      <c r="M32" s="255"/>
      <c r="N32" s="252"/>
    </row>
    <row r="33" spans="1:16" ht="14.7" thickBot="1" x14ac:dyDescent="0.6">
      <c r="A33" s="81"/>
      <c r="B33" s="1194" t="s">
        <v>72</v>
      </c>
      <c r="C33" s="1195"/>
      <c r="D33" s="1195"/>
      <c r="E33" s="1195"/>
      <c r="F33" s="1195"/>
      <c r="G33" s="1195"/>
      <c r="H33" s="1196"/>
      <c r="I33" s="883">
        <v>0</v>
      </c>
      <c r="J33" s="467">
        <f>ROUND((+J32*I33),0)</f>
        <v>0</v>
      </c>
      <c r="K33" s="495"/>
      <c r="L33" s="951"/>
      <c r="M33" s="255"/>
    </row>
    <row r="34" spans="1:16" ht="20.25" customHeight="1" thickBot="1" x14ac:dyDescent="0.6">
      <c r="A34" s="81"/>
      <c r="B34" s="468"/>
      <c r="C34" s="273"/>
      <c r="D34" s="273"/>
      <c r="E34" s="273"/>
      <c r="F34" s="273"/>
      <c r="G34" s="273"/>
      <c r="H34" s="803"/>
      <c r="I34" s="272"/>
      <c r="J34" s="276">
        <f>ROUND(SUM(J29:J33),0)</f>
        <v>2490097231</v>
      </c>
      <c r="K34" s="494"/>
      <c r="L34" s="951"/>
      <c r="M34" s="255"/>
      <c r="P34" s="880"/>
    </row>
    <row r="35" spans="1:16" ht="21.75" customHeight="1" thickBot="1" x14ac:dyDescent="0.6">
      <c r="A35" s="81"/>
      <c r="B35" s="1199" t="s">
        <v>73</v>
      </c>
      <c r="C35" s="1200"/>
      <c r="D35" s="1200"/>
      <c r="E35" s="1200"/>
      <c r="F35" s="1200"/>
      <c r="G35" s="1200"/>
      <c r="H35" s="1200"/>
      <c r="I35" s="389"/>
      <c r="J35" s="138"/>
      <c r="K35" s="480"/>
      <c r="L35" s="951"/>
      <c r="M35" s="529"/>
    </row>
    <row r="36" spans="1:16" ht="34.5" customHeight="1" thickBot="1" x14ac:dyDescent="0.6">
      <c r="A36" s="81"/>
      <c r="B36" s="469">
        <v>13</v>
      </c>
      <c r="C36" s="470">
        <v>1010.1</v>
      </c>
      <c r="D36" s="137"/>
      <c r="F36" s="483" t="s">
        <v>74</v>
      </c>
      <c r="G36" s="274" t="s">
        <v>62</v>
      </c>
      <c r="H36" s="804">
        <f>+[125]Cantidades!$H$30</f>
        <v>1</v>
      </c>
      <c r="I36" s="471">
        <f>+'1010.1 PGIO '!F50</f>
        <v>51820627</v>
      </c>
      <c r="J36" s="275">
        <f>ROUND(+H36*I36,0)</f>
        <v>51820627</v>
      </c>
      <c r="K36" s="496"/>
      <c r="L36" s="951"/>
      <c r="M36" s="529"/>
    </row>
    <row r="37" spans="1:16" x14ac:dyDescent="0.55000000000000004">
      <c r="A37" s="81"/>
      <c r="B37" s="474"/>
      <c r="C37" s="475"/>
      <c r="D37" s="476"/>
      <c r="E37" s="476"/>
      <c r="F37" s="484" t="s">
        <v>75</v>
      </c>
      <c r="G37" s="477" t="s">
        <v>62</v>
      </c>
      <c r="H37" s="805">
        <v>1</v>
      </c>
      <c r="I37" s="478">
        <f>+'1010.1 PGIO '!F14</f>
        <v>2025000</v>
      </c>
      <c r="J37" s="479"/>
      <c r="K37" s="496"/>
      <c r="L37" s="951"/>
      <c r="M37" s="529"/>
    </row>
    <row r="38" spans="1:16" x14ac:dyDescent="0.55000000000000004">
      <c r="A38" s="81"/>
      <c r="B38" s="474"/>
      <c r="C38" s="475"/>
      <c r="D38" s="480"/>
      <c r="E38" s="480"/>
      <c r="F38" s="485" t="s">
        <v>76</v>
      </c>
      <c r="G38" s="481" t="s">
        <v>62</v>
      </c>
      <c r="H38" s="806">
        <v>1</v>
      </c>
      <c r="I38" s="478">
        <f>+'1010.1 PGIO '!F24</f>
        <v>15644466</v>
      </c>
      <c r="J38" s="482"/>
      <c r="K38" s="496"/>
      <c r="L38" s="951"/>
      <c r="M38" s="529"/>
    </row>
    <row r="39" spans="1:16" x14ac:dyDescent="0.55000000000000004">
      <c r="A39" s="81"/>
      <c r="B39" s="474"/>
      <c r="C39" s="475"/>
      <c r="D39" s="480"/>
      <c r="E39" s="480"/>
      <c r="F39" s="485" t="s">
        <v>77</v>
      </c>
      <c r="G39" s="481" t="s">
        <v>62</v>
      </c>
      <c r="H39" s="806">
        <v>1</v>
      </c>
      <c r="I39" s="478">
        <f>+'1010.1 PGIO '!F29</f>
        <v>1375000</v>
      </c>
      <c r="J39" s="482"/>
      <c r="K39" s="496"/>
      <c r="L39" s="951"/>
      <c r="M39" s="529"/>
    </row>
    <row r="40" spans="1:16" ht="14.7" thickBot="1" x14ac:dyDescent="0.6">
      <c r="A40" s="81"/>
      <c r="B40" s="474"/>
      <c r="C40" s="475"/>
      <c r="D40" s="480"/>
      <c r="E40" s="480"/>
      <c r="F40" s="984" t="s">
        <v>78</v>
      </c>
      <c r="G40" s="481" t="s">
        <v>62</v>
      </c>
      <c r="H40" s="806">
        <v>1</v>
      </c>
      <c r="I40" s="478">
        <f>+'1010.1 PGIO '!F48</f>
        <v>32776161</v>
      </c>
      <c r="J40" s="482"/>
      <c r="K40" s="496"/>
      <c r="L40" s="951"/>
      <c r="M40" s="529"/>
    </row>
    <row r="41" spans="1:16" ht="21.75" customHeight="1" x14ac:dyDescent="0.55000000000000004">
      <c r="A41" s="81"/>
      <c r="B41" s="1203" t="s">
        <v>79</v>
      </c>
      <c r="C41" s="1204"/>
      <c r="D41" s="1204"/>
      <c r="E41" s="1204"/>
      <c r="F41" s="1204"/>
      <c r="G41" s="1204"/>
      <c r="H41" s="1204"/>
      <c r="I41" s="1204"/>
      <c r="J41" s="1205"/>
      <c r="K41" s="480"/>
      <c r="L41" s="951"/>
      <c r="M41" s="254"/>
    </row>
    <row r="42" spans="1:16" ht="24" customHeight="1" x14ac:dyDescent="0.55000000000000004">
      <c r="A42" s="81"/>
      <c r="B42" s="456">
        <v>14</v>
      </c>
      <c r="C42" s="505"/>
      <c r="D42" s="890"/>
      <c r="E42" s="891" t="s">
        <v>80</v>
      </c>
      <c r="F42" s="890" t="s">
        <v>81</v>
      </c>
      <c r="G42" s="892" t="s">
        <v>82</v>
      </c>
      <c r="H42" s="893">
        <f>+[125]Cantidades!$H$36</f>
        <v>1</v>
      </c>
      <c r="I42" s="894">
        <f>+'E1-O (Etapa I-Obra)'!M30</f>
        <v>69451408</v>
      </c>
      <c r="J42" s="466">
        <f>ROUND((+H42*I42),0)</f>
        <v>69451408</v>
      </c>
      <c r="K42" s="495"/>
      <c r="L42" s="951"/>
      <c r="M42" s="952"/>
    </row>
    <row r="43" spans="1:16" ht="14.7" thickBot="1" x14ac:dyDescent="0.6">
      <c r="A43" s="81"/>
      <c r="B43" s="472"/>
      <c r="C43" s="266"/>
      <c r="D43" s="267"/>
      <c r="E43" s="268"/>
      <c r="F43" s="267"/>
      <c r="G43" s="269"/>
      <c r="H43" s="270"/>
      <c r="I43" s="265"/>
      <c r="J43" s="473"/>
      <c r="K43" s="271"/>
      <c r="L43" s="951"/>
      <c r="M43" s="952"/>
    </row>
    <row r="44" spans="1:16" ht="14.7" thickBot="1" x14ac:dyDescent="0.6">
      <c r="B44" s="1197" t="s">
        <v>83</v>
      </c>
      <c r="C44" s="1198"/>
      <c r="D44" s="1198"/>
      <c r="E44" s="1198"/>
      <c r="F44" s="1198"/>
      <c r="G44" s="1198"/>
      <c r="H44" s="1198"/>
      <c r="I44" s="1198"/>
      <c r="J44" s="943">
        <f>ROUND((+J29+J30+J31+J32+J33+J36+J42),0)</f>
        <v>2611369266</v>
      </c>
      <c r="K44" s="494"/>
      <c r="L44" s="951"/>
      <c r="M44" s="952"/>
      <c r="N44" s="252"/>
      <c r="P44" s="880"/>
    </row>
    <row r="45" spans="1:16" ht="14.7" thickBot="1" x14ac:dyDescent="0.6">
      <c r="B45" s="941"/>
      <c r="C45" s="942"/>
      <c r="D45" s="942"/>
      <c r="E45" s="942"/>
      <c r="F45" s="942"/>
      <c r="G45" s="942"/>
      <c r="H45" s="942"/>
      <c r="I45" s="942" t="s">
        <v>84</v>
      </c>
      <c r="J45" s="953">
        <v>359284176</v>
      </c>
      <c r="K45" s="494"/>
      <c r="L45" s="951"/>
      <c r="M45" s="952"/>
      <c r="N45" s="252"/>
      <c r="P45" s="880"/>
    </row>
    <row r="46" spans="1:16" ht="14.7" thickBot="1" x14ac:dyDescent="0.6">
      <c r="B46" s="1181" t="s">
        <v>85</v>
      </c>
      <c r="C46" s="1182"/>
      <c r="D46" s="1182"/>
      <c r="E46" s="1182"/>
      <c r="F46" s="1182"/>
      <c r="G46" s="1182"/>
      <c r="H46" s="1182"/>
      <c r="I46" s="1182"/>
      <c r="J46" s="944">
        <f>+J44+J45</f>
        <v>2970653442</v>
      </c>
      <c r="K46" s="495"/>
      <c r="L46" s="951"/>
      <c r="M46" s="959"/>
      <c r="O46" s="252"/>
    </row>
    <row r="47" spans="1:16" x14ac:dyDescent="0.55000000000000004">
      <c r="L47" s="951"/>
      <c r="M47" s="252"/>
    </row>
    <row r="48" spans="1:16" ht="14.7" thickBot="1" x14ac:dyDescent="0.6">
      <c r="I48" s="252"/>
      <c r="J48" s="252"/>
      <c r="K48" s="252"/>
      <c r="L48" s="951"/>
      <c r="M48" s="896"/>
    </row>
    <row r="49" spans="2:25" s="44" customFormat="1" ht="29.25" customHeight="1" thickBot="1" x14ac:dyDescent="0.6">
      <c r="B49" s="435" t="s">
        <v>86</v>
      </c>
      <c r="C49" s="436" t="s">
        <v>87</v>
      </c>
      <c r="D49" s="436"/>
      <c r="E49" s="436"/>
      <c r="F49" s="436"/>
      <c r="G49" s="436"/>
      <c r="H49" s="807"/>
      <c r="I49" s="436"/>
      <c r="J49" s="437"/>
      <c r="L49" s="951"/>
      <c r="P49" s="879"/>
    </row>
    <row r="50" spans="2:25" x14ac:dyDescent="0.55000000000000004">
      <c r="D50" s="388"/>
      <c r="J50" s="252"/>
      <c r="K50" s="252"/>
      <c r="L50" s="951"/>
    </row>
    <row r="51" spans="2:25" x14ac:dyDescent="0.55000000000000004">
      <c r="D51" s="388"/>
      <c r="J51" s="495"/>
      <c r="K51" s="252"/>
      <c r="L51" s="951"/>
    </row>
    <row r="52" spans="2:25" x14ac:dyDescent="0.55000000000000004">
      <c r="B52" t="s">
        <v>88</v>
      </c>
      <c r="L52" s="951"/>
    </row>
    <row r="53" spans="2:25" ht="18.3" x14ac:dyDescent="0.7">
      <c r="B53" s="134" t="s">
        <v>89</v>
      </c>
      <c r="C53" s="135"/>
      <c r="D53" s="135"/>
      <c r="L53" s="951"/>
    </row>
    <row r="54" spans="2:25" ht="15.6" x14ac:dyDescent="0.6">
      <c r="B54" s="136" t="s">
        <v>90</v>
      </c>
      <c r="L54" s="951"/>
    </row>
    <row r="55" spans="2:25" ht="15.6" x14ac:dyDescent="0.6">
      <c r="B55" s="140" t="s">
        <v>91</v>
      </c>
      <c r="C55" s="140"/>
      <c r="D55" s="140"/>
      <c r="L55" s="951"/>
    </row>
    <row r="56" spans="2:25" x14ac:dyDescent="0.55000000000000004">
      <c r="L56" s="951"/>
    </row>
    <row r="57" spans="2:25" x14ac:dyDescent="0.55000000000000004">
      <c r="L57" s="951"/>
    </row>
    <row r="58" spans="2:25" x14ac:dyDescent="0.55000000000000004">
      <c r="L58" s="951"/>
    </row>
    <row r="59" spans="2:25" x14ac:dyDescent="0.55000000000000004">
      <c r="L59" s="951"/>
    </row>
    <row r="60" spans="2:25" x14ac:dyDescent="0.55000000000000004">
      <c r="O60" s="971"/>
      <c r="P60" s="971"/>
      <c r="Q60" s="971"/>
      <c r="R60" s="971"/>
      <c r="S60" s="971"/>
      <c r="T60" s="971"/>
      <c r="U60" s="971"/>
      <c r="V60" s="960"/>
      <c r="W60" s="971"/>
      <c r="X60" s="961"/>
      <c r="Y60" s="962"/>
    </row>
    <row r="61" spans="2:25" x14ac:dyDescent="0.55000000000000004">
      <c r="O61" s="971"/>
      <c r="P61" s="971"/>
      <c r="Q61" s="971"/>
      <c r="R61" s="971"/>
      <c r="S61" s="971"/>
      <c r="T61" s="971"/>
      <c r="U61" s="971"/>
      <c r="V61" s="963"/>
      <c r="W61" s="971"/>
      <c r="X61" s="964"/>
      <c r="Y61" s="962"/>
    </row>
    <row r="62" spans="2:25" x14ac:dyDescent="0.55000000000000004">
      <c r="O62" s="971"/>
      <c r="P62" s="971"/>
      <c r="Q62" s="971"/>
      <c r="R62" s="965"/>
      <c r="S62" s="965"/>
      <c r="T62" s="965"/>
      <c r="U62" s="965"/>
      <c r="V62" s="966"/>
      <c r="W62" s="971"/>
      <c r="X62" s="962"/>
      <c r="Y62" s="962"/>
    </row>
    <row r="63" spans="2:25" x14ac:dyDescent="0.55000000000000004">
      <c r="O63" s="967"/>
      <c r="P63" s="967"/>
      <c r="Q63" s="965"/>
      <c r="R63" s="968"/>
      <c r="S63" s="951"/>
      <c r="T63" s="968"/>
      <c r="U63" s="968"/>
      <c r="V63" s="969"/>
      <c r="W63" s="970"/>
      <c r="X63" s="962"/>
      <c r="Y63" s="962"/>
    </row>
  </sheetData>
  <mergeCells count="11">
    <mergeCell ref="B46:I46"/>
    <mergeCell ref="B1:J1"/>
    <mergeCell ref="B29:I29"/>
    <mergeCell ref="B30:H30"/>
    <mergeCell ref="B31:H31"/>
    <mergeCell ref="B32:H32"/>
    <mergeCell ref="B33:H33"/>
    <mergeCell ref="B44:I44"/>
    <mergeCell ref="B35:H35"/>
    <mergeCell ref="D5:D6"/>
    <mergeCell ref="B41:J41"/>
  </mergeCells>
  <pageMargins left="0.7" right="0.7" top="0.75" bottom="0.75" header="0.3" footer="0.3"/>
  <pageSetup scale="50" fitToHeight="0" orientation="portrait" horizontalDpi="1200" verticalDpi="1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39997558519241921"/>
  </sheetPr>
  <dimension ref="B1:M64"/>
  <sheetViews>
    <sheetView tabSelected="1" topLeftCell="A4" workbookViewId="0">
      <selection activeCell="E11" sqref="E11"/>
    </sheetView>
  </sheetViews>
  <sheetFormatPr baseColWidth="10" defaultColWidth="9.15625" defaultRowHeight="12.3" x14ac:dyDescent="0.4"/>
  <cols>
    <col min="1" max="1" width="8.83984375" style="29" bestFit="1" customWidth="1"/>
    <col min="2" max="2" width="46.26171875" style="29" customWidth="1"/>
    <col min="3" max="3" width="17.15625" style="29" bestFit="1" customWidth="1"/>
    <col min="4" max="4" width="15.41796875" style="29" bestFit="1" customWidth="1"/>
    <col min="5" max="5" width="13.83984375" style="29" customWidth="1"/>
    <col min="6" max="6" width="16" style="29" bestFit="1" customWidth="1"/>
    <col min="7" max="7" width="16.68359375" style="29" customWidth="1"/>
    <col min="8" max="8" width="16.578125" style="29" bestFit="1" customWidth="1"/>
    <col min="9" max="9" width="21.15625" style="29" customWidth="1"/>
    <col min="10" max="10" width="9.15625" style="29"/>
    <col min="11" max="11" width="14.41796875" style="29" bestFit="1" customWidth="1"/>
    <col min="12" max="12" width="15.68359375" style="29" bestFit="1" customWidth="1"/>
    <col min="13" max="16384" width="9.15625" style="29"/>
  </cols>
  <sheetData>
    <row r="1" spans="2:13" ht="45" customHeight="1" thickBot="1" x14ac:dyDescent="0.45">
      <c r="B1" s="506" t="s">
        <v>92</v>
      </c>
      <c r="C1" s="1206" t="s">
        <v>0</v>
      </c>
      <c r="D1" s="1206"/>
      <c r="E1" s="1206"/>
      <c r="F1" s="1206"/>
      <c r="G1" s="1206"/>
      <c r="H1" s="1206"/>
      <c r="I1" s="1206"/>
      <c r="J1" s="1207"/>
    </row>
    <row r="2" spans="2:13" x14ac:dyDescent="0.4">
      <c r="B2" s="391"/>
      <c r="C2" s="391"/>
      <c r="D2" s="391"/>
      <c r="E2" s="391"/>
      <c r="F2" s="391"/>
      <c r="G2" s="391"/>
      <c r="H2" s="391"/>
      <c r="I2" s="391"/>
    </row>
    <row r="3" spans="2:13" x14ac:dyDescent="0.4">
      <c r="B3" s="391"/>
      <c r="C3" s="391"/>
      <c r="D3" s="391"/>
      <c r="E3" s="391"/>
      <c r="F3" s="391"/>
      <c r="G3" s="391"/>
      <c r="H3" s="391"/>
      <c r="I3" s="391"/>
    </row>
    <row r="4" spans="2:13" x14ac:dyDescent="0.4">
      <c r="B4" s="58" t="s">
        <v>93</v>
      </c>
    </row>
    <row r="5" spans="2:13" x14ac:dyDescent="0.4">
      <c r="B5" s="59"/>
      <c r="F5" s="502" t="s">
        <v>94</v>
      </c>
      <c r="G5" s="504">
        <v>2</v>
      </c>
      <c r="H5" s="503" t="s">
        <v>11</v>
      </c>
    </row>
    <row r="6" spans="2:13" x14ac:dyDescent="0.4">
      <c r="B6" s="58" t="s">
        <v>95</v>
      </c>
      <c r="C6" s="985">
        <f>+PRESUPUESTO!J29</f>
        <v>1815550537</v>
      </c>
      <c r="D6" s="392"/>
      <c r="E6" s="393"/>
      <c r="F6" s="502" t="s">
        <v>96</v>
      </c>
      <c r="G6" s="504">
        <v>5</v>
      </c>
      <c r="H6" s="503" t="s">
        <v>11</v>
      </c>
    </row>
    <row r="7" spans="2:13" x14ac:dyDescent="0.4">
      <c r="B7" s="58"/>
      <c r="C7" s="60"/>
      <c r="K7" s="29" t="s">
        <v>97</v>
      </c>
      <c r="L7" s="394">
        <v>1160000</v>
      </c>
    </row>
    <row r="8" spans="2:13" ht="12.6" thickBot="1" x14ac:dyDescent="0.45">
      <c r="B8" s="58" t="s">
        <v>98</v>
      </c>
      <c r="K8" s="29" t="s">
        <v>99</v>
      </c>
      <c r="L8" s="394">
        <v>140606</v>
      </c>
    </row>
    <row r="9" spans="2:13" s="395" customFormat="1" ht="24.6" x14ac:dyDescent="0.4">
      <c r="B9" s="246" t="s">
        <v>100</v>
      </c>
      <c r="C9" s="247" t="s">
        <v>7</v>
      </c>
      <c r="D9" s="248" t="s">
        <v>101</v>
      </c>
      <c r="E9" s="64" t="s">
        <v>102</v>
      </c>
      <c r="F9" s="64" t="s">
        <v>103</v>
      </c>
      <c r="G9" s="249" t="s">
        <v>104</v>
      </c>
      <c r="H9" s="250" t="s">
        <v>9</v>
      </c>
      <c r="I9" s="251" t="s">
        <v>105</v>
      </c>
    </row>
    <row r="10" spans="2:13" x14ac:dyDescent="0.4">
      <c r="B10" s="986" t="s">
        <v>106</v>
      </c>
      <c r="C10" s="303">
        <v>1</v>
      </c>
      <c r="D10" s="321">
        <v>0.5</v>
      </c>
      <c r="E10" s="521">
        <v>6500000</v>
      </c>
      <c r="F10" s="987">
        <v>0.73</v>
      </c>
      <c r="G10" s="304">
        <f>+$G$6</f>
        <v>5</v>
      </c>
      <c r="H10" s="988">
        <f>+C10*D10*E10*(F10+1)*G10</f>
        <v>28112500</v>
      </c>
      <c r="I10" s="989">
        <f>+H10/$C$6</f>
        <v>1.548428392770209E-2</v>
      </c>
      <c r="K10" s="29">
        <v>0.5</v>
      </c>
      <c r="L10" s="29">
        <v>28112500</v>
      </c>
      <c r="M10" s="29">
        <v>1.5694404000629832E-2</v>
      </c>
    </row>
    <row r="11" spans="2:13" x14ac:dyDescent="0.4">
      <c r="B11" s="986" t="s">
        <v>107</v>
      </c>
      <c r="C11" s="303">
        <v>1</v>
      </c>
      <c r="D11" s="321">
        <v>1</v>
      </c>
      <c r="E11" s="521">
        <v>4500000</v>
      </c>
      <c r="F11" s="987">
        <v>0.73</v>
      </c>
      <c r="G11" s="304">
        <f t="shared" ref="G11:G16" si="0">+$G$6</f>
        <v>5</v>
      </c>
      <c r="H11" s="988">
        <f t="shared" ref="H11:H16" si="1">+D11*E11*(F11+1)*G11</f>
        <v>38925000</v>
      </c>
      <c r="I11" s="989">
        <f t="shared" ref="I11:I16" si="2">+H11/$C$6</f>
        <v>2.1439777746049049E-2</v>
      </c>
      <c r="K11" s="29">
        <v>1</v>
      </c>
      <c r="L11" s="29">
        <v>38925000</v>
      </c>
      <c r="M11" s="29">
        <v>2.1730713231641306E-2</v>
      </c>
    </row>
    <row r="12" spans="2:13" x14ac:dyDescent="0.4">
      <c r="B12" s="396" t="s">
        <v>108</v>
      </c>
      <c r="C12" s="303">
        <v>1</v>
      </c>
      <c r="D12" s="321">
        <v>0.5</v>
      </c>
      <c r="E12" s="521">
        <v>4750000</v>
      </c>
      <c r="F12" s="987">
        <v>0.73</v>
      </c>
      <c r="G12" s="304">
        <f t="shared" si="0"/>
        <v>5</v>
      </c>
      <c r="H12" s="988">
        <f t="shared" si="1"/>
        <v>20543750</v>
      </c>
      <c r="I12" s="989">
        <f t="shared" ref="I12" si="3">+H12/$C$6</f>
        <v>1.1315438254859219E-2</v>
      </c>
      <c r="K12" s="29">
        <v>0.5</v>
      </c>
      <c r="L12" s="29">
        <v>20543750</v>
      </c>
      <c r="M12" s="29">
        <v>1.1468987538921801E-2</v>
      </c>
    </row>
    <row r="13" spans="2:13" x14ac:dyDescent="0.4">
      <c r="B13" s="396" t="s">
        <v>109</v>
      </c>
      <c r="C13" s="303">
        <v>1</v>
      </c>
      <c r="D13" s="321">
        <v>1</v>
      </c>
      <c r="E13" s="521">
        <v>3855000</v>
      </c>
      <c r="F13" s="987">
        <v>0.73</v>
      </c>
      <c r="G13" s="304">
        <f t="shared" si="0"/>
        <v>5</v>
      </c>
      <c r="H13" s="988">
        <f t="shared" ref="H13" si="4">+D13*E13*(F13+1)*G13</f>
        <v>33345750</v>
      </c>
      <c r="I13" s="989">
        <f t="shared" si="2"/>
        <v>1.836674293578202E-2</v>
      </c>
      <c r="K13" s="29">
        <v>1</v>
      </c>
      <c r="L13" s="29">
        <v>33345750</v>
      </c>
      <c r="M13" s="29">
        <v>1.8615977668439386E-2</v>
      </c>
    </row>
    <row r="14" spans="2:13" x14ac:dyDescent="0.4">
      <c r="B14" s="396" t="s">
        <v>110</v>
      </c>
      <c r="C14" s="303">
        <v>1</v>
      </c>
      <c r="D14" s="321">
        <v>0.65</v>
      </c>
      <c r="E14" s="521">
        <v>3650000</v>
      </c>
      <c r="F14" s="987">
        <v>0.73</v>
      </c>
      <c r="G14" s="304">
        <f t="shared" si="0"/>
        <v>5</v>
      </c>
      <c r="H14" s="988">
        <f t="shared" si="1"/>
        <v>20522125</v>
      </c>
      <c r="I14" s="989">
        <f t="shared" si="2"/>
        <v>1.1303527267222526E-2</v>
      </c>
      <c r="K14" s="397">
        <v>0.5</v>
      </c>
      <c r="L14" s="29">
        <v>15786250</v>
      </c>
      <c r="M14" s="29">
        <v>8.8130114772767519E-3</v>
      </c>
    </row>
    <row r="15" spans="2:13" x14ac:dyDescent="0.4">
      <c r="B15" s="990" t="s">
        <v>111</v>
      </c>
      <c r="C15" s="322">
        <v>1</v>
      </c>
      <c r="D15" s="991">
        <v>0.5</v>
      </c>
      <c r="E15" s="992">
        <v>2200000</v>
      </c>
      <c r="F15" s="987">
        <v>0.85003333333333331</v>
      </c>
      <c r="G15" s="304">
        <f t="shared" si="0"/>
        <v>5</v>
      </c>
      <c r="H15" s="993">
        <f t="shared" si="1"/>
        <v>10175183.333333332</v>
      </c>
      <c r="I15" s="989">
        <f t="shared" si="2"/>
        <v>5.6044616362740949E-3</v>
      </c>
      <c r="K15" s="397">
        <v>0.5</v>
      </c>
      <c r="L15" s="29">
        <v>10175183.333333332</v>
      </c>
      <c r="M15" s="29">
        <v>5.6805135798598007E-3</v>
      </c>
    </row>
    <row r="16" spans="2:13" x14ac:dyDescent="0.4">
      <c r="B16" s="990" t="s">
        <v>112</v>
      </c>
      <c r="C16" s="322">
        <v>1</v>
      </c>
      <c r="D16" s="991">
        <v>1</v>
      </c>
      <c r="E16" s="992">
        <v>1540000.0000000002</v>
      </c>
      <c r="F16" s="987">
        <v>0.85003333333333331</v>
      </c>
      <c r="G16" s="304">
        <f t="shared" si="0"/>
        <v>5</v>
      </c>
      <c r="H16" s="993">
        <f t="shared" si="1"/>
        <v>14245256.666666668</v>
      </c>
      <c r="I16" s="989">
        <f t="shared" si="2"/>
        <v>7.8462462907837351E-3</v>
      </c>
      <c r="J16" s="398"/>
      <c r="K16" s="397">
        <v>1</v>
      </c>
      <c r="L16" s="29">
        <v>14245256.666666668</v>
      </c>
      <c r="M16" s="29">
        <v>7.9527190118037234E-3</v>
      </c>
    </row>
    <row r="17" spans="2:13" ht="12.6" thickBot="1" x14ac:dyDescent="0.45">
      <c r="B17" s="994" t="s">
        <v>113</v>
      </c>
      <c r="C17" s="995"/>
      <c r="D17" s="995"/>
      <c r="E17" s="996"/>
      <c r="F17" s="995"/>
      <c r="G17" s="995"/>
      <c r="H17" s="997">
        <f>SUM(H10:H16)</f>
        <v>165869565</v>
      </c>
      <c r="I17" s="998">
        <f>SUM(I10:I16)</f>
        <v>9.1360478058672728E-2</v>
      </c>
      <c r="L17" s="29">
        <v>161133690</v>
      </c>
      <c r="M17" s="29">
        <v>8.9956326508572604E-2</v>
      </c>
    </row>
    <row r="18" spans="2:13" ht="12.6" thickBot="1" x14ac:dyDescent="0.45">
      <c r="B18" s="58" t="s">
        <v>114</v>
      </c>
      <c r="C18" s="59"/>
      <c r="D18" s="59"/>
      <c r="E18" s="59"/>
      <c r="F18" s="59"/>
      <c r="G18" s="59"/>
      <c r="H18" s="59"/>
    </row>
    <row r="19" spans="2:13" ht="35.25" customHeight="1" thickBot="1" x14ac:dyDescent="0.45">
      <c r="B19" s="63" t="s">
        <v>115</v>
      </c>
      <c r="C19" s="61" t="s">
        <v>7</v>
      </c>
      <c r="D19" s="522" t="s">
        <v>102</v>
      </c>
      <c r="E19" s="523" t="s">
        <v>104</v>
      </c>
      <c r="F19" s="62" t="s">
        <v>9</v>
      </c>
      <c r="G19" s="390" t="s">
        <v>105</v>
      </c>
      <c r="H19" s="301"/>
    </row>
    <row r="20" spans="2:13" x14ac:dyDescent="0.4">
      <c r="B20" s="399" t="s">
        <v>116</v>
      </c>
      <c r="C20" s="400">
        <v>1</v>
      </c>
      <c r="D20" s="524">
        <v>250000</v>
      </c>
      <c r="E20" s="525">
        <v>5</v>
      </c>
      <c r="F20" s="421">
        <f>+D20*E20*C20</f>
        <v>1250000</v>
      </c>
      <c r="G20" s="422">
        <f>+F20/$C$6</f>
        <v>6.8849639518461943E-4</v>
      </c>
      <c r="H20" s="363"/>
    </row>
    <row r="21" spans="2:13" x14ac:dyDescent="0.4">
      <c r="B21" s="401" t="s">
        <v>117</v>
      </c>
      <c r="C21" s="303">
        <v>1</v>
      </c>
      <c r="D21" s="526">
        <v>1500000</v>
      </c>
      <c r="E21" s="527">
        <f>+$G$6</f>
        <v>5</v>
      </c>
      <c r="F21" s="423">
        <f t="shared" ref="F21:F27" si="5">+D21*E21*C21</f>
        <v>7500000</v>
      </c>
      <c r="G21" s="424">
        <f>+F21/$C$6</f>
        <v>4.1309783711077162E-3</v>
      </c>
      <c r="H21" s="363"/>
    </row>
    <row r="22" spans="2:13" x14ac:dyDescent="0.4">
      <c r="B22" s="401" t="s">
        <v>118</v>
      </c>
      <c r="C22" s="303">
        <v>1</v>
      </c>
      <c r="D22" s="526">
        <v>750000</v>
      </c>
      <c r="E22" s="527">
        <f t="shared" ref="E22:E27" si="6">+$G$6</f>
        <v>5</v>
      </c>
      <c r="F22" s="423">
        <f t="shared" si="5"/>
        <v>3750000</v>
      </c>
      <c r="G22" s="424">
        <f>+F22/$C$6</f>
        <v>2.0654891855538581E-3</v>
      </c>
      <c r="H22" s="363"/>
    </row>
    <row r="23" spans="2:13" ht="24.6" x14ac:dyDescent="0.4">
      <c r="B23" s="401" t="s">
        <v>119</v>
      </c>
      <c r="C23" s="303">
        <v>1</v>
      </c>
      <c r="D23" s="526">
        <v>7650000</v>
      </c>
      <c r="E23" s="527">
        <f t="shared" si="6"/>
        <v>5</v>
      </c>
      <c r="F23" s="423">
        <f t="shared" si="5"/>
        <v>38250000</v>
      </c>
      <c r="G23" s="424">
        <f>+F23/$C$6</f>
        <v>2.1067989692649353E-2</v>
      </c>
      <c r="H23" s="363"/>
    </row>
    <row r="24" spans="2:13" x14ac:dyDescent="0.4">
      <c r="B24" s="401" t="s">
        <v>120</v>
      </c>
      <c r="C24" s="303">
        <v>0.7</v>
      </c>
      <c r="D24" s="528">
        <v>1850000</v>
      </c>
      <c r="E24" s="527">
        <v>5</v>
      </c>
      <c r="F24" s="423">
        <f t="shared" si="5"/>
        <v>6475000</v>
      </c>
      <c r="G24" s="424">
        <f>+F24/$C$6</f>
        <v>3.5664113270563284E-3</v>
      </c>
      <c r="H24" s="363"/>
      <c r="I24" s="885"/>
      <c r="J24" s="886"/>
    </row>
    <row r="25" spans="2:13" x14ac:dyDescent="0.4">
      <c r="B25" s="401" t="s">
        <v>121</v>
      </c>
      <c r="C25" s="303">
        <v>1</v>
      </c>
      <c r="D25" s="528">
        <v>750000</v>
      </c>
      <c r="E25" s="527">
        <v>1</v>
      </c>
      <c r="F25" s="423">
        <f t="shared" si="5"/>
        <v>750000</v>
      </c>
      <c r="G25" s="424">
        <f t="shared" ref="G25:G27" si="7">+F25/$C$6</f>
        <v>4.1309783711077167E-4</v>
      </c>
      <c r="H25" s="363"/>
    </row>
    <row r="26" spans="2:13" x14ac:dyDescent="0.4">
      <c r="B26" s="401" t="s">
        <v>122</v>
      </c>
      <c r="C26" s="303">
        <v>1</v>
      </c>
      <c r="D26" s="528">
        <v>450000</v>
      </c>
      <c r="E26" s="527">
        <f t="shared" si="6"/>
        <v>5</v>
      </c>
      <c r="F26" s="423">
        <f t="shared" si="5"/>
        <v>2250000</v>
      </c>
      <c r="G26" s="424">
        <f t="shared" ref="G26" si="8">+F26/$C$6</f>
        <v>1.2392935113323148E-3</v>
      </c>
      <c r="H26" s="363"/>
    </row>
    <row r="27" spans="2:13" x14ac:dyDescent="0.4">
      <c r="B27" s="401" t="s">
        <v>123</v>
      </c>
      <c r="C27" s="303">
        <v>1</v>
      </c>
      <c r="D27" s="528">
        <f>+F64</f>
        <v>2544000</v>
      </c>
      <c r="E27" s="527">
        <f t="shared" si="6"/>
        <v>5</v>
      </c>
      <c r="F27" s="423">
        <f t="shared" si="5"/>
        <v>12720000</v>
      </c>
      <c r="G27" s="424">
        <f t="shared" si="7"/>
        <v>7.006139317398687E-3</v>
      </c>
      <c r="H27" s="363"/>
    </row>
    <row r="28" spans="2:13" x14ac:dyDescent="0.4">
      <c r="B28" s="402"/>
      <c r="C28" s="322"/>
      <c r="D28" s="364"/>
      <c r="E28" s="365"/>
      <c r="F28" s="425"/>
      <c r="G28" s="426"/>
      <c r="H28" s="363"/>
    </row>
    <row r="29" spans="2:13" ht="12.6" thickBot="1" x14ac:dyDescent="0.45">
      <c r="B29" s="427" t="s">
        <v>124</v>
      </c>
      <c r="C29" s="428"/>
      <c r="D29" s="428"/>
      <c r="E29" s="428"/>
      <c r="F29" s="429">
        <f>SUM(F21:F28)</f>
        <v>71695000</v>
      </c>
      <c r="G29" s="430">
        <f>SUM(G20:G28)</f>
        <v>4.0177895637393643E-2</v>
      </c>
      <c r="H29" s="302"/>
    </row>
    <row r="30" spans="2:13" ht="12.6" thickBot="1" x14ac:dyDescent="0.45">
      <c r="B30" s="58" t="s">
        <v>125</v>
      </c>
      <c r="F30" s="403"/>
    </row>
    <row r="31" spans="2:13" ht="24.6" x14ac:dyDescent="0.4">
      <c r="B31" s="323" t="s">
        <v>115</v>
      </c>
      <c r="C31" s="66" t="s">
        <v>126</v>
      </c>
      <c r="D31" s="67" t="s">
        <v>127</v>
      </c>
      <c r="E31" s="65" t="s">
        <v>7</v>
      </c>
      <c r="F31" s="65" t="s">
        <v>9</v>
      </c>
      <c r="G31" s="251" t="s">
        <v>105</v>
      </c>
      <c r="H31" s="305"/>
    </row>
    <row r="32" spans="2:13" x14ac:dyDescent="0.4">
      <c r="B32" s="404" t="s">
        <v>128</v>
      </c>
      <c r="C32" s="405">
        <v>1.4999999999999999E-2</v>
      </c>
      <c r="D32" s="325">
        <f>+C32*C6</f>
        <v>27233258.055</v>
      </c>
      <c r="E32" s="304">
        <v>1</v>
      </c>
      <c r="F32" s="326">
        <f>+E32*D32</f>
        <v>27233258.055</v>
      </c>
      <c r="G32" s="324">
        <f>+F32/$C$6</f>
        <v>1.4999999999999999E-2</v>
      </c>
      <c r="H32" s="305"/>
      <c r="I32" s="577"/>
    </row>
    <row r="33" spans="2:9" ht="24.6" x14ac:dyDescent="0.4">
      <c r="B33" s="404" t="s">
        <v>129</v>
      </c>
      <c r="C33" s="405">
        <v>0.05</v>
      </c>
      <c r="D33" s="325">
        <f t="shared" ref="D33:D35" si="9">+C33*$C$6</f>
        <v>90777526.850000009</v>
      </c>
      <c r="E33" s="304">
        <v>1</v>
      </c>
      <c r="F33" s="326">
        <f t="shared" ref="F33:F35" si="10">+E33*D33</f>
        <v>90777526.850000009</v>
      </c>
      <c r="G33" s="324">
        <f t="shared" ref="G33:G35" si="11">+F33/$C$6</f>
        <v>0.05</v>
      </c>
      <c r="H33" s="305"/>
    </row>
    <row r="34" spans="2:9" x14ac:dyDescent="0.4">
      <c r="B34" s="884" t="s">
        <v>130</v>
      </c>
      <c r="C34" s="405">
        <v>4.0000000000000001E-3</v>
      </c>
      <c r="D34" s="325">
        <f t="shared" si="9"/>
        <v>7262202.148</v>
      </c>
      <c r="E34" s="304">
        <v>1</v>
      </c>
      <c r="F34" s="326">
        <f t="shared" si="10"/>
        <v>7262202.148</v>
      </c>
      <c r="G34" s="324">
        <f t="shared" si="11"/>
        <v>4.0000000000000001E-3</v>
      </c>
      <c r="H34" s="305"/>
    </row>
    <row r="35" spans="2:9" x14ac:dyDescent="0.4">
      <c r="B35" s="404" t="s">
        <v>131</v>
      </c>
      <c r="C35" s="405">
        <v>0.02</v>
      </c>
      <c r="D35" s="325">
        <f t="shared" si="9"/>
        <v>36311010.740000002</v>
      </c>
      <c r="E35" s="304">
        <v>1</v>
      </c>
      <c r="F35" s="326">
        <f t="shared" si="10"/>
        <v>36311010.740000002</v>
      </c>
      <c r="G35" s="324">
        <f t="shared" si="11"/>
        <v>0.02</v>
      </c>
      <c r="H35" s="305"/>
    </row>
    <row r="36" spans="2:9" ht="12.6" thickBot="1" x14ac:dyDescent="0.45">
      <c r="B36" s="406" t="s">
        <v>132</v>
      </c>
      <c r="C36" s="407">
        <v>8.9999999999999993E-3</v>
      </c>
      <c r="D36" s="384">
        <f t="shared" ref="D36:D40" si="12">+C36*$C$6</f>
        <v>16339954.832999999</v>
      </c>
      <c r="E36" s="385">
        <v>1</v>
      </c>
      <c r="F36" s="386">
        <f t="shared" ref="F36:F43" si="13">+E36*D36</f>
        <v>16339954.832999999</v>
      </c>
      <c r="G36" s="387">
        <f t="shared" ref="G36:G40" si="14">+F36/$C$6</f>
        <v>8.9999999999999993E-3</v>
      </c>
      <c r="H36" s="305"/>
    </row>
    <row r="37" spans="2:9" x14ac:dyDescent="0.4">
      <c r="B37" s="875" t="s">
        <v>133</v>
      </c>
      <c r="C37" s="876">
        <v>0.01</v>
      </c>
      <c r="D37" s="877">
        <f t="shared" si="12"/>
        <v>18155505.370000001</v>
      </c>
      <c r="E37" s="878">
        <v>1</v>
      </c>
      <c r="F37" s="326">
        <f t="shared" si="13"/>
        <v>18155505.370000001</v>
      </c>
      <c r="G37" s="324">
        <f t="shared" si="14"/>
        <v>0.01</v>
      </c>
      <c r="H37" s="305"/>
    </row>
    <row r="38" spans="2:9" x14ac:dyDescent="0.4">
      <c r="B38" s="875" t="s">
        <v>134</v>
      </c>
      <c r="C38" s="876">
        <v>1.2E-2</v>
      </c>
      <c r="D38" s="877">
        <f t="shared" si="12"/>
        <v>21786606.444000002</v>
      </c>
      <c r="E38" s="878">
        <v>1</v>
      </c>
      <c r="F38" s="326">
        <f t="shared" si="13"/>
        <v>21786606.444000002</v>
      </c>
      <c r="G38" s="324">
        <f t="shared" si="14"/>
        <v>1.2E-2</v>
      </c>
      <c r="H38" s="305"/>
    </row>
    <row r="39" spans="2:9" x14ac:dyDescent="0.4">
      <c r="B39" s="875" t="s">
        <v>135</v>
      </c>
      <c r="C39" s="876">
        <v>0.04</v>
      </c>
      <c r="D39" s="877">
        <f t="shared" si="12"/>
        <v>72622021.480000004</v>
      </c>
      <c r="E39" s="878">
        <v>1</v>
      </c>
      <c r="F39" s="326">
        <f t="shared" si="13"/>
        <v>72622021.480000004</v>
      </c>
      <c r="G39" s="324">
        <f t="shared" si="14"/>
        <v>0.04</v>
      </c>
      <c r="H39" s="305"/>
    </row>
    <row r="40" spans="2:9" x14ac:dyDescent="0.4">
      <c r="B40" s="875" t="s">
        <v>136</v>
      </c>
      <c r="C40" s="876">
        <v>0.02</v>
      </c>
      <c r="D40" s="877">
        <f t="shared" si="12"/>
        <v>36311010.740000002</v>
      </c>
      <c r="E40" s="878">
        <v>1</v>
      </c>
      <c r="F40" s="326">
        <f t="shared" si="13"/>
        <v>36311010.740000002</v>
      </c>
      <c r="G40" s="324">
        <f t="shared" si="14"/>
        <v>0.02</v>
      </c>
      <c r="H40" s="305"/>
    </row>
    <row r="41" spans="2:9" x14ac:dyDescent="0.4">
      <c r="B41" s="875"/>
      <c r="C41" s="876"/>
      <c r="D41" s="877"/>
      <c r="E41" s="878"/>
      <c r="F41" s="326">
        <f t="shared" si="13"/>
        <v>0</v>
      </c>
      <c r="G41" s="324"/>
      <c r="H41" s="305"/>
    </row>
    <row r="42" spans="2:9" x14ac:dyDescent="0.4">
      <c r="B42" s="875"/>
      <c r="C42" s="876"/>
      <c r="D42" s="877"/>
      <c r="E42" s="878"/>
      <c r="F42" s="326">
        <f t="shared" si="13"/>
        <v>0</v>
      </c>
      <c r="G42" s="324"/>
      <c r="H42" s="305"/>
    </row>
    <row r="43" spans="2:9" ht="12.6" thickBot="1" x14ac:dyDescent="0.45">
      <c r="B43" s="406"/>
      <c r="C43" s="407"/>
      <c r="D43" s="384"/>
      <c r="E43" s="385"/>
      <c r="F43" s="326">
        <f t="shared" si="13"/>
        <v>0</v>
      </c>
      <c r="G43" s="324"/>
      <c r="H43" s="305"/>
    </row>
    <row r="44" spans="2:9" ht="12.6" thickBot="1" x14ac:dyDescent="0.45">
      <c r="B44" s="329" t="s">
        <v>137</v>
      </c>
      <c r="C44" s="330"/>
      <c r="D44" s="330"/>
      <c r="E44" s="330"/>
      <c r="F44" s="331">
        <f>SUM(F32:F43)</f>
        <v>326799096.66000003</v>
      </c>
      <c r="G44" s="332">
        <f>SUM(G32:G43)</f>
        <v>0.18</v>
      </c>
      <c r="H44" s="305"/>
      <c r="I44" s="397"/>
    </row>
    <row r="45" spans="2:9" x14ac:dyDescent="0.4">
      <c r="B45" s="382"/>
      <c r="C45" s="382"/>
      <c r="D45" s="382"/>
      <c r="E45" s="382"/>
      <c r="F45" s="383"/>
      <c r="G45" s="564"/>
      <c r="H45" s="305"/>
      <c r="I45" s="397"/>
    </row>
    <row r="46" spans="2:9" ht="12.6" thickBot="1" x14ac:dyDescent="0.45">
      <c r="F46" s="408"/>
      <c r="H46" s="305"/>
    </row>
    <row r="47" spans="2:9" ht="12.6" thickBot="1" x14ac:dyDescent="0.45">
      <c r="B47" s="768" t="s">
        <v>138</v>
      </c>
      <c r="C47" s="770">
        <f>+I17+G29+G44</f>
        <v>0.31153837369606635</v>
      </c>
      <c r="E47" s="398"/>
    </row>
    <row r="48" spans="2:9" x14ac:dyDescent="0.4">
      <c r="B48" s="999" t="s">
        <v>139</v>
      </c>
      <c r="C48" s="769">
        <v>0.01</v>
      </c>
    </row>
    <row r="49" spans="2:9" x14ac:dyDescent="0.4">
      <c r="B49" s="999" t="s">
        <v>140</v>
      </c>
      <c r="C49" s="1000">
        <f>5%</f>
        <v>0.05</v>
      </c>
    </row>
    <row r="50" spans="2:9" ht="12.6" thickBot="1" x14ac:dyDescent="0.45">
      <c r="B50" s="1001" t="s">
        <v>141</v>
      </c>
      <c r="C50" s="1002">
        <f>+C47+C48+C49</f>
        <v>0.37153837369606635</v>
      </c>
    </row>
    <row r="53" spans="2:9" ht="12.6" thickBot="1" x14ac:dyDescent="0.45"/>
    <row r="54" spans="2:9" x14ac:dyDescent="0.4">
      <c r="B54" s="409" t="s">
        <v>142</v>
      </c>
      <c r="C54" s="410"/>
      <c r="D54" s="410"/>
      <c r="E54" s="410"/>
      <c r="F54" s="411"/>
    </row>
    <row r="55" spans="2:9" x14ac:dyDescent="0.4">
      <c r="B55" s="412" t="s">
        <v>143</v>
      </c>
      <c r="C55" s="413" t="s">
        <v>144</v>
      </c>
      <c r="D55" s="413" t="s">
        <v>145</v>
      </c>
      <c r="E55" s="413" t="s">
        <v>146</v>
      </c>
      <c r="F55" s="414" t="s">
        <v>147</v>
      </c>
    </row>
    <row r="56" spans="2:9" x14ac:dyDescent="0.4">
      <c r="B56" s="433" t="s">
        <v>148</v>
      </c>
      <c r="C56" s="416">
        <v>1</v>
      </c>
      <c r="D56" s="431">
        <v>198000</v>
      </c>
      <c r="E56" s="304">
        <v>1</v>
      </c>
      <c r="F56" s="432">
        <f t="shared" ref="F56:F63" si="15">+C56*D56*E56</f>
        <v>198000</v>
      </c>
      <c r="H56" s="419"/>
    </row>
    <row r="57" spans="2:9" x14ac:dyDescent="0.4">
      <c r="B57" s="433" t="s">
        <v>149</v>
      </c>
      <c r="C57" s="416">
        <v>25</v>
      </c>
      <c r="D57" s="431">
        <v>11000</v>
      </c>
      <c r="E57" s="304">
        <v>1</v>
      </c>
      <c r="F57" s="432">
        <f t="shared" si="15"/>
        <v>275000</v>
      </c>
      <c r="H57" s="419"/>
    </row>
    <row r="58" spans="2:9" x14ac:dyDescent="0.4">
      <c r="B58" s="401" t="s">
        <v>150</v>
      </c>
      <c r="C58" s="416">
        <v>25</v>
      </c>
      <c r="D58" s="431">
        <v>45000</v>
      </c>
      <c r="E58" s="304">
        <v>1</v>
      </c>
      <c r="F58" s="432">
        <f t="shared" si="15"/>
        <v>1125000</v>
      </c>
      <c r="H58" s="419"/>
    </row>
    <row r="59" spans="2:9" x14ac:dyDescent="0.4">
      <c r="B59" s="401" t="s">
        <v>151</v>
      </c>
      <c r="C59" s="416">
        <v>1</v>
      </c>
      <c r="D59" s="431">
        <v>44000</v>
      </c>
      <c r="E59" s="304">
        <v>1</v>
      </c>
      <c r="F59" s="432">
        <f t="shared" si="15"/>
        <v>44000</v>
      </c>
      <c r="H59" s="419"/>
    </row>
    <row r="60" spans="2:9" x14ac:dyDescent="0.4">
      <c r="B60" s="433" t="s">
        <v>152</v>
      </c>
      <c r="C60" s="416">
        <v>1</v>
      </c>
      <c r="D60" s="431">
        <v>660000</v>
      </c>
      <c r="E60" s="304">
        <v>1</v>
      </c>
      <c r="F60" s="432">
        <f t="shared" si="15"/>
        <v>660000</v>
      </c>
      <c r="H60" s="419"/>
    </row>
    <row r="61" spans="2:9" x14ac:dyDescent="0.4">
      <c r="B61" s="433" t="s">
        <v>153</v>
      </c>
      <c r="C61" s="416">
        <v>1</v>
      </c>
      <c r="D61" s="431">
        <v>66000</v>
      </c>
      <c r="E61" s="304">
        <v>1</v>
      </c>
      <c r="F61" s="432">
        <f t="shared" si="15"/>
        <v>66000</v>
      </c>
      <c r="H61" s="419"/>
    </row>
    <row r="62" spans="2:9" x14ac:dyDescent="0.4">
      <c r="B62" s="433" t="s">
        <v>154</v>
      </c>
      <c r="C62" s="416">
        <v>1</v>
      </c>
      <c r="D62" s="431">
        <v>88000</v>
      </c>
      <c r="E62" s="304">
        <v>1</v>
      </c>
      <c r="F62" s="432">
        <f t="shared" si="15"/>
        <v>88000</v>
      </c>
      <c r="H62" s="419"/>
    </row>
    <row r="63" spans="2:9" ht="24.6" x14ac:dyDescent="0.4">
      <c r="B63" s="433" t="s">
        <v>155</v>
      </c>
      <c r="C63" s="416">
        <v>1</v>
      </c>
      <c r="D63" s="431">
        <v>88000</v>
      </c>
      <c r="E63" s="304">
        <v>1</v>
      </c>
      <c r="F63" s="432">
        <f t="shared" si="15"/>
        <v>88000</v>
      </c>
      <c r="H63" s="419"/>
    </row>
    <row r="64" spans="2:9" x14ac:dyDescent="0.4">
      <c r="B64" s="417" t="s">
        <v>147</v>
      </c>
      <c r="C64" s="416"/>
      <c r="D64" s="415"/>
      <c r="E64" s="416"/>
      <c r="F64" s="418">
        <f>SUM(F56:F63)</f>
        <v>2544000</v>
      </c>
      <c r="H64" s="420"/>
      <c r="I64" s="420"/>
    </row>
  </sheetData>
  <sortState xmlns:xlrd2="http://schemas.microsoft.com/office/spreadsheetml/2017/richdata2" ref="B56:F63">
    <sortCondition ref="B56:B63"/>
  </sortState>
  <mergeCells count="1">
    <mergeCell ref="C1:J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CB044-F291-4D98-AFBB-8643D50AEF6F}">
  <sheetPr>
    <tabColor theme="9" tint="0.39997558519241921"/>
  </sheetPr>
  <dimension ref="A1:M30"/>
  <sheetViews>
    <sheetView topLeftCell="E19" workbookViewId="0">
      <selection activeCell="I29" sqref="I29"/>
    </sheetView>
  </sheetViews>
  <sheetFormatPr baseColWidth="10" defaultColWidth="11.41796875" defaultRowHeight="14.4" x14ac:dyDescent="0.55000000000000004"/>
  <cols>
    <col min="7" max="7" width="3.83984375" customWidth="1"/>
    <col min="8" max="8" width="14.68359375" customWidth="1"/>
    <col min="9" max="9" width="18.68359375" bestFit="1" customWidth="1"/>
    <col min="13" max="13" width="24" customWidth="1"/>
  </cols>
  <sheetData>
    <row r="1" spans="1:13" ht="20.100000000000001" thickBot="1" x14ac:dyDescent="0.6">
      <c r="A1" s="1210" t="s">
        <v>156</v>
      </c>
      <c r="B1" s="1211"/>
      <c r="C1" s="1211"/>
      <c r="D1" s="1211"/>
      <c r="E1" s="1211"/>
      <c r="F1" s="1211"/>
      <c r="G1" s="1211"/>
      <c r="H1" s="1211"/>
      <c r="I1" s="1211"/>
      <c r="J1" s="1211"/>
      <c r="K1" s="1211"/>
      <c r="L1" s="1211"/>
      <c r="M1" s="1212"/>
    </row>
    <row r="2" spans="1:13" x14ac:dyDescent="0.55000000000000004">
      <c r="A2" s="1226"/>
      <c r="B2" s="1227"/>
      <c r="C2" s="1227"/>
      <c r="D2" s="1227"/>
      <c r="E2" s="1227"/>
      <c r="F2" s="1227"/>
      <c r="G2" s="1227"/>
      <c r="H2" s="1227"/>
      <c r="I2" s="1227"/>
      <c r="J2" s="1227"/>
      <c r="K2" s="1227"/>
      <c r="L2" s="1227"/>
      <c r="M2" s="1228"/>
    </row>
    <row r="3" spans="1:13" s="256" customFormat="1" ht="53.25" customHeight="1" x14ac:dyDescent="0.55000000000000004">
      <c r="A3" s="507" t="s">
        <v>157</v>
      </c>
      <c r="B3" s="508"/>
      <c r="C3" s="509"/>
      <c r="D3" s="1224" t="str">
        <f>+PRESUPUESTO!B1</f>
        <v>MEJORAMIENTO DE LA VIA QUE COMUNICA LA VEREDA EL ENCANTO CON EL CORREGIMIENTO EL SILENCIO, MUNICIPIO DE CAREPA, DEPARTAMENTO DE ANTIOQUIA.</v>
      </c>
      <c r="E3" s="1224"/>
      <c r="F3" s="1224"/>
      <c r="G3" s="1224"/>
      <c r="H3" s="1224"/>
      <c r="I3" s="1224"/>
      <c r="J3" s="1224"/>
      <c r="K3" s="1224"/>
      <c r="L3" s="1224"/>
      <c r="M3" s="1225"/>
    </row>
    <row r="4" spans="1:13" s="256" customFormat="1" ht="28.5" customHeight="1" x14ac:dyDescent="0.55000000000000004">
      <c r="A4" s="1222" t="s">
        <v>158</v>
      </c>
      <c r="B4" s="1223"/>
      <c r="C4" s="1223"/>
      <c r="D4" s="1223" t="s">
        <v>159</v>
      </c>
      <c r="E4" s="1223"/>
      <c r="F4" s="1223"/>
      <c r="G4" s="1223"/>
      <c r="H4" s="1223"/>
      <c r="I4" s="1223"/>
      <c r="J4" s="1223"/>
      <c r="K4" s="1223"/>
      <c r="L4" s="1223"/>
      <c r="M4" s="1229"/>
    </row>
    <row r="5" spans="1:13" ht="14.7" thickBot="1" x14ac:dyDescent="0.6">
      <c r="A5" s="510"/>
      <c r="B5" s="511"/>
      <c r="C5" s="512"/>
      <c r="D5" s="512"/>
      <c r="E5" s="512"/>
      <c r="F5" s="512"/>
      <c r="G5" s="512"/>
      <c r="H5" s="512"/>
      <c r="I5" s="513"/>
      <c r="J5" s="513"/>
      <c r="K5" s="514"/>
      <c r="L5" s="513"/>
      <c r="M5" s="1003"/>
    </row>
    <row r="6" spans="1:13" ht="20.100000000000001" thickBot="1" x14ac:dyDescent="0.6">
      <c r="A6" s="1213" t="s">
        <v>160</v>
      </c>
      <c r="B6" s="1214"/>
      <c r="C6" s="1214"/>
      <c r="D6" s="1214"/>
      <c r="E6" s="1214"/>
      <c r="F6" s="1214"/>
      <c r="G6" s="1214"/>
      <c r="H6" s="1214"/>
      <c r="I6" s="1214"/>
      <c r="J6" s="1214"/>
      <c r="K6" s="1214"/>
      <c r="L6" s="1214"/>
      <c r="M6" s="1215"/>
    </row>
    <row r="7" spans="1:13" ht="14.7" thickBot="1" x14ac:dyDescent="0.6">
      <c r="A7" s="1216"/>
      <c r="B7" s="1217"/>
      <c r="C7" s="1217"/>
      <c r="D7" s="1217"/>
      <c r="E7" s="1217"/>
      <c r="F7" s="1217"/>
      <c r="G7" s="1217"/>
      <c r="H7" s="1217"/>
      <c r="I7" s="1217"/>
      <c r="J7" s="1217"/>
      <c r="K7" s="1217"/>
      <c r="L7" s="1217"/>
      <c r="M7" s="1218"/>
    </row>
    <row r="8" spans="1:13" ht="14.7" thickBot="1" x14ac:dyDescent="0.6">
      <c r="A8" s="1219"/>
      <c r="B8" s="1220"/>
      <c r="C8" s="1220"/>
      <c r="D8" s="1220"/>
      <c r="E8" s="1220"/>
      <c r="F8" s="1220"/>
      <c r="G8" s="1220"/>
      <c r="H8" s="1220"/>
      <c r="I8" s="1220"/>
      <c r="J8" s="1220"/>
      <c r="K8" s="1220"/>
      <c r="L8" s="1220"/>
      <c r="M8" s="1221"/>
    </row>
    <row r="9" spans="1:13" ht="20.100000000000001" thickBot="1" x14ac:dyDescent="0.6">
      <c r="A9" s="1210" t="s">
        <v>161</v>
      </c>
      <c r="B9" s="1211"/>
      <c r="C9" s="1211"/>
      <c r="D9" s="1211"/>
      <c r="E9" s="1211"/>
      <c r="F9" s="1211"/>
      <c r="G9" s="1211"/>
      <c r="H9" s="1211"/>
      <c r="I9" s="1211"/>
      <c r="J9" s="1211"/>
      <c r="K9" s="1211"/>
      <c r="L9" s="1211"/>
      <c r="M9" s="1212"/>
    </row>
    <row r="10" spans="1:13" ht="37.5" customHeight="1" x14ac:dyDescent="0.55000000000000004">
      <c r="A10" s="1208" t="s">
        <v>115</v>
      </c>
      <c r="B10" s="1209"/>
      <c r="C10" s="1209"/>
      <c r="D10" s="1209"/>
      <c r="E10" s="1209"/>
      <c r="F10" s="1209"/>
      <c r="G10" s="1209"/>
      <c r="H10" s="333" t="s">
        <v>7</v>
      </c>
      <c r="I10" s="334" t="s">
        <v>162</v>
      </c>
      <c r="J10" s="335" t="s">
        <v>163</v>
      </c>
      <c r="K10" s="336" t="s">
        <v>164</v>
      </c>
      <c r="L10" s="337"/>
      <c r="M10" s="338" t="s">
        <v>165</v>
      </c>
    </row>
    <row r="11" spans="1:13" ht="15.75" customHeight="1" x14ac:dyDescent="0.55000000000000004">
      <c r="A11" s="1230" t="s">
        <v>166</v>
      </c>
      <c r="B11" s="1231"/>
      <c r="C11" s="1231"/>
      <c r="D11" s="1231"/>
      <c r="E11" s="1231"/>
      <c r="F11" s="1231"/>
      <c r="G11" s="1231"/>
      <c r="H11" s="339">
        <v>1</v>
      </c>
      <c r="I11" s="277">
        <v>6000000</v>
      </c>
      <c r="J11" s="340">
        <v>2</v>
      </c>
      <c r="K11" s="1232">
        <v>0.7</v>
      </c>
      <c r="L11" s="1233"/>
      <c r="M11" s="341">
        <f>ROUND(K11*J11*I11*H11,0)</f>
        <v>8400000</v>
      </c>
    </row>
    <row r="12" spans="1:13" x14ac:dyDescent="0.55000000000000004">
      <c r="A12" s="1234" t="s">
        <v>167</v>
      </c>
      <c r="B12" s="1235"/>
      <c r="C12" s="1235"/>
      <c r="D12" s="1235"/>
      <c r="E12" s="1235"/>
      <c r="F12" s="1235"/>
      <c r="G12" s="1236"/>
      <c r="H12" s="339">
        <v>1</v>
      </c>
      <c r="I12" s="277">
        <f>5410186-372274</f>
        <v>5037912</v>
      </c>
      <c r="J12" s="340">
        <v>1</v>
      </c>
      <c r="K12" s="1232">
        <v>0.5</v>
      </c>
      <c r="L12" s="1233"/>
      <c r="M12" s="341">
        <f t="shared" ref="M12:M17" si="0">ROUND(K12*J12*I12*H12,0)</f>
        <v>2518956</v>
      </c>
    </row>
    <row r="13" spans="1:13" x14ac:dyDescent="0.55000000000000004">
      <c r="A13" s="1234" t="s">
        <v>168</v>
      </c>
      <c r="B13" s="1235"/>
      <c r="C13" s="1235"/>
      <c r="D13" s="1235"/>
      <c r="E13" s="1235"/>
      <c r="F13" s="1235"/>
      <c r="G13" s="1236"/>
      <c r="H13" s="339">
        <v>1</v>
      </c>
      <c r="I13" s="277">
        <f t="shared" ref="I13:I15" si="1">5410186-372274</f>
        <v>5037912</v>
      </c>
      <c r="J13" s="340">
        <v>1</v>
      </c>
      <c r="K13" s="1232">
        <v>0.5</v>
      </c>
      <c r="L13" s="1233"/>
      <c r="M13" s="341">
        <f t="shared" si="0"/>
        <v>2518956</v>
      </c>
    </row>
    <row r="14" spans="1:13" x14ac:dyDescent="0.55000000000000004">
      <c r="A14" s="1234" t="s">
        <v>169</v>
      </c>
      <c r="B14" s="1235"/>
      <c r="C14" s="1235"/>
      <c r="D14" s="1235"/>
      <c r="E14" s="1235"/>
      <c r="F14" s="1235"/>
      <c r="G14" s="1236"/>
      <c r="H14" s="339">
        <v>1</v>
      </c>
      <c r="I14" s="277">
        <f t="shared" si="1"/>
        <v>5037912</v>
      </c>
      <c r="J14" s="340">
        <v>1</v>
      </c>
      <c r="K14" s="1232">
        <v>0.5</v>
      </c>
      <c r="L14" s="1233"/>
      <c r="M14" s="341">
        <f t="shared" si="0"/>
        <v>2518956</v>
      </c>
    </row>
    <row r="15" spans="1:13" x14ac:dyDescent="0.55000000000000004">
      <c r="A15" s="1234" t="s">
        <v>170</v>
      </c>
      <c r="B15" s="1235"/>
      <c r="C15" s="1235"/>
      <c r="D15" s="1235"/>
      <c r="E15" s="1235"/>
      <c r="F15" s="1235"/>
      <c r="G15" s="1236"/>
      <c r="H15" s="339">
        <v>1</v>
      </c>
      <c r="I15" s="277">
        <f t="shared" si="1"/>
        <v>5037912</v>
      </c>
      <c r="J15" s="340">
        <v>1.5</v>
      </c>
      <c r="K15" s="1232">
        <v>0.5</v>
      </c>
      <c r="L15" s="1233"/>
      <c r="M15" s="341">
        <f t="shared" si="0"/>
        <v>3778434</v>
      </c>
    </row>
    <row r="16" spans="1:13" x14ac:dyDescent="0.55000000000000004">
      <c r="A16" s="1234" t="s">
        <v>171</v>
      </c>
      <c r="B16" s="1235"/>
      <c r="C16" s="1235"/>
      <c r="D16" s="1235"/>
      <c r="E16" s="1235"/>
      <c r="F16" s="1235"/>
      <c r="G16" s="1236"/>
      <c r="H16" s="339">
        <v>1</v>
      </c>
      <c r="I16" s="277">
        <f>4381379-62046</f>
        <v>4319333</v>
      </c>
      <c r="J16" s="340">
        <v>1</v>
      </c>
      <c r="K16" s="1232">
        <v>0.5</v>
      </c>
      <c r="L16" s="1233"/>
      <c r="M16" s="341">
        <f t="shared" si="0"/>
        <v>2159667</v>
      </c>
    </row>
    <row r="17" spans="1:13" x14ac:dyDescent="0.55000000000000004">
      <c r="A17" s="1234" t="s">
        <v>172</v>
      </c>
      <c r="B17" s="1235"/>
      <c r="C17" s="1235"/>
      <c r="D17" s="1235"/>
      <c r="E17" s="1235"/>
      <c r="F17" s="1235"/>
      <c r="G17" s="1236"/>
      <c r="H17" s="339">
        <v>1</v>
      </c>
      <c r="I17" s="277">
        <f>4381379-62046</f>
        <v>4319333</v>
      </c>
      <c r="J17" s="340">
        <v>2</v>
      </c>
      <c r="K17" s="1232">
        <v>0.5</v>
      </c>
      <c r="L17" s="1233"/>
      <c r="M17" s="341">
        <f t="shared" si="0"/>
        <v>4319333</v>
      </c>
    </row>
    <row r="18" spans="1:13" ht="14.7" thickBot="1" x14ac:dyDescent="0.6">
      <c r="A18" s="1237" t="s">
        <v>173</v>
      </c>
      <c r="B18" s="1238"/>
      <c r="C18" s="1238"/>
      <c r="D18" s="1238"/>
      <c r="E18" s="1238"/>
      <c r="F18" s="1238"/>
      <c r="G18" s="1238"/>
      <c r="H18" s="1238"/>
      <c r="I18" s="1238"/>
      <c r="J18" s="1238"/>
      <c r="K18" s="1238"/>
      <c r="L18" s="1239"/>
      <c r="M18" s="342">
        <f>SUM(M11:M17)</f>
        <v>26214302</v>
      </c>
    </row>
    <row r="19" spans="1:13" ht="14.7" thickBot="1" x14ac:dyDescent="0.6">
      <c r="A19" s="1240" t="s">
        <v>174</v>
      </c>
      <c r="B19" s="1241"/>
      <c r="C19" s="1241"/>
      <c r="D19" s="1241"/>
      <c r="E19" s="1241"/>
      <c r="F19" s="1241"/>
      <c r="G19" s="1241"/>
      <c r="H19" s="1241"/>
      <c r="I19" s="1241"/>
      <c r="J19" s="1241"/>
      <c r="K19" s="1241"/>
      <c r="L19" s="1242"/>
      <c r="M19" s="812">
        <f>+'FM Obra'!C39</f>
        <v>1.75</v>
      </c>
    </row>
    <row r="20" spans="1:13" ht="14.7" thickBot="1" x14ac:dyDescent="0.6">
      <c r="A20" s="1243" t="s">
        <v>175</v>
      </c>
      <c r="B20" s="1244"/>
      <c r="C20" s="1244"/>
      <c r="D20" s="1244"/>
      <c r="E20" s="1244"/>
      <c r="F20" s="1244"/>
      <c r="G20" s="1244"/>
      <c r="H20" s="1244"/>
      <c r="I20" s="1244"/>
      <c r="J20" s="1244"/>
      <c r="K20" s="1244"/>
      <c r="L20" s="1245"/>
      <c r="M20" s="342">
        <f>+ROUND(M18*M19,0)</f>
        <v>45875029</v>
      </c>
    </row>
    <row r="21" spans="1:13" ht="20.100000000000001" thickBot="1" x14ac:dyDescent="0.6">
      <c r="A21" s="1210" t="s">
        <v>176</v>
      </c>
      <c r="B21" s="1211"/>
      <c r="C21" s="1211"/>
      <c r="D21" s="1211"/>
      <c r="E21" s="1211"/>
      <c r="F21" s="1211"/>
      <c r="G21" s="1211"/>
      <c r="H21" s="1211"/>
      <c r="I21" s="1211"/>
      <c r="J21" s="1211"/>
      <c r="K21" s="1211"/>
      <c r="L21" s="1211"/>
      <c r="M21" s="1212"/>
    </row>
    <row r="22" spans="1:13" ht="21" customHeight="1" thickBot="1" x14ac:dyDescent="0.6">
      <c r="A22" s="1210" t="s">
        <v>115</v>
      </c>
      <c r="B22" s="1246"/>
      <c r="C22" s="1246"/>
      <c r="D22" s="1246"/>
      <c r="E22" s="1246"/>
      <c r="F22" s="1246"/>
      <c r="G22" s="1246"/>
      <c r="H22" s="1246"/>
      <c r="I22" s="1247"/>
      <c r="J22" s="343" t="s">
        <v>7</v>
      </c>
      <c r="K22" s="1248" t="s">
        <v>177</v>
      </c>
      <c r="L22" s="1249"/>
      <c r="M22" s="344" t="s">
        <v>165</v>
      </c>
    </row>
    <row r="23" spans="1:13" x14ac:dyDescent="0.55000000000000004">
      <c r="A23" s="1250" t="s">
        <v>178</v>
      </c>
      <c r="B23" s="1250"/>
      <c r="C23" s="1250"/>
      <c r="D23" s="1250"/>
      <c r="E23" s="1250"/>
      <c r="F23" s="1250"/>
      <c r="G23" s="1250"/>
      <c r="H23" s="1250"/>
      <c r="I23" s="1250"/>
      <c r="J23" s="345">
        <v>1</v>
      </c>
      <c r="K23" s="1251">
        <v>5500000</v>
      </c>
      <c r="L23" s="1251"/>
      <c r="M23" s="346">
        <f>ROUND(K23*J23,0)</f>
        <v>5500000</v>
      </c>
    </row>
    <row r="24" spans="1:13" x14ac:dyDescent="0.55000000000000004">
      <c r="A24" s="1250" t="s">
        <v>179</v>
      </c>
      <c r="B24" s="1250"/>
      <c r="C24" s="1250"/>
      <c r="D24" s="1250"/>
      <c r="E24" s="1250"/>
      <c r="F24" s="1250"/>
      <c r="G24" s="1250"/>
      <c r="H24" s="1250"/>
      <c r="I24" s="1250"/>
      <c r="J24" s="345">
        <v>1</v>
      </c>
      <c r="K24" s="1252">
        <v>2933332</v>
      </c>
      <c r="L24" s="1252"/>
      <c r="M24" s="346">
        <f t="shared" ref="M24:M25" si="2">ROUND(K24*J24,0)</f>
        <v>2933332</v>
      </c>
    </row>
    <row r="25" spans="1:13" x14ac:dyDescent="0.55000000000000004">
      <c r="A25" s="1250" t="s">
        <v>180</v>
      </c>
      <c r="B25" s="1250"/>
      <c r="C25" s="1250"/>
      <c r="D25" s="1250"/>
      <c r="E25" s="1250"/>
      <c r="F25" s="1250"/>
      <c r="G25" s="1250"/>
      <c r="H25" s="1250"/>
      <c r="I25" s="1250"/>
      <c r="J25" s="345">
        <v>1</v>
      </c>
      <c r="K25" s="1252">
        <v>4054167</v>
      </c>
      <c r="L25" s="1252"/>
      <c r="M25" s="346">
        <f t="shared" si="2"/>
        <v>4054167</v>
      </c>
    </row>
    <row r="26" spans="1:13" ht="14.7" thickBot="1" x14ac:dyDescent="0.6">
      <c r="A26" s="1237" t="s">
        <v>173</v>
      </c>
      <c r="B26" s="1253"/>
      <c r="C26" s="1238"/>
      <c r="D26" s="1238"/>
      <c r="E26" s="1238"/>
      <c r="F26" s="1238"/>
      <c r="G26" s="1238"/>
      <c r="H26" s="1238"/>
      <c r="I26" s="1238"/>
      <c r="J26" s="1238"/>
      <c r="K26" s="1238"/>
      <c r="L26" s="1239"/>
      <c r="M26" s="347">
        <f>M25+M23+M24</f>
        <v>12487499</v>
      </c>
    </row>
    <row r="27" spans="1:13" ht="14.7" thickBot="1" x14ac:dyDescent="0.6">
      <c r="A27" s="1243" t="s">
        <v>181</v>
      </c>
      <c r="B27" s="1244"/>
      <c r="C27" s="1244"/>
      <c r="D27" s="1244"/>
      <c r="E27" s="1244"/>
      <c r="F27" s="1244"/>
      <c r="G27" s="1244"/>
      <c r="H27" s="1244"/>
      <c r="I27" s="1244"/>
      <c r="J27" s="1244"/>
      <c r="K27" s="1244"/>
      <c r="L27" s="1254"/>
      <c r="M27" s="348">
        <f>+M26+M20</f>
        <v>58362528</v>
      </c>
    </row>
    <row r="28" spans="1:13" ht="14.7" thickBot="1" x14ac:dyDescent="0.6">
      <c r="A28" s="349"/>
      <c r="B28" s="350"/>
      <c r="C28" s="350"/>
      <c r="D28" s="350"/>
      <c r="E28" s="350"/>
      <c r="F28" s="350"/>
      <c r="G28" s="350"/>
      <c r="H28" s="350"/>
      <c r="I28" s="350"/>
      <c r="J28" s="350"/>
      <c r="K28" s="1255" t="s">
        <v>173</v>
      </c>
      <c r="L28" s="1256"/>
      <c r="M28" s="351">
        <f>M27</f>
        <v>58362528</v>
      </c>
    </row>
    <row r="29" spans="1:13" ht="14.7" thickBot="1" x14ac:dyDescent="0.6">
      <c r="A29" s="352"/>
      <c r="B29" s="353"/>
      <c r="C29" s="353"/>
      <c r="D29" s="353"/>
      <c r="E29" s="353"/>
      <c r="F29" s="353"/>
      <c r="G29" s="353"/>
      <c r="H29" s="353"/>
      <c r="I29" s="353"/>
      <c r="J29" s="353"/>
      <c r="K29" s="1257" t="s">
        <v>182</v>
      </c>
      <c r="L29" s="1257"/>
      <c r="M29" s="808">
        <f>+ROUND(M28*0.19,0)</f>
        <v>11088880</v>
      </c>
    </row>
    <row r="30" spans="1:13" x14ac:dyDescent="0.55000000000000004">
      <c r="K30" s="1258" t="s">
        <v>173</v>
      </c>
      <c r="L30" s="1258"/>
      <c r="M30" s="351">
        <f>+M28+M29</f>
        <v>69451408</v>
      </c>
    </row>
  </sheetData>
  <mergeCells count="41">
    <mergeCell ref="A26:L26"/>
    <mergeCell ref="A27:L27"/>
    <mergeCell ref="K28:L28"/>
    <mergeCell ref="K29:L29"/>
    <mergeCell ref="K30:L30"/>
    <mergeCell ref="A22:I22"/>
    <mergeCell ref="K22:L22"/>
    <mergeCell ref="A23:I23"/>
    <mergeCell ref="K23:L23"/>
    <mergeCell ref="A25:I25"/>
    <mergeCell ref="K25:L25"/>
    <mergeCell ref="A24:I24"/>
    <mergeCell ref="K24:L24"/>
    <mergeCell ref="A21:M21"/>
    <mergeCell ref="A14:G14"/>
    <mergeCell ref="K14:L14"/>
    <mergeCell ref="A15:G15"/>
    <mergeCell ref="K15:L15"/>
    <mergeCell ref="A16:G16"/>
    <mergeCell ref="K16:L16"/>
    <mergeCell ref="A17:G17"/>
    <mergeCell ref="K17:L17"/>
    <mergeCell ref="A18:L18"/>
    <mergeCell ref="A19:L19"/>
    <mergeCell ref="A20:L20"/>
    <mergeCell ref="A11:G11"/>
    <mergeCell ref="K11:L11"/>
    <mergeCell ref="A12:G12"/>
    <mergeCell ref="K12:L12"/>
    <mergeCell ref="A13:G13"/>
    <mergeCell ref="K13:L13"/>
    <mergeCell ref="A10:G10"/>
    <mergeCell ref="A1:M1"/>
    <mergeCell ref="A6:M6"/>
    <mergeCell ref="A7:M7"/>
    <mergeCell ref="A8:M8"/>
    <mergeCell ref="A9:M9"/>
    <mergeCell ref="A4:C4"/>
    <mergeCell ref="D3:M3"/>
    <mergeCell ref="A2:M2"/>
    <mergeCell ref="D4:M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4E97A-ED4F-492B-8099-0B36B44CA6D3}">
  <sheetPr>
    <tabColor theme="9" tint="0.39997558519241921"/>
  </sheetPr>
  <dimension ref="A1:E42"/>
  <sheetViews>
    <sheetView topLeftCell="A25" workbookViewId="0">
      <selection activeCell="D37" sqref="D37"/>
    </sheetView>
  </sheetViews>
  <sheetFormatPr baseColWidth="10" defaultColWidth="11.41796875" defaultRowHeight="14.1" x14ac:dyDescent="0.5"/>
  <cols>
    <col min="1" max="1" width="11.41796875" style="355"/>
    <col min="2" max="2" width="61" style="355" bestFit="1" customWidth="1"/>
    <col min="3" max="3" width="11.41796875" style="888"/>
    <col min="4" max="257" width="11.41796875" style="355"/>
    <col min="258" max="258" width="61" style="355" bestFit="1" customWidth="1"/>
    <col min="259" max="513" width="11.41796875" style="355"/>
    <col min="514" max="514" width="61" style="355" bestFit="1" customWidth="1"/>
    <col min="515" max="769" width="11.41796875" style="355"/>
    <col min="770" max="770" width="61" style="355" bestFit="1" customWidth="1"/>
    <col min="771" max="1025" width="11.41796875" style="355"/>
    <col min="1026" max="1026" width="61" style="355" bestFit="1" customWidth="1"/>
    <col min="1027" max="1281" width="11.41796875" style="355"/>
    <col min="1282" max="1282" width="61" style="355" bestFit="1" customWidth="1"/>
    <col min="1283" max="1537" width="11.41796875" style="355"/>
    <col min="1538" max="1538" width="61" style="355" bestFit="1" customWidth="1"/>
    <col min="1539" max="1793" width="11.41796875" style="355"/>
    <col min="1794" max="1794" width="61" style="355" bestFit="1" customWidth="1"/>
    <col min="1795" max="2049" width="11.41796875" style="355"/>
    <col min="2050" max="2050" width="61" style="355" bestFit="1" customWidth="1"/>
    <col min="2051" max="2305" width="11.41796875" style="355"/>
    <col min="2306" max="2306" width="61" style="355" bestFit="1" customWidth="1"/>
    <col min="2307" max="2561" width="11.41796875" style="355"/>
    <col min="2562" max="2562" width="61" style="355" bestFit="1" customWidth="1"/>
    <col min="2563" max="2817" width="11.41796875" style="355"/>
    <col min="2818" max="2818" width="61" style="355" bestFit="1" customWidth="1"/>
    <col min="2819" max="3073" width="11.41796875" style="355"/>
    <col min="3074" max="3074" width="61" style="355" bestFit="1" customWidth="1"/>
    <col min="3075" max="3329" width="11.41796875" style="355"/>
    <col min="3330" max="3330" width="61" style="355" bestFit="1" customWidth="1"/>
    <col min="3331" max="3585" width="11.41796875" style="355"/>
    <col min="3586" max="3586" width="61" style="355" bestFit="1" customWidth="1"/>
    <col min="3587" max="3841" width="11.41796875" style="355"/>
    <col min="3842" max="3842" width="61" style="355" bestFit="1" customWidth="1"/>
    <col min="3843" max="4097" width="11.41796875" style="355"/>
    <col min="4098" max="4098" width="61" style="355" bestFit="1" customWidth="1"/>
    <col min="4099" max="4353" width="11.41796875" style="355"/>
    <col min="4354" max="4354" width="61" style="355" bestFit="1" customWidth="1"/>
    <col min="4355" max="4609" width="11.41796875" style="355"/>
    <col min="4610" max="4610" width="61" style="355" bestFit="1" customWidth="1"/>
    <col min="4611" max="4865" width="11.41796875" style="355"/>
    <col min="4866" max="4866" width="61" style="355" bestFit="1" customWidth="1"/>
    <col min="4867" max="5121" width="11.41796875" style="355"/>
    <col min="5122" max="5122" width="61" style="355" bestFit="1" customWidth="1"/>
    <col min="5123" max="5377" width="11.41796875" style="355"/>
    <col min="5378" max="5378" width="61" style="355" bestFit="1" customWidth="1"/>
    <col min="5379" max="5633" width="11.41796875" style="355"/>
    <col min="5634" max="5634" width="61" style="355" bestFit="1" customWidth="1"/>
    <col min="5635" max="5889" width="11.41796875" style="355"/>
    <col min="5890" max="5890" width="61" style="355" bestFit="1" customWidth="1"/>
    <col min="5891" max="6145" width="11.41796875" style="355"/>
    <col min="6146" max="6146" width="61" style="355" bestFit="1" customWidth="1"/>
    <col min="6147" max="6401" width="11.41796875" style="355"/>
    <col min="6402" max="6402" width="61" style="355" bestFit="1" customWidth="1"/>
    <col min="6403" max="6657" width="11.41796875" style="355"/>
    <col min="6658" max="6658" width="61" style="355" bestFit="1" customWidth="1"/>
    <col min="6659" max="6913" width="11.41796875" style="355"/>
    <col min="6914" max="6914" width="61" style="355" bestFit="1" customWidth="1"/>
    <col min="6915" max="7169" width="11.41796875" style="355"/>
    <col min="7170" max="7170" width="61" style="355" bestFit="1" customWidth="1"/>
    <col min="7171" max="7425" width="11.41796875" style="355"/>
    <col min="7426" max="7426" width="61" style="355" bestFit="1" customWidth="1"/>
    <col min="7427" max="7681" width="11.41796875" style="355"/>
    <col min="7682" max="7682" width="61" style="355" bestFit="1" customWidth="1"/>
    <col min="7683" max="7937" width="11.41796875" style="355"/>
    <col min="7938" max="7938" width="61" style="355" bestFit="1" customWidth="1"/>
    <col min="7939" max="8193" width="11.41796875" style="355"/>
    <col min="8194" max="8194" width="61" style="355" bestFit="1" customWidth="1"/>
    <col min="8195" max="8449" width="11.41796875" style="355"/>
    <col min="8450" max="8450" width="61" style="355" bestFit="1" customWidth="1"/>
    <col min="8451" max="8705" width="11.41796875" style="355"/>
    <col min="8706" max="8706" width="61" style="355" bestFit="1" customWidth="1"/>
    <col min="8707" max="8961" width="11.41796875" style="355"/>
    <col min="8962" max="8962" width="61" style="355" bestFit="1" customWidth="1"/>
    <col min="8963" max="9217" width="11.41796875" style="355"/>
    <col min="9218" max="9218" width="61" style="355" bestFit="1" customWidth="1"/>
    <col min="9219" max="9473" width="11.41796875" style="355"/>
    <col min="9474" max="9474" width="61" style="355" bestFit="1" customWidth="1"/>
    <col min="9475" max="9729" width="11.41796875" style="355"/>
    <col min="9730" max="9730" width="61" style="355" bestFit="1" customWidth="1"/>
    <col min="9731" max="9985" width="11.41796875" style="355"/>
    <col min="9986" max="9986" width="61" style="355" bestFit="1" customWidth="1"/>
    <col min="9987" max="10241" width="11.41796875" style="355"/>
    <col min="10242" max="10242" width="61" style="355" bestFit="1" customWidth="1"/>
    <col min="10243" max="10497" width="11.41796875" style="355"/>
    <col min="10498" max="10498" width="61" style="355" bestFit="1" customWidth="1"/>
    <col min="10499" max="10753" width="11.41796875" style="355"/>
    <col min="10754" max="10754" width="61" style="355" bestFit="1" customWidth="1"/>
    <col min="10755" max="11009" width="11.41796875" style="355"/>
    <col min="11010" max="11010" width="61" style="355" bestFit="1" customWidth="1"/>
    <col min="11011" max="11265" width="11.41796875" style="355"/>
    <col min="11266" max="11266" width="61" style="355" bestFit="1" customWidth="1"/>
    <col min="11267" max="11521" width="11.41796875" style="355"/>
    <col min="11522" max="11522" width="61" style="355" bestFit="1" customWidth="1"/>
    <col min="11523" max="11777" width="11.41796875" style="355"/>
    <col min="11778" max="11778" width="61" style="355" bestFit="1" customWidth="1"/>
    <col min="11779" max="12033" width="11.41796875" style="355"/>
    <col min="12034" max="12034" width="61" style="355" bestFit="1" customWidth="1"/>
    <col min="12035" max="12289" width="11.41796875" style="355"/>
    <col min="12290" max="12290" width="61" style="355" bestFit="1" customWidth="1"/>
    <col min="12291" max="12545" width="11.41796875" style="355"/>
    <col min="12546" max="12546" width="61" style="355" bestFit="1" customWidth="1"/>
    <col min="12547" max="12801" width="11.41796875" style="355"/>
    <col min="12802" max="12802" width="61" style="355" bestFit="1" customWidth="1"/>
    <col min="12803" max="13057" width="11.41796875" style="355"/>
    <col min="13058" max="13058" width="61" style="355" bestFit="1" customWidth="1"/>
    <col min="13059" max="13313" width="11.41796875" style="355"/>
    <col min="13314" max="13314" width="61" style="355" bestFit="1" customWidth="1"/>
    <col min="13315" max="13569" width="11.41796875" style="355"/>
    <col min="13570" max="13570" width="61" style="355" bestFit="1" customWidth="1"/>
    <col min="13571" max="13825" width="11.41796875" style="355"/>
    <col min="13826" max="13826" width="61" style="355" bestFit="1" customWidth="1"/>
    <col min="13827" max="14081" width="11.41796875" style="355"/>
    <col min="14082" max="14082" width="61" style="355" bestFit="1" customWidth="1"/>
    <col min="14083" max="14337" width="11.41796875" style="355"/>
    <col min="14338" max="14338" width="61" style="355" bestFit="1" customWidth="1"/>
    <col min="14339" max="14593" width="11.41796875" style="355"/>
    <col min="14594" max="14594" width="61" style="355" bestFit="1" customWidth="1"/>
    <col min="14595" max="14849" width="11.41796875" style="355"/>
    <col min="14850" max="14850" width="61" style="355" bestFit="1" customWidth="1"/>
    <col min="14851" max="15105" width="11.41796875" style="355"/>
    <col min="15106" max="15106" width="61" style="355" bestFit="1" customWidth="1"/>
    <col min="15107" max="15361" width="11.41796875" style="355"/>
    <col min="15362" max="15362" width="61" style="355" bestFit="1" customWidth="1"/>
    <col min="15363" max="15617" width="11.41796875" style="355"/>
    <col min="15618" max="15618" width="61" style="355" bestFit="1" customWidth="1"/>
    <col min="15619" max="15873" width="11.41796875" style="355"/>
    <col min="15874" max="15874" width="61" style="355" bestFit="1" customWidth="1"/>
    <col min="15875" max="16129" width="11.41796875" style="355"/>
    <col min="16130" max="16130" width="61" style="355" bestFit="1" customWidth="1"/>
    <col min="16131" max="16384" width="11.41796875" style="355"/>
  </cols>
  <sheetData>
    <row r="1" spans="1:3" ht="36.75" customHeight="1" x14ac:dyDescent="0.5">
      <c r="A1" s="1259" t="s">
        <v>0</v>
      </c>
      <c r="B1" s="1260"/>
      <c r="C1" s="1261"/>
    </row>
    <row r="2" spans="1:3" x14ac:dyDescent="0.5">
      <c r="A2" s="566"/>
      <c r="B2" s="565"/>
      <c r="C2" s="567"/>
    </row>
    <row r="3" spans="1:3" x14ac:dyDescent="0.5">
      <c r="A3" s="566"/>
      <c r="B3" s="354" t="s">
        <v>183</v>
      </c>
      <c r="C3" s="567">
        <f>+C39</f>
        <v>1.75</v>
      </c>
    </row>
    <row r="4" spans="1:3" x14ac:dyDescent="0.5">
      <c r="A4" s="566"/>
      <c r="B4" s="354"/>
      <c r="C4" s="567"/>
    </row>
    <row r="5" spans="1:3" x14ac:dyDescent="0.5">
      <c r="A5" s="568">
        <v>1</v>
      </c>
      <c r="B5" s="278" t="s">
        <v>184</v>
      </c>
      <c r="C5" s="569">
        <v>1</v>
      </c>
    </row>
    <row r="6" spans="1:3" x14ac:dyDescent="0.5">
      <c r="A6" s="568">
        <v>2</v>
      </c>
      <c r="B6" s="278" t="s">
        <v>185</v>
      </c>
      <c r="C6" s="567"/>
    </row>
    <row r="7" spans="1:3" x14ac:dyDescent="0.5">
      <c r="A7" s="570" t="s">
        <v>186</v>
      </c>
      <c r="B7" s="279" t="s">
        <v>187</v>
      </c>
      <c r="C7" s="567">
        <v>8.3299999999999999E-2</v>
      </c>
    </row>
    <row r="8" spans="1:3" x14ac:dyDescent="0.5">
      <c r="A8" s="570" t="s">
        <v>188</v>
      </c>
      <c r="B8" s="279" t="s">
        <v>189</v>
      </c>
      <c r="C8" s="567">
        <v>8.3299999999999999E-2</v>
      </c>
    </row>
    <row r="9" spans="1:3" x14ac:dyDescent="0.5">
      <c r="A9" s="570" t="s">
        <v>190</v>
      </c>
      <c r="B9" s="279" t="s">
        <v>191</v>
      </c>
      <c r="C9" s="567">
        <v>0.01</v>
      </c>
    </row>
    <row r="10" spans="1:3" x14ac:dyDescent="0.5">
      <c r="A10" s="570" t="s">
        <v>192</v>
      </c>
      <c r="B10" s="279" t="s">
        <v>193</v>
      </c>
      <c r="C10" s="567">
        <v>8.5000000000000006E-2</v>
      </c>
    </row>
    <row r="11" spans="1:3" x14ac:dyDescent="0.5">
      <c r="A11" s="570" t="s">
        <v>194</v>
      </c>
      <c r="B11" s="279" t="s">
        <v>195</v>
      </c>
      <c r="C11" s="567">
        <v>0.12</v>
      </c>
    </row>
    <row r="12" spans="1:3" x14ac:dyDescent="0.5">
      <c r="A12" s="570" t="s">
        <v>196</v>
      </c>
      <c r="B12" s="279" t="s">
        <v>197</v>
      </c>
      <c r="C12" s="567">
        <v>0.02</v>
      </c>
    </row>
    <row r="13" spans="1:3" x14ac:dyDescent="0.5">
      <c r="A13" s="570" t="s">
        <v>198</v>
      </c>
      <c r="B13" s="279" t="s">
        <v>199</v>
      </c>
      <c r="C13" s="567">
        <v>0.03</v>
      </c>
    </row>
    <row r="14" spans="1:3" x14ac:dyDescent="0.5">
      <c r="A14" s="570" t="s">
        <v>200</v>
      </c>
      <c r="B14" s="279" t="s">
        <v>201</v>
      </c>
      <c r="C14" s="567">
        <v>0.04</v>
      </c>
    </row>
    <row r="15" spans="1:3" x14ac:dyDescent="0.5">
      <c r="A15" s="570" t="s">
        <v>202</v>
      </c>
      <c r="B15" s="279" t="s">
        <v>203</v>
      </c>
      <c r="C15" s="567">
        <v>4.1700000000000001E-2</v>
      </c>
    </row>
    <row r="16" spans="1:3" x14ac:dyDescent="0.5">
      <c r="A16" s="570" t="s">
        <v>204</v>
      </c>
      <c r="B16" s="279" t="s">
        <v>205</v>
      </c>
      <c r="C16" s="567">
        <v>6.9599999999999995E-2</v>
      </c>
    </row>
    <row r="17" spans="1:3" x14ac:dyDescent="0.5">
      <c r="A17" s="570"/>
      <c r="B17" s="279"/>
      <c r="C17" s="567"/>
    </row>
    <row r="18" spans="1:3" x14ac:dyDescent="0.5">
      <c r="A18" s="570"/>
      <c r="B18" s="279"/>
      <c r="C18" s="567"/>
    </row>
    <row r="19" spans="1:3" x14ac:dyDescent="0.5">
      <c r="A19" s="566"/>
      <c r="B19" s="280" t="s">
        <v>206</v>
      </c>
      <c r="C19" s="569">
        <f>ROUND(SUM(C7:C18),3)</f>
        <v>0.58299999999999996</v>
      </c>
    </row>
    <row r="20" spans="1:3" x14ac:dyDescent="0.5">
      <c r="A20" s="568"/>
      <c r="B20" s="278"/>
      <c r="C20" s="567"/>
    </row>
    <row r="21" spans="1:3" x14ac:dyDescent="0.5">
      <c r="A21" s="571">
        <v>3</v>
      </c>
      <c r="B21" s="278" t="s">
        <v>207</v>
      </c>
      <c r="C21" s="567"/>
    </row>
    <row r="22" spans="1:3" x14ac:dyDescent="0.5">
      <c r="A22" s="570" t="s">
        <v>208</v>
      </c>
      <c r="B22" s="279" t="s">
        <v>209</v>
      </c>
      <c r="C22" s="572">
        <v>7.0000000000000001E-3</v>
      </c>
    </row>
    <row r="23" spans="1:3" x14ac:dyDescent="0.5">
      <c r="A23" s="570" t="s">
        <v>210</v>
      </c>
      <c r="B23" s="279" t="s">
        <v>211</v>
      </c>
      <c r="C23" s="572">
        <v>0.05</v>
      </c>
    </row>
    <row r="24" spans="1:3" x14ac:dyDescent="0.5">
      <c r="A24" s="570" t="s">
        <v>212</v>
      </c>
      <c r="B24" s="279" t="s">
        <v>213</v>
      </c>
      <c r="C24" s="572">
        <v>0.02</v>
      </c>
    </row>
    <row r="25" spans="1:3" x14ac:dyDescent="0.5">
      <c r="A25" s="570" t="s">
        <v>214</v>
      </c>
      <c r="B25" s="881" t="s">
        <v>133</v>
      </c>
      <c r="C25" s="572">
        <v>0.01</v>
      </c>
    </row>
    <row r="26" spans="1:3" x14ac:dyDescent="0.5">
      <c r="A26" s="570" t="s">
        <v>215</v>
      </c>
      <c r="B26" s="881" t="s">
        <v>134</v>
      </c>
      <c r="C26" s="572">
        <v>1.2E-2</v>
      </c>
    </row>
    <row r="27" spans="1:3" x14ac:dyDescent="0.5">
      <c r="A27" s="570" t="s">
        <v>216</v>
      </c>
      <c r="B27" s="881" t="s">
        <v>135</v>
      </c>
      <c r="C27" s="572">
        <v>0.04</v>
      </c>
    </row>
    <row r="28" spans="1:3" x14ac:dyDescent="0.5">
      <c r="A28" s="570" t="s">
        <v>217</v>
      </c>
      <c r="B28" s="881" t="s">
        <v>136</v>
      </c>
      <c r="C28" s="572">
        <v>0.02</v>
      </c>
    </row>
    <row r="29" spans="1:3" x14ac:dyDescent="0.5">
      <c r="A29" s="570" t="s">
        <v>218</v>
      </c>
      <c r="B29" s="279" t="s">
        <v>219</v>
      </c>
      <c r="C29" s="572">
        <v>4.0000000000000001E-3</v>
      </c>
    </row>
    <row r="30" spans="1:3" x14ac:dyDescent="0.5">
      <c r="A30" s="570"/>
      <c r="B30" s="279"/>
      <c r="C30" s="572"/>
    </row>
    <row r="31" spans="1:3" x14ac:dyDescent="0.5">
      <c r="A31" s="570"/>
      <c r="B31" s="279"/>
      <c r="C31" s="567"/>
    </row>
    <row r="32" spans="1:3" x14ac:dyDescent="0.5">
      <c r="A32" s="570"/>
      <c r="B32" s="279"/>
      <c r="C32" s="567"/>
    </row>
    <row r="33" spans="1:5" x14ac:dyDescent="0.5">
      <c r="A33" s="570"/>
      <c r="B33" s="279"/>
      <c r="C33" s="567"/>
    </row>
    <row r="34" spans="1:5" x14ac:dyDescent="0.5">
      <c r="A34" s="570"/>
      <c r="B34" s="279"/>
      <c r="C34" s="567"/>
    </row>
    <row r="35" spans="1:5" x14ac:dyDescent="0.5">
      <c r="A35" s="566"/>
      <c r="B35" s="280" t="s">
        <v>220</v>
      </c>
      <c r="C35" s="569">
        <f>ROUND(SUM(C22:C33),3)</f>
        <v>0.16300000000000001</v>
      </c>
    </row>
    <row r="36" spans="1:5" x14ac:dyDescent="0.5">
      <c r="A36" s="568"/>
      <c r="B36" s="278"/>
      <c r="C36" s="572"/>
    </row>
    <row r="37" spans="1:5" x14ac:dyDescent="0.5">
      <c r="A37" s="566"/>
      <c r="B37" s="280"/>
      <c r="C37" s="569"/>
    </row>
    <row r="38" spans="1:5" x14ac:dyDescent="0.5">
      <c r="A38" s="566"/>
      <c r="B38" s="279"/>
      <c r="C38" s="567"/>
    </row>
    <row r="39" spans="1:5" x14ac:dyDescent="0.5">
      <c r="A39" s="573">
        <v>5</v>
      </c>
      <c r="B39" s="281" t="s">
        <v>221</v>
      </c>
      <c r="C39" s="887">
        <f>ROUND((C5+C19+C35+C37),2)</f>
        <v>1.75</v>
      </c>
      <c r="E39" s="574"/>
    </row>
    <row r="40" spans="1:5" x14ac:dyDescent="0.5">
      <c r="A40" s="566"/>
      <c r="B40" s="279"/>
      <c r="C40" s="567"/>
    </row>
    <row r="41" spans="1:5" x14ac:dyDescent="0.5">
      <c r="A41" s="566"/>
      <c r="B41" s="282" t="s">
        <v>183</v>
      </c>
      <c r="C41" s="575"/>
    </row>
    <row r="42" spans="1:5" ht="14.4" thickBot="1" x14ac:dyDescent="0.55000000000000004">
      <c r="A42" s="283"/>
      <c r="B42" s="1004" t="s">
        <v>222</v>
      </c>
      <c r="C42" s="576"/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1:N46"/>
  <sheetViews>
    <sheetView workbookViewId="0">
      <selection sqref="A1:C3"/>
    </sheetView>
  </sheetViews>
  <sheetFormatPr baseColWidth="10" defaultColWidth="9.15625" defaultRowHeight="14.4" x14ac:dyDescent="0.55000000000000004"/>
  <cols>
    <col min="1" max="1" width="5.578125" bestFit="1" customWidth="1"/>
    <col min="2" max="2" width="82.68359375" customWidth="1"/>
    <col min="3" max="3" width="10.26171875" bestFit="1" customWidth="1"/>
    <col min="6" max="6" width="34.26171875" bestFit="1" customWidth="1"/>
    <col min="7" max="7" width="18.26171875" bestFit="1" customWidth="1"/>
    <col min="9" max="9" width="34.26171875" bestFit="1" customWidth="1"/>
    <col min="10" max="10" width="10.26171875" bestFit="1" customWidth="1"/>
    <col min="13" max="13" width="30.26171875" bestFit="1" customWidth="1"/>
  </cols>
  <sheetData>
    <row r="1" spans="1:14" ht="15" customHeight="1" x14ac:dyDescent="0.55000000000000004">
      <c r="A1" s="1262" t="s">
        <v>0</v>
      </c>
      <c r="B1" s="1263"/>
      <c r="C1" s="1264"/>
      <c r="E1" s="288"/>
    </row>
    <row r="2" spans="1:14" x14ac:dyDescent="0.55000000000000004">
      <c r="A2" s="1265"/>
      <c r="B2" s="1266"/>
      <c r="C2" s="1267"/>
      <c r="E2" s="289"/>
    </row>
    <row r="3" spans="1:14" ht="14.7" thickBot="1" x14ac:dyDescent="0.6">
      <c r="A3" s="1268"/>
      <c r="B3" s="1269"/>
      <c r="C3" s="1270"/>
      <c r="E3" s="290"/>
      <c r="F3" s="300" t="s">
        <v>223</v>
      </c>
      <c r="G3" s="357">
        <v>1160000</v>
      </c>
    </row>
    <row r="4" spans="1:14" ht="21" x14ac:dyDescent="0.55000000000000004">
      <c r="A4" s="101"/>
      <c r="B4" s="102" t="s">
        <v>183</v>
      </c>
      <c r="C4" s="103"/>
      <c r="E4" s="291"/>
      <c r="F4" s="300" t="s">
        <v>224</v>
      </c>
      <c r="G4" s="357">
        <f>+G3*2</f>
        <v>2320000</v>
      </c>
      <c r="M4" t="s">
        <v>225</v>
      </c>
    </row>
    <row r="5" spans="1:14" ht="15.3" x14ac:dyDescent="0.55000000000000004">
      <c r="A5" s="1005"/>
      <c r="B5" s="1006"/>
      <c r="C5" s="1007"/>
      <c r="E5" s="292"/>
      <c r="F5" s="356" t="s">
        <v>226</v>
      </c>
      <c r="G5" s="93"/>
      <c r="I5" s="356" t="s">
        <v>227</v>
      </c>
      <c r="J5" s="93"/>
    </row>
    <row r="6" spans="1:14" ht="60.75" customHeight="1" x14ac:dyDescent="0.55000000000000004">
      <c r="A6" s="1008">
        <v>1</v>
      </c>
      <c r="B6" s="1009" t="s">
        <v>228</v>
      </c>
      <c r="C6" s="1010">
        <f>+ROUND((100%),2)</f>
        <v>1</v>
      </c>
      <c r="E6" s="293"/>
      <c r="F6" s="358" t="s">
        <v>103</v>
      </c>
      <c r="G6" s="299">
        <f>SUM(G7:G21)</f>
        <v>0.85813806246691371</v>
      </c>
      <c r="H6" s="359"/>
      <c r="I6" s="358" t="s">
        <v>103</v>
      </c>
      <c r="J6" s="299">
        <f>SUM(J7:J21)</f>
        <v>0.71450000000000002</v>
      </c>
      <c r="M6" s="358" t="s">
        <v>103</v>
      </c>
      <c r="N6" s="299">
        <f>SUM(N7:N21)</f>
        <v>0.77883806246691367</v>
      </c>
    </row>
    <row r="7" spans="1:14" ht="15.9" x14ac:dyDescent="0.55000000000000004">
      <c r="A7" s="1008">
        <v>2</v>
      </c>
      <c r="B7" s="1009" t="s">
        <v>185</v>
      </c>
      <c r="C7" s="287"/>
      <c r="E7" s="293"/>
      <c r="F7" s="300" t="s">
        <v>229</v>
      </c>
      <c r="G7" s="299">
        <v>8.3299999999999999E-2</v>
      </c>
      <c r="I7" s="300" t="s">
        <v>229</v>
      </c>
      <c r="J7" s="299">
        <v>8.3299999999999999E-2</v>
      </c>
      <c r="M7" s="300" t="s">
        <v>229</v>
      </c>
      <c r="N7" s="299">
        <v>8.3299999999999999E-2</v>
      </c>
    </row>
    <row r="8" spans="1:14" ht="15.75" customHeight="1" x14ac:dyDescent="0.55000000000000004">
      <c r="A8" s="286">
        <v>2.1</v>
      </c>
      <c r="B8" s="1006" t="s">
        <v>187</v>
      </c>
      <c r="C8" s="1011">
        <v>8.3299999999999999E-2</v>
      </c>
      <c r="E8" s="293"/>
      <c r="F8" s="300" t="s">
        <v>230</v>
      </c>
      <c r="G8" s="299">
        <v>8.3299999999999999E-2</v>
      </c>
      <c r="I8" s="300" t="s">
        <v>230</v>
      </c>
      <c r="J8" s="299">
        <v>8.3299999999999999E-2</v>
      </c>
      <c r="M8" s="300" t="s">
        <v>230</v>
      </c>
      <c r="N8" s="299">
        <v>8.3299999999999999E-2</v>
      </c>
    </row>
    <row r="9" spans="1:14" ht="15.3" x14ac:dyDescent="0.55000000000000004">
      <c r="A9" s="286">
        <v>2.2000000000000002</v>
      </c>
      <c r="B9" s="1006" t="s">
        <v>189</v>
      </c>
      <c r="C9" s="1011">
        <v>8.3299999999999999E-2</v>
      </c>
      <c r="E9" s="293"/>
      <c r="F9" s="300" t="s">
        <v>231</v>
      </c>
      <c r="G9" s="299">
        <v>0.01</v>
      </c>
      <c r="I9" s="300" t="s">
        <v>231</v>
      </c>
      <c r="J9" s="299">
        <v>0.01</v>
      </c>
      <c r="M9" s="300" t="s">
        <v>231</v>
      </c>
      <c r="N9" s="299">
        <v>0.01</v>
      </c>
    </row>
    <row r="10" spans="1:14" ht="15.3" x14ac:dyDescent="0.55000000000000004">
      <c r="A10" s="286">
        <v>2.2999999999999998</v>
      </c>
      <c r="B10" s="1006" t="s">
        <v>191</v>
      </c>
      <c r="C10" s="1011">
        <v>0.01</v>
      </c>
      <c r="E10" s="293"/>
      <c r="F10" s="300" t="s">
        <v>203</v>
      </c>
      <c r="G10" s="299">
        <v>4.1700000000000001E-2</v>
      </c>
      <c r="I10" s="300" t="s">
        <v>203</v>
      </c>
      <c r="J10" s="299">
        <v>4.1700000000000001E-2</v>
      </c>
      <c r="M10" s="300" t="s">
        <v>203</v>
      </c>
      <c r="N10" s="299">
        <v>4.1700000000000001E-2</v>
      </c>
    </row>
    <row r="11" spans="1:14" ht="15.3" x14ac:dyDescent="0.55000000000000004">
      <c r="A11" s="286">
        <v>2.4</v>
      </c>
      <c r="B11" s="1006" t="s">
        <v>193</v>
      </c>
      <c r="C11" s="1011">
        <v>8.5000000000000006E-2</v>
      </c>
      <c r="E11" s="293"/>
      <c r="F11" s="300" t="s">
        <v>193</v>
      </c>
      <c r="G11" s="299">
        <v>8.5000000000000006E-2</v>
      </c>
      <c r="I11" s="300" t="s">
        <v>193</v>
      </c>
      <c r="J11" s="299">
        <v>8.5000000000000006E-2</v>
      </c>
      <c r="M11" s="300" t="s">
        <v>193</v>
      </c>
      <c r="N11" s="299">
        <v>8.5000000000000006E-2</v>
      </c>
    </row>
    <row r="12" spans="1:14" ht="15.3" x14ac:dyDescent="0.55000000000000004">
      <c r="A12" s="286">
        <v>2.5</v>
      </c>
      <c r="B12" s="1006" t="s">
        <v>195</v>
      </c>
      <c r="C12" s="1011">
        <v>0.12</v>
      </c>
      <c r="E12" s="293"/>
      <c r="F12" s="300" t="s">
        <v>232</v>
      </c>
      <c r="G12" s="299">
        <v>0.04</v>
      </c>
      <c r="I12" s="300" t="s">
        <v>232</v>
      </c>
      <c r="J12" s="299">
        <v>0.04</v>
      </c>
      <c r="M12" s="300" t="s">
        <v>232</v>
      </c>
      <c r="N12" s="299">
        <v>0.04</v>
      </c>
    </row>
    <row r="13" spans="1:14" ht="15.3" x14ac:dyDescent="0.55000000000000004">
      <c r="A13" s="286">
        <v>2.6</v>
      </c>
      <c r="B13" s="1006" t="s">
        <v>197</v>
      </c>
      <c r="C13" s="1011">
        <f>2%</f>
        <v>0.02</v>
      </c>
      <c r="E13" s="293"/>
      <c r="F13" s="300" t="s">
        <v>233</v>
      </c>
      <c r="G13" s="299">
        <v>0.12</v>
      </c>
      <c r="I13" s="300" t="s">
        <v>233</v>
      </c>
      <c r="J13" s="299">
        <v>0.12</v>
      </c>
      <c r="M13" s="300" t="s">
        <v>233</v>
      </c>
      <c r="N13" s="299">
        <v>0.12</v>
      </c>
    </row>
    <row r="14" spans="1:14" ht="15.3" x14ac:dyDescent="0.55000000000000004">
      <c r="A14" s="286">
        <v>2.7</v>
      </c>
      <c r="B14" s="1006" t="s">
        <v>199</v>
      </c>
      <c r="C14" s="1011">
        <f>3%</f>
        <v>0.03</v>
      </c>
      <c r="E14" s="293"/>
      <c r="F14" s="300" t="s">
        <v>234</v>
      </c>
      <c r="G14" s="299">
        <v>6.9699999999999998E-2</v>
      </c>
      <c r="I14" s="300" t="s">
        <v>234</v>
      </c>
      <c r="J14" s="299">
        <v>6.9699999999999998E-2</v>
      </c>
      <c r="M14" s="300" t="s">
        <v>234</v>
      </c>
      <c r="N14" s="360">
        <v>1.04E-2</v>
      </c>
    </row>
    <row r="15" spans="1:14" ht="15.3" x14ac:dyDescent="0.55000000000000004">
      <c r="A15" s="286">
        <v>2.8</v>
      </c>
      <c r="B15" s="1006" t="s">
        <v>201</v>
      </c>
      <c r="C15" s="1011">
        <v>0.04</v>
      </c>
      <c r="E15" s="293"/>
      <c r="F15" s="300" t="s">
        <v>235</v>
      </c>
      <c r="G15" s="299">
        <v>0.03</v>
      </c>
      <c r="I15" s="300" t="s">
        <v>235</v>
      </c>
      <c r="J15" s="299">
        <v>0.03</v>
      </c>
      <c r="M15" s="300" t="s">
        <v>235</v>
      </c>
      <c r="N15" s="299">
        <v>0.03</v>
      </c>
    </row>
    <row r="16" spans="1:14" ht="15.3" x14ac:dyDescent="0.55000000000000004">
      <c r="A16" s="286">
        <v>2.9</v>
      </c>
      <c r="B16" s="1006" t="s">
        <v>203</v>
      </c>
      <c r="C16" s="1011">
        <v>4.1700000000000001E-2</v>
      </c>
      <c r="E16" s="293"/>
      <c r="F16" s="300" t="s">
        <v>236</v>
      </c>
      <c r="G16" s="299">
        <v>0.02</v>
      </c>
      <c r="I16" s="300" t="s">
        <v>236</v>
      </c>
      <c r="J16" s="299">
        <v>0.02</v>
      </c>
      <c r="M16" s="300" t="s">
        <v>236</v>
      </c>
      <c r="N16" s="299">
        <v>0.02</v>
      </c>
    </row>
    <row r="17" spans="1:14" ht="15.3" x14ac:dyDescent="0.55000000000000004">
      <c r="A17" s="286">
        <v>2.12</v>
      </c>
      <c r="B17" s="1006" t="s">
        <v>234</v>
      </c>
      <c r="C17" s="287">
        <v>6.9599999999999995E-2</v>
      </c>
      <c r="E17" s="293"/>
      <c r="F17" s="300" t="s">
        <v>237</v>
      </c>
      <c r="G17" s="299">
        <v>0.1172</v>
      </c>
      <c r="I17" s="300" t="s">
        <v>237</v>
      </c>
      <c r="J17" s="299">
        <v>0</v>
      </c>
      <c r="M17" s="300" t="s">
        <v>237</v>
      </c>
      <c r="N17" s="299">
        <v>0.1172</v>
      </c>
    </row>
    <row r="18" spans="1:14" ht="15.3" x14ac:dyDescent="0.55000000000000004">
      <c r="A18" s="286"/>
      <c r="B18" s="1006" t="s">
        <v>238</v>
      </c>
      <c r="C18" s="287">
        <v>0.01</v>
      </c>
      <c r="E18" s="293"/>
      <c r="F18" s="361" t="s">
        <v>239</v>
      </c>
      <c r="G18" s="362">
        <v>0.08</v>
      </c>
      <c r="I18" s="361" t="s">
        <v>239</v>
      </c>
      <c r="J18" s="362">
        <v>0.08</v>
      </c>
      <c r="M18" s="361" t="s">
        <v>239</v>
      </c>
      <c r="N18" s="362">
        <v>0.08</v>
      </c>
    </row>
    <row r="19" spans="1:14" ht="15.3" x14ac:dyDescent="0.55000000000000004">
      <c r="A19" s="1005"/>
      <c r="B19" s="1012" t="s">
        <v>206</v>
      </c>
      <c r="C19" s="1010">
        <f>ROUND((SUM(C8:C18)),3)</f>
        <v>0.59299999999999997</v>
      </c>
      <c r="E19" s="292">
        <v>0</v>
      </c>
      <c r="F19" s="361" t="s">
        <v>240</v>
      </c>
      <c r="G19" s="362">
        <v>5.293806246691371E-2</v>
      </c>
      <c r="I19" s="361" t="s">
        <v>240</v>
      </c>
      <c r="J19" s="362">
        <v>2.6499999999999999E-2</v>
      </c>
      <c r="M19" s="361" t="s">
        <v>240</v>
      </c>
      <c r="N19" s="362">
        <v>5.293806246691371E-2</v>
      </c>
    </row>
    <row r="20" spans="1:14" ht="15.9" x14ac:dyDescent="0.55000000000000004">
      <c r="A20" s="1008">
        <v>3</v>
      </c>
      <c r="B20" s="1009" t="s">
        <v>241</v>
      </c>
      <c r="C20" s="287"/>
      <c r="E20" s="292"/>
      <c r="F20" s="361" t="s">
        <v>242</v>
      </c>
      <c r="G20" s="362">
        <v>5.0000000000000001E-3</v>
      </c>
      <c r="I20" s="361" t="s">
        <v>242</v>
      </c>
      <c r="J20" s="362">
        <v>5.0000000000000001E-3</v>
      </c>
      <c r="M20" s="361" t="s">
        <v>242</v>
      </c>
      <c r="N20" s="362">
        <v>5.0000000000000001E-3</v>
      </c>
    </row>
    <row r="21" spans="1:14" ht="15.3" x14ac:dyDescent="0.55000000000000004">
      <c r="A21" s="1005"/>
      <c r="B21" s="1013" t="s">
        <v>243</v>
      </c>
      <c r="C21" s="287"/>
      <c r="E21" s="293"/>
      <c r="F21" s="361" t="s">
        <v>244</v>
      </c>
      <c r="G21" s="362">
        <v>0.02</v>
      </c>
      <c r="I21" s="361" t="s">
        <v>244</v>
      </c>
      <c r="J21" s="362">
        <v>0.02</v>
      </c>
      <c r="M21" s="361" t="s">
        <v>244</v>
      </c>
      <c r="N21" s="362"/>
    </row>
    <row r="22" spans="1:14" ht="15.3" x14ac:dyDescent="0.55000000000000004">
      <c r="A22" s="286">
        <v>3.1</v>
      </c>
      <c r="B22" s="1006" t="s">
        <v>245</v>
      </c>
      <c r="C22" s="287">
        <v>0.03</v>
      </c>
      <c r="E22" s="293"/>
    </row>
    <row r="23" spans="1:14" ht="15.3" x14ac:dyDescent="0.55000000000000004">
      <c r="A23" s="286">
        <v>3.2</v>
      </c>
      <c r="B23" s="1006" t="s">
        <v>246</v>
      </c>
      <c r="C23" s="287">
        <v>0.02</v>
      </c>
      <c r="E23" s="293"/>
    </row>
    <row r="24" spans="1:14" ht="15.3" x14ac:dyDescent="0.55000000000000004">
      <c r="A24" s="286">
        <v>3.3</v>
      </c>
      <c r="B24" s="1006" t="s">
        <v>247</v>
      </c>
      <c r="C24" s="287">
        <v>0.02</v>
      </c>
      <c r="E24" s="293"/>
    </row>
    <row r="25" spans="1:14" ht="15.3" x14ac:dyDescent="0.55000000000000004">
      <c r="A25" s="286">
        <v>3.4</v>
      </c>
      <c r="B25" s="1006" t="s">
        <v>248</v>
      </c>
      <c r="C25" s="287">
        <v>0.01</v>
      </c>
      <c r="E25" s="293"/>
    </row>
    <row r="26" spans="1:14" ht="15.3" x14ac:dyDescent="0.55000000000000004">
      <c r="A26" s="286">
        <v>3.5</v>
      </c>
      <c r="B26" s="1006" t="s">
        <v>249</v>
      </c>
      <c r="C26" s="287">
        <v>5.3E-3</v>
      </c>
      <c r="E26" s="293"/>
    </row>
    <row r="27" spans="1:14" ht="15.3" x14ac:dyDescent="0.55000000000000004">
      <c r="A27" s="286">
        <v>3.6</v>
      </c>
      <c r="B27" s="1006" t="s">
        <v>250</v>
      </c>
      <c r="C27" s="287">
        <v>9.9000000000000008E-3</v>
      </c>
      <c r="E27" s="293"/>
    </row>
    <row r="28" spans="1:14" ht="15.3" x14ac:dyDescent="0.55000000000000004">
      <c r="A28" s="286">
        <v>3.7</v>
      </c>
      <c r="B28" s="1006" t="s">
        <v>251</v>
      </c>
      <c r="C28" s="287">
        <v>2.6499999999999999E-2</v>
      </c>
      <c r="E28" s="293"/>
    </row>
    <row r="29" spans="1:14" ht="15.3" x14ac:dyDescent="0.55000000000000004">
      <c r="A29" s="286">
        <v>3.8</v>
      </c>
      <c r="B29" s="1006" t="s">
        <v>252</v>
      </c>
      <c r="C29" s="287">
        <v>0.01</v>
      </c>
      <c r="E29" s="291"/>
    </row>
    <row r="30" spans="1:14" ht="15.3" x14ac:dyDescent="0.55000000000000004">
      <c r="A30" s="286">
        <v>3.9</v>
      </c>
      <c r="B30" s="1006" t="s">
        <v>253</v>
      </c>
      <c r="C30" s="287">
        <v>2.5000000000000001E-2</v>
      </c>
      <c r="E30" s="291"/>
    </row>
    <row r="31" spans="1:14" ht="15.3" x14ac:dyDescent="0.55000000000000004">
      <c r="A31" s="286">
        <v>3.1</v>
      </c>
      <c r="B31" s="1006" t="s">
        <v>254</v>
      </c>
      <c r="C31" s="287">
        <v>0.02</v>
      </c>
      <c r="E31" s="292"/>
    </row>
    <row r="32" spans="1:14" ht="15.3" x14ac:dyDescent="0.55000000000000004">
      <c r="A32" s="286">
        <v>3.12</v>
      </c>
      <c r="B32" s="1006" t="s">
        <v>255</v>
      </c>
      <c r="C32" s="287">
        <v>1.4999999999999999E-2</v>
      </c>
      <c r="E32" s="291"/>
    </row>
    <row r="33" spans="1:5" ht="15.3" x14ac:dyDescent="0.55000000000000004">
      <c r="A33" s="286">
        <v>3.13</v>
      </c>
      <c r="B33" s="1006" t="s">
        <v>256</v>
      </c>
      <c r="C33" s="287">
        <v>0.02</v>
      </c>
      <c r="E33" s="295"/>
    </row>
    <row r="34" spans="1:5" ht="15.3" x14ac:dyDescent="0.55000000000000004">
      <c r="A34" s="286">
        <v>3.14</v>
      </c>
      <c r="B34" s="1006" t="s">
        <v>257</v>
      </c>
      <c r="C34" s="287">
        <v>0.01</v>
      </c>
      <c r="E34" s="295"/>
    </row>
    <row r="35" spans="1:5" ht="15.3" x14ac:dyDescent="0.55000000000000004">
      <c r="A35" s="286">
        <v>3.15</v>
      </c>
      <c r="B35" s="1006" t="s">
        <v>258</v>
      </c>
      <c r="C35" s="287">
        <v>0.01</v>
      </c>
      <c r="E35" s="295"/>
    </row>
    <row r="36" spans="1:5" ht="15.3" x14ac:dyDescent="0.55000000000000004">
      <c r="A36" s="1005"/>
      <c r="B36" s="1012" t="s">
        <v>220</v>
      </c>
      <c r="C36" s="1010">
        <f>ROUND((SUM(C22:C35)),3)</f>
        <v>0.23200000000000001</v>
      </c>
      <c r="E36" s="295"/>
    </row>
    <row r="37" spans="1:5" ht="15.9" x14ac:dyDescent="0.55000000000000004">
      <c r="A37" s="1008">
        <v>4</v>
      </c>
      <c r="B37" s="1009" t="s">
        <v>259</v>
      </c>
      <c r="C37" s="287">
        <v>0.2</v>
      </c>
      <c r="E37" s="295"/>
    </row>
    <row r="38" spans="1:5" ht="15.3" x14ac:dyDescent="0.55000000000000004">
      <c r="A38" s="1005"/>
      <c r="B38" s="1012" t="s">
        <v>260</v>
      </c>
      <c r="C38" s="1010">
        <f>ROUND((SUM(C37)),3)</f>
        <v>0.2</v>
      </c>
      <c r="E38" s="294"/>
    </row>
    <row r="39" spans="1:5" ht="15.3" x14ac:dyDescent="0.55000000000000004">
      <c r="A39" s="1005"/>
      <c r="B39" s="1006"/>
      <c r="C39" s="1007"/>
      <c r="E39" s="294"/>
    </row>
    <row r="40" spans="1:5" ht="18.600000000000001" x14ac:dyDescent="0.55000000000000004">
      <c r="A40" s="1014">
        <v>5</v>
      </c>
      <c r="B40" s="1015" t="s">
        <v>38</v>
      </c>
      <c r="C40" s="1016">
        <f>ROUND((C6+C19+C36+C38),2)</f>
        <v>2.0299999999999998</v>
      </c>
      <c r="E40" s="296"/>
    </row>
    <row r="41" spans="1:5" ht="15.3" x14ac:dyDescent="0.55000000000000004">
      <c r="A41" s="1005"/>
      <c r="B41" s="1006"/>
      <c r="C41" s="1007"/>
      <c r="E41" s="297"/>
    </row>
    <row r="42" spans="1:5" ht="15.3" x14ac:dyDescent="0.55000000000000004">
      <c r="A42" s="1005"/>
      <c r="B42" s="1017" t="s">
        <v>183</v>
      </c>
      <c r="C42" s="1018"/>
      <c r="E42" s="297"/>
    </row>
    <row r="43" spans="1:5" ht="18" thickBot="1" x14ac:dyDescent="0.6">
      <c r="A43" s="1019"/>
      <c r="B43" s="92" t="s">
        <v>222</v>
      </c>
      <c r="C43" s="1020"/>
      <c r="E43" s="298"/>
    </row>
    <row r="44" spans="1:5" ht="14.7" x14ac:dyDescent="0.55000000000000004">
      <c r="B44" s="104"/>
    </row>
    <row r="45" spans="1:5" x14ac:dyDescent="0.55000000000000004">
      <c r="B45" s="93"/>
    </row>
    <row r="46" spans="1:5" x14ac:dyDescent="0.55000000000000004">
      <c r="B46" s="93"/>
      <c r="C46" s="94"/>
    </row>
  </sheetData>
  <mergeCells count="1">
    <mergeCell ref="A1:C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44"/>
  <sheetViews>
    <sheetView topLeftCell="A34" workbookViewId="0">
      <selection activeCell="M42" sqref="J1:M42"/>
    </sheetView>
  </sheetViews>
  <sheetFormatPr baseColWidth="10" defaultColWidth="9.15625" defaultRowHeight="14.4" x14ac:dyDescent="0.55000000000000004"/>
  <cols>
    <col min="1" max="1" width="44.578125" customWidth="1"/>
    <col min="2" max="2" width="12.578125" bestFit="1" customWidth="1"/>
    <col min="3" max="3" width="10" bestFit="1" customWidth="1"/>
    <col min="4" max="5" width="10.41796875" customWidth="1"/>
    <col min="6" max="6" width="14.578125" bestFit="1" customWidth="1"/>
    <col min="7" max="7" width="10.68359375" style="366" bestFit="1" customWidth="1"/>
    <col min="9" max="10" width="12.578125" bestFit="1" customWidth="1"/>
    <col min="11" max="11" width="16.578125" bestFit="1" customWidth="1"/>
    <col min="12" max="12" width="11.578125" style="366" bestFit="1" customWidth="1"/>
  </cols>
  <sheetData>
    <row r="1" spans="1:12" ht="14.7" thickBot="1" x14ac:dyDescent="0.6">
      <c r="A1" s="1271" t="s">
        <v>261</v>
      </c>
      <c r="B1" s="1272"/>
      <c r="C1" s="1272"/>
      <c r="D1" s="1272"/>
      <c r="E1" s="1272"/>
      <c r="F1" s="1272"/>
      <c r="G1" s="1272"/>
    </row>
    <row r="2" spans="1:12" ht="31.5" customHeight="1" x14ac:dyDescent="0.55000000000000004">
      <c r="A2" s="1273" t="s">
        <v>0</v>
      </c>
      <c r="B2" s="1274"/>
      <c r="C2" s="1274"/>
      <c r="D2" s="1274"/>
      <c r="E2" s="1274"/>
      <c r="F2" s="1274"/>
      <c r="G2" s="1275"/>
    </row>
    <row r="3" spans="1:12" x14ac:dyDescent="0.55000000000000004">
      <c r="A3" s="543"/>
      <c r="B3" s="106"/>
      <c r="C3" s="106"/>
      <c r="D3" s="106"/>
      <c r="E3" s="106"/>
      <c r="F3" s="106"/>
      <c r="G3" s="778"/>
    </row>
    <row r="4" spans="1:12" x14ac:dyDescent="0.55000000000000004">
      <c r="A4" s="543" t="s">
        <v>262</v>
      </c>
      <c r="B4" s="108" t="s">
        <v>263</v>
      </c>
      <c r="C4" s="44"/>
      <c r="D4" s="107" t="s">
        <v>264</v>
      </c>
      <c r="E4" s="116">
        <v>220.1</v>
      </c>
      <c r="F4" s="108" t="s">
        <v>265</v>
      </c>
      <c r="G4" s="779" t="s">
        <v>24</v>
      </c>
    </row>
    <row r="5" spans="1:12" x14ac:dyDescent="0.55000000000000004">
      <c r="A5" s="543" t="s">
        <v>266</v>
      </c>
      <c r="B5" s="108" t="s">
        <v>267</v>
      </c>
      <c r="C5" s="108"/>
      <c r="D5" s="108"/>
      <c r="E5" s="108"/>
      <c r="F5" s="108" t="s">
        <v>268</v>
      </c>
      <c r="G5" s="779" t="s">
        <v>22</v>
      </c>
    </row>
    <row r="6" spans="1:12" x14ac:dyDescent="0.55000000000000004">
      <c r="A6" s="544"/>
      <c r="B6" s="106"/>
      <c r="C6" s="108"/>
      <c r="D6" s="108"/>
      <c r="E6" s="108"/>
      <c r="F6" s="108"/>
      <c r="G6" s="778"/>
    </row>
    <row r="7" spans="1:12" ht="14.7" thickBot="1" x14ac:dyDescent="0.6">
      <c r="A7" s="545" t="s">
        <v>269</v>
      </c>
      <c r="B7" s="119"/>
      <c r="C7" s="119"/>
      <c r="D7" s="119"/>
      <c r="E7" s="119"/>
      <c r="F7" s="119"/>
      <c r="G7" s="1021"/>
      <c r="L7" s="550"/>
    </row>
    <row r="8" spans="1:12" x14ac:dyDescent="0.55000000000000004">
      <c r="A8" s="159" t="s">
        <v>270</v>
      </c>
      <c r="B8" s="110"/>
      <c r="C8" s="110" t="s">
        <v>271</v>
      </c>
      <c r="D8" s="111" t="s">
        <v>272</v>
      </c>
      <c r="E8" s="110" t="s">
        <v>273</v>
      </c>
      <c r="F8" s="121" t="s">
        <v>274</v>
      </c>
      <c r="G8" s="780"/>
      <c r="L8" s="550"/>
    </row>
    <row r="9" spans="1:12" ht="20.399999999999999" x14ac:dyDescent="0.55000000000000004">
      <c r="A9" s="1022" t="s">
        <v>275</v>
      </c>
      <c r="B9" s="1023"/>
      <c r="C9" s="1024"/>
      <c r="D9" s="1025">
        <f>+'equipos y transporte'!E6</f>
        <v>289170</v>
      </c>
      <c r="E9" s="1026">
        <v>33</v>
      </c>
      <c r="F9" s="1027">
        <f>+D9/E9</f>
        <v>8762.7272727272721</v>
      </c>
      <c r="G9" s="778"/>
      <c r="J9" s="378"/>
      <c r="L9" s="550"/>
    </row>
    <row r="10" spans="1:12" x14ac:dyDescent="0.55000000000000004">
      <c r="A10" s="1028" t="s">
        <v>276</v>
      </c>
      <c r="B10" s="1029"/>
      <c r="C10" s="1030"/>
      <c r="D10" s="1031">
        <f>+'equipos y transporte'!E8</f>
        <v>105761.25</v>
      </c>
      <c r="E10" s="1026">
        <v>33</v>
      </c>
      <c r="F10" s="1027">
        <f>+D10/E10</f>
        <v>3204.8863636363635</v>
      </c>
      <c r="G10" s="778"/>
      <c r="J10" s="378"/>
      <c r="L10" s="550"/>
    </row>
    <row r="11" spans="1:12" ht="20.399999999999999" x14ac:dyDescent="0.55000000000000004">
      <c r="A11" s="1032" t="s">
        <v>277</v>
      </c>
      <c r="B11" s="1033"/>
      <c r="C11" s="1030"/>
      <c r="D11" s="1031">
        <f>+'equipos y transporte'!E19</f>
        <v>334687.5</v>
      </c>
      <c r="E11" s="1026">
        <v>33</v>
      </c>
      <c r="F11" s="1027">
        <f t="shared" ref="F11:F12" si="0">+D11/E11</f>
        <v>10142.045454545454</v>
      </c>
      <c r="G11" s="778"/>
      <c r="J11" s="378"/>
      <c r="L11" s="550"/>
    </row>
    <row r="12" spans="1:12" x14ac:dyDescent="0.55000000000000004">
      <c r="A12" s="1032" t="s">
        <v>278</v>
      </c>
      <c r="B12" s="1033"/>
      <c r="C12" s="1030"/>
      <c r="D12" s="1025">
        <f>+'equipos y transporte'!E25</f>
        <v>166005</v>
      </c>
      <c r="E12" s="1026">
        <v>33</v>
      </c>
      <c r="F12" s="1027">
        <f t="shared" si="0"/>
        <v>5030.454545454545</v>
      </c>
      <c r="G12" s="778"/>
      <c r="J12" s="378"/>
      <c r="L12" s="550"/>
    </row>
    <row r="13" spans="1:12" x14ac:dyDescent="0.55000000000000004">
      <c r="A13" s="1028" t="s">
        <v>279</v>
      </c>
      <c r="B13" s="1029"/>
      <c r="C13" s="1024"/>
      <c r="D13" s="1034"/>
      <c r="E13" s="1026"/>
      <c r="F13" s="1027">
        <f>+G40*0.05</f>
        <v>41</v>
      </c>
      <c r="G13" s="778"/>
      <c r="J13" s="379"/>
      <c r="L13" s="550"/>
    </row>
    <row r="14" spans="1:12" x14ac:dyDescent="0.55000000000000004">
      <c r="A14" s="1028"/>
      <c r="B14" s="1029"/>
      <c r="C14" s="1030"/>
      <c r="D14" s="1035"/>
      <c r="E14" s="1026"/>
      <c r="F14" s="1036"/>
      <c r="G14" s="778"/>
      <c r="L14" s="550"/>
    </row>
    <row r="15" spans="1:12" ht="14.7" thickBot="1" x14ac:dyDescent="0.6">
      <c r="A15" s="1037"/>
      <c r="B15" s="1038"/>
      <c r="C15" s="1039"/>
      <c r="D15" s="1040"/>
      <c r="E15" s="1041"/>
      <c r="F15" s="1042"/>
      <c r="G15" s="1021"/>
      <c r="L15" s="550"/>
    </row>
    <row r="16" spans="1:12" ht="14.7" thickBot="1" x14ac:dyDescent="0.6">
      <c r="A16" s="106"/>
      <c r="B16" s="106"/>
      <c r="C16" s="106"/>
      <c r="D16" s="106"/>
      <c r="E16" s="106"/>
      <c r="F16" s="116" t="s">
        <v>280</v>
      </c>
      <c r="G16" s="781">
        <f>+ROUND(SUM(F9:F13),0)</f>
        <v>27181</v>
      </c>
      <c r="L16" s="550"/>
    </row>
    <row r="17" spans="1:12" ht="14.7" thickBot="1" x14ac:dyDescent="0.6">
      <c r="A17" s="109" t="s">
        <v>281</v>
      </c>
      <c r="B17" s="106"/>
      <c r="C17" s="106"/>
      <c r="D17" s="106"/>
      <c r="E17" s="106"/>
      <c r="F17" s="106"/>
      <c r="G17" s="782"/>
      <c r="L17" s="550"/>
    </row>
    <row r="18" spans="1:12" x14ac:dyDescent="0.55000000000000004">
      <c r="A18" s="117" t="s">
        <v>270</v>
      </c>
      <c r="B18" s="118"/>
      <c r="C18" s="110" t="s">
        <v>282</v>
      </c>
      <c r="D18" s="110" t="s">
        <v>283</v>
      </c>
      <c r="E18" s="110" t="s">
        <v>284</v>
      </c>
      <c r="F18" s="112" t="s">
        <v>274</v>
      </c>
      <c r="G18" s="783"/>
    </row>
    <row r="19" spans="1:12" x14ac:dyDescent="0.55000000000000004">
      <c r="A19" t="str">
        <f>+insumos!C27</f>
        <v xml:space="preserve">Material seleccionado para Relleno
</v>
      </c>
      <c r="B19" s="1043"/>
      <c r="C19" s="1024" t="str">
        <f>+insumos!D26</f>
        <v>m3</v>
      </c>
      <c r="D19" s="1024">
        <f>+insumos!E26</f>
        <v>48258.787500000006</v>
      </c>
      <c r="E19" s="1044">
        <v>1.3</v>
      </c>
      <c r="F19" s="1045">
        <f>+D19*E19</f>
        <v>62736.423750000009</v>
      </c>
      <c r="G19" s="784"/>
    </row>
    <row r="20" spans="1:12" x14ac:dyDescent="0.55000000000000004">
      <c r="A20" s="1046"/>
      <c r="B20" s="1043"/>
      <c r="C20" s="1024"/>
      <c r="D20" s="1034"/>
      <c r="E20" s="1044"/>
      <c r="F20" s="1045"/>
      <c r="G20" s="784"/>
    </row>
    <row r="21" spans="1:12" x14ac:dyDescent="0.55000000000000004">
      <c r="A21" s="1046"/>
      <c r="B21" s="1043"/>
      <c r="C21" s="1024"/>
      <c r="D21" s="1034"/>
      <c r="E21" s="1044"/>
      <c r="F21" s="1045"/>
      <c r="G21" s="784"/>
    </row>
    <row r="22" spans="1:12" x14ac:dyDescent="0.55000000000000004">
      <c r="A22" s="1046"/>
      <c r="B22" s="1043"/>
      <c r="C22" s="1024"/>
      <c r="D22" s="1034"/>
      <c r="E22" s="1044"/>
      <c r="F22" s="1045"/>
      <c r="G22" s="784"/>
    </row>
    <row r="23" spans="1:12" ht="14.7" thickBot="1" x14ac:dyDescent="0.6">
      <c r="A23" s="1047"/>
      <c r="B23" s="120"/>
      <c r="C23" s="1039"/>
      <c r="D23" s="1040"/>
      <c r="E23" s="1041"/>
      <c r="F23" s="1048"/>
      <c r="G23" s="785"/>
    </row>
    <row r="24" spans="1:12" ht="14.7" thickBot="1" x14ac:dyDescent="0.6">
      <c r="A24" s="106"/>
      <c r="B24" s="106"/>
      <c r="C24" s="106"/>
      <c r="D24" s="106"/>
      <c r="E24" s="106"/>
      <c r="F24" s="116" t="s">
        <v>280</v>
      </c>
      <c r="G24" s="781">
        <f>+ROUND(SUM(F19:F23),0)</f>
        <v>62736</v>
      </c>
      <c r="J24" s="375"/>
    </row>
    <row r="25" spans="1:12" ht="14.7" thickBot="1" x14ac:dyDescent="0.6">
      <c r="A25" s="109" t="s">
        <v>285</v>
      </c>
      <c r="B25" s="106"/>
      <c r="C25" s="106"/>
      <c r="D25" s="106"/>
      <c r="E25" s="106"/>
      <c r="F25" s="106"/>
      <c r="G25" s="782"/>
    </row>
    <row r="26" spans="1:12" x14ac:dyDescent="0.55000000000000004">
      <c r="A26" s="159" t="s">
        <v>286</v>
      </c>
      <c r="B26" s="110" t="s">
        <v>287</v>
      </c>
      <c r="C26" s="110" t="s">
        <v>288</v>
      </c>
      <c r="D26" s="110" t="s">
        <v>289</v>
      </c>
      <c r="E26" s="110" t="s">
        <v>290</v>
      </c>
      <c r="F26" s="121" t="s">
        <v>274</v>
      </c>
      <c r="G26" s="783"/>
    </row>
    <row r="27" spans="1:12" x14ac:dyDescent="0.55000000000000004">
      <c r="A27" s="1049" t="s">
        <v>291</v>
      </c>
      <c r="B27" s="1050">
        <f>+E19</f>
        <v>1.3</v>
      </c>
      <c r="C27" s="1050">
        <f>+cantera</f>
        <v>35</v>
      </c>
      <c r="D27" s="1050">
        <f>+B27*C27</f>
        <v>45.5</v>
      </c>
      <c r="E27" s="1051">
        <f>+'equipos y transporte'!E33</f>
        <v>1672.9261363636363</v>
      </c>
      <c r="F27" s="699">
        <f>+E27*D27</f>
        <v>76118.139204545456</v>
      </c>
      <c r="G27" s="784"/>
    </row>
    <row r="28" spans="1:12" x14ac:dyDescent="0.55000000000000004">
      <c r="A28" s="1052"/>
      <c r="B28" s="1053"/>
      <c r="C28" s="1024"/>
      <c r="D28" s="1054"/>
      <c r="E28" s="1026"/>
      <c r="F28" s="1026"/>
      <c r="G28" s="784"/>
    </row>
    <row r="29" spans="1:12" x14ac:dyDescent="0.55000000000000004">
      <c r="A29" s="1052"/>
      <c r="B29" s="1053"/>
      <c r="C29" s="1024"/>
      <c r="D29" s="1054"/>
      <c r="E29" s="1026"/>
      <c r="F29" s="1026"/>
      <c r="G29" s="784"/>
    </row>
    <row r="30" spans="1:12" ht="14.7" thickBot="1" x14ac:dyDescent="0.6">
      <c r="A30" s="1055"/>
      <c r="B30" s="1056"/>
      <c r="C30" s="1056"/>
      <c r="D30" s="1056"/>
      <c r="E30" s="1056"/>
      <c r="F30" s="1057"/>
      <c r="G30" s="784"/>
    </row>
    <row r="31" spans="1:12" ht="14.7" thickBot="1" x14ac:dyDescent="0.6">
      <c r="A31" s="106"/>
      <c r="B31" s="106"/>
      <c r="C31" s="106"/>
      <c r="D31" s="106"/>
      <c r="E31" s="106"/>
      <c r="F31" s="116" t="s">
        <v>280</v>
      </c>
      <c r="G31" s="781">
        <f>+ROUND(SUM(F27:F30),0)</f>
        <v>76118</v>
      </c>
      <c r="K31" s="376"/>
      <c r="L31" s="550"/>
    </row>
    <row r="32" spans="1:12" ht="14.7" thickBot="1" x14ac:dyDescent="0.6">
      <c r="A32" s="109" t="s">
        <v>292</v>
      </c>
      <c r="B32" s="106"/>
      <c r="C32" s="106"/>
      <c r="D32" s="106"/>
      <c r="E32" s="106"/>
      <c r="F32" s="106"/>
      <c r="G32" s="782"/>
      <c r="L32" s="550"/>
    </row>
    <row r="33" spans="1:12" ht="15.75" customHeight="1" x14ac:dyDescent="0.55000000000000004">
      <c r="A33" s="122" t="s">
        <v>293</v>
      </c>
      <c r="B33" s="110" t="s">
        <v>294</v>
      </c>
      <c r="C33" s="110" t="s">
        <v>295</v>
      </c>
      <c r="D33" s="111" t="s">
        <v>296</v>
      </c>
      <c r="E33" s="123" t="s">
        <v>273</v>
      </c>
      <c r="F33" s="112" t="s">
        <v>274</v>
      </c>
      <c r="G33" s="783"/>
      <c r="L33" s="550"/>
    </row>
    <row r="34" spans="1:12" ht="15.75" customHeight="1" x14ac:dyDescent="0.55000000000000004">
      <c r="A34" s="1058" t="s">
        <v>297</v>
      </c>
      <c r="B34" s="1025">
        <f>+jornal</f>
        <v>43333.333333333336</v>
      </c>
      <c r="C34" s="1059">
        <v>1.85</v>
      </c>
      <c r="D34" s="1025">
        <f>+B34*1.85</f>
        <v>80166.666666666672</v>
      </c>
      <c r="E34" s="1026">
        <f>33*8</f>
        <v>264</v>
      </c>
      <c r="F34" s="1027">
        <f>+D34/E34</f>
        <v>303.66161616161617</v>
      </c>
      <c r="G34" s="784"/>
      <c r="L34" s="550"/>
    </row>
    <row r="35" spans="1:12" ht="15.75" customHeight="1" x14ac:dyDescent="0.55000000000000004">
      <c r="A35" s="1058" t="s">
        <v>298</v>
      </c>
      <c r="B35" s="1025">
        <f>+ofic</f>
        <v>73666.666666666672</v>
      </c>
      <c r="C35" s="1059">
        <v>1.85</v>
      </c>
      <c r="D35" s="1025">
        <f>+B35*1.85</f>
        <v>136283.33333333334</v>
      </c>
      <c r="E35" s="1026">
        <f>33*8</f>
        <v>264</v>
      </c>
      <c r="F35" s="1027">
        <f>+D35/E35</f>
        <v>516.22474747474746</v>
      </c>
      <c r="G35" s="784"/>
      <c r="I35" s="377"/>
      <c r="L35" s="550"/>
    </row>
    <row r="36" spans="1:12" ht="15.75" customHeight="1" x14ac:dyDescent="0.55000000000000004">
      <c r="A36" s="1058"/>
      <c r="B36" s="1060"/>
      <c r="C36" s="1059"/>
      <c r="D36" s="1034"/>
      <c r="E36" s="1026"/>
      <c r="F36" s="1045"/>
      <c r="G36" s="784"/>
      <c r="L36" s="550"/>
    </row>
    <row r="37" spans="1:12" ht="15.75" customHeight="1" x14ac:dyDescent="0.55000000000000004">
      <c r="A37" s="1058"/>
      <c r="B37" s="1034"/>
      <c r="C37" s="1024"/>
      <c r="D37" s="1034"/>
      <c r="E37" s="1026"/>
      <c r="F37" s="1045"/>
      <c r="G37" s="784"/>
      <c r="L37" s="550"/>
    </row>
    <row r="38" spans="1:12" ht="15.75" customHeight="1" x14ac:dyDescent="0.55000000000000004">
      <c r="A38" s="1058"/>
      <c r="B38" s="1034"/>
      <c r="C38" s="1024"/>
      <c r="D38" s="1034"/>
      <c r="E38" s="1026"/>
      <c r="F38" s="1045"/>
      <c r="G38" s="784"/>
      <c r="L38" s="550"/>
    </row>
    <row r="39" spans="1:12" ht="16.5" customHeight="1" thickBot="1" x14ac:dyDescent="0.6">
      <c r="A39" s="124"/>
      <c r="B39" s="120"/>
      <c r="C39" s="120"/>
      <c r="D39" s="120"/>
      <c r="E39" s="120"/>
      <c r="F39" s="119"/>
      <c r="G39" s="785"/>
      <c r="L39" s="550"/>
    </row>
    <row r="40" spans="1:12" ht="14.7" thickBot="1" x14ac:dyDescent="0.6">
      <c r="A40" s="106"/>
      <c r="B40" s="106"/>
      <c r="C40" s="106"/>
      <c r="D40" s="106"/>
      <c r="E40" s="106"/>
      <c r="F40" s="116" t="s">
        <v>280</v>
      </c>
      <c r="G40" s="781">
        <f>ROUND(SUM(F34:F39),0)</f>
        <v>820</v>
      </c>
      <c r="L40" s="550"/>
    </row>
    <row r="41" spans="1:12" ht="14.7" thickBot="1" x14ac:dyDescent="0.6">
      <c r="A41" s="106"/>
      <c r="B41" s="125"/>
      <c r="C41" s="106"/>
      <c r="D41" s="106"/>
      <c r="E41" s="106"/>
      <c r="F41" s="126"/>
      <c r="G41" s="782"/>
      <c r="L41" s="550"/>
    </row>
    <row r="42" spans="1:12" ht="14.7" thickBot="1" x14ac:dyDescent="0.6">
      <c r="A42" s="106"/>
      <c r="B42" s="106"/>
      <c r="C42" s="106"/>
      <c r="D42" s="127" t="s">
        <v>299</v>
      </c>
      <c r="E42" s="128"/>
      <c r="F42" s="128"/>
      <c r="G42" s="781">
        <f>SUM(G16:G40)</f>
        <v>166855</v>
      </c>
      <c r="L42" s="551"/>
    </row>
    <row r="43" spans="1:12" x14ac:dyDescent="0.55000000000000004">
      <c r="A43" s="106"/>
      <c r="B43" s="106"/>
      <c r="C43" s="106"/>
      <c r="D43" s="106"/>
      <c r="E43" s="106"/>
      <c r="F43" s="106"/>
      <c r="G43" s="782"/>
      <c r="L43" s="550"/>
    </row>
    <row r="44" spans="1:12" x14ac:dyDescent="0.55000000000000004">
      <c r="L44" s="550"/>
    </row>
  </sheetData>
  <mergeCells count="2">
    <mergeCell ref="A1:G1"/>
    <mergeCell ref="A2:G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48"/>
  <sheetViews>
    <sheetView topLeftCell="A43" workbookViewId="0">
      <selection activeCell="I31" sqref="I1:K1048576"/>
    </sheetView>
  </sheetViews>
  <sheetFormatPr baseColWidth="10" defaultColWidth="9.15625" defaultRowHeight="14.4" x14ac:dyDescent="0.55000000000000004"/>
  <cols>
    <col min="1" max="1" width="52.15625" bestFit="1" customWidth="1"/>
    <col min="2" max="2" width="12.578125" bestFit="1" customWidth="1"/>
    <col min="3" max="3" width="10" bestFit="1" customWidth="1"/>
    <col min="4" max="4" width="12.26171875" bestFit="1" customWidth="1"/>
    <col min="5" max="5" width="12.578125" bestFit="1" customWidth="1"/>
    <col min="6" max="6" width="14.578125" bestFit="1" customWidth="1"/>
    <col min="7" max="7" width="8.578125" bestFit="1" customWidth="1"/>
    <col min="9" max="9" width="27.26171875" bestFit="1" customWidth="1"/>
  </cols>
  <sheetData>
    <row r="1" spans="1:9" ht="45" customHeight="1" x14ac:dyDescent="0.55000000000000004">
      <c r="A1" s="154" t="s">
        <v>261</v>
      </c>
      <c r="B1" s="156"/>
      <c r="C1" s="1273" t="s">
        <v>0</v>
      </c>
      <c r="D1" s="1274"/>
      <c r="E1" s="1274"/>
      <c r="F1" s="1274"/>
      <c r="G1" s="1275"/>
    </row>
    <row r="2" spans="1:9" x14ac:dyDescent="0.55000000000000004">
      <c r="A2" s="157"/>
      <c r="B2" s="158"/>
      <c r="C2" s="160"/>
      <c r="D2" s="161"/>
      <c r="E2" s="161"/>
      <c r="F2" s="161"/>
      <c r="G2" s="162"/>
    </row>
    <row r="3" spans="1:9" ht="14.7" thickBot="1" x14ac:dyDescent="0.6">
      <c r="A3" s="1061"/>
      <c r="B3" s="1062"/>
      <c r="C3" s="1063"/>
      <c r="D3" s="954"/>
      <c r="E3" s="954"/>
      <c r="F3" s="954"/>
      <c r="G3" s="955"/>
    </row>
    <row r="4" spans="1:9" x14ac:dyDescent="0.55000000000000004">
      <c r="A4" s="105"/>
      <c r="B4" s="106"/>
      <c r="C4" s="106"/>
      <c r="D4" s="106"/>
      <c r="E4" s="106"/>
      <c r="F4" s="106"/>
      <c r="G4" s="106"/>
    </row>
    <row r="5" spans="1:9" x14ac:dyDescent="0.55000000000000004">
      <c r="A5" s="105" t="s">
        <v>300</v>
      </c>
      <c r="B5" s="106"/>
      <c r="C5" s="44"/>
      <c r="D5" s="107" t="s">
        <v>264</v>
      </c>
      <c r="E5" s="116" t="s">
        <v>28</v>
      </c>
      <c r="F5" s="108" t="s">
        <v>265</v>
      </c>
      <c r="G5" s="126" t="s">
        <v>29</v>
      </c>
    </row>
    <row r="6" spans="1:9" x14ac:dyDescent="0.55000000000000004">
      <c r="A6" s="105" t="s">
        <v>301</v>
      </c>
      <c r="B6" s="106"/>
      <c r="C6" s="108"/>
      <c r="D6" s="108"/>
      <c r="E6" s="108"/>
      <c r="F6" s="108" t="s">
        <v>268</v>
      </c>
      <c r="G6" s="126" t="s">
        <v>22</v>
      </c>
      <c r="I6" s="44"/>
    </row>
    <row r="7" spans="1:9" x14ac:dyDescent="0.55000000000000004">
      <c r="A7" s="108"/>
      <c r="B7" s="106"/>
      <c r="C7" s="108"/>
      <c r="D7" s="108"/>
      <c r="E7" s="108"/>
      <c r="F7" s="108"/>
      <c r="G7" s="106"/>
    </row>
    <row r="8" spans="1:9" ht="14.7" thickBot="1" x14ac:dyDescent="0.6">
      <c r="A8" s="109" t="s">
        <v>269</v>
      </c>
      <c r="B8" s="106"/>
      <c r="C8" s="106"/>
      <c r="D8" s="106"/>
      <c r="E8" s="106"/>
      <c r="F8" s="106"/>
      <c r="G8" s="106"/>
    </row>
    <row r="9" spans="1:9" x14ac:dyDescent="0.55000000000000004">
      <c r="A9" s="159" t="s">
        <v>270</v>
      </c>
      <c r="B9" s="110"/>
      <c r="C9" s="110" t="s">
        <v>271</v>
      </c>
      <c r="D9" s="111" t="s">
        <v>272</v>
      </c>
      <c r="E9" s="110" t="s">
        <v>273</v>
      </c>
      <c r="F9" s="112" t="s">
        <v>274</v>
      </c>
      <c r="G9" s="113"/>
    </row>
    <row r="10" spans="1:9" x14ac:dyDescent="0.55000000000000004">
      <c r="A10" s="1028" t="s">
        <v>302</v>
      </c>
      <c r="B10" s="1029"/>
      <c r="C10" s="1024"/>
      <c r="D10" s="1025">
        <f>+'equipos y transporte'!E8</f>
        <v>105761.25</v>
      </c>
      <c r="E10" s="1026">
        <v>33</v>
      </c>
      <c r="F10" s="1025">
        <f>+D10/E10</f>
        <v>3204.8863636363635</v>
      </c>
      <c r="G10" s="114"/>
    </row>
    <row r="11" spans="1:9" x14ac:dyDescent="0.55000000000000004">
      <c r="A11" s="1028" t="s">
        <v>303</v>
      </c>
      <c r="B11" s="1029"/>
      <c r="C11" s="1030"/>
      <c r="D11" s="1031">
        <f>+'equipos y transporte'!E19</f>
        <v>334687.5</v>
      </c>
      <c r="E11" s="1026">
        <v>33</v>
      </c>
      <c r="F11" s="1031">
        <f>+D11/E11</f>
        <v>10142.045454545454</v>
      </c>
      <c r="G11" s="114"/>
    </row>
    <row r="12" spans="1:9" x14ac:dyDescent="0.55000000000000004">
      <c r="A12" s="1028" t="s">
        <v>304</v>
      </c>
      <c r="B12" s="1029"/>
      <c r="C12" s="1030"/>
      <c r="D12" s="1031">
        <f>+'equipos y transporte'!E25</f>
        <v>166005</v>
      </c>
      <c r="E12" s="1026">
        <v>33</v>
      </c>
      <c r="F12" s="1031">
        <f>+D12/E12</f>
        <v>5030.454545454545</v>
      </c>
      <c r="G12" s="114"/>
    </row>
    <row r="13" spans="1:9" x14ac:dyDescent="0.55000000000000004">
      <c r="A13" s="1028" t="s">
        <v>305</v>
      </c>
      <c r="B13" s="1029"/>
      <c r="C13" s="1030"/>
      <c r="D13" s="1034"/>
      <c r="E13" s="1026"/>
      <c r="F13" s="1025">
        <f>+G41*1%</f>
        <v>11.24</v>
      </c>
      <c r="G13" s="114"/>
    </row>
    <row r="14" spans="1:9" x14ac:dyDescent="0.55000000000000004">
      <c r="A14" s="1028"/>
      <c r="B14" s="1029"/>
      <c r="C14" s="1024"/>
      <c r="D14" s="1034"/>
      <c r="E14" s="1026"/>
      <c r="F14" s="1045"/>
      <c r="G14" s="114"/>
    </row>
    <row r="15" spans="1:9" x14ac:dyDescent="0.55000000000000004">
      <c r="A15" s="1028"/>
      <c r="B15" s="1029"/>
      <c r="C15" s="1030"/>
      <c r="D15" s="1035"/>
      <c r="E15" s="1026"/>
      <c r="F15" s="1045"/>
      <c r="G15" s="114"/>
    </row>
    <row r="16" spans="1:9" ht="14.7" thickBot="1" x14ac:dyDescent="0.6">
      <c r="A16" s="1037"/>
      <c r="B16" s="1038"/>
      <c r="C16" s="1039"/>
      <c r="D16" s="1040"/>
      <c r="E16" s="1041"/>
      <c r="F16" s="1048"/>
      <c r="G16" s="115"/>
    </row>
    <row r="17" spans="1:11" ht="14.7" thickBot="1" x14ac:dyDescent="0.6">
      <c r="A17" s="106"/>
      <c r="B17" s="106"/>
      <c r="C17" s="106"/>
      <c r="D17" s="106"/>
      <c r="E17" s="106"/>
      <c r="F17" s="116" t="s">
        <v>280</v>
      </c>
      <c r="G17" s="130">
        <f>ROUND(SUM(F10:F16),0)</f>
        <v>18389</v>
      </c>
      <c r="K17" s="378"/>
    </row>
    <row r="18" spans="1:11" ht="14.7" thickBot="1" x14ac:dyDescent="0.6">
      <c r="A18" s="109" t="s">
        <v>281</v>
      </c>
      <c r="B18" s="106"/>
      <c r="C18" s="106"/>
      <c r="D18" s="106"/>
      <c r="E18" s="106"/>
      <c r="F18" s="106"/>
      <c r="G18" s="106"/>
    </row>
    <row r="19" spans="1:11" x14ac:dyDescent="0.55000000000000004">
      <c r="A19" s="117" t="s">
        <v>270</v>
      </c>
      <c r="B19" s="118"/>
      <c r="C19" s="110" t="s">
        <v>282</v>
      </c>
      <c r="D19" s="110" t="s">
        <v>283</v>
      </c>
      <c r="E19" s="110" t="s">
        <v>284</v>
      </c>
      <c r="F19" s="112" t="s">
        <v>274</v>
      </c>
      <c r="G19" s="113"/>
    </row>
    <row r="20" spans="1:11" x14ac:dyDescent="0.55000000000000004">
      <c r="A20" s="1046" t="s">
        <v>306</v>
      </c>
      <c r="B20" s="1043"/>
      <c r="C20" s="1024" t="s">
        <v>22</v>
      </c>
      <c r="D20" s="1064">
        <f>+insumos!E25</f>
        <v>77112</v>
      </c>
      <c r="E20" s="1026">
        <v>1.3</v>
      </c>
      <c r="F20" s="1065">
        <f>+D20*E20</f>
        <v>100245.6</v>
      </c>
      <c r="G20" s="114"/>
    </row>
    <row r="21" spans="1:11" x14ac:dyDescent="0.55000000000000004">
      <c r="A21" s="1046" t="s">
        <v>307</v>
      </c>
      <c r="B21" s="1043"/>
      <c r="C21" s="1024" t="s">
        <v>308</v>
      </c>
      <c r="D21" s="1064">
        <f>+insumos!E5</f>
        <v>111.37500000000001</v>
      </c>
      <c r="E21" s="1026">
        <v>24</v>
      </c>
      <c r="F21" s="1065">
        <f>+D21*E21</f>
        <v>2673.0000000000005</v>
      </c>
      <c r="G21" s="114"/>
    </row>
    <row r="22" spans="1:11" x14ac:dyDescent="0.55000000000000004">
      <c r="A22" s="1046"/>
      <c r="B22" s="1043"/>
      <c r="C22" s="1024"/>
      <c r="D22" s="1034"/>
      <c r="E22" s="1044"/>
      <c r="F22" s="1045"/>
      <c r="G22" s="114"/>
    </row>
    <row r="23" spans="1:11" x14ac:dyDescent="0.55000000000000004">
      <c r="A23" s="1046"/>
      <c r="B23" s="1043"/>
      <c r="C23" s="1024"/>
      <c r="D23" s="1034"/>
      <c r="E23" s="1044"/>
      <c r="F23" s="1045"/>
      <c r="G23" s="114"/>
    </row>
    <row r="24" spans="1:11" ht="14.7" thickBot="1" x14ac:dyDescent="0.6">
      <c r="A24" s="1047"/>
      <c r="B24" s="120"/>
      <c r="C24" s="1039"/>
      <c r="D24" s="1040"/>
      <c r="E24" s="1041"/>
      <c r="F24" s="1048"/>
      <c r="G24" s="115"/>
    </row>
    <row r="25" spans="1:11" ht="14.7" thickBot="1" x14ac:dyDescent="0.6">
      <c r="A25" s="106"/>
      <c r="B25" s="106"/>
      <c r="C25" s="106"/>
      <c r="D25" s="106"/>
      <c r="E25" s="106"/>
      <c r="F25" s="116" t="s">
        <v>280</v>
      </c>
      <c r="G25" s="130">
        <f>ROUND(SUM(F20:F24),0)</f>
        <v>102919</v>
      </c>
    </row>
    <row r="26" spans="1:11" ht="14.7" thickBot="1" x14ac:dyDescent="0.6">
      <c r="A26" s="109" t="s">
        <v>285</v>
      </c>
      <c r="B26" s="106"/>
      <c r="C26" s="106"/>
      <c r="D26" s="106"/>
      <c r="E26" s="106"/>
      <c r="F26" s="106"/>
      <c r="G26" s="106"/>
    </row>
    <row r="27" spans="1:11" x14ac:dyDescent="0.55000000000000004">
      <c r="A27" s="159" t="s">
        <v>286</v>
      </c>
      <c r="B27" s="110" t="s">
        <v>287</v>
      </c>
      <c r="C27" s="110" t="s">
        <v>288</v>
      </c>
      <c r="D27" s="110" t="s">
        <v>289</v>
      </c>
      <c r="E27" s="110" t="s">
        <v>290</v>
      </c>
      <c r="F27" s="121" t="s">
        <v>274</v>
      </c>
      <c r="G27" s="113"/>
    </row>
    <row r="28" spans="1:11" x14ac:dyDescent="0.55000000000000004">
      <c r="A28" s="1028" t="s">
        <v>309</v>
      </c>
      <c r="B28" s="1066">
        <v>1.3</v>
      </c>
      <c r="C28" s="1066">
        <f>+cantera</f>
        <v>35</v>
      </c>
      <c r="D28" s="1066">
        <f>+B28*C28</f>
        <v>45.5</v>
      </c>
      <c r="E28" s="1064">
        <f>+'equipos y transporte'!E29</f>
        <v>1672.9261363636363</v>
      </c>
      <c r="F28" s="1025">
        <f>+E28*D28</f>
        <v>76118.139204545456</v>
      </c>
      <c r="G28" s="114"/>
    </row>
    <row r="29" spans="1:11" x14ac:dyDescent="0.55000000000000004">
      <c r="A29" s="1052"/>
      <c r="B29" s="1053"/>
      <c r="C29" s="1024"/>
      <c r="D29" s="1054"/>
      <c r="E29" s="1026"/>
      <c r="F29" s="1026"/>
      <c r="G29" s="114"/>
    </row>
    <row r="30" spans="1:11" x14ac:dyDescent="0.55000000000000004">
      <c r="A30" s="1052"/>
      <c r="B30" s="1053"/>
      <c r="C30" s="1024"/>
      <c r="D30" s="1054"/>
      <c r="E30" s="1026"/>
      <c r="F30" s="1026"/>
      <c r="G30" s="114"/>
    </row>
    <row r="31" spans="1:11" ht="14.7" thickBot="1" x14ac:dyDescent="0.6">
      <c r="A31" s="1055"/>
      <c r="B31" s="1056"/>
      <c r="C31" s="1056"/>
      <c r="D31" s="1056"/>
      <c r="E31" s="1056"/>
      <c r="F31" s="1057"/>
      <c r="G31" s="114"/>
    </row>
    <row r="32" spans="1:11" ht="14.7" thickBot="1" x14ac:dyDescent="0.6">
      <c r="A32" s="106"/>
      <c r="B32" s="106"/>
      <c r="C32" s="106"/>
      <c r="D32" s="106"/>
      <c r="E32" s="106"/>
      <c r="F32" s="116" t="s">
        <v>280</v>
      </c>
      <c r="G32" s="130">
        <f>ROUND(SUM(F28:F31),0)</f>
        <v>76118</v>
      </c>
    </row>
    <row r="33" spans="1:7" ht="14.7" thickBot="1" x14ac:dyDescent="0.6">
      <c r="A33" s="109" t="s">
        <v>292</v>
      </c>
      <c r="B33" s="106"/>
      <c r="C33" s="106"/>
      <c r="D33" s="106"/>
      <c r="E33" s="106"/>
      <c r="F33" s="106"/>
      <c r="G33" s="106"/>
    </row>
    <row r="34" spans="1:7" x14ac:dyDescent="0.55000000000000004">
      <c r="A34" s="122" t="s">
        <v>293</v>
      </c>
      <c r="B34" s="110" t="s">
        <v>294</v>
      </c>
      <c r="C34" s="110" t="s">
        <v>295</v>
      </c>
      <c r="D34" s="111" t="s">
        <v>296</v>
      </c>
      <c r="E34" s="123" t="s">
        <v>273</v>
      </c>
      <c r="F34" s="112" t="s">
        <v>274</v>
      </c>
      <c r="G34" s="113"/>
    </row>
    <row r="35" spans="1:7" x14ac:dyDescent="0.55000000000000004">
      <c r="A35" s="1058" t="s">
        <v>310</v>
      </c>
      <c r="B35" s="1025">
        <f>+jornal*2</f>
        <v>86666.666666666672</v>
      </c>
      <c r="C35" s="1059">
        <v>1.85</v>
      </c>
      <c r="D35" s="1025">
        <f>+B35*1.85</f>
        <v>160333.33333333334</v>
      </c>
      <c r="E35" s="1026">
        <f>+E10*8</f>
        <v>264</v>
      </c>
      <c r="F35" s="1027">
        <f>+D35/E35</f>
        <v>607.32323232323233</v>
      </c>
      <c r="G35" s="114"/>
    </row>
    <row r="36" spans="1:7" x14ac:dyDescent="0.55000000000000004">
      <c r="A36" s="1058" t="s">
        <v>311</v>
      </c>
      <c r="B36" s="1025">
        <f>+ofic</f>
        <v>73666.666666666672</v>
      </c>
      <c r="C36" s="1059">
        <v>1.85</v>
      </c>
      <c r="D36" s="1025">
        <f>+B36*1.85</f>
        <v>136283.33333333334</v>
      </c>
      <c r="E36" s="1026">
        <f>+E11*8</f>
        <v>264</v>
      </c>
      <c r="F36" s="1027">
        <f>+D36/E36</f>
        <v>516.22474747474746</v>
      </c>
      <c r="G36" s="114"/>
    </row>
    <row r="37" spans="1:7" x14ac:dyDescent="0.55000000000000004">
      <c r="A37" s="1058"/>
      <c r="B37" s="1060"/>
      <c r="C37" s="1059"/>
      <c r="D37" s="1034"/>
      <c r="E37" s="1026"/>
      <c r="F37" s="1045"/>
      <c r="G37" s="114"/>
    </row>
    <row r="38" spans="1:7" x14ac:dyDescent="0.55000000000000004">
      <c r="A38" s="1058"/>
      <c r="B38" s="1034"/>
      <c r="C38" s="1024"/>
      <c r="D38" s="1034"/>
      <c r="E38" s="1026"/>
      <c r="F38" s="1045"/>
      <c r="G38" s="114"/>
    </row>
    <row r="39" spans="1:7" x14ac:dyDescent="0.55000000000000004">
      <c r="A39" s="1058"/>
      <c r="B39" s="1034"/>
      <c r="C39" s="1024"/>
      <c r="D39" s="1034"/>
      <c r="E39" s="1026"/>
      <c r="F39" s="1045"/>
      <c r="G39" s="114"/>
    </row>
    <row r="40" spans="1:7" ht="14.7" thickBot="1" x14ac:dyDescent="0.6">
      <c r="A40" s="124"/>
      <c r="B40" s="120"/>
      <c r="C40" s="120"/>
      <c r="D40" s="120"/>
      <c r="E40" s="120"/>
      <c r="F40" s="119"/>
      <c r="G40" s="115"/>
    </row>
    <row r="41" spans="1:7" ht="14.7" thickBot="1" x14ac:dyDescent="0.6">
      <c r="A41" s="106"/>
      <c r="B41" s="106"/>
      <c r="C41" s="106"/>
      <c r="D41" s="106"/>
      <c r="E41" s="106"/>
      <c r="F41" s="116" t="s">
        <v>280</v>
      </c>
      <c r="G41" s="130">
        <f>ROUND(SUM(F35:F40),0)</f>
        <v>1124</v>
      </c>
    </row>
    <row r="42" spans="1:7" ht="14.7" thickBot="1" x14ac:dyDescent="0.6">
      <c r="A42" s="106"/>
      <c r="B42" s="106"/>
      <c r="C42" s="106"/>
      <c r="D42" s="106"/>
      <c r="E42" s="106"/>
      <c r="F42" s="126"/>
      <c r="G42" s="106"/>
    </row>
    <row r="43" spans="1:7" ht="14.7" thickBot="1" x14ac:dyDescent="0.6">
      <c r="A43" s="106"/>
      <c r="B43" s="106"/>
      <c r="C43" s="106"/>
      <c r="D43" s="127" t="s">
        <v>299</v>
      </c>
      <c r="E43" s="128"/>
      <c r="F43" s="128"/>
      <c r="G43" s="130">
        <f>G17+G25+G32+G41</f>
        <v>198550</v>
      </c>
    </row>
    <row r="44" spans="1:7" x14ac:dyDescent="0.55000000000000004">
      <c r="A44" s="106"/>
      <c r="B44" s="106"/>
      <c r="C44" s="106"/>
      <c r="D44" s="106"/>
      <c r="E44" s="106"/>
      <c r="F44" s="106"/>
      <c r="G44" s="106"/>
    </row>
    <row r="46" spans="1:7" x14ac:dyDescent="0.55000000000000004">
      <c r="D46" s="1067" t="s">
        <v>312</v>
      </c>
      <c r="E46" s="1068" t="s">
        <v>313</v>
      </c>
    </row>
    <row r="47" spans="1:7" x14ac:dyDescent="0.55000000000000004">
      <c r="D47" s="1067"/>
      <c r="E47" s="1068"/>
    </row>
    <row r="48" spans="1:7" ht="14.7" thickBot="1" x14ac:dyDescent="0.6">
      <c r="D48" s="1069"/>
      <c r="E48" s="1070"/>
    </row>
  </sheetData>
  <mergeCells count="1">
    <mergeCell ref="C1:G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45"/>
  <sheetViews>
    <sheetView workbookViewId="0"/>
  </sheetViews>
  <sheetFormatPr baseColWidth="10" defaultColWidth="9.15625" defaultRowHeight="14.4" x14ac:dyDescent="0.55000000000000004"/>
  <cols>
    <col min="1" max="1" width="53" bestFit="1" customWidth="1"/>
    <col min="2" max="2" width="12.578125" bestFit="1" customWidth="1"/>
    <col min="3" max="3" width="10" bestFit="1" customWidth="1"/>
    <col min="4" max="4" width="9.83984375" bestFit="1" customWidth="1"/>
    <col min="5" max="5" width="9.26171875" bestFit="1" customWidth="1"/>
    <col min="6" max="6" width="14.578125" bestFit="1" customWidth="1"/>
    <col min="7" max="7" width="10.83984375" customWidth="1"/>
    <col min="11" max="11" width="13" bestFit="1" customWidth="1"/>
  </cols>
  <sheetData>
    <row r="1" spans="1:11" ht="44.25" customHeight="1" thickBot="1" x14ac:dyDescent="0.6">
      <c r="A1" s="306" t="s">
        <v>261</v>
      </c>
      <c r="B1" s="1276" t="s">
        <v>0</v>
      </c>
      <c r="C1" s="1276"/>
      <c r="D1" s="1276"/>
      <c r="E1" s="1276"/>
      <c r="F1" s="1276"/>
      <c r="G1" s="1277"/>
    </row>
    <row r="2" spans="1:11" x14ac:dyDescent="0.55000000000000004">
      <c r="A2" s="2"/>
      <c r="B2" s="1"/>
      <c r="C2" s="1"/>
      <c r="D2" s="1"/>
      <c r="E2" s="1"/>
      <c r="F2" s="1"/>
      <c r="G2" s="1"/>
    </row>
    <row r="3" spans="1:11" x14ac:dyDescent="0.55000000000000004">
      <c r="A3" s="1278" t="s">
        <v>314</v>
      </c>
      <c r="B3" s="1278"/>
      <c r="D3" s="4" t="s">
        <v>264</v>
      </c>
      <c r="E3" s="12">
        <v>500.1</v>
      </c>
      <c r="F3" s="3" t="s">
        <v>265</v>
      </c>
      <c r="G3" s="24" t="s">
        <v>33</v>
      </c>
    </row>
    <row r="4" spans="1:11" x14ac:dyDescent="0.55000000000000004">
      <c r="A4" s="1278" t="s">
        <v>315</v>
      </c>
      <c r="B4" s="1278"/>
      <c r="C4" s="3"/>
      <c r="D4" s="3"/>
      <c r="E4" s="3"/>
      <c r="F4" s="3" t="s">
        <v>268</v>
      </c>
      <c r="G4" s="24" t="s">
        <v>22</v>
      </c>
    </row>
    <row r="5" spans="1:11" x14ac:dyDescent="0.55000000000000004">
      <c r="A5" s="3"/>
      <c r="B5" s="1"/>
      <c r="C5" s="3"/>
      <c r="D5" s="3"/>
      <c r="E5" s="3"/>
      <c r="F5" s="3"/>
      <c r="G5" s="1"/>
    </row>
    <row r="6" spans="1:11" ht="14.7" thickBot="1" x14ac:dyDescent="0.6">
      <c r="A6" s="5" t="s">
        <v>269</v>
      </c>
      <c r="B6" s="1"/>
      <c r="C6" s="1"/>
      <c r="D6" s="1"/>
      <c r="E6" s="1"/>
      <c r="F6" s="1"/>
      <c r="G6" s="1"/>
    </row>
    <row r="7" spans="1:11" x14ac:dyDescent="0.55000000000000004">
      <c r="A7" s="163" t="s">
        <v>270</v>
      </c>
      <c r="B7" s="6"/>
      <c r="C7" s="6" t="s">
        <v>271</v>
      </c>
      <c r="D7" s="7" t="s">
        <v>272</v>
      </c>
      <c r="E7" s="6" t="s">
        <v>273</v>
      </c>
      <c r="F7" s="8" t="s">
        <v>274</v>
      </c>
      <c r="G7" s="9"/>
    </row>
    <row r="8" spans="1:11" x14ac:dyDescent="0.55000000000000004">
      <c r="A8" s="1049" t="s">
        <v>316</v>
      </c>
      <c r="B8" s="1071"/>
      <c r="C8" s="1072"/>
      <c r="D8" s="699">
        <f>+'equipos y transporte'!E5</f>
        <v>3320.1</v>
      </c>
      <c r="E8" s="700">
        <f>5.25/8*7</f>
        <v>4.59375</v>
      </c>
      <c r="F8" s="1073">
        <f>+D8/E8</f>
        <v>722.74285714285713</v>
      </c>
      <c r="G8" s="10"/>
    </row>
    <row r="9" spans="1:11" x14ac:dyDescent="0.55000000000000004">
      <c r="A9" s="1049" t="s">
        <v>317</v>
      </c>
      <c r="B9" s="1071"/>
      <c r="C9" s="1074"/>
      <c r="D9" s="1075">
        <f>+'equipos y transporte'!E12</f>
        <v>100406.25</v>
      </c>
      <c r="E9" s="698">
        <f>5*7</f>
        <v>35</v>
      </c>
      <c r="F9" s="1073">
        <f>+D9/E9</f>
        <v>2868.75</v>
      </c>
      <c r="G9" s="10"/>
    </row>
    <row r="10" spans="1:11" ht="31.8" x14ac:dyDescent="0.55000000000000004">
      <c r="A10" s="1076" t="s">
        <v>318</v>
      </c>
      <c r="B10" s="1077"/>
      <c r="C10" s="1074"/>
      <c r="D10" s="699">
        <f>+'equipos y transporte'!E14</f>
        <v>27042.75</v>
      </c>
      <c r="E10" s="700">
        <f>3.75/8*7</f>
        <v>3.28125</v>
      </c>
      <c r="F10" s="1073">
        <f t="shared" ref="F10:F13" si="0">+D10/E10</f>
        <v>8241.6</v>
      </c>
      <c r="G10" s="10"/>
    </row>
    <row r="11" spans="1:11" x14ac:dyDescent="0.55000000000000004">
      <c r="A11" s="1049" t="s">
        <v>319</v>
      </c>
      <c r="B11" s="1071"/>
      <c r="C11" s="1074"/>
      <c r="D11" s="699">
        <f>+'equipos y transporte'!E17</f>
        <v>15592.500000000002</v>
      </c>
      <c r="E11" s="700">
        <f>5.25/8*7</f>
        <v>4.59375</v>
      </c>
      <c r="F11" s="1073">
        <f>+D11/E11</f>
        <v>3394.2857142857147</v>
      </c>
      <c r="G11" s="10"/>
    </row>
    <row r="12" spans="1:11" x14ac:dyDescent="0.55000000000000004">
      <c r="A12" s="1049" t="s">
        <v>320</v>
      </c>
      <c r="B12" s="1071"/>
      <c r="C12" s="1074"/>
      <c r="D12" s="699">
        <f>+'equipos y transporte'!E20</f>
        <v>17637.210037846122</v>
      </c>
      <c r="E12" s="700">
        <f t="shared" ref="E12:E13" si="1">5.25/8*7</f>
        <v>4.59375</v>
      </c>
      <c r="F12" s="1073">
        <f t="shared" si="0"/>
        <v>3839.3926612998362</v>
      </c>
      <c r="G12" s="10"/>
    </row>
    <row r="13" spans="1:11" x14ac:dyDescent="0.55000000000000004">
      <c r="A13" s="1049" t="s">
        <v>321</v>
      </c>
      <c r="B13" s="1071"/>
      <c r="C13" s="1074"/>
      <c r="D13" s="699">
        <f>+'equipos y transporte'!E24</f>
        <v>9103.5</v>
      </c>
      <c r="E13" s="700">
        <f t="shared" si="1"/>
        <v>4.59375</v>
      </c>
      <c r="F13" s="1073">
        <f t="shared" si="0"/>
        <v>1981.7142857142858</v>
      </c>
      <c r="G13" s="10"/>
    </row>
    <row r="14" spans="1:11" x14ac:dyDescent="0.55000000000000004">
      <c r="A14" s="1049" t="s">
        <v>322</v>
      </c>
      <c r="B14" s="1071"/>
      <c r="C14" s="1074"/>
      <c r="D14" s="1078"/>
      <c r="E14" s="698"/>
      <c r="F14" s="1073">
        <f>+G42*10%</f>
        <v>9963.6</v>
      </c>
      <c r="G14" s="10"/>
    </row>
    <row r="15" spans="1:11" ht="14.7" thickBot="1" x14ac:dyDescent="0.6">
      <c r="A15" s="1079"/>
      <c r="B15" s="1080"/>
      <c r="C15" s="1081"/>
      <c r="D15" s="1082"/>
      <c r="E15" s="1083"/>
      <c r="F15" s="1084"/>
      <c r="G15" s="11"/>
    </row>
    <row r="16" spans="1:11" ht="14.7" thickBot="1" x14ac:dyDescent="0.6">
      <c r="A16" s="1"/>
      <c r="B16" s="1"/>
      <c r="C16" s="1"/>
      <c r="D16" s="1"/>
      <c r="E16" s="1"/>
      <c r="F16" s="12" t="s">
        <v>280</v>
      </c>
      <c r="G16" s="131">
        <f>ROUND(SUM(F8:F15),0)</f>
        <v>31012</v>
      </c>
      <c r="K16" s="366"/>
    </row>
    <row r="17" spans="1:7" ht="14.7" thickBot="1" x14ac:dyDescent="0.6">
      <c r="A17" s="5" t="s">
        <v>281</v>
      </c>
      <c r="B17" s="1"/>
      <c r="C17" s="1"/>
      <c r="D17" s="1"/>
      <c r="E17" s="1"/>
      <c r="F17" s="1"/>
      <c r="G17" s="1"/>
    </row>
    <row r="18" spans="1:7" x14ac:dyDescent="0.55000000000000004">
      <c r="A18" s="13" t="s">
        <v>270</v>
      </c>
      <c r="B18" s="14"/>
      <c r="C18" s="6" t="s">
        <v>282</v>
      </c>
      <c r="D18" s="6" t="s">
        <v>283</v>
      </c>
      <c r="E18" s="6" t="s">
        <v>284</v>
      </c>
      <c r="F18" s="17" t="s">
        <v>274</v>
      </c>
      <c r="G18" s="9"/>
    </row>
    <row r="19" spans="1:7" x14ac:dyDescent="0.55000000000000004">
      <c r="A19" s="693" t="s">
        <v>323</v>
      </c>
      <c r="B19" s="694"/>
      <c r="C19" s="27" t="s">
        <v>46</v>
      </c>
      <c r="D19" s="695">
        <f>+insumos!E3</f>
        <v>6171.4922727272715</v>
      </c>
      <c r="E19" s="696">
        <f>ROUND(+(18*3.87*0.35)*1.03/1.49,2)</f>
        <v>16.850000000000001</v>
      </c>
      <c r="F19" s="697">
        <f>+D19*E19</f>
        <v>103989.64479545453</v>
      </c>
      <c r="G19" s="10"/>
    </row>
    <row r="20" spans="1:7" x14ac:dyDescent="0.55000000000000004">
      <c r="A20" s="693" t="s">
        <v>324</v>
      </c>
      <c r="B20" s="694"/>
      <c r="C20" s="27" t="s">
        <v>46</v>
      </c>
      <c r="D20" s="695">
        <f>+insumos!E3</f>
        <v>6171.4922727272715</v>
      </c>
      <c r="E20" s="698">
        <f>(8*1.2*1.03)/1.49</f>
        <v>6.6362416107382547</v>
      </c>
      <c r="F20" s="697">
        <f>+D20*E20</f>
        <v>40955.51382062232</v>
      </c>
      <c r="G20" s="10"/>
    </row>
    <row r="21" spans="1:7" x14ac:dyDescent="0.55000000000000004">
      <c r="A21" s="693" t="s">
        <v>325</v>
      </c>
      <c r="B21" s="694"/>
      <c r="C21" s="27" t="s">
        <v>50</v>
      </c>
      <c r="D21" s="699">
        <f>+insumos!E13</f>
        <v>1584.5986864075537</v>
      </c>
      <c r="E21" s="700">
        <f>11.4/1.49</f>
        <v>7.651006711409396</v>
      </c>
      <c r="F21" s="697">
        <f t="shared" ref="F21:F24" si="2">+D21*E21</f>
        <v>12123.775184594706</v>
      </c>
      <c r="G21" s="10"/>
    </row>
    <row r="22" spans="1:7" x14ac:dyDescent="0.55000000000000004">
      <c r="A22" s="693" t="s">
        <v>326</v>
      </c>
      <c r="B22" s="694"/>
      <c r="C22" s="27" t="s">
        <v>50</v>
      </c>
      <c r="D22" s="699">
        <f>+insumos!E32</f>
        <v>11502.129202252665</v>
      </c>
      <c r="E22" s="700">
        <f>11.4/1.49</f>
        <v>7.651006711409396</v>
      </c>
      <c r="F22" s="697">
        <f t="shared" si="2"/>
        <v>88002.867721933144</v>
      </c>
      <c r="G22" s="10"/>
    </row>
    <row r="23" spans="1:7" x14ac:dyDescent="0.55000000000000004">
      <c r="A23" s="693" t="s">
        <v>327</v>
      </c>
      <c r="B23" s="694"/>
      <c r="C23" s="701" t="s">
        <v>46</v>
      </c>
      <c r="D23" s="699">
        <f>+insumos!E7</f>
        <v>29122.537499999999</v>
      </c>
      <c r="E23" s="698">
        <v>2.15</v>
      </c>
      <c r="F23" s="697">
        <f t="shared" si="2"/>
        <v>62613.455624999995</v>
      </c>
      <c r="G23" s="10"/>
    </row>
    <row r="24" spans="1:7" x14ac:dyDescent="0.55000000000000004">
      <c r="A24" s="693" t="s">
        <v>328</v>
      </c>
      <c r="B24" s="694"/>
      <c r="C24" s="701" t="s">
        <v>22</v>
      </c>
      <c r="D24" s="699">
        <f>+insumos!E14</f>
        <v>699527</v>
      </c>
      <c r="E24" s="698">
        <v>1.0103</v>
      </c>
      <c r="F24" s="697">
        <f t="shared" si="2"/>
        <v>706732.12809999997</v>
      </c>
      <c r="G24" s="10"/>
    </row>
    <row r="25" spans="1:7" ht="14.7" thickBot="1" x14ac:dyDescent="0.6">
      <c r="A25" s="702" t="s">
        <v>329</v>
      </c>
      <c r="B25" s="16"/>
      <c r="C25" s="1081" t="s">
        <v>22</v>
      </c>
      <c r="D25" s="1085">
        <f>+Canastilla!H37</f>
        <v>44131.678474158347</v>
      </c>
      <c r="E25" s="1083">
        <v>1.34</v>
      </c>
      <c r="F25" s="1086">
        <f>+D25*E25</f>
        <v>59136.449155372189</v>
      </c>
      <c r="G25" s="11"/>
    </row>
    <row r="26" spans="1:7" ht="14.7" thickBot="1" x14ac:dyDescent="0.6">
      <c r="A26" s="1"/>
      <c r="B26" s="1"/>
      <c r="C26" s="1"/>
      <c r="D26" s="1"/>
      <c r="E26" s="1"/>
      <c r="F26" s="12" t="s">
        <v>280</v>
      </c>
      <c r="G26" s="131">
        <f>ROUND(SUM(F19:F25),0)</f>
        <v>1073554</v>
      </c>
    </row>
    <row r="27" spans="1:7" ht="14.7" thickBot="1" x14ac:dyDescent="0.6">
      <c r="A27" s="5" t="s">
        <v>285</v>
      </c>
      <c r="B27" s="1"/>
      <c r="C27" s="1"/>
      <c r="D27" s="1"/>
      <c r="E27" s="1"/>
      <c r="F27" s="1"/>
      <c r="G27" s="1"/>
    </row>
    <row r="28" spans="1:7" x14ac:dyDescent="0.55000000000000004">
      <c r="A28" s="163" t="s">
        <v>286</v>
      </c>
      <c r="B28" s="6" t="s">
        <v>287</v>
      </c>
      <c r="C28" s="6" t="s">
        <v>288</v>
      </c>
      <c r="D28" s="6" t="s">
        <v>289</v>
      </c>
      <c r="E28" s="6" t="s">
        <v>290</v>
      </c>
      <c r="F28" s="17" t="s">
        <v>274</v>
      </c>
      <c r="G28" s="9"/>
    </row>
    <row r="29" spans="1:7" x14ac:dyDescent="0.55000000000000004">
      <c r="A29" s="1049"/>
      <c r="B29" s="1087"/>
      <c r="C29" s="1050"/>
      <c r="D29" s="1087"/>
      <c r="E29" s="1051"/>
      <c r="F29" s="699"/>
      <c r="G29" s="10"/>
    </row>
    <row r="30" spans="1:7" x14ac:dyDescent="0.55000000000000004">
      <c r="A30" s="1028"/>
      <c r="B30" s="1087"/>
      <c r="C30" s="1050"/>
      <c r="D30" s="1087"/>
      <c r="E30" s="1051"/>
      <c r="F30" s="699"/>
      <c r="G30" s="28"/>
    </row>
    <row r="31" spans="1:7" x14ac:dyDescent="0.55000000000000004">
      <c r="A31" s="1088"/>
      <c r="B31" s="1089"/>
      <c r="C31" s="1072"/>
      <c r="D31" s="1090"/>
      <c r="E31" s="698"/>
      <c r="F31" s="698"/>
      <c r="G31" s="10"/>
    </row>
    <row r="32" spans="1:7" ht="14.7" thickBot="1" x14ac:dyDescent="0.6">
      <c r="A32" s="1091"/>
      <c r="B32" s="1092"/>
      <c r="C32" s="1092"/>
      <c r="D32" s="1092"/>
      <c r="E32" s="1092"/>
      <c r="F32" s="1093"/>
      <c r="G32" s="10"/>
    </row>
    <row r="33" spans="1:7" ht="14.7" thickBot="1" x14ac:dyDescent="0.6">
      <c r="A33" s="1"/>
      <c r="B33" s="1"/>
      <c r="C33" s="1"/>
      <c r="D33" s="1"/>
      <c r="E33" s="1"/>
      <c r="F33" s="12" t="s">
        <v>280</v>
      </c>
      <c r="G33" s="131">
        <f>SUM(F29:F32)</f>
        <v>0</v>
      </c>
    </row>
    <row r="34" spans="1:7" ht="14.7" thickBot="1" x14ac:dyDescent="0.6">
      <c r="A34" s="5" t="s">
        <v>292</v>
      </c>
      <c r="B34" s="1"/>
      <c r="C34" s="1"/>
      <c r="D34" s="1"/>
      <c r="E34" s="1"/>
      <c r="F34" s="1"/>
      <c r="G34" s="1"/>
    </row>
    <row r="35" spans="1:7" x14ac:dyDescent="0.55000000000000004">
      <c r="A35" s="19" t="s">
        <v>293</v>
      </c>
      <c r="B35" s="6" t="s">
        <v>294</v>
      </c>
      <c r="C35" s="6" t="s">
        <v>295</v>
      </c>
      <c r="D35" s="7" t="s">
        <v>296</v>
      </c>
      <c r="E35" s="20" t="s">
        <v>273</v>
      </c>
      <c r="F35" s="8" t="s">
        <v>274</v>
      </c>
      <c r="G35" s="9"/>
    </row>
    <row r="36" spans="1:7" x14ac:dyDescent="0.55000000000000004">
      <c r="A36" s="1094" t="s">
        <v>330</v>
      </c>
      <c r="B36" s="699">
        <f>+jornal*7</f>
        <v>303333.33333333337</v>
      </c>
      <c r="C36" s="1095">
        <v>1.85</v>
      </c>
      <c r="D36" s="1025">
        <f>+B36*1.85</f>
        <v>561166.66666666674</v>
      </c>
      <c r="E36" s="698">
        <v>7</v>
      </c>
      <c r="F36" s="697">
        <f>+D36/E36</f>
        <v>80166.666666666672</v>
      </c>
      <c r="G36" s="10"/>
    </row>
    <row r="37" spans="1:7" x14ac:dyDescent="0.55000000000000004">
      <c r="A37" s="1094" t="s">
        <v>311</v>
      </c>
      <c r="B37" s="699">
        <f>+ofic</f>
        <v>73666.666666666672</v>
      </c>
      <c r="C37" s="1095">
        <v>1.85</v>
      </c>
      <c r="D37" s="1025">
        <f>+B37*1.85</f>
        <v>136283.33333333334</v>
      </c>
      <c r="E37" s="698">
        <v>7</v>
      </c>
      <c r="F37" s="697">
        <f>+D37/E37</f>
        <v>19469.047619047622</v>
      </c>
      <c r="G37" s="10"/>
    </row>
    <row r="38" spans="1:7" x14ac:dyDescent="0.55000000000000004">
      <c r="A38" s="1094"/>
      <c r="B38" s="1096"/>
      <c r="C38" s="1095"/>
      <c r="D38" s="698"/>
      <c r="E38" s="698"/>
      <c r="F38" s="1097"/>
      <c r="G38" s="10"/>
    </row>
    <row r="39" spans="1:7" x14ac:dyDescent="0.55000000000000004">
      <c r="A39" s="1094"/>
      <c r="B39" s="1078"/>
      <c r="C39" s="1072"/>
      <c r="D39" s="1078"/>
      <c r="E39" s="698"/>
      <c r="F39" s="1098"/>
      <c r="G39" s="10"/>
    </row>
    <row r="40" spans="1:7" x14ac:dyDescent="0.55000000000000004">
      <c r="A40" s="1094"/>
      <c r="B40" s="1078"/>
      <c r="C40" s="1072"/>
      <c r="D40" s="1078"/>
      <c r="E40" s="698"/>
      <c r="F40" s="1098"/>
      <c r="G40" s="10"/>
    </row>
    <row r="41" spans="1:7" ht="14.7" thickBot="1" x14ac:dyDescent="0.6">
      <c r="A41" s="22"/>
      <c r="B41" s="16"/>
      <c r="C41" s="16"/>
      <c r="D41" s="16"/>
      <c r="E41" s="16"/>
      <c r="F41" s="15"/>
      <c r="G41" s="11"/>
    </row>
    <row r="42" spans="1:7" ht="14.7" thickBot="1" x14ac:dyDescent="0.6">
      <c r="A42" s="1"/>
      <c r="B42" s="1"/>
      <c r="C42" s="1"/>
      <c r="D42" s="1"/>
      <c r="E42" s="1"/>
      <c r="F42" s="12" t="s">
        <v>280</v>
      </c>
      <c r="G42" s="131">
        <f>ROUND(SUM(F36:F41),0)</f>
        <v>99636</v>
      </c>
    </row>
    <row r="43" spans="1:7" ht="14.7" thickBot="1" x14ac:dyDescent="0.6">
      <c r="A43" s="1"/>
      <c r="B43" s="1"/>
      <c r="C43" s="1"/>
      <c r="D43" s="1"/>
      <c r="E43" s="1"/>
      <c r="F43" s="24"/>
      <c r="G43" s="1"/>
    </row>
    <row r="44" spans="1:7" ht="14.7" thickBot="1" x14ac:dyDescent="0.6">
      <c r="A44" s="1"/>
      <c r="B44" s="1"/>
      <c r="C44" s="1"/>
      <c r="D44" s="25" t="s">
        <v>299</v>
      </c>
      <c r="E44" s="26"/>
      <c r="F44" s="26"/>
      <c r="G44" s="131">
        <f>ROUND((G16+G26+G33+G42),0)</f>
        <v>1204202</v>
      </c>
    </row>
    <row r="45" spans="1:7" x14ac:dyDescent="0.55000000000000004">
      <c r="A45" s="1"/>
      <c r="B45" s="1"/>
      <c r="C45" s="1"/>
      <c r="D45" s="1"/>
      <c r="E45" s="1"/>
      <c r="F45" s="1"/>
      <c r="G45" s="1"/>
    </row>
  </sheetData>
  <mergeCells count="3">
    <mergeCell ref="B1:G1"/>
    <mergeCell ref="A3:B3"/>
    <mergeCell ref="A4:B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48"/>
  <sheetViews>
    <sheetView topLeftCell="A2" workbookViewId="0">
      <selection activeCell="A9" sqref="A9"/>
    </sheetView>
  </sheetViews>
  <sheetFormatPr baseColWidth="10" defaultColWidth="9.15625" defaultRowHeight="14.4" x14ac:dyDescent="0.55000000000000004"/>
  <cols>
    <col min="1" max="1" width="47.26171875" bestFit="1" customWidth="1"/>
    <col min="2" max="2" width="12.578125" bestFit="1" customWidth="1"/>
    <col min="3" max="3" width="10" bestFit="1" customWidth="1"/>
    <col min="4" max="4" width="12.26171875" bestFit="1" customWidth="1"/>
    <col min="5" max="5" width="12.578125" bestFit="1" customWidth="1"/>
    <col min="6" max="6" width="14.578125" bestFit="1" customWidth="1"/>
    <col min="7" max="7" width="11.83984375" style="366" customWidth="1"/>
    <col min="9" max="9" width="10" bestFit="1" customWidth="1"/>
    <col min="11" max="11" width="12.578125" bestFit="1" customWidth="1"/>
  </cols>
  <sheetData>
    <row r="1" spans="1:10" ht="56.25" customHeight="1" x14ac:dyDescent="0.55000000000000004">
      <c r="A1" s="154" t="s">
        <v>261</v>
      </c>
      <c r="B1" s="156"/>
      <c r="C1" s="1273" t="s">
        <v>0</v>
      </c>
      <c r="D1" s="1274"/>
      <c r="E1" s="1274"/>
      <c r="F1" s="1274"/>
      <c r="G1" s="1275"/>
      <c r="I1" s="307"/>
      <c r="J1" s="308"/>
    </row>
    <row r="2" spans="1:10" x14ac:dyDescent="0.55000000000000004">
      <c r="A2" s="157"/>
      <c r="B2" s="158"/>
      <c r="C2" s="160"/>
      <c r="D2" s="161"/>
      <c r="E2" s="161"/>
      <c r="F2" s="161"/>
      <c r="G2" s="771"/>
      <c r="I2" s="307"/>
      <c r="J2" s="308"/>
    </row>
    <row r="3" spans="1:10" ht="14.7" thickBot="1" x14ac:dyDescent="0.6">
      <c r="A3" s="1061"/>
      <c r="B3" s="1062"/>
      <c r="C3" s="1063"/>
      <c r="D3" s="954"/>
      <c r="E3" s="954"/>
      <c r="F3" s="954"/>
      <c r="G3" s="1099"/>
      <c r="I3" s="307"/>
      <c r="J3" s="308"/>
    </row>
    <row r="4" spans="1:10" x14ac:dyDescent="0.55000000000000004">
      <c r="A4" s="2"/>
      <c r="B4" s="1"/>
      <c r="C4" s="1"/>
      <c r="D4" s="1"/>
      <c r="E4" s="1"/>
      <c r="F4" s="1"/>
      <c r="G4" s="772"/>
      <c r="I4" s="307"/>
      <c r="J4" s="308"/>
    </row>
    <row r="5" spans="1:10" x14ac:dyDescent="0.55000000000000004">
      <c r="A5" s="2" t="s">
        <v>262</v>
      </c>
      <c r="B5" s="108" t="s">
        <v>263</v>
      </c>
      <c r="D5" s="4" t="s">
        <v>264</v>
      </c>
      <c r="E5" s="12" t="s">
        <v>19</v>
      </c>
      <c r="F5" s="3" t="s">
        <v>265</v>
      </c>
      <c r="G5" s="773" t="s">
        <v>331</v>
      </c>
    </row>
    <row r="6" spans="1:10" x14ac:dyDescent="0.55000000000000004">
      <c r="A6" s="2" t="s">
        <v>266</v>
      </c>
      <c r="B6" s="3" t="s">
        <v>39</v>
      </c>
      <c r="C6" s="3"/>
      <c r="D6" s="3"/>
      <c r="E6" s="3"/>
      <c r="F6" s="3" t="s">
        <v>268</v>
      </c>
      <c r="G6" s="773" t="s">
        <v>22</v>
      </c>
    </row>
    <row r="7" spans="1:10" x14ac:dyDescent="0.55000000000000004">
      <c r="A7" s="3"/>
      <c r="B7" s="1"/>
      <c r="C7" s="3"/>
      <c r="D7" s="3"/>
      <c r="E7" s="3"/>
      <c r="F7" s="3"/>
      <c r="G7" s="772"/>
    </row>
    <row r="8" spans="1:10" ht="14.7" thickBot="1" x14ac:dyDescent="0.6">
      <c r="A8" s="5" t="s">
        <v>269</v>
      </c>
      <c r="B8" s="1"/>
      <c r="C8" s="1"/>
      <c r="D8" s="1"/>
      <c r="E8" s="1"/>
      <c r="F8" s="1"/>
      <c r="G8" s="772"/>
    </row>
    <row r="9" spans="1:10" x14ac:dyDescent="0.55000000000000004">
      <c r="A9" s="163" t="s">
        <v>270</v>
      </c>
      <c r="B9" s="6"/>
      <c r="C9" s="6" t="s">
        <v>271</v>
      </c>
      <c r="D9" s="7" t="s">
        <v>272</v>
      </c>
      <c r="E9" s="6" t="s">
        <v>273</v>
      </c>
      <c r="F9" s="8" t="s">
        <v>274</v>
      </c>
      <c r="G9" s="774"/>
    </row>
    <row r="10" spans="1:10" x14ac:dyDescent="0.55000000000000004">
      <c r="A10" s="1049" t="s">
        <v>332</v>
      </c>
      <c r="B10" s="1071"/>
      <c r="C10" s="1072"/>
      <c r="D10" s="699">
        <f>+'equipos y transporte'!E22</f>
        <v>342720</v>
      </c>
      <c r="E10" s="698">
        <v>5.5E-2</v>
      </c>
      <c r="F10" s="1073">
        <f>+D10*E10</f>
        <v>18849.599999999999</v>
      </c>
      <c r="G10" s="775"/>
      <c r="I10" s="328"/>
    </row>
    <row r="11" spans="1:10" x14ac:dyDescent="0.55000000000000004">
      <c r="A11" s="1049" t="s">
        <v>333</v>
      </c>
      <c r="B11" s="1071"/>
      <c r="C11" s="1074"/>
      <c r="D11" s="1075">
        <f>+'equipos y transporte'!E13</f>
        <v>129858.75000000001</v>
      </c>
      <c r="E11" s="698">
        <v>5.5E-2</v>
      </c>
      <c r="F11" s="1073">
        <f>+D11*E11</f>
        <v>7142.2312500000007</v>
      </c>
      <c r="G11" s="775"/>
      <c r="I11" s="328"/>
    </row>
    <row r="12" spans="1:10" x14ac:dyDescent="0.55000000000000004">
      <c r="A12" s="1049" t="s">
        <v>279</v>
      </c>
      <c r="B12" s="1071"/>
      <c r="C12" s="1074"/>
      <c r="D12" s="1100"/>
      <c r="E12" s="698"/>
      <c r="F12" s="1073">
        <f>+G41*0.05</f>
        <v>101.95</v>
      </c>
      <c r="G12" s="775"/>
    </row>
    <row r="13" spans="1:10" x14ac:dyDescent="0.55000000000000004">
      <c r="A13" s="1049"/>
      <c r="B13" s="1071"/>
      <c r="C13" s="1074"/>
      <c r="D13" s="1078"/>
      <c r="E13" s="698"/>
      <c r="F13" s="1073"/>
      <c r="G13" s="775"/>
    </row>
    <row r="14" spans="1:10" x14ac:dyDescent="0.55000000000000004">
      <c r="A14" s="1049"/>
      <c r="B14" s="1071"/>
      <c r="C14" s="1072"/>
      <c r="D14" s="1078"/>
      <c r="E14" s="698"/>
      <c r="F14" s="1098"/>
      <c r="G14" s="775"/>
    </row>
    <row r="15" spans="1:10" x14ac:dyDescent="0.55000000000000004">
      <c r="A15" s="1049"/>
      <c r="B15" s="1071"/>
      <c r="C15" s="1074"/>
      <c r="D15" s="1100"/>
      <c r="E15" s="698"/>
      <c r="F15" s="1098"/>
      <c r="G15" s="775"/>
    </row>
    <row r="16" spans="1:10" ht="14.7" thickBot="1" x14ac:dyDescent="0.6">
      <c r="A16" s="1079"/>
      <c r="B16" s="1080"/>
      <c r="C16" s="1081"/>
      <c r="D16" s="1082"/>
      <c r="E16" s="1083"/>
      <c r="F16" s="1084"/>
      <c r="G16" s="776"/>
    </row>
    <row r="17" spans="1:13" ht="14.7" thickBot="1" x14ac:dyDescent="0.6">
      <c r="A17" s="1"/>
      <c r="B17" s="1"/>
      <c r="C17" s="1"/>
      <c r="D17" s="1"/>
      <c r="E17" s="1"/>
      <c r="F17" s="12" t="s">
        <v>280</v>
      </c>
      <c r="G17" s="777">
        <f>ROUND(SUM(F10:F16),0)</f>
        <v>26094</v>
      </c>
      <c r="I17" s="328"/>
    </row>
    <row r="18" spans="1:13" ht="14.7" thickBot="1" x14ac:dyDescent="0.6">
      <c r="A18" s="5" t="s">
        <v>281</v>
      </c>
      <c r="B18" s="1"/>
      <c r="C18" s="1"/>
      <c r="D18" s="1"/>
      <c r="E18" s="1"/>
      <c r="F18" s="1"/>
      <c r="G18" s="772"/>
    </row>
    <row r="19" spans="1:13" x14ac:dyDescent="0.55000000000000004">
      <c r="A19" s="13" t="s">
        <v>270</v>
      </c>
      <c r="B19" s="14"/>
      <c r="C19" s="6" t="s">
        <v>282</v>
      </c>
      <c r="D19" s="6" t="s">
        <v>283</v>
      </c>
      <c r="E19" s="6" t="s">
        <v>284</v>
      </c>
      <c r="F19" s="8" t="s">
        <v>274</v>
      </c>
      <c r="G19" s="774"/>
    </row>
    <row r="20" spans="1:13" x14ac:dyDescent="0.55000000000000004">
      <c r="A20" s="1076" t="s">
        <v>334</v>
      </c>
      <c r="B20" s="1077"/>
      <c r="C20" s="1072" t="s">
        <v>22</v>
      </c>
      <c r="D20" s="699">
        <f>+insumos!E17</f>
        <v>10977.75</v>
      </c>
      <c r="E20" s="700">
        <v>1.3</v>
      </c>
      <c r="F20" s="1073">
        <f>+D20*E20</f>
        <v>14271.075000000001</v>
      </c>
      <c r="G20" s="775"/>
    </row>
    <row r="21" spans="1:13" x14ac:dyDescent="0.55000000000000004">
      <c r="A21" s="693"/>
      <c r="B21" s="694"/>
      <c r="C21" s="1072"/>
      <c r="D21" s="1078"/>
      <c r="E21" s="700"/>
      <c r="F21" s="1098"/>
      <c r="G21" s="775"/>
    </row>
    <row r="22" spans="1:13" x14ac:dyDescent="0.55000000000000004">
      <c r="A22" s="693"/>
      <c r="B22" s="694"/>
      <c r="C22" s="1072"/>
      <c r="D22" s="1078"/>
      <c r="E22" s="700"/>
      <c r="F22" s="1098"/>
      <c r="G22" s="775"/>
    </row>
    <row r="23" spans="1:13" x14ac:dyDescent="0.55000000000000004">
      <c r="A23" s="693"/>
      <c r="B23" s="694"/>
      <c r="C23" s="1072"/>
      <c r="D23" s="1078"/>
      <c r="E23" s="700"/>
      <c r="F23" s="1098"/>
      <c r="G23" s="775"/>
    </row>
    <row r="24" spans="1:13" ht="14.7" thickBot="1" x14ac:dyDescent="0.6">
      <c r="A24" s="702"/>
      <c r="B24" s="16"/>
      <c r="C24" s="1081"/>
      <c r="D24" s="1082"/>
      <c r="E24" s="1083"/>
      <c r="F24" s="1084"/>
      <c r="G24" s="776"/>
    </row>
    <row r="25" spans="1:13" ht="14.7" thickBot="1" x14ac:dyDescent="0.6">
      <c r="A25" s="1"/>
      <c r="B25" s="1"/>
      <c r="C25" s="1"/>
      <c r="D25" s="1"/>
      <c r="E25" s="1"/>
      <c r="F25" s="12" t="s">
        <v>280</v>
      </c>
      <c r="G25" s="777">
        <f>ROUND(SUM(F20:F24),0)</f>
        <v>14271</v>
      </c>
      <c r="I25" s="328"/>
      <c r="K25" s="328"/>
    </row>
    <row r="26" spans="1:13" ht="14.7" thickBot="1" x14ac:dyDescent="0.6">
      <c r="A26" s="5" t="s">
        <v>285</v>
      </c>
      <c r="B26" s="1"/>
      <c r="C26" s="1"/>
      <c r="D26" s="1"/>
      <c r="E26" s="1"/>
      <c r="F26" s="1"/>
      <c r="G26" s="772"/>
    </row>
    <row r="27" spans="1:13" x14ac:dyDescent="0.55000000000000004">
      <c r="A27" s="163" t="s">
        <v>286</v>
      </c>
      <c r="B27" s="6" t="s">
        <v>287</v>
      </c>
      <c r="C27" s="6" t="s">
        <v>288</v>
      </c>
      <c r="D27" s="6" t="s">
        <v>289</v>
      </c>
      <c r="E27" s="6" t="s">
        <v>290</v>
      </c>
      <c r="F27" s="17" t="s">
        <v>274</v>
      </c>
      <c r="G27" s="774"/>
    </row>
    <row r="28" spans="1:13" x14ac:dyDescent="0.55000000000000004">
      <c r="A28" s="1049" t="s">
        <v>291</v>
      </c>
      <c r="B28" s="1050">
        <v>1.3</v>
      </c>
      <c r="C28" s="1050">
        <f>+escombro</f>
        <v>15</v>
      </c>
      <c r="D28" s="1050">
        <f>+B28*C28</f>
        <v>19.5</v>
      </c>
      <c r="E28" s="1051">
        <f>+'equipos y transporte'!E32</f>
        <v>1672.9261363636363</v>
      </c>
      <c r="F28" s="699">
        <f>+E28*D28</f>
        <v>32622.059659090908</v>
      </c>
      <c r="G28" s="775"/>
    </row>
    <row r="29" spans="1:13" x14ac:dyDescent="0.55000000000000004">
      <c r="A29" s="1088"/>
      <c r="B29" s="1089"/>
      <c r="C29" s="1072"/>
      <c r="D29" s="1090"/>
      <c r="E29" s="698"/>
      <c r="F29" s="698"/>
      <c r="G29" s="775"/>
    </row>
    <row r="30" spans="1:13" x14ac:dyDescent="0.55000000000000004">
      <c r="A30" s="1088"/>
      <c r="B30" s="1089"/>
      <c r="C30" s="1072"/>
      <c r="D30" s="1090"/>
      <c r="E30" s="698"/>
      <c r="F30" s="698"/>
      <c r="G30" s="775"/>
    </row>
    <row r="31" spans="1:13" ht="14.7" thickBot="1" x14ac:dyDescent="0.6">
      <c r="A31" s="1091"/>
      <c r="B31" s="1092"/>
      <c r="C31" s="1092"/>
      <c r="D31" s="1092"/>
      <c r="E31" s="1092"/>
      <c r="F31" s="1093"/>
      <c r="G31" s="775"/>
    </row>
    <row r="32" spans="1:13" ht="14.7" thickBot="1" x14ac:dyDescent="0.6">
      <c r="A32" s="1"/>
      <c r="B32" s="1"/>
      <c r="C32" s="1"/>
      <c r="D32" s="1"/>
      <c r="E32" s="1"/>
      <c r="F32" s="12" t="s">
        <v>280</v>
      </c>
      <c r="G32" s="777">
        <f>ROUND(SUM(F28:F31),0)</f>
        <v>32622</v>
      </c>
      <c r="I32" s="328"/>
      <c r="K32" s="328"/>
      <c r="M32" s="18"/>
    </row>
    <row r="33" spans="1:11" ht="14.7" thickBot="1" x14ac:dyDescent="0.6">
      <c r="A33" s="5" t="s">
        <v>292</v>
      </c>
      <c r="B33" s="1"/>
      <c r="C33" s="1"/>
      <c r="D33" s="1"/>
      <c r="E33" s="1"/>
      <c r="F33" s="1"/>
      <c r="G33" s="772"/>
    </row>
    <row r="34" spans="1:11" x14ac:dyDescent="0.55000000000000004">
      <c r="A34" s="19" t="s">
        <v>293</v>
      </c>
      <c r="B34" s="6" t="s">
        <v>294</v>
      </c>
      <c r="C34" s="6" t="s">
        <v>295</v>
      </c>
      <c r="D34" s="7" t="s">
        <v>296</v>
      </c>
      <c r="E34" s="20" t="s">
        <v>273</v>
      </c>
      <c r="F34" s="8" t="s">
        <v>274</v>
      </c>
      <c r="G34" s="774"/>
      <c r="I34" s="21"/>
    </row>
    <row r="35" spans="1:11" x14ac:dyDescent="0.55000000000000004">
      <c r="A35" s="1094" t="s">
        <v>335</v>
      </c>
      <c r="B35" s="699">
        <f>+jornal*2</f>
        <v>86666.666666666672</v>
      </c>
      <c r="C35" s="1095">
        <v>1.85</v>
      </c>
      <c r="D35" s="1025">
        <f>+B35*1.85</f>
        <v>160333.33333333334</v>
      </c>
      <c r="E35" s="698">
        <f>8/E10</f>
        <v>145.45454545454547</v>
      </c>
      <c r="F35" s="697">
        <f>+D35/E35</f>
        <v>1102.2916666666667</v>
      </c>
      <c r="G35" s="775"/>
    </row>
    <row r="36" spans="1:11" x14ac:dyDescent="0.55000000000000004">
      <c r="A36" s="1094" t="s">
        <v>298</v>
      </c>
      <c r="B36" s="699">
        <f>+ofic</f>
        <v>73666.666666666672</v>
      </c>
      <c r="C36" s="1095">
        <v>1.85</v>
      </c>
      <c r="D36" s="1025">
        <f>+B36*1.85</f>
        <v>136283.33333333334</v>
      </c>
      <c r="E36" s="698">
        <f>8/E11</f>
        <v>145.45454545454547</v>
      </c>
      <c r="F36" s="697">
        <f>+D36/E36</f>
        <v>936.94791666666663</v>
      </c>
      <c r="G36" s="775"/>
    </row>
    <row r="37" spans="1:11" x14ac:dyDescent="0.55000000000000004">
      <c r="A37" s="1094"/>
      <c r="B37" s="1096"/>
      <c r="C37" s="1095"/>
      <c r="D37" s="1078"/>
      <c r="E37" s="698"/>
      <c r="F37" s="1098"/>
      <c r="G37" s="775"/>
    </row>
    <row r="38" spans="1:11" x14ac:dyDescent="0.55000000000000004">
      <c r="A38" s="1094"/>
      <c r="B38" s="1078"/>
      <c r="C38" s="1072"/>
      <c r="D38" s="1078"/>
      <c r="E38" s="698"/>
      <c r="F38" s="1098"/>
      <c r="G38" s="775"/>
    </row>
    <row r="39" spans="1:11" x14ac:dyDescent="0.55000000000000004">
      <c r="A39" s="1094"/>
      <c r="B39" s="1078"/>
      <c r="C39" s="1072"/>
      <c r="D39" s="1078"/>
      <c r="E39" s="698"/>
      <c r="F39" s="1098"/>
      <c r="G39" s="775"/>
    </row>
    <row r="40" spans="1:11" ht="14.7" thickBot="1" x14ac:dyDescent="0.6">
      <c r="A40" s="22"/>
      <c r="B40" s="16"/>
      <c r="C40" s="16"/>
      <c r="D40" s="16"/>
      <c r="E40" s="16"/>
      <c r="F40" s="15"/>
      <c r="G40" s="776"/>
    </row>
    <row r="41" spans="1:11" ht="14.7" thickBot="1" x14ac:dyDescent="0.6">
      <c r="A41" s="1"/>
      <c r="B41" s="1"/>
      <c r="C41" s="1"/>
      <c r="D41" s="1"/>
      <c r="E41" s="1"/>
      <c r="F41" s="12" t="s">
        <v>280</v>
      </c>
      <c r="G41" s="777">
        <f>ROUND(SUM(F35:F40),0)</f>
        <v>2039</v>
      </c>
      <c r="I41" s="328"/>
      <c r="K41" s="328"/>
    </row>
    <row r="42" spans="1:11" ht="14.7" thickBot="1" x14ac:dyDescent="0.6">
      <c r="A42" s="1"/>
      <c r="B42" s="23"/>
      <c r="C42" s="1"/>
      <c r="D42" s="1"/>
      <c r="E42" s="1"/>
      <c r="F42" s="24"/>
      <c r="G42" s="772"/>
    </row>
    <row r="43" spans="1:11" ht="14.7" thickBot="1" x14ac:dyDescent="0.6">
      <c r="A43" s="1"/>
      <c r="B43" s="1"/>
      <c r="C43" s="1"/>
      <c r="D43" s="25" t="s">
        <v>299</v>
      </c>
      <c r="E43" s="26"/>
      <c r="F43" s="26"/>
      <c r="G43" s="777">
        <f>ROUND((G17+G25+G32+G41),0)</f>
        <v>75026</v>
      </c>
      <c r="I43" s="328"/>
      <c r="K43" s="131"/>
    </row>
    <row r="44" spans="1:11" x14ac:dyDescent="0.55000000000000004">
      <c r="A44" s="1"/>
      <c r="B44" s="1"/>
      <c r="C44" s="1"/>
      <c r="D44" s="1"/>
      <c r="E44" s="1"/>
      <c r="F44" s="1"/>
      <c r="G44" s="772"/>
    </row>
    <row r="46" spans="1:11" x14ac:dyDescent="0.55000000000000004">
      <c r="D46" s="311" t="s">
        <v>312</v>
      </c>
      <c r="E46" s="312" t="s">
        <v>313</v>
      </c>
    </row>
    <row r="47" spans="1:11" x14ac:dyDescent="0.55000000000000004">
      <c r="D47" s="309"/>
      <c r="E47" s="310"/>
    </row>
    <row r="48" spans="1:11" x14ac:dyDescent="0.55000000000000004">
      <c r="D48" s="309"/>
      <c r="E48" s="310"/>
    </row>
  </sheetData>
  <mergeCells count="1">
    <mergeCell ref="C1:G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48"/>
  <sheetViews>
    <sheetView topLeftCell="A40" workbookViewId="0">
      <selection activeCell="J1" sqref="J1:L1048576"/>
    </sheetView>
  </sheetViews>
  <sheetFormatPr baseColWidth="10" defaultColWidth="9.15625" defaultRowHeight="14.4" x14ac:dyDescent="0.55000000000000004"/>
  <cols>
    <col min="1" max="1" width="43.578125" customWidth="1"/>
    <col min="2" max="2" width="25.26171875" customWidth="1"/>
    <col min="3" max="3" width="10" bestFit="1" customWidth="1"/>
    <col min="4" max="4" width="12.26171875" bestFit="1" customWidth="1"/>
    <col min="5" max="5" width="12.578125" bestFit="1" customWidth="1"/>
    <col min="6" max="6" width="14.578125" bestFit="1" customWidth="1"/>
    <col min="7" max="7" width="8.578125" bestFit="1" customWidth="1"/>
  </cols>
  <sheetData>
    <row r="1" spans="1:10" ht="55.5" customHeight="1" x14ac:dyDescent="0.55000000000000004">
      <c r="A1" s="154" t="s">
        <v>261</v>
      </c>
      <c r="B1" s="1274" t="s">
        <v>0</v>
      </c>
      <c r="C1" s="1274"/>
      <c r="D1" s="1274"/>
      <c r="E1" s="1274"/>
      <c r="F1" s="1274"/>
      <c r="G1" s="1275"/>
      <c r="I1" s="307"/>
      <c r="J1" s="308"/>
    </row>
    <row r="2" spans="1:10" x14ac:dyDescent="0.55000000000000004">
      <c r="A2" s="157"/>
      <c r="B2" s="158"/>
      <c r="C2" s="160"/>
      <c r="D2" s="161"/>
      <c r="E2" s="161"/>
      <c r="F2" s="161"/>
      <c r="G2" s="162"/>
      <c r="I2" s="307"/>
      <c r="J2" s="308"/>
    </row>
    <row r="3" spans="1:10" ht="14.7" thickBot="1" x14ac:dyDescent="0.6">
      <c r="A3" s="1061"/>
      <c r="B3" s="1062"/>
      <c r="C3" s="1063"/>
      <c r="D3" s="954"/>
      <c r="E3" s="954"/>
      <c r="F3" s="954"/>
      <c r="G3" s="955"/>
      <c r="I3" s="307"/>
      <c r="J3" s="308"/>
    </row>
    <row r="4" spans="1:10" x14ac:dyDescent="0.55000000000000004">
      <c r="A4" s="2"/>
      <c r="B4" s="1"/>
      <c r="C4" s="1"/>
      <c r="D4" s="1"/>
      <c r="E4" s="1"/>
      <c r="F4" s="1"/>
      <c r="G4" s="1"/>
      <c r="I4" s="307"/>
      <c r="J4" s="308"/>
    </row>
    <row r="5" spans="1:10" x14ac:dyDescent="0.55000000000000004">
      <c r="A5" s="2" t="s">
        <v>262</v>
      </c>
      <c r="B5" s="108" t="s">
        <v>263</v>
      </c>
      <c r="D5" s="4" t="s">
        <v>264</v>
      </c>
      <c r="E5" s="12">
        <v>610.20000000000005</v>
      </c>
      <c r="F5" s="3" t="s">
        <v>265</v>
      </c>
      <c r="G5" s="24" t="s">
        <v>41</v>
      </c>
    </row>
    <row r="6" spans="1:10" x14ac:dyDescent="0.55000000000000004">
      <c r="A6" s="2" t="s">
        <v>266</v>
      </c>
      <c r="B6" s="3" t="s">
        <v>336</v>
      </c>
      <c r="C6" s="3"/>
      <c r="D6" s="3"/>
      <c r="E6" s="3"/>
      <c r="F6" s="3" t="s">
        <v>268</v>
      </c>
      <c r="G6" s="24" t="s">
        <v>22</v>
      </c>
    </row>
    <row r="7" spans="1:10" x14ac:dyDescent="0.55000000000000004">
      <c r="A7" s="3"/>
      <c r="B7" s="1"/>
      <c r="C7" s="3"/>
      <c r="D7" s="3"/>
      <c r="E7" s="3"/>
      <c r="F7" s="3"/>
      <c r="G7" s="1"/>
    </row>
    <row r="8" spans="1:10" ht="14.7" thickBot="1" x14ac:dyDescent="0.6">
      <c r="A8" s="5" t="s">
        <v>269</v>
      </c>
      <c r="B8" s="1"/>
      <c r="C8" s="1"/>
      <c r="D8" s="1"/>
      <c r="E8" s="1"/>
      <c r="F8" s="1"/>
      <c r="G8" s="1"/>
    </row>
    <row r="9" spans="1:10" x14ac:dyDescent="0.55000000000000004">
      <c r="A9" s="163" t="s">
        <v>270</v>
      </c>
      <c r="B9" s="6"/>
      <c r="C9" s="6" t="s">
        <v>271</v>
      </c>
      <c r="D9" s="7" t="s">
        <v>272</v>
      </c>
      <c r="E9" s="6" t="s">
        <v>273</v>
      </c>
      <c r="F9" s="8" t="s">
        <v>274</v>
      </c>
      <c r="G9" s="9"/>
    </row>
    <row r="10" spans="1:10" x14ac:dyDescent="0.55000000000000004">
      <c r="A10" s="1049" t="s">
        <v>337</v>
      </c>
      <c r="B10" s="1071"/>
      <c r="C10" s="1072"/>
      <c r="D10" s="699">
        <f>+'equipos y transporte'!E10</f>
        <v>11379.374999999998</v>
      </c>
      <c r="E10" s="698">
        <v>2.2000000000000002</v>
      </c>
      <c r="F10" s="1073">
        <f>+D10/E10</f>
        <v>5172.4431818181802</v>
      </c>
      <c r="G10" s="10"/>
    </row>
    <row r="11" spans="1:10" x14ac:dyDescent="0.55000000000000004">
      <c r="A11" s="1049"/>
      <c r="B11" s="1071"/>
      <c r="C11" s="1074"/>
      <c r="D11" s="1100"/>
      <c r="E11" s="698"/>
      <c r="F11" s="1073"/>
      <c r="G11" s="10"/>
    </row>
    <row r="12" spans="1:10" x14ac:dyDescent="0.55000000000000004">
      <c r="A12" s="1049" t="s">
        <v>279</v>
      </c>
      <c r="B12" s="1071"/>
      <c r="C12" s="1074"/>
      <c r="D12" s="1100"/>
      <c r="E12" s="698"/>
      <c r="F12" s="1073">
        <f>+G41*0.05</f>
        <v>683.25</v>
      </c>
      <c r="G12" s="10"/>
    </row>
    <row r="13" spans="1:10" x14ac:dyDescent="0.55000000000000004">
      <c r="A13" s="1049"/>
      <c r="B13" s="1071"/>
      <c r="C13" s="1074"/>
      <c r="D13" s="1078"/>
      <c r="E13" s="698"/>
      <c r="F13" s="1098"/>
      <c r="G13" s="10"/>
    </row>
    <row r="14" spans="1:10" x14ac:dyDescent="0.55000000000000004">
      <c r="A14" s="1049"/>
      <c r="B14" s="1071"/>
      <c r="C14" s="1072"/>
      <c r="D14" s="1078"/>
      <c r="E14" s="698"/>
      <c r="F14" s="1098"/>
      <c r="G14" s="10"/>
    </row>
    <row r="15" spans="1:10" x14ac:dyDescent="0.55000000000000004">
      <c r="A15" s="1049"/>
      <c r="B15" s="1071"/>
      <c r="C15" s="1074"/>
      <c r="D15" s="1100"/>
      <c r="E15" s="698"/>
      <c r="F15" s="1098"/>
      <c r="G15" s="10"/>
    </row>
    <row r="16" spans="1:10" ht="14.7" thickBot="1" x14ac:dyDescent="0.6">
      <c r="A16" s="1079"/>
      <c r="B16" s="1080"/>
      <c r="C16" s="1081"/>
      <c r="D16" s="1082"/>
      <c r="E16" s="1083"/>
      <c r="F16" s="1084"/>
      <c r="G16" s="11"/>
    </row>
    <row r="17" spans="1:13" ht="14.7" thickBot="1" x14ac:dyDescent="0.6">
      <c r="A17" s="1"/>
      <c r="B17" s="1"/>
      <c r="C17" s="1"/>
      <c r="D17" s="1"/>
      <c r="E17" s="1"/>
      <c r="F17" s="12" t="s">
        <v>280</v>
      </c>
      <c r="G17" s="131">
        <f>ROUND(SUM(F10:F16),0)</f>
        <v>5856</v>
      </c>
    </row>
    <row r="18" spans="1:13" ht="14.7" thickBot="1" x14ac:dyDescent="0.6">
      <c r="A18" s="5" t="s">
        <v>281</v>
      </c>
      <c r="B18" s="1"/>
      <c r="C18" s="1"/>
      <c r="D18" s="1"/>
      <c r="E18" s="1"/>
      <c r="F18" s="1"/>
      <c r="G18" s="1"/>
    </row>
    <row r="19" spans="1:13" x14ac:dyDescent="0.55000000000000004">
      <c r="A19" s="13" t="s">
        <v>270</v>
      </c>
      <c r="B19" s="14"/>
      <c r="C19" s="6" t="s">
        <v>282</v>
      </c>
      <c r="D19" s="6" t="s">
        <v>283</v>
      </c>
      <c r="E19" s="6" t="s">
        <v>284</v>
      </c>
      <c r="F19" s="8" t="s">
        <v>274</v>
      </c>
      <c r="G19" s="9"/>
    </row>
    <row r="20" spans="1:13" x14ac:dyDescent="0.55000000000000004">
      <c r="A20" s="1022" t="s">
        <v>338</v>
      </c>
      <c r="B20" s="1023"/>
      <c r="C20" s="1072" t="s">
        <v>22</v>
      </c>
      <c r="D20" s="699">
        <f>+insumos!E24</f>
        <v>25288.987499999999</v>
      </c>
      <c r="E20" s="700">
        <v>1.3</v>
      </c>
      <c r="F20" s="1073">
        <f>+D20*E20</f>
        <v>32875.683750000004</v>
      </c>
      <c r="G20" s="10"/>
    </row>
    <row r="21" spans="1:13" x14ac:dyDescent="0.55000000000000004">
      <c r="A21" s="693" t="s">
        <v>307</v>
      </c>
      <c r="B21" s="694"/>
      <c r="C21" s="1072" t="s">
        <v>308</v>
      </c>
      <c r="D21" s="699">
        <f>+insumos!E5</f>
        <v>111.37500000000001</v>
      </c>
      <c r="E21" s="700">
        <v>30</v>
      </c>
      <c r="F21" s="1073">
        <f>+D21*E21</f>
        <v>3341.2500000000005</v>
      </c>
      <c r="G21" s="10"/>
    </row>
    <row r="22" spans="1:13" x14ac:dyDescent="0.55000000000000004">
      <c r="A22" s="693"/>
      <c r="B22" s="694"/>
      <c r="C22" s="1072"/>
      <c r="D22" s="1078"/>
      <c r="E22" s="700"/>
      <c r="F22" s="1098"/>
      <c r="G22" s="10"/>
    </row>
    <row r="23" spans="1:13" x14ac:dyDescent="0.55000000000000004">
      <c r="A23" s="693"/>
      <c r="B23" s="694"/>
      <c r="C23" s="1072"/>
      <c r="D23" s="1078"/>
      <c r="E23" s="700"/>
      <c r="F23" s="1098"/>
      <c r="G23" s="10"/>
    </row>
    <row r="24" spans="1:13" ht="14.7" thickBot="1" x14ac:dyDescent="0.6">
      <c r="A24" s="702"/>
      <c r="B24" s="16"/>
      <c r="C24" s="1081"/>
      <c r="D24" s="1082"/>
      <c r="E24" s="1083"/>
      <c r="F24" s="1084"/>
      <c r="G24" s="11"/>
    </row>
    <row r="25" spans="1:13" ht="14.7" thickBot="1" x14ac:dyDescent="0.6">
      <c r="A25" s="1"/>
      <c r="B25" s="1"/>
      <c r="C25" s="1"/>
      <c r="D25" s="1"/>
      <c r="E25" s="1"/>
      <c r="F25" s="12" t="s">
        <v>280</v>
      </c>
      <c r="G25" s="131">
        <f>ROUND(SUM(F20:F24),0)</f>
        <v>36217</v>
      </c>
    </row>
    <row r="26" spans="1:13" ht="14.7" thickBot="1" x14ac:dyDescent="0.6">
      <c r="A26" s="5" t="s">
        <v>285</v>
      </c>
      <c r="B26" s="1"/>
      <c r="C26" s="1"/>
      <c r="D26" s="1"/>
      <c r="E26" s="1"/>
      <c r="F26" s="1"/>
      <c r="G26" s="1"/>
    </row>
    <row r="27" spans="1:13" x14ac:dyDescent="0.55000000000000004">
      <c r="A27" s="163" t="s">
        <v>286</v>
      </c>
      <c r="B27" s="6" t="s">
        <v>287</v>
      </c>
      <c r="C27" s="6" t="s">
        <v>288</v>
      </c>
      <c r="D27" s="6" t="s">
        <v>289</v>
      </c>
      <c r="E27" s="6" t="s">
        <v>290</v>
      </c>
      <c r="F27" s="17" t="s">
        <v>274</v>
      </c>
      <c r="G27" s="9"/>
    </row>
    <row r="28" spans="1:13" x14ac:dyDescent="0.55000000000000004">
      <c r="A28" s="1049" t="s">
        <v>291</v>
      </c>
      <c r="B28" s="1050">
        <v>1.3</v>
      </c>
      <c r="C28" s="1050">
        <f>+cantera</f>
        <v>35</v>
      </c>
      <c r="D28" s="1050">
        <f>+B28*C28</f>
        <v>45.5</v>
      </c>
      <c r="E28" s="1051">
        <f>+'equipos y transporte'!E32</f>
        <v>1672.9261363636363</v>
      </c>
      <c r="F28" s="699">
        <f>+E28*D28</f>
        <v>76118.139204545456</v>
      </c>
      <c r="G28" s="10"/>
    </row>
    <row r="29" spans="1:13" x14ac:dyDescent="0.55000000000000004">
      <c r="A29" s="1088"/>
      <c r="B29" s="1089"/>
      <c r="C29" s="1072"/>
      <c r="D29" s="1090"/>
      <c r="E29" s="698"/>
      <c r="F29" s="698"/>
      <c r="G29" s="10"/>
    </row>
    <row r="30" spans="1:13" x14ac:dyDescent="0.55000000000000004">
      <c r="A30" s="1088"/>
      <c r="B30" s="1089"/>
      <c r="C30" s="1072"/>
      <c r="D30" s="1090"/>
      <c r="E30" s="698"/>
      <c r="F30" s="698"/>
      <c r="G30" s="10"/>
    </row>
    <row r="31" spans="1:13" ht="14.7" thickBot="1" x14ac:dyDescent="0.6">
      <c r="A31" s="1091"/>
      <c r="B31" s="1092"/>
      <c r="C31" s="1092"/>
      <c r="D31" s="1092"/>
      <c r="E31" s="1092"/>
      <c r="F31" s="1093"/>
      <c r="G31" s="10"/>
    </row>
    <row r="32" spans="1:13" ht="14.7" thickBot="1" x14ac:dyDescent="0.6">
      <c r="A32" s="1"/>
      <c r="B32" s="1"/>
      <c r="C32" s="1"/>
      <c r="D32" s="1"/>
      <c r="E32" s="1"/>
      <c r="F32" s="12" t="s">
        <v>280</v>
      </c>
      <c r="G32" s="131">
        <f>ROUND(SUM(F28:F31),0)</f>
        <v>76118</v>
      </c>
      <c r="M32" s="18"/>
    </row>
    <row r="33" spans="1:9" ht="14.7" thickBot="1" x14ac:dyDescent="0.6">
      <c r="A33" s="5" t="s">
        <v>292</v>
      </c>
      <c r="B33" s="1"/>
      <c r="C33" s="1"/>
      <c r="D33" s="1"/>
      <c r="E33" s="1"/>
      <c r="F33" s="1"/>
      <c r="G33" s="1"/>
    </row>
    <row r="34" spans="1:9" x14ac:dyDescent="0.55000000000000004">
      <c r="A34" s="19" t="s">
        <v>293</v>
      </c>
      <c r="B34" s="6" t="s">
        <v>294</v>
      </c>
      <c r="C34" s="6" t="s">
        <v>295</v>
      </c>
      <c r="D34" s="7" t="s">
        <v>296</v>
      </c>
      <c r="E34" s="20" t="s">
        <v>273</v>
      </c>
      <c r="F34" s="8" t="s">
        <v>274</v>
      </c>
      <c r="G34" s="9"/>
      <c r="I34" s="21"/>
    </row>
    <row r="35" spans="1:9" x14ac:dyDescent="0.55000000000000004">
      <c r="A35" s="1094" t="s">
        <v>339</v>
      </c>
      <c r="B35" s="699">
        <f>+jornal*3</f>
        <v>130000</v>
      </c>
      <c r="C35" s="1095">
        <v>1.85</v>
      </c>
      <c r="D35" s="699">
        <f>+B35*1.85</f>
        <v>240500</v>
      </c>
      <c r="E35" s="698">
        <f>8*2.2</f>
        <v>17.600000000000001</v>
      </c>
      <c r="F35" s="697">
        <f>+D35/E35</f>
        <v>13664.772727272726</v>
      </c>
      <c r="G35" s="10"/>
    </row>
    <row r="36" spans="1:9" x14ac:dyDescent="0.55000000000000004">
      <c r="A36" s="1094"/>
      <c r="B36" s="1096"/>
      <c r="C36" s="1095"/>
      <c r="D36" s="698"/>
      <c r="E36" s="698"/>
      <c r="F36" s="1097"/>
      <c r="G36" s="10"/>
    </row>
    <row r="37" spans="1:9" x14ac:dyDescent="0.55000000000000004">
      <c r="A37" s="1094"/>
      <c r="B37" s="1096"/>
      <c r="C37" s="1095"/>
      <c r="D37" s="1078"/>
      <c r="E37" s="698"/>
      <c r="F37" s="1098"/>
      <c r="G37" s="10"/>
    </row>
    <row r="38" spans="1:9" x14ac:dyDescent="0.55000000000000004">
      <c r="A38" s="1094"/>
      <c r="B38" s="1078"/>
      <c r="C38" s="1072"/>
      <c r="D38" s="1078"/>
      <c r="E38" s="698"/>
      <c r="F38" s="1098"/>
      <c r="G38" s="10"/>
    </row>
    <row r="39" spans="1:9" x14ac:dyDescent="0.55000000000000004">
      <c r="A39" s="1094"/>
      <c r="B39" s="1078"/>
      <c r="C39" s="1072"/>
      <c r="D39" s="1078"/>
      <c r="E39" s="698"/>
      <c r="F39" s="1098"/>
      <c r="G39" s="10"/>
    </row>
    <row r="40" spans="1:9" ht="14.7" thickBot="1" x14ac:dyDescent="0.6">
      <c r="A40" s="22"/>
      <c r="B40" s="16"/>
      <c r="C40" s="16"/>
      <c r="D40" s="16"/>
      <c r="E40" s="16"/>
      <c r="F40" s="15"/>
      <c r="G40" s="11"/>
    </row>
    <row r="41" spans="1:9" ht="14.7" thickBot="1" x14ac:dyDescent="0.6">
      <c r="A41" s="1"/>
      <c r="B41" s="1"/>
      <c r="C41" s="1"/>
      <c r="D41" s="1"/>
      <c r="E41" s="1"/>
      <c r="F41" s="12" t="s">
        <v>280</v>
      </c>
      <c r="G41" s="131">
        <f>ROUND(SUM(F35:F40),0)</f>
        <v>13665</v>
      </c>
    </row>
    <row r="42" spans="1:9" ht="14.7" thickBot="1" x14ac:dyDescent="0.6">
      <c r="A42" s="1"/>
      <c r="B42" s="23"/>
      <c r="C42" s="1"/>
      <c r="D42" s="1"/>
      <c r="E42" s="1"/>
      <c r="F42" s="24"/>
      <c r="G42" s="1"/>
    </row>
    <row r="43" spans="1:9" ht="14.7" thickBot="1" x14ac:dyDescent="0.6">
      <c r="A43" s="1"/>
      <c r="B43" s="1"/>
      <c r="C43" s="1"/>
      <c r="D43" s="25" t="s">
        <v>299</v>
      </c>
      <c r="E43" s="26"/>
      <c r="F43" s="26"/>
      <c r="G43" s="131">
        <f>G17+G25+G32+G41</f>
        <v>131856</v>
      </c>
    </row>
    <row r="44" spans="1:9" x14ac:dyDescent="0.55000000000000004">
      <c r="A44" s="1"/>
      <c r="B44" s="1"/>
      <c r="C44" s="1"/>
      <c r="D44" s="1"/>
      <c r="E44" s="1"/>
      <c r="F44" s="1"/>
      <c r="G44" s="1"/>
    </row>
    <row r="46" spans="1:9" x14ac:dyDescent="0.55000000000000004">
      <c r="D46" s="1067" t="s">
        <v>312</v>
      </c>
      <c r="E46" s="1068" t="s">
        <v>313</v>
      </c>
    </row>
    <row r="47" spans="1:9" x14ac:dyDescent="0.55000000000000004">
      <c r="D47" s="1067"/>
      <c r="E47" s="1068"/>
    </row>
    <row r="48" spans="1:9" ht="14.7" thickBot="1" x14ac:dyDescent="0.6">
      <c r="D48" s="1069"/>
      <c r="E48" s="1070"/>
    </row>
  </sheetData>
  <mergeCells count="1">
    <mergeCell ref="B1:G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49"/>
  <sheetViews>
    <sheetView workbookViewId="0"/>
  </sheetViews>
  <sheetFormatPr baseColWidth="10" defaultColWidth="9.15625" defaultRowHeight="14.4" x14ac:dyDescent="0.55000000000000004"/>
  <cols>
    <col min="1" max="1" width="68.83984375" bestFit="1" customWidth="1"/>
    <col min="2" max="2" width="12.578125" bestFit="1" customWidth="1"/>
    <col min="3" max="3" width="12.26171875" bestFit="1" customWidth="1"/>
    <col min="4" max="4" width="12.578125" bestFit="1" customWidth="1"/>
    <col min="5" max="5" width="9.26171875" bestFit="1" customWidth="1"/>
    <col min="6" max="6" width="14.578125" bestFit="1" customWidth="1"/>
    <col min="7" max="7" width="9.83984375" bestFit="1" customWidth="1"/>
    <col min="8" max="8" width="10.15625" bestFit="1" customWidth="1"/>
    <col min="10" max="10" width="11.578125" bestFit="1" customWidth="1"/>
    <col min="12" max="12" width="13.15625" bestFit="1" customWidth="1"/>
  </cols>
  <sheetData>
    <row r="1" spans="1:11" ht="15" customHeight="1" x14ac:dyDescent="0.55000000000000004">
      <c r="A1" s="154" t="s">
        <v>261</v>
      </c>
      <c r="B1" s="1274" t="s">
        <v>0</v>
      </c>
      <c r="C1" s="1274"/>
      <c r="D1" s="1274"/>
      <c r="E1" s="1274"/>
      <c r="F1" s="1274"/>
      <c r="G1" s="1275"/>
    </row>
    <row r="2" spans="1:11" x14ac:dyDescent="0.55000000000000004">
      <c r="A2" s="157"/>
      <c r="B2" s="1279"/>
      <c r="C2" s="1279"/>
      <c r="D2" s="1279"/>
      <c r="E2" s="1279"/>
      <c r="F2" s="1279"/>
      <c r="G2" s="1280"/>
    </row>
    <row r="3" spans="1:11" ht="14.7" thickBot="1" x14ac:dyDescent="0.6">
      <c r="A3" s="1061"/>
      <c r="B3" s="1281"/>
      <c r="C3" s="1281"/>
      <c r="D3" s="1281"/>
      <c r="E3" s="1281"/>
      <c r="F3" s="1281"/>
      <c r="G3" s="1282"/>
    </row>
    <row r="4" spans="1:11" x14ac:dyDescent="0.55000000000000004">
      <c r="A4" s="2"/>
      <c r="B4" s="1"/>
      <c r="C4" s="1"/>
      <c r="D4" s="1"/>
      <c r="E4" s="1"/>
      <c r="F4" s="1"/>
      <c r="G4" s="1"/>
    </row>
    <row r="5" spans="1:11" x14ac:dyDescent="0.55000000000000004">
      <c r="A5" s="2" t="s">
        <v>300</v>
      </c>
      <c r="B5" s="1"/>
      <c r="D5" s="4" t="s">
        <v>264</v>
      </c>
      <c r="E5" s="12">
        <v>630.4</v>
      </c>
      <c r="F5" s="3" t="s">
        <v>265</v>
      </c>
      <c r="G5" s="24" t="s">
        <v>52</v>
      </c>
    </row>
    <row r="6" spans="1:11" x14ac:dyDescent="0.55000000000000004">
      <c r="A6" s="2" t="s">
        <v>340</v>
      </c>
      <c r="B6" s="1"/>
      <c r="C6" s="3"/>
      <c r="D6" s="3"/>
      <c r="E6" s="3"/>
      <c r="F6" s="3" t="s">
        <v>268</v>
      </c>
      <c r="G6" s="24" t="s">
        <v>22</v>
      </c>
    </row>
    <row r="7" spans="1:11" x14ac:dyDescent="0.55000000000000004">
      <c r="A7" s="3"/>
      <c r="B7" s="1"/>
      <c r="C7" s="3"/>
      <c r="D7" s="3"/>
      <c r="E7" s="3"/>
      <c r="F7" s="3"/>
      <c r="G7" s="1"/>
    </row>
    <row r="8" spans="1:11" ht="14.7" thickBot="1" x14ac:dyDescent="0.6">
      <c r="A8" s="5" t="s">
        <v>269</v>
      </c>
      <c r="B8" s="1"/>
      <c r="C8" s="1"/>
      <c r="D8" s="1"/>
      <c r="E8" s="1"/>
      <c r="F8" s="1"/>
      <c r="G8" s="1"/>
    </row>
    <row r="9" spans="1:11" x14ac:dyDescent="0.55000000000000004">
      <c r="A9" s="163" t="s">
        <v>270</v>
      </c>
      <c r="B9" s="6"/>
      <c r="C9" s="6" t="s">
        <v>271</v>
      </c>
      <c r="D9" s="7" t="s">
        <v>272</v>
      </c>
      <c r="E9" s="6" t="s">
        <v>273</v>
      </c>
      <c r="F9" s="8" t="s">
        <v>274</v>
      </c>
      <c r="G9" s="9"/>
    </row>
    <row r="10" spans="1:11" x14ac:dyDescent="0.55000000000000004">
      <c r="A10" s="1049" t="s">
        <v>316</v>
      </c>
      <c r="B10" s="1071"/>
      <c r="C10" s="1072"/>
      <c r="D10" s="699">
        <f>+'equipos y transporte'!E5</f>
        <v>3320.1</v>
      </c>
      <c r="E10" s="698">
        <v>2</v>
      </c>
      <c r="F10" s="1073">
        <f>+D10/E10</f>
        <v>1660.05</v>
      </c>
      <c r="G10" s="10"/>
    </row>
    <row r="11" spans="1:11" x14ac:dyDescent="0.55000000000000004">
      <c r="A11" s="1049" t="s">
        <v>341</v>
      </c>
      <c r="B11" s="1071"/>
      <c r="C11" s="1074"/>
      <c r="D11" s="1075">
        <f>+'equipos y transporte'!E24</f>
        <v>9103.5</v>
      </c>
      <c r="E11" s="698">
        <v>2</v>
      </c>
      <c r="F11" s="1073">
        <f>+D11/E11</f>
        <v>4551.75</v>
      </c>
      <c r="G11" s="10"/>
    </row>
    <row r="12" spans="1:11" x14ac:dyDescent="0.55000000000000004">
      <c r="A12" s="1049" t="s">
        <v>342</v>
      </c>
      <c r="B12" s="1071"/>
      <c r="C12" s="1074"/>
      <c r="D12" s="1078"/>
      <c r="E12" s="698"/>
      <c r="F12" s="1073">
        <f>+G40*5%</f>
        <v>1929</v>
      </c>
      <c r="G12" s="10"/>
    </row>
    <row r="13" spans="1:11" x14ac:dyDescent="0.55000000000000004">
      <c r="A13" s="1049"/>
      <c r="B13" s="1071"/>
      <c r="C13" s="1072"/>
      <c r="D13" s="1078"/>
      <c r="E13" s="698"/>
      <c r="F13" s="1098"/>
      <c r="G13" s="10"/>
      <c r="K13" s="328"/>
    </row>
    <row r="14" spans="1:11" x14ac:dyDescent="0.55000000000000004">
      <c r="A14" s="1049"/>
      <c r="B14" s="1071"/>
      <c r="C14" s="1074"/>
      <c r="D14" s="1100"/>
      <c r="E14" s="698"/>
      <c r="F14" s="1098"/>
      <c r="G14" s="10"/>
    </row>
    <row r="15" spans="1:11" ht="14.7" thickBot="1" x14ac:dyDescent="0.6">
      <c r="A15" s="1079"/>
      <c r="B15" s="1080"/>
      <c r="C15" s="1081"/>
      <c r="D15" s="1082"/>
      <c r="E15" s="1083"/>
      <c r="F15" s="1084"/>
      <c r="G15" s="11"/>
    </row>
    <row r="16" spans="1:11" ht="14.7" thickBot="1" x14ac:dyDescent="0.6">
      <c r="A16" s="1"/>
      <c r="B16" s="1"/>
      <c r="C16" s="1"/>
      <c r="D16" s="1"/>
      <c r="E16" s="1"/>
      <c r="F16" s="12" t="s">
        <v>280</v>
      </c>
      <c r="G16" s="131">
        <f>ROUND(SUM(F10:F15),0)</f>
        <v>8141</v>
      </c>
    </row>
    <row r="17" spans="1:12" ht="14.7" thickBot="1" x14ac:dyDescent="0.6">
      <c r="A17" s="5" t="s">
        <v>281</v>
      </c>
      <c r="B17" s="1"/>
      <c r="C17" s="1"/>
      <c r="D17" s="1"/>
      <c r="E17" s="1"/>
      <c r="F17" s="1"/>
      <c r="G17" s="1"/>
    </row>
    <row r="18" spans="1:12" x14ac:dyDescent="0.55000000000000004">
      <c r="A18" s="13" t="s">
        <v>270</v>
      </c>
      <c r="B18" s="14"/>
      <c r="C18" s="6" t="s">
        <v>282</v>
      </c>
      <c r="D18" s="6" t="s">
        <v>283</v>
      </c>
      <c r="E18" s="6" t="s">
        <v>284</v>
      </c>
      <c r="F18" s="8" t="s">
        <v>274</v>
      </c>
      <c r="G18" s="9"/>
      <c r="J18" s="549"/>
      <c r="K18" s="549"/>
      <c r="L18" s="549"/>
    </row>
    <row r="19" spans="1:12" x14ac:dyDescent="0.55000000000000004">
      <c r="A19" s="693" t="s">
        <v>343</v>
      </c>
      <c r="B19" s="694"/>
      <c r="C19" s="1072" t="s">
        <v>22</v>
      </c>
      <c r="D19" s="1101">
        <f>+insumos!E16</f>
        <v>646227</v>
      </c>
      <c r="E19" s="1072">
        <v>1.05</v>
      </c>
      <c r="F19" s="1073">
        <f>+E19*D19</f>
        <v>678538.35</v>
      </c>
      <c r="G19" s="10"/>
      <c r="J19" s="549"/>
      <c r="K19" s="549"/>
      <c r="L19" s="549"/>
    </row>
    <row r="20" spans="1:12" x14ac:dyDescent="0.55000000000000004">
      <c r="A20" s="693" t="s">
        <v>344</v>
      </c>
      <c r="B20" s="694"/>
      <c r="C20" s="1072" t="s">
        <v>46</v>
      </c>
      <c r="D20" s="1102">
        <f>+insumos!E7</f>
        <v>29122.537499999999</v>
      </c>
      <c r="E20" s="1072">
        <v>1.05</v>
      </c>
      <c r="F20" s="1073">
        <f>+E20*D20</f>
        <v>30578.664375</v>
      </c>
      <c r="G20" s="10"/>
      <c r="J20" s="549"/>
      <c r="K20" s="549"/>
      <c r="L20" s="549"/>
    </row>
    <row r="21" spans="1:12" x14ac:dyDescent="0.55000000000000004">
      <c r="A21" s="693" t="s">
        <v>345</v>
      </c>
      <c r="B21" s="694"/>
      <c r="C21" s="1072" t="s">
        <v>346</v>
      </c>
      <c r="D21" s="1102">
        <f>+insumos!E20</f>
        <v>18916.537500000002</v>
      </c>
      <c r="E21" s="1072">
        <v>5</v>
      </c>
      <c r="F21" s="1073">
        <f>+E21*D21</f>
        <v>94582.687500000015</v>
      </c>
      <c r="G21" s="10"/>
      <c r="J21" s="549"/>
      <c r="K21" s="549"/>
      <c r="L21" s="549"/>
    </row>
    <row r="22" spans="1:12" x14ac:dyDescent="0.55000000000000004">
      <c r="A22" s="693"/>
      <c r="B22" s="694"/>
      <c r="C22" s="1072"/>
      <c r="D22" s="1078"/>
      <c r="E22" s="700"/>
      <c r="F22" s="1098"/>
      <c r="G22" s="10"/>
      <c r="J22" s="549"/>
      <c r="K22" s="549"/>
      <c r="L22" s="549"/>
    </row>
    <row r="23" spans="1:12" ht="14.7" thickBot="1" x14ac:dyDescent="0.6">
      <c r="A23" s="702"/>
      <c r="B23" s="16"/>
      <c r="C23" s="1081"/>
      <c r="D23" s="1082"/>
      <c r="E23" s="1083"/>
      <c r="F23" s="1084"/>
      <c r="G23" s="11"/>
      <c r="J23" s="549"/>
      <c r="K23" s="549"/>
      <c r="L23" s="549"/>
    </row>
    <row r="24" spans="1:12" ht="14.7" thickBot="1" x14ac:dyDescent="0.6">
      <c r="A24" s="1"/>
      <c r="B24" s="1"/>
      <c r="C24" s="1"/>
      <c r="D24" s="1"/>
      <c r="E24" s="1"/>
      <c r="F24" s="12" t="s">
        <v>280</v>
      </c>
      <c r="G24" s="131">
        <f>ROUND(SUM(F19:F23),0)</f>
        <v>803700</v>
      </c>
      <c r="L24" s="381"/>
    </row>
    <row r="25" spans="1:12" ht="14.7" thickBot="1" x14ac:dyDescent="0.6">
      <c r="A25" s="5" t="s">
        <v>285</v>
      </c>
      <c r="B25" s="1"/>
      <c r="C25" s="1"/>
      <c r="D25" s="1"/>
      <c r="E25" s="1"/>
      <c r="F25" s="1"/>
      <c r="G25" s="1"/>
    </row>
    <row r="26" spans="1:12" x14ac:dyDescent="0.55000000000000004">
      <c r="A26" s="163" t="s">
        <v>286</v>
      </c>
      <c r="B26" s="6" t="s">
        <v>287</v>
      </c>
      <c r="C26" s="6" t="s">
        <v>288</v>
      </c>
      <c r="D26" s="6" t="s">
        <v>289</v>
      </c>
      <c r="E26" s="6" t="s">
        <v>290</v>
      </c>
      <c r="F26" s="17" t="s">
        <v>274</v>
      </c>
      <c r="G26" s="9"/>
    </row>
    <row r="27" spans="1:12" x14ac:dyDescent="0.55000000000000004">
      <c r="A27" s="1049"/>
      <c r="B27" s="1050"/>
      <c r="C27" s="1050"/>
      <c r="D27" s="1050"/>
      <c r="E27" s="1051"/>
      <c r="F27" s="699"/>
      <c r="G27" s="10"/>
    </row>
    <row r="28" spans="1:12" x14ac:dyDescent="0.55000000000000004">
      <c r="A28" s="1088"/>
      <c r="B28" s="1089"/>
      <c r="C28" s="1072"/>
      <c r="D28" s="1090"/>
      <c r="E28" s="698"/>
      <c r="F28" s="698"/>
      <c r="G28" s="10"/>
    </row>
    <row r="29" spans="1:12" x14ac:dyDescent="0.55000000000000004">
      <c r="A29" s="1088"/>
      <c r="B29" s="1089"/>
      <c r="C29" s="1072"/>
      <c r="D29" s="1090"/>
      <c r="E29" s="698"/>
      <c r="F29" s="698"/>
      <c r="G29" s="10"/>
      <c r="L29" s="549"/>
    </row>
    <row r="30" spans="1:12" ht="14.7" thickBot="1" x14ac:dyDescent="0.6">
      <c r="A30" s="1091"/>
      <c r="B30" s="1092"/>
      <c r="C30" s="1092"/>
      <c r="D30" s="1092"/>
      <c r="E30" s="1092"/>
      <c r="F30" s="1093"/>
      <c r="G30" s="10"/>
    </row>
    <row r="31" spans="1:12" ht="14.7" thickBot="1" x14ac:dyDescent="0.6">
      <c r="A31" s="1"/>
      <c r="B31" s="1"/>
      <c r="C31" s="1"/>
      <c r="D31" s="1"/>
      <c r="E31" s="1"/>
      <c r="F31" s="12" t="s">
        <v>280</v>
      </c>
      <c r="G31" s="131">
        <f>ROUND(SUM(F27:F30),0)</f>
        <v>0</v>
      </c>
    </row>
    <row r="32" spans="1:12" ht="14.7" thickBot="1" x14ac:dyDescent="0.6">
      <c r="A32" s="5" t="s">
        <v>292</v>
      </c>
      <c r="B32" s="1"/>
      <c r="C32" s="1"/>
      <c r="D32" s="1"/>
      <c r="E32" s="1"/>
      <c r="F32" s="1"/>
      <c r="G32" s="1"/>
    </row>
    <row r="33" spans="1:12" x14ac:dyDescent="0.55000000000000004">
      <c r="A33" s="19" t="s">
        <v>293</v>
      </c>
      <c r="B33" s="6" t="s">
        <v>294</v>
      </c>
      <c r="C33" s="6" t="s">
        <v>295</v>
      </c>
      <c r="D33" s="7" t="s">
        <v>296</v>
      </c>
      <c r="E33" s="20" t="s">
        <v>273</v>
      </c>
      <c r="F33" s="8" t="s">
        <v>274</v>
      </c>
      <c r="G33" s="9"/>
    </row>
    <row r="34" spans="1:12" x14ac:dyDescent="0.55000000000000004">
      <c r="A34" s="1094" t="s">
        <v>347</v>
      </c>
      <c r="B34" s="699">
        <f>+jornal*6</f>
        <v>260000</v>
      </c>
      <c r="C34" s="1095">
        <v>1.85</v>
      </c>
      <c r="D34" s="699">
        <f>+B34*C34</f>
        <v>481000</v>
      </c>
      <c r="E34" s="698">
        <v>16</v>
      </c>
      <c r="F34" s="697">
        <f>+D34/E34</f>
        <v>30062.5</v>
      </c>
      <c r="G34" s="10"/>
    </row>
    <row r="35" spans="1:12" x14ac:dyDescent="0.55000000000000004">
      <c r="A35" s="1094" t="s">
        <v>311</v>
      </c>
      <c r="B35" s="699">
        <f>+ofic</f>
        <v>73666.666666666672</v>
      </c>
      <c r="C35" s="1095">
        <v>1.85</v>
      </c>
      <c r="D35" s="699">
        <f>+B35*C35</f>
        <v>136283.33333333334</v>
      </c>
      <c r="E35" s="698">
        <v>16</v>
      </c>
      <c r="F35" s="697">
        <f>+D35/E35</f>
        <v>8517.7083333333339</v>
      </c>
      <c r="G35" s="10"/>
    </row>
    <row r="36" spans="1:12" x14ac:dyDescent="0.55000000000000004">
      <c r="A36" s="1094"/>
      <c r="B36" s="1096"/>
      <c r="C36" s="1095"/>
      <c r="D36" s="1078"/>
      <c r="E36" s="698"/>
      <c r="F36" s="1098"/>
      <c r="G36" s="10"/>
    </row>
    <row r="37" spans="1:12" x14ac:dyDescent="0.55000000000000004">
      <c r="A37" s="1094"/>
      <c r="B37" s="1078"/>
      <c r="C37" s="1072"/>
      <c r="D37" s="1078"/>
      <c r="E37" s="698"/>
      <c r="F37" s="1098"/>
      <c r="G37" s="10"/>
    </row>
    <row r="38" spans="1:12" x14ac:dyDescent="0.55000000000000004">
      <c r="A38" s="1094"/>
      <c r="B38" s="1078"/>
      <c r="C38" s="1072"/>
      <c r="D38" s="1078"/>
      <c r="E38" s="698"/>
      <c r="F38" s="1098"/>
      <c r="G38" s="10"/>
    </row>
    <row r="39" spans="1:12" ht="14.7" thickBot="1" x14ac:dyDescent="0.6">
      <c r="A39" s="22"/>
      <c r="B39" s="16"/>
      <c r="C39" s="16"/>
      <c r="D39" s="16"/>
      <c r="E39" s="16"/>
      <c r="F39" s="15"/>
      <c r="G39" s="11"/>
    </row>
    <row r="40" spans="1:12" ht="14.7" thickBot="1" x14ac:dyDescent="0.6">
      <c r="A40" s="1"/>
      <c r="B40" s="1"/>
      <c r="C40" s="1"/>
      <c r="D40" s="1"/>
      <c r="E40" s="1"/>
      <c r="F40" s="12" t="s">
        <v>280</v>
      </c>
      <c r="G40" s="131">
        <f>ROUND(SUM(F34:F39),0)</f>
        <v>38580</v>
      </c>
      <c r="L40" s="328"/>
    </row>
    <row r="41" spans="1:12" ht="14.7" thickBot="1" x14ac:dyDescent="0.6">
      <c r="A41" s="1"/>
      <c r="B41" s="1"/>
      <c r="C41" s="1"/>
      <c r="D41" s="1"/>
      <c r="E41" s="1"/>
      <c r="F41" s="24"/>
      <c r="G41" s="1"/>
    </row>
    <row r="42" spans="1:12" ht="14.7" thickBot="1" x14ac:dyDescent="0.6">
      <c r="A42" s="1"/>
      <c r="B42" s="1"/>
      <c r="C42" s="1"/>
      <c r="D42" s="25" t="s">
        <v>299</v>
      </c>
      <c r="E42" s="26"/>
      <c r="F42" s="26"/>
      <c r="G42" s="131">
        <f>ROUND((G16+G24+G31+G40),0)</f>
        <v>850421</v>
      </c>
      <c r="H42" s="327"/>
      <c r="L42" s="381"/>
    </row>
    <row r="43" spans="1:12" x14ac:dyDescent="0.55000000000000004">
      <c r="A43" s="1"/>
      <c r="B43" s="1"/>
      <c r="C43" s="1"/>
      <c r="D43" s="1"/>
      <c r="E43" s="1"/>
      <c r="F43" s="1"/>
      <c r="G43" s="1"/>
    </row>
    <row r="45" spans="1:12" x14ac:dyDescent="0.55000000000000004">
      <c r="C45" s="1103"/>
      <c r="D45" s="1104"/>
    </row>
    <row r="46" spans="1:12" x14ac:dyDescent="0.55000000000000004">
      <c r="C46" s="1103"/>
      <c r="D46" s="1104"/>
    </row>
    <row r="47" spans="1:12" x14ac:dyDescent="0.55000000000000004">
      <c r="C47" s="1067" t="s">
        <v>312</v>
      </c>
      <c r="D47" s="1068" t="s">
        <v>313</v>
      </c>
    </row>
    <row r="48" spans="1:12" x14ac:dyDescent="0.55000000000000004">
      <c r="C48" s="1067"/>
      <c r="D48" s="1068"/>
    </row>
    <row r="49" spans="3:4" ht="14.7" thickBot="1" x14ac:dyDescent="0.6">
      <c r="C49" s="1069"/>
      <c r="D49" s="1070"/>
    </row>
  </sheetData>
  <mergeCells count="1">
    <mergeCell ref="B1:G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48"/>
  <sheetViews>
    <sheetView topLeftCell="A34" workbookViewId="0"/>
  </sheetViews>
  <sheetFormatPr baseColWidth="10" defaultColWidth="9.15625" defaultRowHeight="14.4" x14ac:dyDescent="0.55000000000000004"/>
  <cols>
    <col min="1" max="1" width="44.578125" bestFit="1" customWidth="1"/>
    <col min="2" max="3" width="12.578125" bestFit="1" customWidth="1"/>
    <col min="4" max="4" width="8.83984375" bestFit="1" customWidth="1"/>
    <col min="5" max="5" width="9.26171875" bestFit="1" customWidth="1"/>
    <col min="6" max="6" width="14.578125" bestFit="1" customWidth="1"/>
    <col min="7" max="7" width="6.83984375" bestFit="1" customWidth="1"/>
  </cols>
  <sheetData>
    <row r="1" spans="1:7" ht="46.5" customHeight="1" x14ac:dyDescent="0.55000000000000004">
      <c r="A1" s="154" t="s">
        <v>261</v>
      </c>
      <c r="B1" s="156"/>
      <c r="C1" s="1273" t="s">
        <v>0</v>
      </c>
      <c r="D1" s="1274"/>
      <c r="E1" s="1274"/>
      <c r="F1" s="1274"/>
      <c r="G1" s="1275"/>
    </row>
    <row r="2" spans="1:7" x14ac:dyDescent="0.55000000000000004">
      <c r="A2" s="157"/>
      <c r="B2" s="158"/>
      <c r="C2" s="1283"/>
      <c r="D2" s="1279"/>
      <c r="E2" s="1279"/>
      <c r="F2" s="1279"/>
      <c r="G2" s="1280"/>
    </row>
    <row r="3" spans="1:7" ht="14.7" thickBot="1" x14ac:dyDescent="0.6">
      <c r="A3" s="1061"/>
      <c r="B3" s="1062"/>
      <c r="C3" s="1284"/>
      <c r="D3" s="1281"/>
      <c r="E3" s="1281"/>
      <c r="F3" s="1281"/>
      <c r="G3" s="1282"/>
    </row>
    <row r="4" spans="1:7" x14ac:dyDescent="0.55000000000000004">
      <c r="A4" s="2"/>
      <c r="B4" s="1"/>
      <c r="C4" s="1"/>
      <c r="D4" s="1"/>
      <c r="E4" s="1"/>
      <c r="F4" s="1"/>
      <c r="G4" s="1"/>
    </row>
    <row r="5" spans="1:7" x14ac:dyDescent="0.55000000000000004">
      <c r="A5" s="2" t="s">
        <v>348</v>
      </c>
      <c r="B5" s="1"/>
      <c r="D5" s="4" t="s">
        <v>264</v>
      </c>
      <c r="E5" s="12">
        <v>640.1</v>
      </c>
      <c r="F5" s="3" t="s">
        <v>265</v>
      </c>
      <c r="G5" s="24" t="s">
        <v>44</v>
      </c>
    </row>
    <row r="6" spans="1:7" x14ac:dyDescent="0.55000000000000004">
      <c r="A6" s="2" t="s">
        <v>349</v>
      </c>
      <c r="B6" s="1"/>
      <c r="C6" s="3"/>
      <c r="D6" s="3"/>
      <c r="E6" s="3"/>
      <c r="F6" s="3" t="s">
        <v>268</v>
      </c>
      <c r="G6" s="24" t="s">
        <v>46</v>
      </c>
    </row>
    <row r="7" spans="1:7" x14ac:dyDescent="0.55000000000000004">
      <c r="A7" s="3"/>
      <c r="B7" s="1"/>
      <c r="C7" s="3"/>
      <c r="D7" s="3"/>
      <c r="E7" s="3"/>
      <c r="F7" s="3"/>
      <c r="G7" s="1"/>
    </row>
    <row r="8" spans="1:7" ht="14.7" thickBot="1" x14ac:dyDescent="0.6">
      <c r="A8" s="5" t="s">
        <v>269</v>
      </c>
      <c r="B8" s="1"/>
      <c r="C8" s="1"/>
      <c r="D8" s="1"/>
      <c r="E8" s="1"/>
      <c r="F8" s="1"/>
      <c r="G8" s="1"/>
    </row>
    <row r="9" spans="1:7" x14ac:dyDescent="0.55000000000000004">
      <c r="A9" s="163" t="s">
        <v>270</v>
      </c>
      <c r="B9" s="6"/>
      <c r="C9" s="6" t="s">
        <v>271</v>
      </c>
      <c r="D9" s="7" t="s">
        <v>272</v>
      </c>
      <c r="E9" s="6" t="s">
        <v>273</v>
      </c>
      <c r="F9" s="8" t="s">
        <v>274</v>
      </c>
      <c r="G9" s="9"/>
    </row>
    <row r="10" spans="1:7" x14ac:dyDescent="0.55000000000000004">
      <c r="A10" s="1049" t="s">
        <v>350</v>
      </c>
      <c r="B10" s="1071"/>
      <c r="C10" s="1072"/>
      <c r="D10" s="699">
        <f>+'equipos y transporte'!E9</f>
        <v>2945.25</v>
      </c>
      <c r="E10" s="698">
        <v>18</v>
      </c>
      <c r="F10" s="1073">
        <f>+D10/E10</f>
        <v>163.625</v>
      </c>
      <c r="G10" s="10"/>
    </row>
    <row r="11" spans="1:7" x14ac:dyDescent="0.55000000000000004">
      <c r="A11" s="1049"/>
      <c r="B11" s="1071"/>
      <c r="C11" s="1074"/>
      <c r="D11" s="1100"/>
      <c r="E11" s="698"/>
      <c r="F11" s="1073"/>
      <c r="G11" s="10"/>
    </row>
    <row r="12" spans="1:7" x14ac:dyDescent="0.55000000000000004">
      <c r="A12" s="1049" t="s">
        <v>342</v>
      </c>
      <c r="B12" s="1071"/>
      <c r="C12" s="1074"/>
      <c r="D12" s="1078"/>
      <c r="E12" s="698"/>
      <c r="F12" s="1073">
        <f>+G40*5%</f>
        <v>75.150000000000006</v>
      </c>
      <c r="G12" s="10"/>
    </row>
    <row r="13" spans="1:7" x14ac:dyDescent="0.55000000000000004">
      <c r="A13" s="1049"/>
      <c r="B13" s="1071"/>
      <c r="C13" s="1072"/>
      <c r="D13" s="1078"/>
      <c r="E13" s="698"/>
      <c r="F13" s="1098"/>
      <c r="G13" s="10"/>
    </row>
    <row r="14" spans="1:7" x14ac:dyDescent="0.55000000000000004">
      <c r="A14" s="1049"/>
      <c r="B14" s="1071"/>
      <c r="C14" s="1074"/>
      <c r="D14" s="1100"/>
      <c r="E14" s="698"/>
      <c r="F14" s="1098"/>
      <c r="G14" s="10"/>
    </row>
    <row r="15" spans="1:7" ht="14.7" thickBot="1" x14ac:dyDescent="0.6">
      <c r="A15" s="1079"/>
      <c r="B15" s="1080"/>
      <c r="C15" s="1081"/>
      <c r="D15" s="1082"/>
      <c r="E15" s="1083"/>
      <c r="F15" s="1084"/>
      <c r="G15" s="11"/>
    </row>
    <row r="16" spans="1:7" ht="14.7" thickBot="1" x14ac:dyDescent="0.6">
      <c r="A16" s="1"/>
      <c r="B16" s="1"/>
      <c r="C16" s="1"/>
      <c r="D16" s="1"/>
      <c r="E16" s="1"/>
      <c r="F16" s="12" t="s">
        <v>280</v>
      </c>
      <c r="G16" s="131">
        <f>ROUND(SUM(F10:F15),0)</f>
        <v>239</v>
      </c>
    </row>
    <row r="17" spans="1:10" ht="14.7" thickBot="1" x14ac:dyDescent="0.6">
      <c r="A17" s="5" t="s">
        <v>281</v>
      </c>
      <c r="B17" s="1"/>
      <c r="C17" s="1"/>
      <c r="D17" s="1"/>
      <c r="E17" s="1"/>
      <c r="F17" s="1"/>
      <c r="G17" s="1"/>
    </row>
    <row r="18" spans="1:10" x14ac:dyDescent="0.55000000000000004">
      <c r="A18" s="13" t="s">
        <v>270</v>
      </c>
      <c r="B18" s="14"/>
      <c r="C18" s="6" t="s">
        <v>282</v>
      </c>
      <c r="D18" s="6" t="s">
        <v>283</v>
      </c>
      <c r="E18" s="6" t="s">
        <v>284</v>
      </c>
      <c r="F18" s="8" t="s">
        <v>274</v>
      </c>
      <c r="G18" s="9"/>
    </row>
    <row r="19" spans="1:10" x14ac:dyDescent="0.55000000000000004">
      <c r="A19" s="693" t="s">
        <v>351</v>
      </c>
      <c r="B19" s="694"/>
      <c r="C19" s="1072" t="s">
        <v>46</v>
      </c>
      <c r="D19" s="1105">
        <f>+insumos!E3</f>
        <v>6171.4922727272715</v>
      </c>
      <c r="E19" s="1087">
        <v>1.0549999999999999</v>
      </c>
      <c r="F19" s="1073">
        <f>+E19*D19</f>
        <v>6510.9243477272712</v>
      </c>
      <c r="G19" s="10"/>
    </row>
    <row r="20" spans="1:10" x14ac:dyDescent="0.55000000000000004">
      <c r="A20" s="693" t="s">
        <v>352</v>
      </c>
      <c r="B20" s="694"/>
      <c r="C20" s="1072" t="s">
        <v>46</v>
      </c>
      <c r="D20" s="1105">
        <f>+insumos!E6</f>
        <v>10307.039595923019</v>
      </c>
      <c r="E20" s="1087">
        <v>3.5000000000000003E-2</v>
      </c>
      <c r="F20" s="1073">
        <f>+E20*D20</f>
        <v>360.74638585730571</v>
      </c>
      <c r="G20" s="10"/>
    </row>
    <row r="21" spans="1:10" x14ac:dyDescent="0.55000000000000004">
      <c r="A21" s="693"/>
      <c r="B21" s="694"/>
      <c r="C21" s="1072"/>
      <c r="D21" s="1105"/>
      <c r="E21" s="1072"/>
      <c r="F21" s="1098"/>
      <c r="G21" s="10"/>
    </row>
    <row r="22" spans="1:10" x14ac:dyDescent="0.55000000000000004">
      <c r="A22" s="693"/>
      <c r="B22" s="694"/>
      <c r="C22" s="1072"/>
      <c r="D22" s="1078"/>
      <c r="E22" s="700"/>
      <c r="F22" s="1098"/>
      <c r="G22" s="10"/>
    </row>
    <row r="23" spans="1:10" ht="14.7" thickBot="1" x14ac:dyDescent="0.6">
      <c r="A23" s="702"/>
      <c r="B23" s="16"/>
      <c r="C23" s="1081"/>
      <c r="D23" s="1082"/>
      <c r="E23" s="1083"/>
      <c r="F23" s="1084"/>
      <c r="G23" s="11"/>
    </row>
    <row r="24" spans="1:10" ht="14.7" thickBot="1" x14ac:dyDescent="0.6">
      <c r="A24" s="1"/>
      <c r="B24" s="1"/>
      <c r="C24" s="1"/>
      <c r="D24" s="1"/>
      <c r="E24" s="1"/>
      <c r="F24" s="12" t="s">
        <v>280</v>
      </c>
      <c r="G24" s="131">
        <f>ROUND(SUM(F19:F23),0)</f>
        <v>6872</v>
      </c>
    </row>
    <row r="25" spans="1:10" ht="14.7" thickBot="1" x14ac:dyDescent="0.6">
      <c r="A25" s="5" t="s">
        <v>285</v>
      </c>
      <c r="B25" s="1"/>
      <c r="C25" s="1"/>
      <c r="D25" s="1"/>
      <c r="E25" s="1"/>
      <c r="F25" s="1"/>
      <c r="G25" s="1"/>
    </row>
    <row r="26" spans="1:10" x14ac:dyDescent="0.55000000000000004">
      <c r="A26" s="163" t="s">
        <v>286</v>
      </c>
      <c r="B26" s="6" t="s">
        <v>287</v>
      </c>
      <c r="C26" s="6" t="s">
        <v>288</v>
      </c>
      <c r="D26" s="6" t="s">
        <v>289</v>
      </c>
      <c r="E26" s="6" t="s">
        <v>290</v>
      </c>
      <c r="F26" s="17" t="s">
        <v>274</v>
      </c>
      <c r="G26" s="9"/>
    </row>
    <row r="27" spans="1:10" x14ac:dyDescent="0.55000000000000004">
      <c r="A27" s="1049" t="s">
        <v>353</v>
      </c>
      <c r="B27" s="1050">
        <v>1.05</v>
      </c>
      <c r="C27" s="1050">
        <f>+acero</f>
        <v>20</v>
      </c>
      <c r="D27" s="1050">
        <f>+B27*C27</f>
        <v>21</v>
      </c>
      <c r="E27" s="1106">
        <f>+'equipos y transporte'!E27</f>
        <v>1.0350000000000001</v>
      </c>
      <c r="F27" s="1107">
        <f>+E27*D27</f>
        <v>21.735000000000003</v>
      </c>
      <c r="G27" s="10"/>
    </row>
    <row r="28" spans="1:10" x14ac:dyDescent="0.55000000000000004">
      <c r="A28" s="1088"/>
      <c r="B28" s="1089"/>
      <c r="C28" s="1072"/>
      <c r="D28" s="1090"/>
      <c r="E28" s="698"/>
      <c r="F28" s="698"/>
      <c r="G28" s="10"/>
    </row>
    <row r="29" spans="1:10" x14ac:dyDescent="0.55000000000000004">
      <c r="A29" s="1088"/>
      <c r="B29" s="1089"/>
      <c r="C29" s="1072"/>
      <c r="D29" s="1090"/>
      <c r="E29" s="698"/>
      <c r="F29" s="698"/>
      <c r="G29" s="10"/>
    </row>
    <row r="30" spans="1:10" ht="14.7" thickBot="1" x14ac:dyDescent="0.6">
      <c r="A30" s="1091"/>
      <c r="B30" s="1092"/>
      <c r="C30" s="1092"/>
      <c r="D30" s="1092"/>
      <c r="E30" s="1092"/>
      <c r="F30" s="1093"/>
      <c r="G30" s="10"/>
    </row>
    <row r="31" spans="1:10" ht="14.7" thickBot="1" x14ac:dyDescent="0.6">
      <c r="A31" s="1"/>
      <c r="B31" s="1"/>
      <c r="C31" s="1"/>
      <c r="D31" s="1"/>
      <c r="E31" s="1"/>
      <c r="F31" s="12" t="s">
        <v>280</v>
      </c>
      <c r="G31" s="131">
        <f>ROUND(SUM(F27:F30),0)</f>
        <v>22</v>
      </c>
      <c r="J31" s="18"/>
    </row>
    <row r="32" spans="1:10" ht="14.7" thickBot="1" x14ac:dyDescent="0.6">
      <c r="A32" s="5" t="s">
        <v>292</v>
      </c>
      <c r="B32" s="1"/>
      <c r="C32" s="1"/>
      <c r="D32" s="1"/>
      <c r="E32" s="1"/>
      <c r="F32" s="1"/>
      <c r="G32" s="1"/>
    </row>
    <row r="33" spans="1:7" x14ac:dyDescent="0.55000000000000004">
      <c r="A33" s="19" t="s">
        <v>293</v>
      </c>
      <c r="B33" s="6" t="s">
        <v>294</v>
      </c>
      <c r="C33" s="6" t="s">
        <v>295</v>
      </c>
      <c r="D33" s="7" t="s">
        <v>296</v>
      </c>
      <c r="E33" s="20" t="s">
        <v>273</v>
      </c>
      <c r="F33" s="8" t="s">
        <v>274</v>
      </c>
      <c r="G33" s="9"/>
    </row>
    <row r="34" spans="1:7" x14ac:dyDescent="0.55000000000000004">
      <c r="A34" s="1094" t="s">
        <v>354</v>
      </c>
      <c r="B34" s="699">
        <f>+jornal</f>
        <v>43333.333333333336</v>
      </c>
      <c r="C34" s="1095">
        <v>1.85</v>
      </c>
      <c r="D34" s="699">
        <f>+B34*C34</f>
        <v>80166.666666666672</v>
      </c>
      <c r="E34" s="698">
        <f>8*18</f>
        <v>144</v>
      </c>
      <c r="F34" s="697">
        <f>+D34/E34</f>
        <v>556.71296296296305</v>
      </c>
      <c r="G34" s="10"/>
    </row>
    <row r="35" spans="1:7" x14ac:dyDescent="0.55000000000000004">
      <c r="A35" s="1094" t="s">
        <v>311</v>
      </c>
      <c r="B35" s="699">
        <f>+ofic</f>
        <v>73666.666666666672</v>
      </c>
      <c r="C35" s="1095">
        <v>1.85</v>
      </c>
      <c r="D35" s="699">
        <f>+B35*C35</f>
        <v>136283.33333333334</v>
      </c>
      <c r="E35" s="698">
        <f>8*18</f>
        <v>144</v>
      </c>
      <c r="F35" s="697">
        <f>+D35/E35</f>
        <v>946.41203703703707</v>
      </c>
      <c r="G35" s="10"/>
    </row>
    <row r="36" spans="1:7" x14ac:dyDescent="0.55000000000000004">
      <c r="A36" s="1094"/>
      <c r="B36" s="1096"/>
      <c r="C36" s="1095"/>
      <c r="D36" s="1078"/>
      <c r="E36" s="698"/>
      <c r="F36" s="1098"/>
      <c r="G36" s="10"/>
    </row>
    <row r="37" spans="1:7" x14ac:dyDescent="0.55000000000000004">
      <c r="A37" s="1094"/>
      <c r="B37" s="1078"/>
      <c r="C37" s="1072"/>
      <c r="D37" s="1078"/>
      <c r="E37" s="698"/>
      <c r="F37" s="1098"/>
      <c r="G37" s="10"/>
    </row>
    <row r="38" spans="1:7" x14ac:dyDescent="0.55000000000000004">
      <c r="A38" s="1094"/>
      <c r="B38" s="1078"/>
      <c r="C38" s="1072"/>
      <c r="D38" s="1078"/>
      <c r="E38" s="698"/>
      <c r="F38" s="1098"/>
      <c r="G38" s="10"/>
    </row>
    <row r="39" spans="1:7" ht="14.7" thickBot="1" x14ac:dyDescent="0.6">
      <c r="A39" s="22"/>
      <c r="B39" s="16"/>
      <c r="C39" s="16"/>
      <c r="D39" s="16"/>
      <c r="E39" s="16"/>
      <c r="F39" s="15"/>
      <c r="G39" s="11"/>
    </row>
    <row r="40" spans="1:7" ht="14.7" thickBot="1" x14ac:dyDescent="0.6">
      <c r="A40" s="1"/>
      <c r="B40" s="1"/>
      <c r="C40" s="1"/>
      <c r="D40" s="1"/>
      <c r="E40" s="1"/>
      <c r="F40" s="12" t="s">
        <v>280</v>
      </c>
      <c r="G40" s="131">
        <f>ROUND(SUM(F34:F39),0)</f>
        <v>1503</v>
      </c>
    </row>
    <row r="41" spans="1:7" ht="14.7" thickBot="1" x14ac:dyDescent="0.6">
      <c r="A41" s="1"/>
      <c r="B41" s="1"/>
      <c r="C41" s="1"/>
      <c r="D41" s="1"/>
      <c r="E41" s="1"/>
      <c r="F41" s="24"/>
      <c r="G41" s="1"/>
    </row>
    <row r="42" spans="1:7" ht="14.7" thickBot="1" x14ac:dyDescent="0.6">
      <c r="A42" s="1"/>
      <c r="B42" s="1"/>
      <c r="C42" s="1"/>
      <c r="D42" s="25" t="s">
        <v>299</v>
      </c>
      <c r="E42" s="26"/>
      <c r="F42" s="26"/>
      <c r="G42" s="131">
        <f>G16+G24+G31+G40</f>
        <v>8636</v>
      </c>
    </row>
    <row r="43" spans="1:7" x14ac:dyDescent="0.55000000000000004">
      <c r="A43" s="1"/>
      <c r="B43" s="1"/>
      <c r="C43" s="1"/>
      <c r="D43" s="1"/>
      <c r="E43" s="1"/>
      <c r="F43" s="1"/>
      <c r="G43" s="1"/>
    </row>
    <row r="45" spans="1:7" x14ac:dyDescent="0.55000000000000004">
      <c r="B45" s="1103"/>
      <c r="C45" s="1104"/>
    </row>
    <row r="46" spans="1:7" x14ac:dyDescent="0.55000000000000004">
      <c r="B46" s="1067" t="s">
        <v>312</v>
      </c>
      <c r="C46" s="1068" t="s">
        <v>313</v>
      </c>
    </row>
    <row r="47" spans="1:7" x14ac:dyDescent="0.55000000000000004">
      <c r="B47" s="1067"/>
      <c r="C47" s="1068"/>
    </row>
    <row r="48" spans="1:7" ht="14.7" thickBot="1" x14ac:dyDescent="0.6">
      <c r="B48" s="1069"/>
      <c r="C48" s="1070"/>
    </row>
  </sheetData>
  <mergeCells count="1">
    <mergeCell ref="C1:G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M47"/>
  <sheetViews>
    <sheetView topLeftCell="A37" workbookViewId="0"/>
  </sheetViews>
  <sheetFormatPr baseColWidth="10" defaultColWidth="9.15625" defaultRowHeight="14.4" x14ac:dyDescent="0.55000000000000004"/>
  <cols>
    <col min="1" max="1" width="43" customWidth="1"/>
    <col min="2" max="2" width="16.83984375" customWidth="1"/>
    <col min="3" max="3" width="10" bestFit="1" customWidth="1"/>
    <col min="4" max="4" width="12.26171875" bestFit="1" customWidth="1"/>
    <col min="5" max="5" width="12.578125" bestFit="1" customWidth="1"/>
    <col min="6" max="6" width="14.578125" bestFit="1" customWidth="1"/>
    <col min="7" max="7" width="9.83984375" bestFit="1" customWidth="1"/>
    <col min="10" max="10" width="12" bestFit="1" customWidth="1"/>
  </cols>
  <sheetData>
    <row r="1" spans="1:10" ht="45.75" customHeight="1" x14ac:dyDescent="0.55000000000000004">
      <c r="A1" s="154" t="s">
        <v>261</v>
      </c>
      <c r="B1" s="156"/>
      <c r="C1" s="1273" t="s">
        <v>0</v>
      </c>
      <c r="D1" s="1274"/>
      <c r="E1" s="1274"/>
      <c r="F1" s="1274"/>
      <c r="G1" s="1275"/>
      <c r="I1" s="307"/>
      <c r="J1" s="308"/>
    </row>
    <row r="2" spans="1:10" x14ac:dyDescent="0.55000000000000004">
      <c r="A2" s="157"/>
      <c r="B2" s="158"/>
      <c r="C2" s="160"/>
      <c r="D2" s="161"/>
      <c r="E2" s="161"/>
      <c r="F2" s="161"/>
      <c r="G2" s="162"/>
      <c r="I2" s="307"/>
      <c r="J2" s="308"/>
    </row>
    <row r="3" spans="1:10" ht="14.7" thickBot="1" x14ac:dyDescent="0.6">
      <c r="A3" s="1061"/>
      <c r="B3" s="1062"/>
      <c r="C3" s="1063"/>
      <c r="D3" s="954"/>
      <c r="E3" s="954"/>
      <c r="F3" s="954"/>
      <c r="G3" s="955"/>
      <c r="I3" s="307"/>
      <c r="J3" s="308"/>
    </row>
    <row r="4" spans="1:10" x14ac:dyDescent="0.55000000000000004">
      <c r="A4" s="2"/>
      <c r="B4" s="1"/>
      <c r="C4" s="1"/>
      <c r="D4" s="1"/>
      <c r="E4" s="1"/>
      <c r="F4" s="1"/>
      <c r="G4" s="1"/>
      <c r="I4" s="307"/>
      <c r="J4" s="308"/>
    </row>
    <row r="5" spans="1:10" x14ac:dyDescent="0.55000000000000004">
      <c r="A5" s="2" t="s">
        <v>262</v>
      </c>
      <c r="B5" s="108" t="s">
        <v>263</v>
      </c>
      <c r="D5" s="4" t="s">
        <v>264</v>
      </c>
      <c r="E5" s="12">
        <v>661.1</v>
      </c>
      <c r="F5" s="3" t="s">
        <v>265</v>
      </c>
      <c r="G5" s="24" t="s">
        <v>48</v>
      </c>
    </row>
    <row r="6" spans="1:10" x14ac:dyDescent="0.55000000000000004">
      <c r="A6" s="2" t="s">
        <v>266</v>
      </c>
      <c r="B6" s="3" t="s">
        <v>355</v>
      </c>
      <c r="C6" s="3"/>
      <c r="D6" s="3"/>
      <c r="E6" s="3"/>
      <c r="F6" s="3" t="s">
        <v>268</v>
      </c>
      <c r="G6" s="24" t="s">
        <v>50</v>
      </c>
    </row>
    <row r="7" spans="1:10" x14ac:dyDescent="0.55000000000000004">
      <c r="A7" s="3"/>
      <c r="B7" s="1"/>
      <c r="C7" s="3"/>
      <c r="D7" s="3"/>
      <c r="E7" s="3"/>
      <c r="F7" s="3"/>
      <c r="G7" s="1"/>
    </row>
    <row r="8" spans="1:10" ht="14.7" thickBot="1" x14ac:dyDescent="0.6">
      <c r="A8" s="5" t="s">
        <v>269</v>
      </c>
      <c r="B8" s="1"/>
      <c r="C8" s="1"/>
      <c r="D8" s="1"/>
      <c r="E8" s="1"/>
      <c r="F8" s="1"/>
      <c r="G8" s="1"/>
    </row>
    <row r="9" spans="1:10" x14ac:dyDescent="0.55000000000000004">
      <c r="A9" s="163" t="s">
        <v>270</v>
      </c>
      <c r="B9" s="6"/>
      <c r="C9" s="6" t="s">
        <v>271</v>
      </c>
      <c r="D9" s="7" t="s">
        <v>272</v>
      </c>
      <c r="E9" s="6" t="s">
        <v>273</v>
      </c>
      <c r="F9" s="8" t="s">
        <v>274</v>
      </c>
      <c r="G9" s="9"/>
    </row>
    <row r="10" spans="1:10" x14ac:dyDescent="0.55000000000000004">
      <c r="A10" s="1049" t="s">
        <v>356</v>
      </c>
      <c r="B10" s="1071"/>
      <c r="C10" s="1072"/>
      <c r="D10" s="699">
        <f>+'equipos y transporte'!E21</f>
        <v>196796.25</v>
      </c>
      <c r="E10" s="698">
        <v>2.5</v>
      </c>
      <c r="F10" s="1073">
        <f>+D10/E10</f>
        <v>78718.5</v>
      </c>
      <c r="G10" s="10"/>
    </row>
    <row r="11" spans="1:10" x14ac:dyDescent="0.55000000000000004">
      <c r="A11" s="1049"/>
      <c r="B11" s="1071"/>
      <c r="C11" s="1074"/>
      <c r="D11" s="1100"/>
      <c r="E11" s="698"/>
      <c r="F11" s="1073"/>
      <c r="G11" s="10"/>
    </row>
    <row r="12" spans="1:10" x14ac:dyDescent="0.55000000000000004">
      <c r="A12" s="1049" t="s">
        <v>342</v>
      </c>
      <c r="B12" s="1071"/>
      <c r="C12" s="1074"/>
      <c r="D12" s="1078"/>
      <c r="E12" s="698"/>
      <c r="F12" s="1073">
        <f>+G40*5%</f>
        <v>1142.4000000000001</v>
      </c>
      <c r="G12" s="10"/>
    </row>
    <row r="13" spans="1:10" x14ac:dyDescent="0.55000000000000004">
      <c r="A13" s="1049"/>
      <c r="B13" s="1071"/>
      <c r="C13" s="1072"/>
      <c r="D13" s="1078"/>
      <c r="E13" s="698"/>
      <c r="F13" s="1098"/>
      <c r="G13" s="10"/>
    </row>
    <row r="14" spans="1:10" x14ac:dyDescent="0.55000000000000004">
      <c r="A14" s="1049"/>
      <c r="B14" s="1071"/>
      <c r="C14" s="1074"/>
      <c r="D14" s="1100"/>
      <c r="E14" s="698"/>
      <c r="F14" s="1098"/>
      <c r="G14" s="10"/>
    </row>
    <row r="15" spans="1:10" ht="14.7" thickBot="1" x14ac:dyDescent="0.6">
      <c r="A15" s="1079"/>
      <c r="B15" s="1080"/>
      <c r="C15" s="1081"/>
      <c r="D15" s="1082"/>
      <c r="E15" s="1083"/>
      <c r="F15" s="1084"/>
      <c r="G15" s="11"/>
    </row>
    <row r="16" spans="1:10" ht="14.7" thickBot="1" x14ac:dyDescent="0.6">
      <c r="A16" s="1"/>
      <c r="B16" s="1"/>
      <c r="C16" s="1"/>
      <c r="D16" s="1"/>
      <c r="E16" s="1"/>
      <c r="F16" s="12" t="s">
        <v>280</v>
      </c>
      <c r="G16" s="131">
        <f>ROUND(SUM(F10:F15),0)</f>
        <v>79861</v>
      </c>
    </row>
    <row r="17" spans="1:13" ht="14.7" thickBot="1" x14ac:dyDescent="0.6">
      <c r="A17" s="5" t="s">
        <v>281</v>
      </c>
      <c r="B17" s="1"/>
      <c r="C17" s="1"/>
      <c r="D17" s="1"/>
      <c r="E17" s="1"/>
      <c r="F17" s="1"/>
      <c r="G17" s="1"/>
    </row>
    <row r="18" spans="1:13" x14ac:dyDescent="0.55000000000000004">
      <c r="A18" s="13" t="s">
        <v>270</v>
      </c>
      <c r="B18" s="14"/>
      <c r="C18" s="6" t="s">
        <v>282</v>
      </c>
      <c r="D18" s="6" t="s">
        <v>283</v>
      </c>
      <c r="E18" s="6" t="s">
        <v>284</v>
      </c>
      <c r="F18" s="8" t="s">
        <v>274</v>
      </c>
      <c r="G18" s="9"/>
    </row>
    <row r="19" spans="1:13" x14ac:dyDescent="0.55000000000000004">
      <c r="A19" s="693" t="s">
        <v>357</v>
      </c>
      <c r="B19" s="694"/>
      <c r="C19" s="1072" t="s">
        <v>22</v>
      </c>
      <c r="D19" s="1105">
        <f>+insumos!E28</f>
        <v>608777</v>
      </c>
      <c r="E19" s="1087">
        <v>2.5000000000000001E-2</v>
      </c>
      <c r="F19" s="1073">
        <f>+E19*D19</f>
        <v>15219.425000000001</v>
      </c>
      <c r="G19" s="10"/>
    </row>
    <row r="20" spans="1:13" x14ac:dyDescent="0.55000000000000004">
      <c r="A20" s="693" t="s">
        <v>358</v>
      </c>
      <c r="B20" s="694"/>
      <c r="C20" s="1072" t="s">
        <v>22</v>
      </c>
      <c r="D20" s="1105">
        <f>+insumos!E26</f>
        <v>48258.787500000006</v>
      </c>
      <c r="E20" s="1087">
        <f>0.46*1.05</f>
        <v>0.48300000000000004</v>
      </c>
      <c r="F20" s="1073">
        <f>+E20*D20</f>
        <v>23308.994362500005</v>
      </c>
      <c r="G20" s="10"/>
    </row>
    <row r="21" spans="1:13" x14ac:dyDescent="0.55000000000000004">
      <c r="A21" s="693" t="s">
        <v>359</v>
      </c>
      <c r="B21" s="694"/>
      <c r="C21" s="1072" t="s">
        <v>50</v>
      </c>
      <c r="D21" s="1105">
        <f>+insumos!E36</f>
        <v>925103.02499999991</v>
      </c>
      <c r="E21" s="1072">
        <v>1.03</v>
      </c>
      <c r="F21" s="1073">
        <f>+D21*E21</f>
        <v>952856.11574999988</v>
      </c>
      <c r="G21" s="10"/>
    </row>
    <row r="22" spans="1:13" x14ac:dyDescent="0.55000000000000004">
      <c r="A22" s="693"/>
      <c r="B22" s="694"/>
      <c r="C22" s="1072"/>
      <c r="D22" s="1078"/>
      <c r="E22" s="700"/>
      <c r="F22" s="1098"/>
      <c r="G22" s="10"/>
    </row>
    <row r="23" spans="1:13" ht="14.7" thickBot="1" x14ac:dyDescent="0.6">
      <c r="A23" s="702"/>
      <c r="B23" s="16"/>
      <c r="C23" s="1081"/>
      <c r="D23" s="1082"/>
      <c r="E23" s="1083"/>
      <c r="F23" s="1084"/>
      <c r="G23" s="11"/>
    </row>
    <row r="24" spans="1:13" ht="14.7" thickBot="1" x14ac:dyDescent="0.6">
      <c r="A24" s="1"/>
      <c r="B24" s="1"/>
      <c r="C24" s="1"/>
      <c r="D24" s="1"/>
      <c r="E24" s="1"/>
      <c r="F24" s="12" t="s">
        <v>280</v>
      </c>
      <c r="G24" s="131">
        <f>ROUND(SUM(F19:F23),0)</f>
        <v>991385</v>
      </c>
    </row>
    <row r="25" spans="1:13" ht="14.7" thickBot="1" x14ac:dyDescent="0.6">
      <c r="A25" s="5" t="s">
        <v>285</v>
      </c>
      <c r="B25" s="1"/>
      <c r="C25" s="1"/>
      <c r="D25" s="1"/>
      <c r="E25" s="1"/>
      <c r="F25" s="1"/>
      <c r="G25" s="1"/>
    </row>
    <row r="26" spans="1:13" x14ac:dyDescent="0.55000000000000004">
      <c r="A26" s="163" t="s">
        <v>286</v>
      </c>
      <c r="B26" s="6" t="s">
        <v>287</v>
      </c>
      <c r="C26" s="6" t="s">
        <v>288</v>
      </c>
      <c r="D26" s="6" t="s">
        <v>289</v>
      </c>
      <c r="E26" s="6" t="s">
        <v>290</v>
      </c>
      <c r="F26" s="17" t="s">
        <v>274</v>
      </c>
      <c r="G26" s="9"/>
    </row>
    <row r="27" spans="1:13" x14ac:dyDescent="0.55000000000000004">
      <c r="A27" s="368" t="s">
        <v>360</v>
      </c>
      <c r="B27" s="1050">
        <v>0.28000000000000003</v>
      </c>
      <c r="C27" s="1050">
        <v>290</v>
      </c>
      <c r="D27" s="1050">
        <f>+B27*C27</f>
        <v>81.2</v>
      </c>
      <c r="E27" s="1051">
        <v>3.12</v>
      </c>
      <c r="F27" s="699">
        <f>+E27*D27</f>
        <v>253.34400000000002</v>
      </c>
      <c r="G27" s="10"/>
    </row>
    <row r="28" spans="1:13" ht="20.399999999999999" x14ac:dyDescent="0.55000000000000004">
      <c r="A28" s="368" t="s">
        <v>361</v>
      </c>
      <c r="B28" s="1108">
        <v>0.46</v>
      </c>
      <c r="C28" s="1050">
        <f>+cantera</f>
        <v>35</v>
      </c>
      <c r="D28" s="1050">
        <f>+B28*C28</f>
        <v>16.100000000000001</v>
      </c>
      <c r="E28" s="1051">
        <f>+'equipos y transporte'!E33</f>
        <v>1672.9261363636363</v>
      </c>
      <c r="F28" s="699">
        <f>+E28*D28</f>
        <v>26934.110795454548</v>
      </c>
      <c r="G28" s="10"/>
    </row>
    <row r="29" spans="1:13" x14ac:dyDescent="0.55000000000000004">
      <c r="A29" s="1088"/>
      <c r="B29" s="1089"/>
      <c r="C29" s="1072"/>
      <c r="D29" s="1090"/>
      <c r="E29" s="698"/>
      <c r="F29" s="698"/>
      <c r="G29" s="10"/>
    </row>
    <row r="30" spans="1:13" ht="14.7" thickBot="1" x14ac:dyDescent="0.6">
      <c r="A30" s="1091"/>
      <c r="B30" s="1092"/>
      <c r="C30" s="1092"/>
      <c r="D30" s="1092"/>
      <c r="E30" s="1092"/>
      <c r="F30" s="1093"/>
      <c r="G30" s="10"/>
    </row>
    <row r="31" spans="1:13" ht="14.7" thickBot="1" x14ac:dyDescent="0.6">
      <c r="A31" s="1"/>
      <c r="B31" s="1"/>
      <c r="C31" s="1"/>
      <c r="D31" s="1"/>
      <c r="E31" s="1"/>
      <c r="F31" s="12" t="s">
        <v>280</v>
      </c>
      <c r="G31" s="131">
        <f>ROUND(SUM(F27:F30),0)</f>
        <v>27187</v>
      </c>
      <c r="M31" s="18"/>
    </row>
    <row r="32" spans="1:13" ht="14.7" thickBot="1" x14ac:dyDescent="0.6">
      <c r="A32" s="5" t="s">
        <v>292</v>
      </c>
      <c r="B32" s="1"/>
      <c r="C32" s="1"/>
      <c r="D32" s="1"/>
      <c r="E32" s="1"/>
      <c r="F32" s="1"/>
      <c r="G32" s="1"/>
    </row>
    <row r="33" spans="1:7" x14ac:dyDescent="0.55000000000000004">
      <c r="A33" s="19" t="s">
        <v>293</v>
      </c>
      <c r="B33" s="6" t="s">
        <v>294</v>
      </c>
      <c r="C33" s="6" t="s">
        <v>295</v>
      </c>
      <c r="D33" s="7" t="s">
        <v>296</v>
      </c>
      <c r="E33" s="20" t="s">
        <v>273</v>
      </c>
      <c r="F33" s="8" t="s">
        <v>274</v>
      </c>
      <c r="G33" s="9"/>
    </row>
    <row r="34" spans="1:7" x14ac:dyDescent="0.55000000000000004">
      <c r="A34" s="1094" t="s">
        <v>362</v>
      </c>
      <c r="B34" s="699">
        <f>+jornal*4</f>
        <v>173333.33333333334</v>
      </c>
      <c r="C34" s="1095">
        <v>1.85</v>
      </c>
      <c r="D34" s="699">
        <f>+B34*C34</f>
        <v>320666.66666666669</v>
      </c>
      <c r="E34" s="698">
        <f>2.5*8</f>
        <v>20</v>
      </c>
      <c r="F34" s="697">
        <f>+D34/E34</f>
        <v>16033.333333333334</v>
      </c>
      <c r="G34" s="10"/>
    </row>
    <row r="35" spans="1:7" x14ac:dyDescent="0.55000000000000004">
      <c r="A35" s="1094" t="s">
        <v>311</v>
      </c>
      <c r="B35" s="699">
        <f>+ofic</f>
        <v>73666.666666666672</v>
      </c>
      <c r="C35" s="1095">
        <v>1.85</v>
      </c>
      <c r="D35" s="699">
        <f>+B35*C35</f>
        <v>136283.33333333334</v>
      </c>
      <c r="E35" s="698">
        <v>20</v>
      </c>
      <c r="F35" s="697">
        <f>+D35/E35</f>
        <v>6814.166666666667</v>
      </c>
      <c r="G35" s="10"/>
    </row>
    <row r="36" spans="1:7" x14ac:dyDescent="0.55000000000000004">
      <c r="A36" s="1094"/>
      <c r="B36" s="1096"/>
      <c r="C36" s="1095"/>
      <c r="D36" s="1078"/>
      <c r="E36" s="698"/>
      <c r="F36" s="1098"/>
      <c r="G36" s="10"/>
    </row>
    <row r="37" spans="1:7" x14ac:dyDescent="0.55000000000000004">
      <c r="A37" s="1094"/>
      <c r="B37" s="1078"/>
      <c r="C37" s="1072"/>
      <c r="D37" s="1078"/>
      <c r="E37" s="698"/>
      <c r="F37" s="1098"/>
      <c r="G37" s="10"/>
    </row>
    <row r="38" spans="1:7" x14ac:dyDescent="0.55000000000000004">
      <c r="A38" s="1094"/>
      <c r="B38" s="1078"/>
      <c r="C38" s="1072"/>
      <c r="D38" s="1078"/>
      <c r="E38" s="698"/>
      <c r="F38" s="1098"/>
      <c r="G38" s="10"/>
    </row>
    <row r="39" spans="1:7" ht="14.7" thickBot="1" x14ac:dyDescent="0.6">
      <c r="A39" s="22"/>
      <c r="B39" s="16"/>
      <c r="C39" s="16"/>
      <c r="D39" s="16"/>
      <c r="E39" s="16"/>
      <c r="F39" s="15"/>
      <c r="G39" s="11"/>
    </row>
    <row r="40" spans="1:7" ht="14.7" thickBot="1" x14ac:dyDescent="0.6">
      <c r="A40" s="1"/>
      <c r="B40" s="1"/>
      <c r="C40" s="1"/>
      <c r="D40" s="1"/>
      <c r="E40" s="1"/>
      <c r="F40" s="12" t="s">
        <v>280</v>
      </c>
      <c r="G40" s="131">
        <f>ROUND(SUM(F34:F39),0)</f>
        <v>22848</v>
      </c>
    </row>
    <row r="41" spans="1:7" ht="14.7" thickBot="1" x14ac:dyDescent="0.6">
      <c r="A41" s="1"/>
      <c r="B41" s="1"/>
      <c r="C41" s="1"/>
      <c r="D41" s="1"/>
      <c r="E41" s="1"/>
      <c r="F41" s="24"/>
      <c r="G41" s="1"/>
    </row>
    <row r="42" spans="1:7" ht="14.7" thickBot="1" x14ac:dyDescent="0.6">
      <c r="A42" s="1"/>
      <c r="B42" s="1"/>
      <c r="C42" s="1"/>
      <c r="D42" s="25" t="s">
        <v>299</v>
      </c>
      <c r="E42" s="26"/>
      <c r="F42" s="26"/>
      <c r="G42" s="131">
        <f>ROUND((G16+G24+G31+G40),0)</f>
        <v>1121281</v>
      </c>
    </row>
    <row r="43" spans="1:7" x14ac:dyDescent="0.55000000000000004">
      <c r="A43" s="1"/>
      <c r="B43" s="1"/>
      <c r="C43" s="1"/>
      <c r="D43" s="1"/>
      <c r="E43" s="1"/>
      <c r="F43" s="1"/>
      <c r="G43" s="1"/>
    </row>
    <row r="45" spans="1:7" x14ac:dyDescent="0.55000000000000004">
      <c r="D45" s="1067" t="s">
        <v>312</v>
      </c>
      <c r="E45" s="1068" t="s">
        <v>313</v>
      </c>
    </row>
    <row r="46" spans="1:7" x14ac:dyDescent="0.55000000000000004">
      <c r="D46" s="1067"/>
      <c r="E46" s="1068"/>
    </row>
    <row r="47" spans="1:7" ht="14.7" thickBot="1" x14ac:dyDescent="0.6">
      <c r="D47" s="1069"/>
      <c r="E47" s="1070"/>
    </row>
  </sheetData>
  <mergeCells count="1">
    <mergeCell ref="C1:G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47"/>
  <sheetViews>
    <sheetView topLeftCell="A34" workbookViewId="0"/>
  </sheetViews>
  <sheetFormatPr baseColWidth="10" defaultColWidth="9.15625" defaultRowHeight="14.4" x14ac:dyDescent="0.55000000000000004"/>
  <cols>
    <col min="1" max="1" width="46" customWidth="1"/>
    <col min="2" max="2" width="12.578125" bestFit="1" customWidth="1"/>
    <col min="3" max="3" width="12.26171875" bestFit="1" customWidth="1"/>
    <col min="4" max="4" width="12.578125" bestFit="1" customWidth="1"/>
    <col min="5" max="5" width="9.26171875" bestFit="1" customWidth="1"/>
    <col min="6" max="6" width="14.578125" bestFit="1" customWidth="1"/>
    <col min="7" max="7" width="9" bestFit="1" customWidth="1"/>
  </cols>
  <sheetData>
    <row r="1" spans="1:7" ht="15" customHeight="1" x14ac:dyDescent="0.55000000000000004">
      <c r="A1" s="154" t="s">
        <v>261</v>
      </c>
      <c r="B1" s="1274" t="s">
        <v>0</v>
      </c>
      <c r="C1" s="1274"/>
      <c r="D1" s="1274"/>
      <c r="E1" s="1274"/>
      <c r="F1" s="1274"/>
      <c r="G1" s="1275"/>
    </row>
    <row r="2" spans="1:7" x14ac:dyDescent="0.55000000000000004">
      <c r="A2" s="157"/>
      <c r="B2" s="1279"/>
      <c r="C2" s="1279"/>
      <c r="D2" s="1279"/>
      <c r="E2" s="1279"/>
      <c r="F2" s="1279"/>
      <c r="G2" s="1280"/>
    </row>
    <row r="3" spans="1:7" ht="14.7" thickBot="1" x14ac:dyDescent="0.6">
      <c r="A3" s="1061"/>
      <c r="B3" s="1281"/>
      <c r="C3" s="1281"/>
      <c r="D3" s="1281"/>
      <c r="E3" s="1281"/>
      <c r="F3" s="1281"/>
      <c r="G3" s="1282"/>
    </row>
    <row r="4" spans="1:7" x14ac:dyDescent="0.55000000000000004">
      <c r="A4" s="105"/>
      <c r="B4" s="106"/>
      <c r="C4" s="106"/>
      <c r="D4" s="106"/>
      <c r="E4" s="106"/>
      <c r="F4" s="106"/>
      <c r="G4" s="106"/>
    </row>
    <row r="5" spans="1:7" x14ac:dyDescent="0.55000000000000004">
      <c r="A5" s="105" t="s">
        <v>300</v>
      </c>
      <c r="B5" s="106"/>
      <c r="C5" s="44"/>
      <c r="D5" s="107" t="s">
        <v>264</v>
      </c>
      <c r="E5" s="116">
        <v>671.3</v>
      </c>
      <c r="F5" s="108" t="s">
        <v>265</v>
      </c>
      <c r="G5" s="126" t="s">
        <v>55</v>
      </c>
    </row>
    <row r="6" spans="1:7" x14ac:dyDescent="0.55000000000000004">
      <c r="A6" s="105" t="s">
        <v>363</v>
      </c>
      <c r="B6" s="164"/>
      <c r="C6" s="164"/>
      <c r="D6" s="164"/>
      <c r="E6" s="164"/>
      <c r="F6" s="108" t="s">
        <v>268</v>
      </c>
      <c r="G6" s="126" t="s">
        <v>22</v>
      </c>
    </row>
    <row r="7" spans="1:7" x14ac:dyDescent="0.55000000000000004">
      <c r="A7" s="108"/>
      <c r="B7" s="106"/>
      <c r="C7" s="108"/>
      <c r="D7" s="108"/>
      <c r="E7" s="108"/>
      <c r="F7" s="108"/>
      <c r="G7" s="106"/>
    </row>
    <row r="8" spans="1:7" ht="14.7" thickBot="1" x14ac:dyDescent="0.6">
      <c r="A8" s="109" t="s">
        <v>269</v>
      </c>
      <c r="B8" s="106"/>
      <c r="C8" s="106"/>
      <c r="D8" s="106"/>
      <c r="E8" s="106"/>
      <c r="F8" s="106"/>
      <c r="G8" s="106"/>
    </row>
    <row r="9" spans="1:7" x14ac:dyDescent="0.55000000000000004">
      <c r="A9" s="159" t="s">
        <v>270</v>
      </c>
      <c r="B9" s="110"/>
      <c r="C9" s="110" t="s">
        <v>271</v>
      </c>
      <c r="D9" s="111" t="s">
        <v>272</v>
      </c>
      <c r="E9" s="110" t="s">
        <v>273</v>
      </c>
      <c r="F9" s="112" t="s">
        <v>274</v>
      </c>
      <c r="G9" s="113"/>
    </row>
    <row r="10" spans="1:7" x14ac:dyDescent="0.55000000000000004">
      <c r="A10" s="1028" t="s">
        <v>364</v>
      </c>
      <c r="B10" s="1029"/>
      <c r="C10" s="1024"/>
      <c r="D10" s="1025">
        <f>+'equipos y transporte'!E11</f>
        <v>10843.875</v>
      </c>
      <c r="E10" s="1026">
        <v>1.25</v>
      </c>
      <c r="F10" s="1065">
        <f>+D10/E10</f>
        <v>8675.1</v>
      </c>
      <c r="G10" s="114"/>
    </row>
    <row r="11" spans="1:7" x14ac:dyDescent="0.55000000000000004">
      <c r="A11" s="1028" t="str">
        <f>+'equipos y transporte'!C24</f>
        <v>Vibrador de concreto, Motor de 3 hp a 18.000 rpm Mangueras de 4 mt</v>
      </c>
      <c r="B11" s="1029"/>
      <c r="C11" s="1030"/>
      <c r="D11" s="1025">
        <f>+'equipos y transporte'!E24</f>
        <v>9103.5</v>
      </c>
      <c r="E11" s="1026">
        <v>1.25</v>
      </c>
      <c r="F11" s="1065">
        <f>+D11/E11</f>
        <v>7282.8</v>
      </c>
      <c r="G11" s="114"/>
    </row>
    <row r="12" spans="1:7" x14ac:dyDescent="0.55000000000000004">
      <c r="A12" s="1028" t="s">
        <v>342</v>
      </c>
      <c r="B12" s="1029"/>
      <c r="C12" s="1030"/>
      <c r="D12" s="1034"/>
      <c r="E12" s="1026"/>
      <c r="F12" s="1065">
        <f>+G40*5%</f>
        <v>2284.75</v>
      </c>
      <c r="G12" s="114"/>
    </row>
    <row r="13" spans="1:7" x14ac:dyDescent="0.55000000000000004">
      <c r="A13" s="1028"/>
      <c r="B13" s="1029"/>
      <c r="C13" s="1024"/>
      <c r="D13" s="1034"/>
      <c r="E13" s="1026"/>
      <c r="F13" s="1065"/>
      <c r="G13" s="114"/>
    </row>
    <row r="14" spans="1:7" x14ac:dyDescent="0.55000000000000004">
      <c r="A14" s="1028"/>
      <c r="B14" s="1029"/>
      <c r="C14" s="1030"/>
      <c r="D14" s="1035"/>
      <c r="E14" s="1026"/>
      <c r="F14" s="1045"/>
      <c r="G14" s="114"/>
    </row>
    <row r="15" spans="1:7" ht="14.7" thickBot="1" x14ac:dyDescent="0.6">
      <c r="A15" s="1037"/>
      <c r="B15" s="1038"/>
      <c r="C15" s="1039"/>
      <c r="D15" s="1040"/>
      <c r="E15" s="1041"/>
      <c r="F15" s="1048"/>
      <c r="G15" s="115"/>
    </row>
    <row r="16" spans="1:7" ht="14.7" thickBot="1" x14ac:dyDescent="0.6">
      <c r="A16" s="106"/>
      <c r="B16" s="106"/>
      <c r="C16" s="106"/>
      <c r="D16" s="106"/>
      <c r="E16" s="106"/>
      <c r="F16" s="116" t="s">
        <v>280</v>
      </c>
      <c r="G16" s="130">
        <f>ROUND(SUM(F10:F15),0)</f>
        <v>18243</v>
      </c>
    </row>
    <row r="17" spans="1:7" ht="14.7" thickBot="1" x14ac:dyDescent="0.6">
      <c r="A17" s="109" t="s">
        <v>281</v>
      </c>
      <c r="B17" s="106"/>
      <c r="C17" s="106"/>
      <c r="D17" s="106"/>
      <c r="E17" s="106"/>
      <c r="F17" s="106"/>
      <c r="G17" s="106"/>
    </row>
    <row r="18" spans="1:7" x14ac:dyDescent="0.55000000000000004">
      <c r="A18" s="117" t="s">
        <v>270</v>
      </c>
      <c r="B18" s="118"/>
      <c r="C18" s="110" t="s">
        <v>282</v>
      </c>
      <c r="D18" s="110" t="s">
        <v>283</v>
      </c>
      <c r="E18" s="110" t="s">
        <v>284</v>
      </c>
      <c r="F18" s="112" t="s">
        <v>274</v>
      </c>
      <c r="G18" s="113"/>
    </row>
    <row r="19" spans="1:7" x14ac:dyDescent="0.55000000000000004">
      <c r="A19" s="1046" t="s">
        <v>365</v>
      </c>
      <c r="B19" s="1043"/>
      <c r="C19" s="1024" t="s">
        <v>22</v>
      </c>
      <c r="D19" s="1109">
        <f>+insumos!E27</f>
        <v>49710.93044367111</v>
      </c>
      <c r="E19" s="1110">
        <v>0.35</v>
      </c>
      <c r="F19" s="1065">
        <f>+E19*D19</f>
        <v>17398.825655284887</v>
      </c>
      <c r="G19" s="114"/>
    </row>
    <row r="20" spans="1:7" x14ac:dyDescent="0.55000000000000004">
      <c r="A20" s="1046" t="s">
        <v>366</v>
      </c>
      <c r="B20" s="1043"/>
      <c r="C20" s="1024" t="s">
        <v>46</v>
      </c>
      <c r="D20" s="1109">
        <f>+insumos!E11</f>
        <v>3032.5728625890233</v>
      </c>
      <c r="E20" s="1110">
        <v>0.55000000000000004</v>
      </c>
      <c r="F20" s="1065">
        <f>+E20*D20</f>
        <v>1667.915074423963</v>
      </c>
      <c r="G20" s="114"/>
    </row>
    <row r="21" spans="1:7" x14ac:dyDescent="0.55000000000000004">
      <c r="A21" s="1046" t="s">
        <v>367</v>
      </c>
      <c r="B21" s="1043"/>
      <c r="C21" s="1024" t="s">
        <v>22</v>
      </c>
      <c r="D21" s="1109">
        <f>+insumos!E16</f>
        <v>646227</v>
      </c>
      <c r="E21" s="1110">
        <v>1.0149999999999999</v>
      </c>
      <c r="F21" s="1065">
        <f>+D21*E21</f>
        <v>655920.40499999991</v>
      </c>
      <c r="G21" s="114"/>
    </row>
    <row r="22" spans="1:7" ht="20.399999999999999" x14ac:dyDescent="0.55000000000000004">
      <c r="A22" s="1111" t="s">
        <v>345</v>
      </c>
      <c r="B22" s="1043"/>
      <c r="C22" s="1024" t="s">
        <v>346</v>
      </c>
      <c r="D22" s="1025">
        <f>+insumos!E20</f>
        <v>18916.537500000002</v>
      </c>
      <c r="E22" s="1110">
        <v>0.35</v>
      </c>
      <c r="F22" s="1065">
        <f>+D22*E22</f>
        <v>6620.788125</v>
      </c>
      <c r="G22" s="114"/>
    </row>
    <row r="23" spans="1:7" ht="14.7" thickBot="1" x14ac:dyDescent="0.6">
      <c r="A23" s="1047"/>
      <c r="B23" s="120"/>
      <c r="C23" s="1039"/>
      <c r="D23" s="1040"/>
      <c r="E23" s="1041"/>
      <c r="F23" s="1048"/>
      <c r="G23" s="115"/>
    </row>
    <row r="24" spans="1:7" ht="14.7" thickBot="1" x14ac:dyDescent="0.6">
      <c r="A24" s="106"/>
      <c r="B24" s="106"/>
      <c r="C24" s="106"/>
      <c r="D24" s="106"/>
      <c r="E24" s="106"/>
      <c r="F24" s="116" t="s">
        <v>280</v>
      </c>
      <c r="G24" s="130">
        <f>ROUND(SUM(F19:F23),0)</f>
        <v>681608</v>
      </c>
    </row>
    <row r="25" spans="1:7" ht="14.7" thickBot="1" x14ac:dyDescent="0.6">
      <c r="A25" s="109" t="s">
        <v>285</v>
      </c>
      <c r="B25" s="106"/>
      <c r="C25" s="106"/>
      <c r="D25" s="106"/>
      <c r="E25" s="106"/>
      <c r="F25" s="106"/>
      <c r="G25" s="106"/>
    </row>
    <row r="26" spans="1:7" x14ac:dyDescent="0.55000000000000004">
      <c r="A26" s="159" t="s">
        <v>286</v>
      </c>
      <c r="B26" s="110" t="s">
        <v>287</v>
      </c>
      <c r="C26" s="110" t="s">
        <v>288</v>
      </c>
      <c r="D26" s="110" t="s">
        <v>289</v>
      </c>
      <c r="E26" s="110" t="s">
        <v>290</v>
      </c>
      <c r="F26" s="121" t="s">
        <v>274</v>
      </c>
      <c r="G26" s="113"/>
    </row>
    <row r="27" spans="1:7" x14ac:dyDescent="0.55000000000000004">
      <c r="A27" s="1028" t="s">
        <v>368</v>
      </c>
      <c r="B27" s="1110">
        <f>+E19</f>
        <v>0.35</v>
      </c>
      <c r="C27" s="1066">
        <f>+cantera</f>
        <v>35</v>
      </c>
      <c r="D27" s="1066">
        <f>+B27*C27</f>
        <v>12.25</v>
      </c>
      <c r="E27" s="1064">
        <f>+'equipos y transporte'!E33</f>
        <v>1672.9261363636363</v>
      </c>
      <c r="F27" s="1025">
        <f>+E27*D27</f>
        <v>20493.345170454544</v>
      </c>
      <c r="G27" s="114"/>
    </row>
    <row r="28" spans="1:7" x14ac:dyDescent="0.55000000000000004">
      <c r="A28" s="1028" t="s">
        <v>369</v>
      </c>
      <c r="B28" s="1110">
        <f>+E20</f>
        <v>0.55000000000000004</v>
      </c>
      <c r="C28" s="1066">
        <f>+escombro</f>
        <v>15</v>
      </c>
      <c r="D28" s="1066">
        <f>+B28*C28</f>
        <v>8.25</v>
      </c>
      <c r="E28" s="1064">
        <f>+'equipos y transporte'!E28</f>
        <v>1.2375000000000003</v>
      </c>
      <c r="F28" s="1025">
        <f>+E28*D28</f>
        <v>10.209375000000001</v>
      </c>
      <c r="G28" s="114"/>
    </row>
    <row r="29" spans="1:7" x14ac:dyDescent="0.55000000000000004">
      <c r="A29" s="1052"/>
      <c r="B29" s="1053"/>
      <c r="C29" s="1024"/>
      <c r="D29" s="1054"/>
      <c r="E29" s="1026"/>
      <c r="F29" s="1026"/>
      <c r="G29" s="114"/>
    </row>
    <row r="30" spans="1:7" ht="14.7" thickBot="1" x14ac:dyDescent="0.6">
      <c r="A30" s="1055"/>
      <c r="B30" s="1056"/>
      <c r="C30" s="1056"/>
      <c r="D30" s="1056"/>
      <c r="E30" s="1056"/>
      <c r="F30" s="1057"/>
      <c r="G30" s="114"/>
    </row>
    <row r="31" spans="1:7" ht="14.7" thickBot="1" x14ac:dyDescent="0.6">
      <c r="A31" s="106"/>
      <c r="B31" s="106"/>
      <c r="C31" s="106"/>
      <c r="D31" s="106"/>
      <c r="E31" s="106"/>
      <c r="F31" s="116" t="s">
        <v>280</v>
      </c>
      <c r="G31" s="130">
        <f>ROUND(SUM(F27:F30),0)</f>
        <v>20504</v>
      </c>
    </row>
    <row r="32" spans="1:7" ht="14.7" thickBot="1" x14ac:dyDescent="0.6">
      <c r="A32" s="109" t="s">
        <v>292</v>
      </c>
      <c r="B32" s="106"/>
      <c r="C32" s="106"/>
      <c r="D32" s="106"/>
      <c r="E32" s="106"/>
      <c r="F32" s="106"/>
      <c r="G32" s="106"/>
    </row>
    <row r="33" spans="1:7" x14ac:dyDescent="0.55000000000000004">
      <c r="A33" s="122" t="s">
        <v>293</v>
      </c>
      <c r="B33" s="110" t="s">
        <v>294</v>
      </c>
      <c r="C33" s="110" t="s">
        <v>295</v>
      </c>
      <c r="D33" s="111" t="s">
        <v>296</v>
      </c>
      <c r="E33" s="123" t="s">
        <v>273</v>
      </c>
      <c r="F33" s="112" t="s">
        <v>274</v>
      </c>
      <c r="G33" s="113"/>
    </row>
    <row r="34" spans="1:7" x14ac:dyDescent="0.55000000000000004">
      <c r="A34" s="1058" t="s">
        <v>362</v>
      </c>
      <c r="B34" s="1025">
        <f>+jornal*4</f>
        <v>173333.33333333334</v>
      </c>
      <c r="C34" s="1059">
        <v>1.85</v>
      </c>
      <c r="D34" s="1025">
        <f>+B34*C34</f>
        <v>320666.66666666669</v>
      </c>
      <c r="E34" s="1026">
        <f>1.25*8</f>
        <v>10</v>
      </c>
      <c r="F34" s="1027">
        <f>+D34/E34</f>
        <v>32066.666666666668</v>
      </c>
      <c r="G34" s="114"/>
    </row>
    <row r="35" spans="1:7" x14ac:dyDescent="0.55000000000000004">
      <c r="A35" s="1058" t="s">
        <v>311</v>
      </c>
      <c r="B35" s="1025">
        <f>+ofic</f>
        <v>73666.666666666672</v>
      </c>
      <c r="C35" s="1059">
        <v>1.85</v>
      </c>
      <c r="D35" s="1025">
        <f>+B35*C35</f>
        <v>136283.33333333334</v>
      </c>
      <c r="E35" s="1026">
        <v>10</v>
      </c>
      <c r="F35" s="1027">
        <f>+D35/E35</f>
        <v>13628.333333333334</v>
      </c>
      <c r="G35" s="114"/>
    </row>
    <row r="36" spans="1:7" x14ac:dyDescent="0.55000000000000004">
      <c r="A36" s="1058"/>
      <c r="B36" s="1060"/>
      <c r="C36" s="1059"/>
      <c r="D36" s="1034"/>
      <c r="E36" s="1026"/>
      <c r="F36" s="1045"/>
      <c r="G36" s="114"/>
    </row>
    <row r="37" spans="1:7" x14ac:dyDescent="0.55000000000000004">
      <c r="A37" s="1058"/>
      <c r="B37" s="1034"/>
      <c r="C37" s="1024"/>
      <c r="D37" s="1034"/>
      <c r="E37" s="1026"/>
      <c r="F37" s="1045"/>
      <c r="G37" s="114"/>
    </row>
    <row r="38" spans="1:7" x14ac:dyDescent="0.55000000000000004">
      <c r="A38" s="1058"/>
      <c r="B38" s="1034"/>
      <c r="C38" s="1024"/>
      <c r="D38" s="1034"/>
      <c r="E38" s="1026"/>
      <c r="F38" s="1045"/>
      <c r="G38" s="114"/>
    </row>
    <row r="39" spans="1:7" ht="14.7" thickBot="1" x14ac:dyDescent="0.6">
      <c r="A39" s="124"/>
      <c r="B39" s="120"/>
      <c r="C39" s="120"/>
      <c r="D39" s="120"/>
      <c r="E39" s="120"/>
      <c r="F39" s="119"/>
      <c r="G39" s="115"/>
    </row>
    <row r="40" spans="1:7" ht="14.7" thickBot="1" x14ac:dyDescent="0.6">
      <c r="A40" s="106"/>
      <c r="B40" s="106"/>
      <c r="C40" s="106"/>
      <c r="D40" s="106"/>
      <c r="E40" s="106"/>
      <c r="F40" s="116" t="s">
        <v>280</v>
      </c>
      <c r="G40" s="130">
        <f>ROUND(SUM(F34:F39),0)</f>
        <v>45695</v>
      </c>
    </row>
    <row r="41" spans="1:7" ht="14.7" thickBot="1" x14ac:dyDescent="0.6">
      <c r="A41" s="106"/>
      <c r="B41" s="106"/>
      <c r="C41" s="106"/>
      <c r="D41" s="106"/>
      <c r="E41" s="106"/>
      <c r="F41" s="126"/>
      <c r="G41" s="106"/>
    </row>
    <row r="42" spans="1:7" ht="14.7" thickBot="1" x14ac:dyDescent="0.6">
      <c r="A42" s="106"/>
      <c r="B42" s="106"/>
      <c r="C42" s="106"/>
      <c r="D42" s="127" t="s">
        <v>299</v>
      </c>
      <c r="E42" s="128"/>
      <c r="F42" s="128"/>
      <c r="G42" s="130">
        <f>ROUND((G16+G24+G31+G40),0)</f>
        <v>766050</v>
      </c>
    </row>
    <row r="43" spans="1:7" x14ac:dyDescent="0.55000000000000004">
      <c r="A43" s="106"/>
      <c r="B43" s="106"/>
      <c r="C43" s="106"/>
      <c r="D43" s="106"/>
      <c r="E43" s="106"/>
      <c r="F43" s="106"/>
      <c r="G43" s="106"/>
    </row>
    <row r="45" spans="1:7" x14ac:dyDescent="0.55000000000000004">
      <c r="C45" s="1067" t="s">
        <v>312</v>
      </c>
      <c r="D45" s="1068" t="s">
        <v>313</v>
      </c>
    </row>
    <row r="46" spans="1:7" x14ac:dyDescent="0.55000000000000004">
      <c r="C46" s="1067"/>
      <c r="D46" s="1068"/>
    </row>
    <row r="47" spans="1:7" ht="14.7" thickBot="1" x14ac:dyDescent="0.6">
      <c r="C47" s="1069"/>
      <c r="D47" s="1070"/>
    </row>
  </sheetData>
  <mergeCells count="1">
    <mergeCell ref="B1:G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M52"/>
  <sheetViews>
    <sheetView topLeftCell="A34" workbookViewId="0"/>
  </sheetViews>
  <sheetFormatPr baseColWidth="10" defaultColWidth="9.15625" defaultRowHeight="14.4" x14ac:dyDescent="0.55000000000000004"/>
  <cols>
    <col min="1" max="1" width="28.68359375" bestFit="1" customWidth="1"/>
    <col min="2" max="2" width="23.83984375" customWidth="1"/>
    <col min="3" max="3" width="12.578125" bestFit="1" customWidth="1"/>
    <col min="4" max="4" width="10" bestFit="1" customWidth="1"/>
    <col min="5" max="5" width="12.26171875" bestFit="1" customWidth="1"/>
    <col min="6" max="6" width="12.578125" bestFit="1" customWidth="1"/>
    <col min="7" max="7" width="14.578125" bestFit="1" customWidth="1"/>
    <col min="8" max="8" width="6.83984375" bestFit="1" customWidth="1"/>
  </cols>
  <sheetData>
    <row r="1" spans="1:11" ht="56.25" customHeight="1" x14ac:dyDescent="0.55000000000000004">
      <c r="A1" s="154" t="s">
        <v>261</v>
      </c>
      <c r="B1" s="155"/>
      <c r="C1" s="156"/>
      <c r="D1" s="1273" t="s">
        <v>0</v>
      </c>
      <c r="E1" s="1274"/>
      <c r="F1" s="1274"/>
      <c r="G1" s="1274"/>
      <c r="H1" s="1275"/>
      <c r="J1" s="307"/>
      <c r="K1" s="308"/>
    </row>
    <row r="2" spans="1:11" x14ac:dyDescent="0.55000000000000004">
      <c r="A2" s="157"/>
      <c r="B2" s="116"/>
      <c r="C2" s="158"/>
      <c r="D2" s="160"/>
      <c r="E2" s="161"/>
      <c r="F2" s="161"/>
      <c r="G2" s="161"/>
      <c r="H2" s="162"/>
      <c r="J2" s="307"/>
      <c r="K2" s="308"/>
    </row>
    <row r="3" spans="1:11" ht="14.7" thickBot="1" x14ac:dyDescent="0.6">
      <c r="A3" s="1061"/>
      <c r="B3" s="1112"/>
      <c r="C3" s="1062"/>
      <c r="D3" s="1063"/>
      <c r="E3" s="954"/>
      <c r="F3" s="954"/>
      <c r="G3" s="954"/>
      <c r="H3" s="955"/>
      <c r="J3" s="307"/>
      <c r="K3" s="308"/>
    </row>
    <row r="4" spans="1:11" x14ac:dyDescent="0.55000000000000004">
      <c r="A4" s="2"/>
      <c r="B4" s="1"/>
      <c r="C4" s="1"/>
      <c r="D4" s="1"/>
      <c r="E4" s="1"/>
      <c r="F4" s="1"/>
      <c r="G4" s="1"/>
      <c r="H4" s="1"/>
    </row>
    <row r="5" spans="1:11" x14ac:dyDescent="0.55000000000000004">
      <c r="A5" s="2" t="s">
        <v>262</v>
      </c>
      <c r="B5" s="108" t="s">
        <v>263</v>
      </c>
      <c r="C5" s="1"/>
      <c r="E5" s="4" t="s">
        <v>264</v>
      </c>
      <c r="F5" s="12">
        <v>700.1</v>
      </c>
      <c r="G5" s="3" t="s">
        <v>265</v>
      </c>
      <c r="H5" s="24" t="s">
        <v>64</v>
      </c>
    </row>
    <row r="6" spans="1:11" x14ac:dyDescent="0.55000000000000004">
      <c r="A6" s="2" t="s">
        <v>266</v>
      </c>
      <c r="B6" s="3" t="s">
        <v>370</v>
      </c>
      <c r="C6" s="1"/>
      <c r="D6" s="3"/>
      <c r="E6" s="3"/>
      <c r="F6" s="3"/>
      <c r="G6" s="3" t="s">
        <v>268</v>
      </c>
      <c r="H6" s="24" t="s">
        <v>50</v>
      </c>
    </row>
    <row r="7" spans="1:11" x14ac:dyDescent="0.55000000000000004">
      <c r="A7" s="3"/>
      <c r="B7" s="3"/>
      <c r="C7" s="1"/>
      <c r="D7" s="3"/>
      <c r="E7" s="3"/>
      <c r="F7" s="3"/>
      <c r="G7" s="3"/>
      <c r="H7" s="1"/>
    </row>
    <row r="8" spans="1:11" ht="14.7" thickBot="1" x14ac:dyDescent="0.6">
      <c r="A8" s="5" t="s">
        <v>269</v>
      </c>
      <c r="B8" s="5"/>
      <c r="C8" s="1"/>
      <c r="D8" s="1"/>
      <c r="E8" s="1"/>
      <c r="F8" s="1"/>
      <c r="G8" s="1"/>
      <c r="H8" s="1"/>
    </row>
    <row r="9" spans="1:11" x14ac:dyDescent="0.55000000000000004">
      <c r="A9" s="163" t="s">
        <v>270</v>
      </c>
      <c r="B9" s="6"/>
      <c r="C9" s="6" t="s">
        <v>271</v>
      </c>
      <c r="D9" s="7" t="s">
        <v>272</v>
      </c>
      <c r="E9" s="6" t="s">
        <v>273</v>
      </c>
      <c r="F9" s="8" t="s">
        <v>274</v>
      </c>
      <c r="G9" s="9"/>
    </row>
    <row r="10" spans="1:11" x14ac:dyDescent="0.55000000000000004">
      <c r="A10" s="1049" t="s">
        <v>371</v>
      </c>
      <c r="B10" s="1071"/>
      <c r="C10" s="1072"/>
      <c r="D10" s="699">
        <f>+'equipos y transporte'!E7</f>
        <v>67869.140625</v>
      </c>
      <c r="E10" s="698">
        <v>550</v>
      </c>
      <c r="F10" s="1073">
        <f>+D10/E10</f>
        <v>123.3984375</v>
      </c>
      <c r="G10" s="10"/>
    </row>
    <row r="11" spans="1:11" x14ac:dyDescent="0.55000000000000004">
      <c r="A11" s="1049" t="s">
        <v>372</v>
      </c>
      <c r="B11" s="1071"/>
      <c r="C11" s="1074"/>
      <c r="D11" s="1075">
        <f>+'equipos y transporte'!E23</f>
        <v>202495.34072518846</v>
      </c>
      <c r="E11" s="698">
        <v>550</v>
      </c>
      <c r="F11" s="1073">
        <f>+D11/E11</f>
        <v>368.17334677306991</v>
      </c>
      <c r="G11" s="10"/>
    </row>
    <row r="12" spans="1:11" x14ac:dyDescent="0.55000000000000004">
      <c r="A12" s="1049" t="s">
        <v>305</v>
      </c>
      <c r="B12" s="1071"/>
      <c r="C12" s="1074"/>
      <c r="D12" s="1100"/>
      <c r="E12" s="698"/>
      <c r="F12" s="1073">
        <f>+G44*1%</f>
        <v>0.86</v>
      </c>
      <c r="G12" s="10"/>
    </row>
    <row r="13" spans="1:11" x14ac:dyDescent="0.55000000000000004">
      <c r="A13" s="1049"/>
      <c r="B13" s="1071"/>
      <c r="C13" s="1074"/>
      <c r="D13" s="1078"/>
      <c r="E13" s="700"/>
      <c r="F13" s="1098"/>
      <c r="G13" s="10"/>
    </row>
    <row r="14" spans="1:11" x14ac:dyDescent="0.55000000000000004">
      <c r="A14" s="1049"/>
      <c r="B14" s="1071"/>
      <c r="C14" s="1074"/>
      <c r="D14" s="1078"/>
      <c r="E14" s="700"/>
      <c r="F14" s="1098"/>
      <c r="G14" s="10"/>
    </row>
    <row r="15" spans="1:11" x14ac:dyDescent="0.55000000000000004">
      <c r="A15" s="1049"/>
      <c r="B15" s="1071"/>
      <c r="C15" s="1074"/>
      <c r="D15" s="1078"/>
      <c r="E15" s="700"/>
      <c r="F15" s="1098"/>
      <c r="G15" s="10"/>
    </row>
    <row r="16" spans="1:11" x14ac:dyDescent="0.55000000000000004">
      <c r="A16" s="1049"/>
      <c r="B16" s="1071"/>
      <c r="C16" s="1074"/>
      <c r="D16" s="1078"/>
      <c r="E16" s="698"/>
      <c r="F16" s="1098"/>
      <c r="G16" s="10"/>
    </row>
    <row r="17" spans="1:7" ht="14.7" thickBot="1" x14ac:dyDescent="0.6">
      <c r="A17" s="1079"/>
      <c r="B17" s="1080"/>
      <c r="C17" s="1081"/>
      <c r="D17" s="1082"/>
      <c r="E17" s="1083"/>
      <c r="F17" s="1084"/>
      <c r="G17" s="11"/>
    </row>
    <row r="18" spans="1:7" ht="14.7" thickBot="1" x14ac:dyDescent="0.6">
      <c r="A18" s="1"/>
      <c r="B18" s="1"/>
      <c r="C18" s="1"/>
      <c r="D18" s="1"/>
      <c r="E18" s="1"/>
      <c r="F18" s="12" t="s">
        <v>280</v>
      </c>
      <c r="G18" s="131">
        <f>ROUND(SUM(F10:F17),0)</f>
        <v>492</v>
      </c>
    </row>
    <row r="19" spans="1:7" ht="14.7" thickBot="1" x14ac:dyDescent="0.6">
      <c r="A19" s="5" t="s">
        <v>281</v>
      </c>
      <c r="B19" s="1"/>
      <c r="C19" s="1"/>
      <c r="D19" s="1"/>
      <c r="E19" s="1"/>
      <c r="F19" s="1"/>
      <c r="G19" s="1"/>
    </row>
    <row r="20" spans="1:7" x14ac:dyDescent="0.55000000000000004">
      <c r="A20" s="13" t="s">
        <v>270</v>
      </c>
      <c r="B20" s="14"/>
      <c r="C20" s="6" t="s">
        <v>282</v>
      </c>
      <c r="D20" s="6" t="s">
        <v>283</v>
      </c>
      <c r="E20" s="6" t="s">
        <v>284</v>
      </c>
      <c r="F20" s="8" t="s">
        <v>274</v>
      </c>
      <c r="G20" s="9"/>
    </row>
    <row r="21" spans="1:7" x14ac:dyDescent="0.55000000000000004">
      <c r="A21" s="693" t="s">
        <v>373</v>
      </c>
      <c r="B21" s="694"/>
      <c r="C21" s="27" t="s">
        <v>46</v>
      </c>
      <c r="D21" s="695">
        <f>+insumos!E19</f>
        <v>7710.1184204317806</v>
      </c>
      <c r="E21" s="700">
        <v>4.8000000000000001E-2</v>
      </c>
      <c r="F21" s="1073">
        <f>+D21*E21</f>
        <v>370.08568418072548</v>
      </c>
      <c r="G21" s="10"/>
    </row>
    <row r="22" spans="1:7" x14ac:dyDescent="0.55000000000000004">
      <c r="A22" s="693" t="s">
        <v>374</v>
      </c>
      <c r="B22" s="694"/>
      <c r="C22" s="27" t="s">
        <v>375</v>
      </c>
      <c r="D22" s="695">
        <f>+insumos!E30</f>
        <v>167062.5</v>
      </c>
      <c r="E22" s="700">
        <v>1.4999999999999999E-2</v>
      </c>
      <c r="F22" s="1073">
        <f>+D22*E22</f>
        <v>2505.9375</v>
      </c>
      <c r="G22" s="10"/>
    </row>
    <row r="23" spans="1:7" x14ac:dyDescent="0.55000000000000004">
      <c r="A23" s="693" t="s">
        <v>376</v>
      </c>
      <c r="B23" s="694"/>
      <c r="C23" s="27" t="s">
        <v>375</v>
      </c>
      <c r="D23" s="699">
        <f>+insumos!E18</f>
        <v>44638.402718625322</v>
      </c>
      <c r="E23" s="1113">
        <v>4.4999999999999999E-4</v>
      </c>
      <c r="F23" s="1073">
        <f>+D23*E23</f>
        <v>20.087281223381396</v>
      </c>
      <c r="G23" s="10"/>
    </row>
    <row r="24" spans="1:7" x14ac:dyDescent="0.55000000000000004">
      <c r="A24" s="693"/>
      <c r="B24" s="694"/>
      <c r="C24" s="27"/>
      <c r="D24" s="1078"/>
      <c r="E24" s="700"/>
      <c r="F24" s="1098"/>
      <c r="G24" s="10"/>
    </row>
    <row r="25" spans="1:7" x14ac:dyDescent="0.55000000000000004">
      <c r="A25" s="693"/>
      <c r="B25" s="694"/>
      <c r="C25" s="701"/>
      <c r="D25" s="1078"/>
      <c r="E25" s="698"/>
      <c r="F25" s="1098"/>
      <c r="G25" s="10"/>
    </row>
    <row r="26" spans="1:7" x14ac:dyDescent="0.55000000000000004">
      <c r="A26" s="693"/>
      <c r="B26" s="694"/>
      <c r="C26" s="701"/>
      <c r="D26" s="1078"/>
      <c r="E26" s="698"/>
      <c r="F26" s="1098"/>
      <c r="G26" s="10"/>
    </row>
    <row r="27" spans="1:7" ht="14.7" thickBot="1" x14ac:dyDescent="0.6">
      <c r="A27" s="702"/>
      <c r="B27" s="16"/>
      <c r="C27" s="1081"/>
      <c r="D27" s="1082"/>
      <c r="E27" s="1083"/>
      <c r="F27" s="1084"/>
      <c r="G27" s="11"/>
    </row>
    <row r="28" spans="1:7" ht="14.7" thickBot="1" x14ac:dyDescent="0.6">
      <c r="A28" s="1"/>
      <c r="B28" s="1"/>
      <c r="C28" s="1"/>
      <c r="D28" s="1"/>
      <c r="E28" s="1"/>
      <c r="F28" s="12" t="s">
        <v>280</v>
      </c>
      <c r="G28" s="131">
        <f>ROUND(SUM(F21:F27),0)</f>
        <v>2896</v>
      </c>
    </row>
    <row r="29" spans="1:7" ht="14.7" thickBot="1" x14ac:dyDescent="0.6">
      <c r="A29" s="5" t="s">
        <v>285</v>
      </c>
      <c r="B29" s="1"/>
      <c r="C29" s="1"/>
      <c r="D29" s="1"/>
      <c r="E29" s="1"/>
      <c r="F29" s="1"/>
      <c r="G29" s="1"/>
    </row>
    <row r="30" spans="1:7" x14ac:dyDescent="0.55000000000000004">
      <c r="A30" s="163" t="s">
        <v>286</v>
      </c>
      <c r="B30" s="6" t="s">
        <v>287</v>
      </c>
      <c r="C30" s="6" t="s">
        <v>288</v>
      </c>
      <c r="D30" s="6" t="s">
        <v>289</v>
      </c>
      <c r="E30" s="6" t="s">
        <v>290</v>
      </c>
      <c r="F30" s="17" t="s">
        <v>274</v>
      </c>
      <c r="G30" s="9"/>
    </row>
    <row r="31" spans="1:7" x14ac:dyDescent="0.55000000000000004">
      <c r="A31" s="1049"/>
      <c r="B31" s="1087"/>
      <c r="C31" s="1050"/>
      <c r="D31" s="1087"/>
      <c r="E31" s="1087"/>
      <c r="F31" s="698"/>
      <c r="G31" s="10"/>
    </row>
    <row r="32" spans="1:7" x14ac:dyDescent="0.55000000000000004">
      <c r="A32" s="1049"/>
      <c r="B32" s="1087"/>
      <c r="C32" s="1050"/>
      <c r="D32" s="1087"/>
      <c r="E32" s="1087"/>
      <c r="F32" s="698"/>
      <c r="G32" s="28"/>
    </row>
    <row r="33" spans="1:13" x14ac:dyDescent="0.55000000000000004">
      <c r="A33" s="1088"/>
      <c r="B33" s="1089"/>
      <c r="C33" s="1072"/>
      <c r="D33" s="1090"/>
      <c r="E33" s="698"/>
      <c r="F33" s="698"/>
      <c r="G33" s="10"/>
    </row>
    <row r="34" spans="1:13" ht="14.7" thickBot="1" x14ac:dyDescent="0.6">
      <c r="A34" s="1091"/>
      <c r="B34" s="1092"/>
      <c r="C34" s="1092"/>
      <c r="D34" s="1092"/>
      <c r="E34" s="1092"/>
      <c r="F34" s="1093"/>
      <c r="G34" s="10"/>
    </row>
    <row r="35" spans="1:13" ht="14.7" thickBot="1" x14ac:dyDescent="0.6">
      <c r="A35" s="1"/>
      <c r="B35" s="1"/>
      <c r="C35" s="1"/>
      <c r="D35" s="1"/>
      <c r="E35" s="1"/>
      <c r="F35" s="12" t="s">
        <v>280</v>
      </c>
      <c r="G35" s="131">
        <f>SUM(F31:F34)</f>
        <v>0</v>
      </c>
      <c r="M35" s="18"/>
    </row>
    <row r="36" spans="1:13" ht="14.7" thickBot="1" x14ac:dyDescent="0.6">
      <c r="A36" s="5" t="s">
        <v>292</v>
      </c>
      <c r="B36" s="1"/>
      <c r="C36" s="1"/>
      <c r="D36" s="1"/>
      <c r="E36" s="1"/>
      <c r="F36" s="1"/>
      <c r="G36" s="1"/>
    </row>
    <row r="37" spans="1:13" x14ac:dyDescent="0.55000000000000004">
      <c r="A37" s="19" t="s">
        <v>293</v>
      </c>
      <c r="B37" s="6" t="s">
        <v>294</v>
      </c>
      <c r="C37" s="6" t="s">
        <v>295</v>
      </c>
      <c r="D37" s="7" t="s">
        <v>296</v>
      </c>
      <c r="E37" s="20" t="s">
        <v>273</v>
      </c>
      <c r="F37" s="8" t="s">
        <v>274</v>
      </c>
      <c r="G37" s="9"/>
    </row>
    <row r="38" spans="1:13" x14ac:dyDescent="0.55000000000000004">
      <c r="A38" s="1094" t="s">
        <v>377</v>
      </c>
      <c r="B38" s="699">
        <f>+jornal*3</f>
        <v>130000</v>
      </c>
      <c r="C38" s="1095">
        <v>1.85</v>
      </c>
      <c r="D38" s="699">
        <f>+B38*C38</f>
        <v>240500</v>
      </c>
      <c r="E38" s="698">
        <f>550*8</f>
        <v>4400</v>
      </c>
      <c r="F38" s="697">
        <f>+D38/E38</f>
        <v>54.659090909090907</v>
      </c>
      <c r="G38" s="10"/>
    </row>
    <row r="39" spans="1:13" x14ac:dyDescent="0.55000000000000004">
      <c r="A39" s="1094" t="s">
        <v>311</v>
      </c>
      <c r="B39" s="699">
        <f>+ofic</f>
        <v>73666.666666666672</v>
      </c>
      <c r="C39" s="1095">
        <v>1.85</v>
      </c>
      <c r="D39" s="699">
        <f>+B39*C39</f>
        <v>136283.33333333334</v>
      </c>
      <c r="E39" s="698">
        <f>+E38</f>
        <v>4400</v>
      </c>
      <c r="F39" s="697">
        <f>+D39/E39</f>
        <v>30.973484848484851</v>
      </c>
      <c r="G39" s="10"/>
    </row>
    <row r="40" spans="1:13" x14ac:dyDescent="0.55000000000000004">
      <c r="A40" s="1094"/>
      <c r="B40" s="1096"/>
      <c r="C40" s="1095"/>
      <c r="D40" s="698"/>
      <c r="E40" s="698"/>
      <c r="F40" s="1097"/>
      <c r="G40" s="10"/>
    </row>
    <row r="41" spans="1:13" x14ac:dyDescent="0.55000000000000004">
      <c r="A41" s="1094"/>
      <c r="B41" s="1078"/>
      <c r="C41" s="1072"/>
      <c r="D41" s="1078"/>
      <c r="E41" s="698"/>
      <c r="F41" s="1098"/>
      <c r="G41" s="10"/>
    </row>
    <row r="42" spans="1:13" x14ac:dyDescent="0.55000000000000004">
      <c r="A42" s="1094"/>
      <c r="B42" s="1078"/>
      <c r="C42" s="1072"/>
      <c r="D42" s="1078"/>
      <c r="E42" s="698"/>
      <c r="F42" s="1098"/>
      <c r="G42" s="10"/>
    </row>
    <row r="43" spans="1:13" ht="14.7" thickBot="1" x14ac:dyDescent="0.6">
      <c r="A43" s="22"/>
      <c r="B43" s="16"/>
      <c r="C43" s="16"/>
      <c r="D43" s="16"/>
      <c r="E43" s="16"/>
      <c r="F43" s="15"/>
      <c r="G43" s="11"/>
    </row>
    <row r="44" spans="1:13" ht="14.7" thickBot="1" x14ac:dyDescent="0.6">
      <c r="A44" s="1"/>
      <c r="B44" s="1"/>
      <c r="C44" s="1"/>
      <c r="D44" s="1"/>
      <c r="E44" s="1"/>
      <c r="F44" s="12" t="s">
        <v>280</v>
      </c>
      <c r="G44" s="131">
        <f>ROUND(SUM(F38:F43),0)</f>
        <v>86</v>
      </c>
    </row>
    <row r="45" spans="1:13" ht="14.7" thickBot="1" x14ac:dyDescent="0.6">
      <c r="A45" s="1"/>
      <c r="B45" s="1"/>
      <c r="C45" s="1"/>
      <c r="D45" s="1"/>
      <c r="E45" s="1"/>
      <c r="F45" s="1"/>
      <c r="G45" s="24"/>
      <c r="H45" s="1"/>
    </row>
    <row r="46" spans="1:13" ht="14.7" thickBot="1" x14ac:dyDescent="0.6">
      <c r="A46" s="1"/>
      <c r="B46" s="1"/>
      <c r="C46" s="1"/>
      <c r="D46" s="1"/>
      <c r="E46" s="25" t="s">
        <v>299</v>
      </c>
      <c r="F46" s="26"/>
      <c r="G46" s="131">
        <f>ROUND((G18+G28+G35+G44),0)</f>
        <v>3474</v>
      </c>
    </row>
    <row r="47" spans="1:13" x14ac:dyDescent="0.55000000000000004">
      <c r="A47" s="1"/>
      <c r="B47" s="1"/>
      <c r="C47" s="1"/>
      <c r="D47" s="1"/>
      <c r="E47" s="1"/>
      <c r="F47" s="1"/>
      <c r="G47" s="1"/>
      <c r="H47" s="1"/>
    </row>
    <row r="49" spans="5:6" x14ac:dyDescent="0.55000000000000004">
      <c r="E49" s="313"/>
      <c r="F49" s="314"/>
    </row>
    <row r="50" spans="5:6" x14ac:dyDescent="0.55000000000000004">
      <c r="E50" s="1067" t="s">
        <v>312</v>
      </c>
      <c r="F50" s="1068" t="s">
        <v>313</v>
      </c>
    </row>
    <row r="51" spans="5:6" x14ac:dyDescent="0.55000000000000004">
      <c r="E51" s="1067"/>
      <c r="F51" s="1068"/>
    </row>
    <row r="52" spans="5:6" ht="14.7" thickBot="1" x14ac:dyDescent="0.6">
      <c r="E52" s="1069"/>
      <c r="F52" s="1070"/>
    </row>
  </sheetData>
  <mergeCells count="1">
    <mergeCell ref="D1:H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M49"/>
  <sheetViews>
    <sheetView topLeftCell="A22" workbookViewId="0"/>
  </sheetViews>
  <sheetFormatPr baseColWidth="10" defaultColWidth="9.15625" defaultRowHeight="14.4" x14ac:dyDescent="0.55000000000000004"/>
  <cols>
    <col min="1" max="1" width="47" customWidth="1"/>
    <col min="2" max="2" width="33.83984375" bestFit="1" customWidth="1"/>
    <col min="3" max="3" width="12.578125" bestFit="1" customWidth="1"/>
    <col min="4" max="4" width="10" bestFit="1" customWidth="1"/>
    <col min="5" max="5" width="12.26171875" bestFit="1" customWidth="1"/>
    <col min="6" max="6" width="12.578125" bestFit="1" customWidth="1"/>
    <col min="7" max="7" width="14.578125" bestFit="1" customWidth="1"/>
    <col min="8" max="8" width="8.578125" bestFit="1" customWidth="1"/>
  </cols>
  <sheetData>
    <row r="1" spans="1:11" ht="51.75" customHeight="1" x14ac:dyDescent="0.55000000000000004">
      <c r="A1" s="154" t="s">
        <v>261</v>
      </c>
      <c r="B1" s="155"/>
      <c r="C1" s="156"/>
      <c r="D1" s="1273" t="s">
        <v>0</v>
      </c>
      <c r="E1" s="1274"/>
      <c r="F1" s="1274"/>
      <c r="G1" s="1274"/>
      <c r="H1" s="1275"/>
      <c r="J1" s="307"/>
      <c r="K1" s="308"/>
    </row>
    <row r="2" spans="1:11" x14ac:dyDescent="0.55000000000000004">
      <c r="A2" s="157"/>
      <c r="B2" s="116"/>
      <c r="C2" s="158"/>
      <c r="D2" s="160"/>
      <c r="E2" s="161"/>
      <c r="F2" s="161"/>
      <c r="G2" s="161"/>
      <c r="H2" s="162"/>
      <c r="J2" s="307"/>
      <c r="K2" s="308"/>
    </row>
    <row r="3" spans="1:11" x14ac:dyDescent="0.55000000000000004">
      <c r="A3" s="1061"/>
      <c r="B3" s="1112"/>
      <c r="C3" s="1062"/>
      <c r="D3" s="1063"/>
      <c r="E3" s="954"/>
      <c r="F3" s="954"/>
      <c r="G3" s="954"/>
      <c r="H3" s="955"/>
      <c r="J3" s="307"/>
      <c r="K3" s="308"/>
    </row>
    <row r="4" spans="1:11" x14ac:dyDescent="0.55000000000000004">
      <c r="A4" s="105"/>
      <c r="B4" s="106"/>
      <c r="C4" s="106"/>
      <c r="D4" s="106"/>
      <c r="E4" s="106"/>
      <c r="F4" s="106"/>
      <c r="G4" s="106"/>
      <c r="H4" s="106"/>
      <c r="J4" s="307"/>
      <c r="K4" s="308"/>
    </row>
    <row r="5" spans="1:11" x14ac:dyDescent="0.55000000000000004">
      <c r="A5" s="105" t="s">
        <v>262</v>
      </c>
      <c r="B5" s="108" t="s">
        <v>263</v>
      </c>
      <c r="C5" s="106"/>
      <c r="D5" s="44"/>
      <c r="E5" s="107" t="s">
        <v>264</v>
      </c>
      <c r="F5" s="116">
        <v>710.1</v>
      </c>
      <c r="G5" s="108" t="s">
        <v>265</v>
      </c>
      <c r="H5" s="126" t="s">
        <v>60</v>
      </c>
    </row>
    <row r="6" spans="1:11" ht="29.25" customHeight="1" x14ac:dyDescent="0.55000000000000004">
      <c r="A6" s="105" t="s">
        <v>266</v>
      </c>
      <c r="B6" s="1285" t="s">
        <v>378</v>
      </c>
      <c r="C6" s="1285"/>
      <c r="D6" s="1285"/>
      <c r="E6" s="1285"/>
      <c r="F6" s="1285"/>
      <c r="G6" s="108" t="s">
        <v>268</v>
      </c>
      <c r="H6" s="126" t="s">
        <v>379</v>
      </c>
      <c r="J6" s="309"/>
      <c r="K6" s="310"/>
    </row>
    <row r="7" spans="1:11" x14ac:dyDescent="0.55000000000000004">
      <c r="A7" s="108"/>
      <c r="B7" s="108"/>
      <c r="C7" s="106"/>
      <c r="D7" s="108"/>
      <c r="E7" s="108"/>
      <c r="F7" s="108"/>
      <c r="G7" s="108"/>
      <c r="H7" s="106"/>
      <c r="J7" s="309"/>
      <c r="K7" s="310"/>
    </row>
    <row r="8" spans="1:11" x14ac:dyDescent="0.55000000000000004">
      <c r="A8" s="109" t="s">
        <v>269</v>
      </c>
      <c r="B8" s="109"/>
      <c r="C8" s="106"/>
      <c r="D8" s="106"/>
      <c r="E8" s="106"/>
      <c r="F8" s="106"/>
      <c r="G8" s="106"/>
      <c r="H8" s="106"/>
    </row>
    <row r="9" spans="1:11" x14ac:dyDescent="0.55000000000000004">
      <c r="A9" s="159" t="s">
        <v>270</v>
      </c>
      <c r="B9" s="110"/>
      <c r="C9" s="110" t="s">
        <v>271</v>
      </c>
      <c r="D9" s="111" t="s">
        <v>272</v>
      </c>
      <c r="E9" s="110" t="s">
        <v>273</v>
      </c>
      <c r="F9" s="112" t="s">
        <v>274</v>
      </c>
      <c r="G9" s="113"/>
    </row>
    <row r="10" spans="1:11" x14ac:dyDescent="0.55000000000000004">
      <c r="A10" s="1028" t="s">
        <v>380</v>
      </c>
      <c r="B10" s="1029"/>
      <c r="C10" s="1024"/>
      <c r="D10" s="1025">
        <f>+'equipos y transporte'!E7</f>
        <v>67869.140625</v>
      </c>
      <c r="E10" s="1044">
        <v>3.5</v>
      </c>
      <c r="F10" s="1065">
        <f>+D10/E10</f>
        <v>19391.183035714286</v>
      </c>
      <c r="G10" s="114"/>
    </row>
    <row r="11" spans="1:11" x14ac:dyDescent="0.55000000000000004">
      <c r="A11" s="1028" t="s">
        <v>305</v>
      </c>
      <c r="B11" s="1029"/>
      <c r="C11" s="1030"/>
      <c r="D11" s="1035"/>
      <c r="E11" s="1026"/>
      <c r="F11" s="1065">
        <f>+G44*1%</f>
        <v>134.57</v>
      </c>
      <c r="G11" s="114"/>
    </row>
    <row r="12" spans="1:11" x14ac:dyDescent="0.55000000000000004">
      <c r="A12" s="1022"/>
      <c r="B12" s="1023"/>
      <c r="C12" s="1030"/>
      <c r="D12" s="1034"/>
      <c r="E12" s="1044"/>
      <c r="F12" s="1045"/>
      <c r="G12" s="114"/>
    </row>
    <row r="13" spans="1:11" x14ac:dyDescent="0.55000000000000004">
      <c r="A13" s="1028"/>
      <c r="B13" s="1029"/>
      <c r="C13" s="1030"/>
      <c r="D13" s="1034"/>
      <c r="E13" s="1044"/>
      <c r="F13" s="1045"/>
      <c r="G13" s="114"/>
    </row>
    <row r="14" spans="1:11" x14ac:dyDescent="0.55000000000000004">
      <c r="A14" s="1028"/>
      <c r="B14" s="1029"/>
      <c r="C14" s="1030"/>
      <c r="D14" s="1034"/>
      <c r="E14" s="1044"/>
      <c r="F14" s="1045"/>
      <c r="G14" s="114"/>
    </row>
    <row r="15" spans="1:11" x14ac:dyDescent="0.55000000000000004">
      <c r="A15" s="1028"/>
      <c r="B15" s="1029"/>
      <c r="C15" s="1030"/>
      <c r="D15" s="1034"/>
      <c r="E15" s="1044"/>
      <c r="F15" s="1045"/>
      <c r="G15" s="114"/>
    </row>
    <row r="16" spans="1:11" x14ac:dyDescent="0.55000000000000004">
      <c r="A16" s="1028"/>
      <c r="B16" s="1029"/>
      <c r="C16" s="1030"/>
      <c r="D16" s="1034"/>
      <c r="E16" s="1026"/>
      <c r="F16" s="1045"/>
      <c r="G16" s="114"/>
    </row>
    <row r="17" spans="1:7" x14ac:dyDescent="0.55000000000000004">
      <c r="A17" s="1037"/>
      <c r="B17" s="1038"/>
      <c r="C17" s="1039"/>
      <c r="D17" s="1040"/>
      <c r="E17" s="1041"/>
      <c r="F17" s="1048"/>
      <c r="G17" s="115"/>
    </row>
    <row r="18" spans="1:7" x14ac:dyDescent="0.55000000000000004">
      <c r="A18" s="106"/>
      <c r="B18" s="106"/>
      <c r="C18" s="106"/>
      <c r="D18" s="106"/>
      <c r="E18" s="106"/>
      <c r="F18" s="116" t="s">
        <v>280</v>
      </c>
      <c r="G18" s="130">
        <f>ROUND(SUM(F10:F17),0)</f>
        <v>19526</v>
      </c>
    </row>
    <row r="19" spans="1:7" x14ac:dyDescent="0.55000000000000004">
      <c r="A19" s="109" t="s">
        <v>281</v>
      </c>
      <c r="B19" s="106"/>
      <c r="C19" s="106"/>
      <c r="D19" s="106"/>
      <c r="E19" s="106"/>
      <c r="F19" s="106"/>
      <c r="G19" s="106"/>
    </row>
    <row r="20" spans="1:7" x14ac:dyDescent="0.55000000000000004">
      <c r="A20" s="117" t="s">
        <v>270</v>
      </c>
      <c r="B20" s="118"/>
      <c r="C20" s="110" t="s">
        <v>282</v>
      </c>
      <c r="D20" s="110" t="s">
        <v>283</v>
      </c>
      <c r="E20" s="110" t="s">
        <v>284</v>
      </c>
      <c r="F20" s="112" t="s">
        <v>274</v>
      </c>
      <c r="G20" s="113"/>
    </row>
    <row r="21" spans="1:7" x14ac:dyDescent="0.55000000000000004">
      <c r="A21" s="1046" t="s">
        <v>381</v>
      </c>
      <c r="B21" s="1043"/>
      <c r="C21" s="132" t="s">
        <v>382</v>
      </c>
      <c r="D21" s="1114">
        <f>+insumos!E31</f>
        <v>165154.2245163194</v>
      </c>
      <c r="E21" s="1044">
        <v>1</v>
      </c>
      <c r="F21" s="1065">
        <f>+D21*E21</f>
        <v>165154.2245163194</v>
      </c>
      <c r="G21" s="114"/>
    </row>
    <row r="22" spans="1:7" x14ac:dyDescent="0.55000000000000004">
      <c r="A22" s="1046" t="s">
        <v>383</v>
      </c>
      <c r="B22" s="1043"/>
      <c r="C22" s="132" t="s">
        <v>382</v>
      </c>
      <c r="D22" s="1114">
        <f>+insumos!E33</f>
        <v>477130.5</v>
      </c>
      <c r="E22" s="1044">
        <v>1</v>
      </c>
      <c r="F22" s="1065">
        <f>+D22*E22</f>
        <v>477130.5</v>
      </c>
      <c r="G22" s="114"/>
    </row>
    <row r="23" spans="1:7" x14ac:dyDescent="0.55000000000000004">
      <c r="A23" s="1046" t="s">
        <v>384</v>
      </c>
      <c r="B23" s="1043"/>
      <c r="C23" s="132" t="s">
        <v>22</v>
      </c>
      <c r="D23" s="1025">
        <f>+insumos!E15</f>
        <v>574270</v>
      </c>
      <c r="E23" s="1044">
        <v>3.7499999999999999E-2</v>
      </c>
      <c r="F23" s="1065">
        <f t="shared" ref="F23" si="0">+D23*E23</f>
        <v>21535.125</v>
      </c>
      <c r="G23" s="114"/>
    </row>
    <row r="24" spans="1:7" x14ac:dyDescent="0.55000000000000004">
      <c r="A24" s="1046"/>
      <c r="B24" s="1043"/>
      <c r="C24" s="132"/>
      <c r="D24" s="1034"/>
      <c r="E24" s="1044"/>
      <c r="F24" s="1045"/>
      <c r="G24" s="114"/>
    </row>
    <row r="25" spans="1:7" x14ac:dyDescent="0.55000000000000004">
      <c r="A25" s="1046"/>
      <c r="B25" s="1043"/>
      <c r="C25" s="1115"/>
      <c r="D25" s="1034"/>
      <c r="E25" s="1026"/>
      <c r="F25" s="1045"/>
      <c r="G25" s="114"/>
    </row>
    <row r="26" spans="1:7" x14ac:dyDescent="0.55000000000000004">
      <c r="A26" s="1046"/>
      <c r="B26" s="1043"/>
      <c r="C26" s="1115"/>
      <c r="D26" s="1034"/>
      <c r="E26" s="1026"/>
      <c r="F26" s="1045"/>
      <c r="G26" s="114"/>
    </row>
    <row r="27" spans="1:7" x14ac:dyDescent="0.55000000000000004">
      <c r="A27" s="1047"/>
      <c r="B27" s="120"/>
      <c r="C27" s="1039"/>
      <c r="D27" s="1040"/>
      <c r="E27" s="1041"/>
      <c r="F27" s="1048"/>
      <c r="G27" s="115"/>
    </row>
    <row r="28" spans="1:7" x14ac:dyDescent="0.55000000000000004">
      <c r="A28" s="106"/>
      <c r="B28" s="106"/>
      <c r="C28" s="106"/>
      <c r="D28" s="106"/>
      <c r="E28" s="106"/>
      <c r="F28" s="116" t="s">
        <v>280</v>
      </c>
      <c r="G28" s="130">
        <f>ROUND(SUM(F21:F27),0)</f>
        <v>663820</v>
      </c>
    </row>
    <row r="29" spans="1:7" x14ac:dyDescent="0.55000000000000004">
      <c r="A29" s="109" t="s">
        <v>285</v>
      </c>
      <c r="B29" s="106"/>
      <c r="C29" s="106"/>
      <c r="D29" s="106"/>
      <c r="E29" s="106"/>
      <c r="F29" s="106"/>
      <c r="G29" s="106"/>
    </row>
    <row r="30" spans="1:7" x14ac:dyDescent="0.55000000000000004">
      <c r="A30" s="159" t="s">
        <v>286</v>
      </c>
      <c r="B30" s="110" t="s">
        <v>287</v>
      </c>
      <c r="C30" s="110" t="s">
        <v>288</v>
      </c>
      <c r="D30" s="110" t="s">
        <v>289</v>
      </c>
      <c r="E30" s="110" t="s">
        <v>290</v>
      </c>
      <c r="F30" s="121" t="s">
        <v>274</v>
      </c>
      <c r="G30" s="113"/>
    </row>
    <row r="31" spans="1:7" x14ac:dyDescent="0.55000000000000004">
      <c r="A31" s="1028"/>
      <c r="B31" s="1110"/>
      <c r="C31" s="1066"/>
      <c r="D31" s="1110"/>
      <c r="E31" s="1110"/>
      <c r="F31" s="1026"/>
      <c r="G31" s="114"/>
    </row>
    <row r="32" spans="1:7" x14ac:dyDescent="0.55000000000000004">
      <c r="A32" s="1028"/>
      <c r="B32" s="1110"/>
      <c r="C32" s="1066"/>
      <c r="D32" s="1110"/>
      <c r="E32" s="1110"/>
      <c r="F32" s="1026"/>
      <c r="G32" s="133"/>
    </row>
    <row r="33" spans="1:13" x14ac:dyDescent="0.55000000000000004">
      <c r="A33" s="1052"/>
      <c r="B33" s="1053"/>
      <c r="C33" s="1024"/>
      <c r="D33" s="1054"/>
      <c r="E33" s="1026"/>
      <c r="F33" s="1026"/>
      <c r="G33" s="114"/>
    </row>
    <row r="34" spans="1:13" x14ac:dyDescent="0.55000000000000004">
      <c r="A34" s="1055"/>
      <c r="B34" s="1056"/>
      <c r="C34" s="1056"/>
      <c r="D34" s="1056"/>
      <c r="E34" s="1056"/>
      <c r="F34" s="1057"/>
      <c r="G34" s="114"/>
    </row>
    <row r="35" spans="1:13" x14ac:dyDescent="0.55000000000000004">
      <c r="A35" s="106"/>
      <c r="B35" s="106"/>
      <c r="C35" s="106"/>
      <c r="D35" s="106"/>
      <c r="E35" s="106"/>
      <c r="F35" s="116" t="s">
        <v>280</v>
      </c>
      <c r="G35" s="130">
        <f>ROUND(SUM(F31:F34),0)</f>
        <v>0</v>
      </c>
      <c r="M35" s="129"/>
    </row>
    <row r="36" spans="1:13" x14ac:dyDescent="0.55000000000000004">
      <c r="A36" s="109" t="s">
        <v>292</v>
      </c>
      <c r="B36" s="106"/>
      <c r="C36" s="106"/>
      <c r="D36" s="106"/>
      <c r="E36" s="106"/>
      <c r="F36" s="106"/>
      <c r="G36" s="106"/>
    </row>
    <row r="37" spans="1:13" x14ac:dyDescent="0.55000000000000004">
      <c r="A37" s="122" t="s">
        <v>293</v>
      </c>
      <c r="B37" s="110" t="s">
        <v>294</v>
      </c>
      <c r="C37" s="110" t="s">
        <v>295</v>
      </c>
      <c r="D37" s="111" t="s">
        <v>296</v>
      </c>
      <c r="E37" s="123" t="s">
        <v>273</v>
      </c>
      <c r="F37" s="112" t="s">
        <v>274</v>
      </c>
      <c r="G37" s="113"/>
    </row>
    <row r="38" spans="1:13" x14ac:dyDescent="0.55000000000000004">
      <c r="A38" s="1058" t="s">
        <v>377</v>
      </c>
      <c r="B38" s="1025">
        <f>+jornal*3</f>
        <v>130000</v>
      </c>
      <c r="C38" s="1059">
        <v>1.85</v>
      </c>
      <c r="D38" s="1025">
        <f>+B38*C38</f>
        <v>240500</v>
      </c>
      <c r="E38" s="1026">
        <f>3.5*8</f>
        <v>28</v>
      </c>
      <c r="F38" s="1027">
        <f>+D38/E38</f>
        <v>8589.2857142857138</v>
      </c>
      <c r="G38" s="114"/>
    </row>
    <row r="39" spans="1:13" x14ac:dyDescent="0.55000000000000004">
      <c r="A39" s="1058" t="s">
        <v>311</v>
      </c>
      <c r="B39" s="1025">
        <f>+ofic</f>
        <v>73666.666666666672</v>
      </c>
      <c r="C39" s="1059">
        <v>1.85</v>
      </c>
      <c r="D39" s="1025">
        <f>+B39*C39</f>
        <v>136283.33333333334</v>
      </c>
      <c r="E39" s="1026">
        <v>28</v>
      </c>
      <c r="F39" s="1027">
        <f>+D39/E39</f>
        <v>4867.2619047619055</v>
      </c>
      <c r="G39" s="114"/>
    </row>
    <row r="40" spans="1:13" x14ac:dyDescent="0.55000000000000004">
      <c r="A40" s="1058"/>
      <c r="B40" s="1060"/>
      <c r="C40" s="1059"/>
      <c r="D40" s="1026"/>
      <c r="E40" s="1026"/>
      <c r="F40" s="1036"/>
      <c r="G40" s="114"/>
    </row>
    <row r="41" spans="1:13" x14ac:dyDescent="0.55000000000000004">
      <c r="A41" s="1058"/>
      <c r="B41" s="1034"/>
      <c r="C41" s="1024"/>
      <c r="D41" s="1034"/>
      <c r="E41" s="1026"/>
      <c r="F41" s="1045"/>
      <c r="G41" s="114"/>
    </row>
    <row r="42" spans="1:13" x14ac:dyDescent="0.55000000000000004">
      <c r="A42" s="1058"/>
      <c r="B42" s="1034"/>
      <c r="C42" s="1024"/>
      <c r="D42" s="1034"/>
      <c r="E42" s="1026"/>
      <c r="F42" s="1045"/>
      <c r="G42" s="114"/>
    </row>
    <row r="43" spans="1:13" ht="14.7" thickBot="1" x14ac:dyDescent="0.6">
      <c r="A43" s="124"/>
      <c r="B43" s="120"/>
      <c r="C43" s="120"/>
      <c r="D43" s="120"/>
      <c r="E43" s="120"/>
      <c r="F43" s="119"/>
      <c r="G43" s="115"/>
    </row>
    <row r="44" spans="1:13" ht="14.7" thickBot="1" x14ac:dyDescent="0.6">
      <c r="A44" s="106"/>
      <c r="B44" s="106"/>
      <c r="C44" s="106"/>
      <c r="D44" s="106"/>
      <c r="E44" s="106"/>
      <c r="F44" s="116" t="s">
        <v>280</v>
      </c>
      <c r="G44" s="130">
        <f>ROUND(SUM(F38:F43),0)</f>
        <v>13457</v>
      </c>
    </row>
    <row r="45" spans="1:13" ht="14.7" thickBot="1" x14ac:dyDescent="0.6">
      <c r="A45" s="106"/>
      <c r="B45" s="106"/>
      <c r="C45" s="106"/>
      <c r="D45" s="106"/>
      <c r="E45" s="106"/>
      <c r="F45" s="106"/>
      <c r="G45" s="126"/>
      <c r="H45" s="106"/>
    </row>
    <row r="46" spans="1:13" ht="14.7" thickBot="1" x14ac:dyDescent="0.6">
      <c r="A46" s="106"/>
      <c r="B46" s="106"/>
      <c r="C46" s="106"/>
      <c r="D46" s="106"/>
      <c r="E46" s="127" t="s">
        <v>299</v>
      </c>
      <c r="F46" s="128"/>
      <c r="G46" s="130">
        <f>ROUND((G18+G28+G35+G44),0)</f>
        <v>696803</v>
      </c>
    </row>
    <row r="47" spans="1:13" x14ac:dyDescent="0.55000000000000004">
      <c r="A47" s="106"/>
      <c r="B47" s="106"/>
      <c r="C47" s="106"/>
      <c r="D47" s="106"/>
      <c r="E47" s="106"/>
      <c r="F47" s="106"/>
      <c r="G47" s="106"/>
      <c r="H47" s="106"/>
    </row>
    <row r="49" spans="5:6" x14ac:dyDescent="0.55000000000000004">
      <c r="E49" s="1067" t="s">
        <v>312</v>
      </c>
      <c r="F49" s="1068" t="s">
        <v>313</v>
      </c>
    </row>
  </sheetData>
  <mergeCells count="2">
    <mergeCell ref="D1:H1"/>
    <mergeCell ref="B6:F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61"/>
  <sheetViews>
    <sheetView workbookViewId="0">
      <selection activeCell="A2" sqref="A2"/>
    </sheetView>
  </sheetViews>
  <sheetFormatPr baseColWidth="10" defaultColWidth="9.15625" defaultRowHeight="12.9" x14ac:dyDescent="0.5"/>
  <cols>
    <col min="1" max="1" width="9.15625" style="193"/>
    <col min="2" max="2" width="68.83984375" style="193" customWidth="1"/>
    <col min="3" max="3" width="21.15625" style="193" bestFit="1" customWidth="1"/>
    <col min="4" max="4" width="17.68359375" style="193" bestFit="1" customWidth="1"/>
    <col min="5" max="5" width="10.41796875" style="193" bestFit="1" customWidth="1"/>
    <col min="6" max="8" width="15" style="193" bestFit="1" customWidth="1"/>
    <col min="9" max="9" width="2" style="193" bestFit="1" customWidth="1"/>
    <col min="10" max="10" width="12" style="193" bestFit="1" customWidth="1"/>
    <col min="11" max="16384" width="9.15625" style="193"/>
  </cols>
  <sheetData>
    <row r="1" spans="1:10" x14ac:dyDescent="0.5">
      <c r="A1" s="190"/>
      <c r="B1" s="191"/>
      <c r="C1" s="191"/>
      <c r="D1" s="191"/>
      <c r="E1" s="191"/>
      <c r="F1" s="192"/>
    </row>
    <row r="2" spans="1:10" ht="28.5" customHeight="1" x14ac:dyDescent="0.5">
      <c r="A2" s="194"/>
      <c r="B2" s="1286" t="str">
        <f>+PRESUPUESTO!B1</f>
        <v>MEJORAMIENTO DE LA VIA QUE COMUNICA LA VEREDA EL ENCANTO CON EL CORREGIMIENTO EL SILENCIO, MUNICIPIO DE CAREPA, DEPARTAMENTO DE ANTIOQUIA.</v>
      </c>
      <c r="C2" s="1286"/>
      <c r="D2" s="1286"/>
      <c r="E2" s="1286"/>
      <c r="F2" s="196"/>
    </row>
    <row r="3" spans="1:10" x14ac:dyDescent="0.5">
      <c r="A3" s="194"/>
      <c r="B3" s="195"/>
      <c r="C3" s="195"/>
      <c r="D3" s="195"/>
      <c r="E3" s="195"/>
      <c r="F3" s="196"/>
    </row>
    <row r="4" spans="1:10" x14ac:dyDescent="0.5">
      <c r="A4" s="194"/>
      <c r="B4" s="195"/>
      <c r="C4" s="195"/>
      <c r="D4" s="195"/>
      <c r="E4" s="195"/>
      <c r="F4" s="196"/>
    </row>
    <row r="5" spans="1:10" x14ac:dyDescent="0.5">
      <c r="A5" s="197" t="s">
        <v>385</v>
      </c>
      <c r="B5" s="198"/>
      <c r="C5" s="198"/>
      <c r="D5" s="198"/>
      <c r="E5" s="198"/>
      <c r="F5" s="199"/>
    </row>
    <row r="6" spans="1:10" x14ac:dyDescent="0.5">
      <c r="A6" s="200" t="s">
        <v>115</v>
      </c>
      <c r="B6" s="201"/>
      <c r="C6" s="201" t="s">
        <v>386</v>
      </c>
      <c r="D6" s="201" t="s">
        <v>387</v>
      </c>
      <c r="E6" s="201" t="s">
        <v>7</v>
      </c>
      <c r="F6" s="202" t="s">
        <v>388</v>
      </c>
    </row>
    <row r="7" spans="1:10" x14ac:dyDescent="0.5">
      <c r="A7" s="203" t="s">
        <v>75</v>
      </c>
      <c r="B7" s="204"/>
      <c r="C7" s="204"/>
      <c r="D7" s="204" t="s">
        <v>38</v>
      </c>
      <c r="E7" s="204"/>
      <c r="F7" s="205"/>
    </row>
    <row r="8" spans="1:10" x14ac:dyDescent="0.5">
      <c r="A8" s="203"/>
      <c r="B8" s="204" t="s">
        <v>389</v>
      </c>
      <c r="C8" s="204"/>
      <c r="D8" s="204"/>
      <c r="E8" s="204"/>
      <c r="F8" s="205"/>
      <c r="H8" s="972"/>
      <c r="J8" s="972"/>
    </row>
    <row r="9" spans="1:10" ht="49.2" x14ac:dyDescent="0.5">
      <c r="A9" s="206"/>
      <c r="B9" s="211" t="s">
        <v>390</v>
      </c>
      <c r="C9" s="207" t="s">
        <v>391</v>
      </c>
      <c r="D9" s="208">
        <v>75000</v>
      </c>
      <c r="E9" s="209">
        <v>8</v>
      </c>
      <c r="F9" s="210">
        <f>ROUND(D9*E9,0)</f>
        <v>600000</v>
      </c>
    </row>
    <row r="10" spans="1:10" ht="36.9" x14ac:dyDescent="0.5">
      <c r="A10" s="206"/>
      <c r="B10" s="211" t="s">
        <v>392</v>
      </c>
      <c r="C10" s="207" t="s">
        <v>391</v>
      </c>
      <c r="D10" s="208">
        <v>385000.00000000006</v>
      </c>
      <c r="E10" s="209">
        <v>1</v>
      </c>
      <c r="F10" s="210">
        <f t="shared" ref="F10:F12" si="0">ROUND(D10*E10,0)</f>
        <v>385000</v>
      </c>
    </row>
    <row r="11" spans="1:10" ht="36.9" x14ac:dyDescent="0.5">
      <c r="A11" s="206"/>
      <c r="B11" s="211" t="s">
        <v>393</v>
      </c>
      <c r="C11" s="207" t="s">
        <v>391</v>
      </c>
      <c r="D11" s="208">
        <v>60000</v>
      </c>
      <c r="E11" s="209">
        <v>2</v>
      </c>
      <c r="F11" s="210">
        <f t="shared" si="0"/>
        <v>120000</v>
      </c>
    </row>
    <row r="12" spans="1:10" ht="36.9" x14ac:dyDescent="0.5">
      <c r="A12" s="206"/>
      <c r="B12" s="211" t="s">
        <v>394</v>
      </c>
      <c r="C12" s="207" t="s">
        <v>391</v>
      </c>
      <c r="D12" s="208">
        <v>92000</v>
      </c>
      <c r="E12" s="209">
        <v>10</v>
      </c>
      <c r="F12" s="210">
        <f t="shared" si="0"/>
        <v>920000</v>
      </c>
    </row>
    <row r="13" spans="1:10" x14ac:dyDescent="0.5">
      <c r="A13" s="212"/>
      <c r="B13" s="213"/>
      <c r="C13" s="214"/>
      <c r="D13" s="214"/>
      <c r="E13" s="215"/>
      <c r="F13" s="216"/>
    </row>
    <row r="14" spans="1:10" x14ac:dyDescent="0.5">
      <c r="A14" s="203" t="s">
        <v>395</v>
      </c>
      <c r="B14" s="204"/>
      <c r="C14" s="204"/>
      <c r="D14" s="204"/>
      <c r="E14" s="204"/>
      <c r="F14" s="205">
        <f>SUM(F8:F13)</f>
        <v>2025000</v>
      </c>
      <c r="G14" s="530"/>
    </row>
    <row r="15" spans="1:10" x14ac:dyDescent="0.5">
      <c r="A15" s="212"/>
      <c r="B15" s="213"/>
      <c r="C15" s="214"/>
      <c r="D15" s="214"/>
      <c r="E15" s="215"/>
      <c r="F15" s="216"/>
    </row>
    <row r="16" spans="1:10" x14ac:dyDescent="0.5">
      <c r="A16" s="203" t="s">
        <v>396</v>
      </c>
      <c r="B16" s="204"/>
      <c r="C16" s="204"/>
      <c r="D16" s="204" t="s">
        <v>38</v>
      </c>
      <c r="E16" s="204"/>
      <c r="F16" s="205"/>
    </row>
    <row r="17" spans="1:8" x14ac:dyDescent="0.5">
      <c r="A17" s="206"/>
      <c r="B17" s="211" t="s">
        <v>397</v>
      </c>
      <c r="C17" s="207" t="s">
        <v>398</v>
      </c>
      <c r="D17" s="208">
        <v>0</v>
      </c>
      <c r="E17" s="209">
        <v>1</v>
      </c>
      <c r="F17" s="434">
        <f t="shared" ref="F17:F21" si="1">D17*E17</f>
        <v>0</v>
      </c>
    </row>
    <row r="18" spans="1:8" x14ac:dyDescent="0.5">
      <c r="A18" s="206"/>
      <c r="B18" s="211" t="s">
        <v>399</v>
      </c>
      <c r="C18" s="207" t="s">
        <v>398</v>
      </c>
      <c r="D18" s="208">
        <v>75800</v>
      </c>
      <c r="E18" s="209">
        <v>16</v>
      </c>
      <c r="F18" s="434">
        <f t="shared" si="1"/>
        <v>1212800</v>
      </c>
    </row>
    <row r="19" spans="1:8" x14ac:dyDescent="0.5">
      <c r="A19" s="206"/>
      <c r="B19" s="211" t="s">
        <v>400</v>
      </c>
      <c r="C19" s="207" t="s">
        <v>398</v>
      </c>
      <c r="D19" s="208">
        <v>1650</v>
      </c>
      <c r="E19" s="209">
        <v>100</v>
      </c>
      <c r="F19" s="434">
        <f t="shared" si="1"/>
        <v>165000</v>
      </c>
    </row>
    <row r="20" spans="1:8" x14ac:dyDescent="0.5">
      <c r="A20" s="206"/>
      <c r="B20" s="211" t="s">
        <v>401</v>
      </c>
      <c r="C20" s="207" t="s">
        <v>402</v>
      </c>
      <c r="D20" s="208">
        <v>1420</v>
      </c>
      <c r="E20" s="209">
        <v>300</v>
      </c>
      <c r="F20" s="434">
        <f t="shared" si="1"/>
        <v>426000</v>
      </c>
    </row>
    <row r="21" spans="1:8" x14ac:dyDescent="0.5">
      <c r="A21" s="206"/>
      <c r="B21" s="211" t="s">
        <v>403</v>
      </c>
      <c r="C21" s="207" t="s">
        <v>398</v>
      </c>
      <c r="D21" s="208">
        <v>75000</v>
      </c>
      <c r="E21" s="209">
        <v>20</v>
      </c>
      <c r="F21" s="434">
        <f t="shared" si="1"/>
        <v>1500000</v>
      </c>
    </row>
    <row r="22" spans="1:8" x14ac:dyDescent="0.5">
      <c r="A22" s="206"/>
      <c r="B22" s="211" t="s">
        <v>404</v>
      </c>
      <c r="C22" s="207" t="s">
        <v>398</v>
      </c>
      <c r="D22" s="208">
        <v>550000</v>
      </c>
      <c r="E22" s="209">
        <v>3</v>
      </c>
      <c r="F22" s="434">
        <f t="shared" ref="F22" si="2">D22*E22</f>
        <v>1650000</v>
      </c>
    </row>
    <row r="23" spans="1:8" x14ac:dyDescent="0.5">
      <c r="A23" s="206"/>
      <c r="B23" s="977" t="s">
        <v>405</v>
      </c>
      <c r="C23" s="978" t="s">
        <v>398</v>
      </c>
      <c r="D23" s="979">
        <f>9296231*1.15</f>
        <v>10690665.649999999</v>
      </c>
      <c r="E23" s="980">
        <v>1</v>
      </c>
      <c r="F23" s="434">
        <f>ROUND(D23*E23,0)</f>
        <v>10690666</v>
      </c>
    </row>
    <row r="24" spans="1:8" x14ac:dyDescent="0.5">
      <c r="A24" s="203" t="s">
        <v>406</v>
      </c>
      <c r="B24" s="204"/>
      <c r="C24" s="204"/>
      <c r="D24" s="204"/>
      <c r="E24" s="204"/>
      <c r="F24" s="205">
        <f>ROUND(SUM(F17:F23),0)</f>
        <v>15644466</v>
      </c>
      <c r="G24" s="531"/>
    </row>
    <row r="25" spans="1:8" x14ac:dyDescent="0.5">
      <c r="A25" s="212"/>
      <c r="B25" s="213"/>
      <c r="C25" s="214"/>
      <c r="D25" s="214"/>
      <c r="E25" s="215"/>
      <c r="F25" s="216"/>
    </row>
    <row r="26" spans="1:8" x14ac:dyDescent="0.5">
      <c r="A26" s="203" t="s">
        <v>77</v>
      </c>
      <c r="B26" s="204"/>
      <c r="C26" s="204"/>
      <c r="D26" s="204" t="s">
        <v>38</v>
      </c>
      <c r="E26" s="204"/>
      <c r="F26" s="205"/>
    </row>
    <row r="27" spans="1:8" x14ac:dyDescent="0.5">
      <c r="A27" s="206"/>
      <c r="B27" s="211" t="s">
        <v>407</v>
      </c>
      <c r="C27" s="217" t="s">
        <v>408</v>
      </c>
      <c r="D27" s="208">
        <v>0</v>
      </c>
      <c r="E27" s="209">
        <v>1</v>
      </c>
      <c r="F27" s="210">
        <f t="shared" ref="F27:F28" si="3">D27*E27</f>
        <v>0</v>
      </c>
    </row>
    <row r="28" spans="1:8" ht="24.6" x14ac:dyDescent="0.5">
      <c r="A28" s="206"/>
      <c r="B28" s="211" t="s">
        <v>409</v>
      </c>
      <c r="C28" s="207" t="s">
        <v>410</v>
      </c>
      <c r="D28" s="208">
        <v>275000</v>
      </c>
      <c r="E28" s="209">
        <v>5</v>
      </c>
      <c r="F28" s="210">
        <f t="shared" si="3"/>
        <v>1375000</v>
      </c>
    </row>
    <row r="29" spans="1:8" x14ac:dyDescent="0.5">
      <c r="A29" s="218" t="s">
        <v>411</v>
      </c>
      <c r="B29" s="219"/>
      <c r="C29" s="219"/>
      <c r="D29" s="219"/>
      <c r="E29" s="219"/>
      <c r="F29" s="220">
        <f>SUM(F27:F28)</f>
        <v>1375000</v>
      </c>
      <c r="G29" s="531"/>
    </row>
    <row r="30" spans="1:8" x14ac:dyDescent="0.5">
      <c r="A30" s="221"/>
      <c r="B30" s="222"/>
      <c r="C30" s="223"/>
      <c r="D30" s="223"/>
      <c r="E30" s="224"/>
      <c r="F30" s="225"/>
    </row>
    <row r="31" spans="1:8" x14ac:dyDescent="0.5">
      <c r="A31" s="226" t="s">
        <v>78</v>
      </c>
      <c r="B31" s="227"/>
      <c r="C31" s="227"/>
      <c r="D31" s="227"/>
      <c r="E31" s="227"/>
      <c r="F31" s="228"/>
    </row>
    <row r="32" spans="1:8" x14ac:dyDescent="0.5">
      <c r="A32" s="206"/>
      <c r="B32" s="229" t="s">
        <v>412</v>
      </c>
      <c r="C32" s="217" t="s">
        <v>391</v>
      </c>
      <c r="D32" s="208">
        <v>323191.14993986499</v>
      </c>
      <c r="E32" s="209">
        <v>4</v>
      </c>
      <c r="F32" s="210">
        <f t="shared" ref="F32:F46" si="4">D32*E32</f>
        <v>1292764.59975946</v>
      </c>
      <c r="H32" s="973"/>
    </row>
    <row r="33" spans="1:8" x14ac:dyDescent="0.5">
      <c r="A33" s="206"/>
      <c r="B33" s="229" t="s">
        <v>413</v>
      </c>
      <c r="C33" s="217" t="s">
        <v>391</v>
      </c>
      <c r="D33" s="208">
        <v>323191.14993986499</v>
      </c>
      <c r="E33" s="209">
        <v>2</v>
      </c>
      <c r="F33" s="210">
        <f t="shared" si="4"/>
        <v>646382.29987972998</v>
      </c>
      <c r="H33" s="973"/>
    </row>
    <row r="34" spans="1:8" x14ac:dyDescent="0.5">
      <c r="A34" s="206"/>
      <c r="B34" s="229" t="s">
        <v>414</v>
      </c>
      <c r="C34" s="217" t="s">
        <v>391</v>
      </c>
      <c r="D34" s="208">
        <v>323191.14993986499</v>
      </c>
      <c r="E34" s="209">
        <v>2</v>
      </c>
      <c r="F34" s="210">
        <f t="shared" si="4"/>
        <v>646382.29987972998</v>
      </c>
      <c r="H34" s="973"/>
    </row>
    <row r="35" spans="1:8" x14ac:dyDescent="0.5">
      <c r="A35" s="206"/>
      <c r="B35" s="229" t="s">
        <v>415</v>
      </c>
      <c r="C35" s="217" t="s">
        <v>391</v>
      </c>
      <c r="D35" s="208">
        <v>323191.14993986499</v>
      </c>
      <c r="E35" s="209">
        <v>2</v>
      </c>
      <c r="F35" s="210">
        <f t="shared" si="4"/>
        <v>646382.29987972998</v>
      </c>
      <c r="H35" s="973"/>
    </row>
    <row r="36" spans="1:8" x14ac:dyDescent="0.5">
      <c r="A36" s="206"/>
      <c r="B36" s="229" t="s">
        <v>416</v>
      </c>
      <c r="C36" s="217" t="s">
        <v>391</v>
      </c>
      <c r="D36" s="208">
        <v>323191.14993986499</v>
      </c>
      <c r="E36" s="209">
        <v>2</v>
      </c>
      <c r="F36" s="210">
        <f t="shared" si="4"/>
        <v>646382.29987972998</v>
      </c>
      <c r="H36" s="973"/>
    </row>
    <row r="37" spans="1:8" x14ac:dyDescent="0.5">
      <c r="A37" s="206"/>
      <c r="B37" s="229" t="s">
        <v>417</v>
      </c>
      <c r="C37" s="217" t="s">
        <v>391</v>
      </c>
      <c r="D37" s="208">
        <v>323191.14993986499</v>
      </c>
      <c r="E37" s="209">
        <v>2</v>
      </c>
      <c r="F37" s="210">
        <f t="shared" si="4"/>
        <v>646382.29987972998</v>
      </c>
      <c r="H37" s="973"/>
    </row>
    <row r="38" spans="1:8" x14ac:dyDescent="0.5">
      <c r="A38" s="206"/>
      <c r="B38" s="229" t="s">
        <v>418</v>
      </c>
      <c r="C38" s="217" t="s">
        <v>391</v>
      </c>
      <c r="D38" s="208">
        <v>323191.14993986499</v>
      </c>
      <c r="E38" s="209">
        <v>2</v>
      </c>
      <c r="F38" s="210">
        <f t="shared" si="4"/>
        <v>646382.29987972998</v>
      </c>
      <c r="H38" s="973"/>
    </row>
    <row r="39" spans="1:8" x14ac:dyDescent="0.5">
      <c r="A39" s="206"/>
      <c r="B39" s="229" t="s">
        <v>419</v>
      </c>
      <c r="C39" s="217" t="s">
        <v>391</v>
      </c>
      <c r="D39" s="208">
        <v>323191.14993986499</v>
      </c>
      <c r="E39" s="209">
        <v>1</v>
      </c>
      <c r="F39" s="210">
        <f t="shared" si="4"/>
        <v>323191.14993986499</v>
      </c>
      <c r="H39" s="973"/>
    </row>
    <row r="40" spans="1:8" x14ac:dyDescent="0.5">
      <c r="A40" s="206"/>
      <c r="B40" s="229" t="s">
        <v>420</v>
      </c>
      <c r="C40" s="217" t="s">
        <v>391</v>
      </c>
      <c r="D40" s="208">
        <v>323191.14993986499</v>
      </c>
      <c r="E40" s="209">
        <v>1</v>
      </c>
      <c r="F40" s="210">
        <f t="shared" si="4"/>
        <v>323191.14993986499</v>
      </c>
      <c r="H40" s="973"/>
    </row>
    <row r="41" spans="1:8" ht="24.6" x14ac:dyDescent="0.5">
      <c r="A41" s="206"/>
      <c r="B41" s="229" t="s">
        <v>421</v>
      </c>
      <c r="C41" s="217" t="s">
        <v>391</v>
      </c>
      <c r="D41" s="208">
        <v>323191.14993986499</v>
      </c>
      <c r="E41" s="209">
        <v>1</v>
      </c>
      <c r="F41" s="210">
        <f t="shared" si="4"/>
        <v>323191.14993986499</v>
      </c>
      <c r="H41" s="973"/>
    </row>
    <row r="42" spans="1:8" x14ac:dyDescent="0.5">
      <c r="A42" s="206"/>
      <c r="B42" s="229" t="s">
        <v>422</v>
      </c>
      <c r="C42" s="217" t="s">
        <v>391</v>
      </c>
      <c r="D42" s="208">
        <v>323191.14993986499</v>
      </c>
      <c r="E42" s="209">
        <v>2</v>
      </c>
      <c r="F42" s="210">
        <f t="shared" si="4"/>
        <v>646382.29987972998</v>
      </c>
      <c r="H42" s="973"/>
    </row>
    <row r="43" spans="1:8" x14ac:dyDescent="0.5">
      <c r="A43" s="206"/>
      <c r="B43" s="229" t="s">
        <v>423</v>
      </c>
      <c r="C43" s="217" t="s">
        <v>391</v>
      </c>
      <c r="D43" s="208">
        <v>323191.14993986499</v>
      </c>
      <c r="E43" s="209">
        <v>2</v>
      </c>
      <c r="F43" s="210">
        <f t="shared" si="4"/>
        <v>646382.29987972998</v>
      </c>
      <c r="H43" s="973"/>
    </row>
    <row r="44" spans="1:8" x14ac:dyDescent="0.5">
      <c r="A44" s="206"/>
      <c r="B44" s="229" t="s">
        <v>424</v>
      </c>
      <c r="C44" s="217" t="s">
        <v>391</v>
      </c>
      <c r="D44" s="208">
        <v>323191.14993986499</v>
      </c>
      <c r="E44" s="209">
        <v>2</v>
      </c>
      <c r="F44" s="210">
        <f t="shared" si="4"/>
        <v>646382.29987972998</v>
      </c>
      <c r="H44" s="973"/>
    </row>
    <row r="45" spans="1:8" x14ac:dyDescent="0.5">
      <c r="A45" s="206"/>
      <c r="B45" s="229" t="s">
        <v>425</v>
      </c>
      <c r="C45" s="217" t="s">
        <v>391</v>
      </c>
      <c r="D45" s="208">
        <v>323191.14993986499</v>
      </c>
      <c r="E45" s="209">
        <v>2</v>
      </c>
      <c r="F45" s="210">
        <f t="shared" si="4"/>
        <v>646382.29987972998</v>
      </c>
      <c r="H45" s="973"/>
    </row>
    <row r="46" spans="1:8" x14ac:dyDescent="0.5">
      <c r="A46" s="206"/>
      <c r="B46" s="229" t="s">
        <v>426</v>
      </c>
      <c r="C46" s="217" t="s">
        <v>391</v>
      </c>
      <c r="D46" s="208">
        <v>4810000</v>
      </c>
      <c r="E46" s="209">
        <v>5</v>
      </c>
      <c r="F46" s="210">
        <f t="shared" si="4"/>
        <v>24050000</v>
      </c>
      <c r="G46" s="529"/>
      <c r="H46" s="973"/>
    </row>
    <row r="47" spans="1:8" x14ac:dyDescent="0.5">
      <c r="A47" s="206"/>
      <c r="B47" s="230"/>
      <c r="C47" s="207"/>
      <c r="D47" s="533"/>
      <c r="E47" s="209"/>
      <c r="F47" s="210"/>
    </row>
    <row r="48" spans="1:8" x14ac:dyDescent="0.5">
      <c r="A48" s="203" t="s">
        <v>427</v>
      </c>
      <c r="B48" s="204"/>
      <c r="C48" s="204"/>
      <c r="D48" s="204"/>
      <c r="E48" s="204"/>
      <c r="F48" s="205">
        <f>ROUND(SUM(F32:F47),0)</f>
        <v>32776161</v>
      </c>
      <c r="G48" s="531"/>
    </row>
    <row r="49" spans="1:8" ht="13.2" thickBot="1" x14ac:dyDescent="0.55000000000000004">
      <c r="A49" s="231"/>
      <c r="B49" s="232"/>
      <c r="C49" s="233"/>
      <c r="D49" s="234"/>
      <c r="E49" s="235"/>
      <c r="F49" s="976"/>
    </row>
    <row r="50" spans="1:8" ht="16.5" customHeight="1" thickTop="1" thickBot="1" x14ac:dyDescent="0.55000000000000004">
      <c r="A50" s="1287" t="s">
        <v>428</v>
      </c>
      <c r="B50" s="1288"/>
      <c r="C50" s="1288"/>
      <c r="D50" s="1288"/>
      <c r="E50" s="236"/>
      <c r="F50" s="205">
        <f>ROUND((F14+F24+F29+F48),0)</f>
        <v>51820627</v>
      </c>
      <c r="G50" s="532"/>
      <c r="H50" s="974"/>
    </row>
    <row r="51" spans="1:8" x14ac:dyDescent="0.5">
      <c r="A51" s="237"/>
      <c r="B51" s="238"/>
      <c r="C51" s="238"/>
      <c r="D51" s="238"/>
      <c r="E51" s="238"/>
      <c r="F51" s="239"/>
      <c r="H51" s="975"/>
    </row>
    <row r="52" spans="1:8" x14ac:dyDescent="0.5">
      <c r="A52" s="240"/>
      <c r="B52" s="534" t="s">
        <v>429</v>
      </c>
      <c r="C52" s="59"/>
      <c r="D52" s="59"/>
      <c r="E52" s="59"/>
      <c r="F52" s="241"/>
      <c r="G52" s="529"/>
    </row>
    <row r="53" spans="1:8" x14ac:dyDescent="0.5">
      <c r="A53" s="240"/>
      <c r="B53" s="535"/>
      <c r="C53" s="59"/>
      <c r="D53" s="59"/>
      <c r="E53" s="59"/>
      <c r="F53" s="241"/>
    </row>
    <row r="54" spans="1:8" x14ac:dyDescent="0.5">
      <c r="A54" s="240"/>
      <c r="B54" s="536" t="s">
        <v>430</v>
      </c>
      <c r="C54" s="59" t="s">
        <v>313</v>
      </c>
      <c r="D54" s="59"/>
      <c r="E54" s="59"/>
      <c r="F54" s="241"/>
    </row>
    <row r="55" spans="1:8" x14ac:dyDescent="0.5">
      <c r="A55" s="240"/>
      <c r="B55" s="59"/>
      <c r="C55" s="59"/>
      <c r="D55" s="59"/>
      <c r="E55" s="59"/>
      <c r="F55" s="241"/>
    </row>
    <row r="56" spans="1:8" x14ac:dyDescent="0.5">
      <c r="A56" s="240"/>
      <c r="B56" s="59"/>
      <c r="C56" s="59"/>
      <c r="D56" s="59"/>
      <c r="E56" s="59"/>
      <c r="F56" s="241"/>
    </row>
    <row r="57" spans="1:8" x14ac:dyDescent="0.5">
      <c r="A57" s="240"/>
      <c r="B57" s="59"/>
      <c r="C57" s="59"/>
      <c r="D57" s="59"/>
      <c r="E57" s="59"/>
      <c r="F57" s="241"/>
    </row>
    <row r="58" spans="1:8" x14ac:dyDescent="0.5">
      <c r="A58" s="240"/>
      <c r="B58" s="29"/>
      <c r="C58" s="242"/>
      <c r="D58" s="242"/>
      <c r="E58" s="537"/>
      <c r="F58" s="243"/>
    </row>
    <row r="59" spans="1:8" x14ac:dyDescent="0.5">
      <c r="A59" s="240"/>
      <c r="B59" s="59"/>
      <c r="C59" s="538" t="s">
        <v>431</v>
      </c>
      <c r="D59" s="538"/>
      <c r="E59" s="539"/>
      <c r="F59" s="244"/>
    </row>
    <row r="60" spans="1:8" x14ac:dyDescent="0.5">
      <c r="A60" s="240"/>
      <c r="B60" s="59"/>
      <c r="C60" s="538" t="s">
        <v>432</v>
      </c>
      <c r="D60" s="538"/>
      <c r="E60" s="539"/>
      <c r="F60" s="244"/>
    </row>
    <row r="61" spans="1:8" ht="13.2" thickBot="1" x14ac:dyDescent="0.55000000000000004">
      <c r="A61" s="540"/>
      <c r="B61" s="541"/>
      <c r="C61" s="541"/>
      <c r="D61" s="541"/>
      <c r="E61" s="541"/>
      <c r="F61" s="542"/>
    </row>
  </sheetData>
  <mergeCells count="2">
    <mergeCell ref="B2:E2"/>
    <mergeCell ref="A50:D50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F40"/>
  <sheetViews>
    <sheetView workbookViewId="0">
      <selection activeCell="E38" sqref="E38:E40"/>
    </sheetView>
  </sheetViews>
  <sheetFormatPr baseColWidth="10" defaultColWidth="9.15625" defaultRowHeight="14.4" x14ac:dyDescent="0.55000000000000004"/>
  <cols>
    <col min="1" max="1" width="15.578125" style="256" customWidth="1"/>
    <col min="2" max="2" width="7.83984375" style="256" bestFit="1" customWidth="1"/>
    <col min="3" max="3" width="78.41796875" style="256" customWidth="1"/>
    <col min="4" max="4" width="7.41796875" style="264" bestFit="1" customWidth="1"/>
    <col min="5" max="5" width="19" style="367" bestFit="1" customWidth="1"/>
    <col min="6" max="16384" width="9.15625" style="256"/>
  </cols>
  <sheetData>
    <row r="1" spans="2:5" ht="14.7" thickBot="1" x14ac:dyDescent="0.6"/>
    <row r="2" spans="2:5" ht="14.7" thickBot="1" x14ac:dyDescent="0.6">
      <c r="B2" s="1289" t="s">
        <v>433</v>
      </c>
      <c r="C2" s="1290"/>
      <c r="D2" s="1290"/>
      <c r="E2" s="1291"/>
    </row>
    <row r="3" spans="2:5" ht="14.7" thickBot="1" x14ac:dyDescent="0.6">
      <c r="B3" s="260" t="s">
        <v>434</v>
      </c>
      <c r="C3" s="261" t="s">
        <v>435</v>
      </c>
      <c r="D3" s="897" t="s">
        <v>436</v>
      </c>
      <c r="E3" s="912" t="s">
        <v>437</v>
      </c>
    </row>
    <row r="4" spans="2:5" x14ac:dyDescent="0.55000000000000004">
      <c r="B4" s="262" t="s">
        <v>438</v>
      </c>
      <c r="C4" s="263" t="s">
        <v>439</v>
      </c>
      <c r="D4" s="898"/>
      <c r="E4" s="905"/>
    </row>
    <row r="5" spans="2:5" x14ac:dyDescent="0.55000000000000004">
      <c r="B5" s="864" t="s">
        <v>440</v>
      </c>
      <c r="C5" s="548" t="s">
        <v>316</v>
      </c>
      <c r="D5" s="899" t="s">
        <v>441</v>
      </c>
      <c r="E5" s="906">
        <v>3320.1</v>
      </c>
    </row>
    <row r="6" spans="2:5" x14ac:dyDescent="0.55000000000000004">
      <c r="B6" s="864" t="s">
        <v>442</v>
      </c>
      <c r="C6" s="548" t="s">
        <v>443</v>
      </c>
      <c r="D6" s="899" t="s">
        <v>441</v>
      </c>
      <c r="E6" s="369">
        <v>289170</v>
      </c>
    </row>
    <row r="7" spans="2:5" x14ac:dyDescent="0.55000000000000004">
      <c r="B7" s="864" t="s">
        <v>444</v>
      </c>
      <c r="C7" s="548" t="s">
        <v>371</v>
      </c>
      <c r="D7" s="899" t="s">
        <v>441</v>
      </c>
      <c r="E7" s="907">
        <v>67869.140625</v>
      </c>
    </row>
    <row r="8" spans="2:5" x14ac:dyDescent="0.55000000000000004">
      <c r="B8" s="864" t="s">
        <v>445</v>
      </c>
      <c r="C8" s="548" t="s">
        <v>446</v>
      </c>
      <c r="D8" s="899" t="s">
        <v>441</v>
      </c>
      <c r="E8" s="906">
        <v>105761.25</v>
      </c>
    </row>
    <row r="9" spans="2:5" x14ac:dyDescent="0.55000000000000004">
      <c r="B9" s="864" t="s">
        <v>447</v>
      </c>
      <c r="C9" s="548" t="s">
        <v>448</v>
      </c>
      <c r="D9" s="899" t="s">
        <v>441</v>
      </c>
      <c r="E9" s="906">
        <v>2945.25</v>
      </c>
    </row>
    <row r="10" spans="2:5" ht="16.5" customHeight="1" x14ac:dyDescent="0.55000000000000004">
      <c r="B10" s="864" t="s">
        <v>449</v>
      </c>
      <c r="C10" s="548" t="s">
        <v>450</v>
      </c>
      <c r="D10" s="899" t="s">
        <v>441</v>
      </c>
      <c r="E10" s="371">
        <v>11379.374999999998</v>
      </c>
    </row>
    <row r="11" spans="2:5" x14ac:dyDescent="0.55000000000000004">
      <c r="B11" s="864" t="s">
        <v>451</v>
      </c>
      <c r="C11" s="548" t="s">
        <v>452</v>
      </c>
      <c r="D11" s="899" t="s">
        <v>441</v>
      </c>
      <c r="E11" s="906">
        <v>10843.875</v>
      </c>
    </row>
    <row r="12" spans="2:5" x14ac:dyDescent="0.55000000000000004">
      <c r="B12" s="864" t="s">
        <v>453</v>
      </c>
      <c r="C12" s="548" t="s">
        <v>317</v>
      </c>
      <c r="D12" s="899" t="s">
        <v>441</v>
      </c>
      <c r="E12" s="906">
        <v>100406.25</v>
      </c>
    </row>
    <row r="13" spans="2:5" x14ac:dyDescent="0.55000000000000004">
      <c r="B13" s="864" t="s">
        <v>454</v>
      </c>
      <c r="C13" s="548" t="s">
        <v>333</v>
      </c>
      <c r="D13" s="899" t="s">
        <v>441</v>
      </c>
      <c r="E13" s="906">
        <v>129858.75000000001</v>
      </c>
    </row>
    <row r="14" spans="2:5" ht="25.8" x14ac:dyDescent="0.55000000000000004">
      <c r="B14" s="864" t="s">
        <v>455</v>
      </c>
      <c r="C14" s="548" t="s">
        <v>318</v>
      </c>
      <c r="D14" s="899" t="s">
        <v>441</v>
      </c>
      <c r="E14" s="906">
        <v>27042.75</v>
      </c>
    </row>
    <row r="15" spans="2:5" x14ac:dyDescent="0.55000000000000004">
      <c r="B15" s="864" t="s">
        <v>456</v>
      </c>
      <c r="C15" s="860" t="s">
        <v>457</v>
      </c>
      <c r="E15" s="906">
        <v>16065.000000000002</v>
      </c>
    </row>
    <row r="16" spans="2:5" x14ac:dyDescent="0.55000000000000004">
      <c r="B16" s="864" t="s">
        <v>458</v>
      </c>
      <c r="C16" s="548" t="s">
        <v>319</v>
      </c>
      <c r="D16" s="899" t="s">
        <v>441</v>
      </c>
      <c r="E16" s="906">
        <v>1204.875</v>
      </c>
    </row>
    <row r="17" spans="1:5" x14ac:dyDescent="0.55000000000000004">
      <c r="B17" s="864" t="s">
        <v>459</v>
      </c>
      <c r="C17" s="548" t="s">
        <v>460</v>
      </c>
      <c r="D17" s="899" t="s">
        <v>441</v>
      </c>
      <c r="E17" s="371">
        <v>15592.500000000002</v>
      </c>
    </row>
    <row r="18" spans="1:5" ht="15.6" x14ac:dyDescent="0.6">
      <c r="A18" s="580" t="s">
        <v>461</v>
      </c>
      <c r="B18" s="864" t="s">
        <v>462</v>
      </c>
      <c r="C18" s="548" t="s">
        <v>463</v>
      </c>
      <c r="D18" s="899" t="s">
        <v>441</v>
      </c>
      <c r="E18" s="370">
        <v>50624.999999999993</v>
      </c>
    </row>
    <row r="19" spans="1:5" x14ac:dyDescent="0.55000000000000004">
      <c r="B19" s="864" t="s">
        <v>464</v>
      </c>
      <c r="C19" s="548" t="s">
        <v>303</v>
      </c>
      <c r="D19" s="899" t="s">
        <v>441</v>
      </c>
      <c r="E19" s="906">
        <v>334687.5</v>
      </c>
    </row>
    <row r="20" spans="1:5" x14ac:dyDescent="0.55000000000000004">
      <c r="B20" s="864" t="s">
        <v>465</v>
      </c>
      <c r="C20" s="548" t="s">
        <v>320</v>
      </c>
      <c r="D20" s="899" t="s">
        <v>441</v>
      </c>
      <c r="E20" s="370">
        <v>17637.210037846122</v>
      </c>
    </row>
    <row r="21" spans="1:5" x14ac:dyDescent="0.55000000000000004">
      <c r="B21" s="864" t="s">
        <v>466</v>
      </c>
      <c r="C21" s="548" t="s">
        <v>356</v>
      </c>
      <c r="D21" s="899" t="s">
        <v>441</v>
      </c>
      <c r="E21" s="906">
        <v>196796.25</v>
      </c>
    </row>
    <row r="22" spans="1:5" x14ac:dyDescent="0.55000000000000004">
      <c r="B22" s="864" t="s">
        <v>467</v>
      </c>
      <c r="C22" s="548" t="s">
        <v>332</v>
      </c>
      <c r="D22" s="899" t="s">
        <v>441</v>
      </c>
      <c r="E22" s="906">
        <v>342720</v>
      </c>
    </row>
    <row r="23" spans="1:5" x14ac:dyDescent="0.55000000000000004">
      <c r="B23" s="864" t="s">
        <v>468</v>
      </c>
      <c r="C23" s="548" t="s">
        <v>469</v>
      </c>
      <c r="D23" s="899" t="s">
        <v>441</v>
      </c>
      <c r="E23" s="371">
        <v>202495.34072518846</v>
      </c>
    </row>
    <row r="24" spans="1:5" x14ac:dyDescent="0.55000000000000004">
      <c r="B24" s="864" t="s">
        <v>470</v>
      </c>
      <c r="C24" s="548" t="s">
        <v>321</v>
      </c>
      <c r="D24" s="899" t="s">
        <v>441</v>
      </c>
      <c r="E24" s="906">
        <v>9103.5</v>
      </c>
    </row>
    <row r="25" spans="1:5" x14ac:dyDescent="0.55000000000000004">
      <c r="B25" s="816" t="s">
        <v>471</v>
      </c>
      <c r="C25" s="817" t="s">
        <v>472</v>
      </c>
      <c r="D25" s="900" t="s">
        <v>441</v>
      </c>
      <c r="E25" s="818">
        <v>166005</v>
      </c>
    </row>
    <row r="26" spans="1:5" ht="14.7" thickBot="1" x14ac:dyDescent="0.6">
      <c r="B26" s="862"/>
      <c r="C26" s="863"/>
      <c r="D26" s="901"/>
      <c r="E26" s="908">
        <v>0</v>
      </c>
    </row>
    <row r="27" spans="1:5" x14ac:dyDescent="0.55000000000000004">
      <c r="B27" s="819"/>
      <c r="C27" s="820" t="s">
        <v>353</v>
      </c>
      <c r="D27" s="902" t="s">
        <v>473</v>
      </c>
      <c r="E27" s="909">
        <v>1.0350000000000001</v>
      </c>
    </row>
    <row r="28" spans="1:5" x14ac:dyDescent="0.55000000000000004">
      <c r="A28" s="256" t="s">
        <v>474</v>
      </c>
      <c r="B28" s="821" t="s">
        <v>474</v>
      </c>
      <c r="C28" s="373" t="s">
        <v>369</v>
      </c>
      <c r="D28" s="903" t="s">
        <v>473</v>
      </c>
      <c r="E28" s="910">
        <v>1.2375000000000003</v>
      </c>
    </row>
    <row r="29" spans="1:5" x14ac:dyDescent="0.55000000000000004">
      <c r="B29" s="821"/>
      <c r="C29" s="373" t="s">
        <v>475</v>
      </c>
      <c r="D29" s="903" t="s">
        <v>476</v>
      </c>
      <c r="E29" s="370">
        <v>1672.9261363636363</v>
      </c>
    </row>
    <row r="30" spans="1:5" x14ac:dyDescent="0.55000000000000004">
      <c r="B30" s="821"/>
      <c r="C30" s="373" t="s">
        <v>477</v>
      </c>
      <c r="D30" s="903" t="s">
        <v>476</v>
      </c>
      <c r="E30" s="370">
        <v>1672.9261363636363</v>
      </c>
    </row>
    <row r="31" spans="1:5" ht="15.6" x14ac:dyDescent="0.6">
      <c r="A31" s="580" t="s">
        <v>478</v>
      </c>
      <c r="B31" s="822" t="s">
        <v>479</v>
      </c>
      <c r="C31" s="373" t="s">
        <v>480</v>
      </c>
      <c r="D31" s="903" t="s">
        <v>476</v>
      </c>
      <c r="E31" s="370">
        <v>1672.9261363636363</v>
      </c>
    </row>
    <row r="32" spans="1:5" ht="15.6" x14ac:dyDescent="0.6">
      <c r="A32" s="580" t="s">
        <v>481</v>
      </c>
      <c r="B32" s="822" t="s">
        <v>481</v>
      </c>
      <c r="C32" s="373" t="s">
        <v>482</v>
      </c>
      <c r="D32" s="903" t="s">
        <v>476</v>
      </c>
      <c r="E32" s="370">
        <v>1672.9261363636363</v>
      </c>
    </row>
    <row r="33" spans="1:6" x14ac:dyDescent="0.55000000000000004">
      <c r="B33" s="821"/>
      <c r="C33" s="373" t="s">
        <v>483</v>
      </c>
      <c r="D33" s="903" t="s">
        <v>476</v>
      </c>
      <c r="E33" s="370">
        <v>1672.9261363636363</v>
      </c>
    </row>
    <row r="34" spans="1:6" ht="15.9" thickBot="1" x14ac:dyDescent="0.65">
      <c r="A34" s="580" t="s">
        <v>484</v>
      </c>
      <c r="B34" s="823"/>
      <c r="C34" s="374" t="s">
        <v>485</v>
      </c>
      <c r="D34" s="904" t="s">
        <v>476</v>
      </c>
      <c r="E34" s="911">
        <v>1672.9261363636363</v>
      </c>
    </row>
    <row r="36" spans="1:6" x14ac:dyDescent="0.55000000000000004">
      <c r="F36" s="367"/>
    </row>
    <row r="37" spans="1:6" ht="14.7" thickBot="1" x14ac:dyDescent="0.6"/>
    <row r="38" spans="1:6" x14ac:dyDescent="0.55000000000000004">
      <c r="E38" s="943">
        <f>+PRESUPUESTO!J44</f>
        <v>2611369266</v>
      </c>
    </row>
    <row r="39" spans="1:6" x14ac:dyDescent="0.45">
      <c r="E39" s="953">
        <v>359284176</v>
      </c>
    </row>
    <row r="40" spans="1:6" ht="14.7" thickBot="1" x14ac:dyDescent="0.6">
      <c r="E40" s="944">
        <f>+E38+E39</f>
        <v>2970653442</v>
      </c>
    </row>
  </sheetData>
  <mergeCells count="1">
    <mergeCell ref="B2:E2"/>
  </mergeCells>
  <phoneticPr fontId="96" type="noConversion"/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F39"/>
  <sheetViews>
    <sheetView topLeftCell="A19" workbookViewId="0">
      <selection activeCell="F11" sqref="F11"/>
    </sheetView>
  </sheetViews>
  <sheetFormatPr baseColWidth="10" defaultColWidth="9.15625" defaultRowHeight="14.4" x14ac:dyDescent="0.55000000000000004"/>
  <cols>
    <col min="1" max="1" width="10.26171875" style="256" bestFit="1" customWidth="1"/>
    <col min="2" max="2" width="6.68359375" style="256" bestFit="1" customWidth="1"/>
    <col min="3" max="3" width="58.26171875" style="256" customWidth="1"/>
    <col min="4" max="4" width="6.41796875" style="259" bestFit="1" customWidth="1"/>
    <col min="5" max="5" width="19" style="367" bestFit="1" customWidth="1"/>
    <col min="6" max="6" width="11.41796875" style="256" customWidth="1"/>
    <col min="7" max="16384" width="9.15625" style="256"/>
  </cols>
  <sheetData>
    <row r="1" spans="1:6" ht="14.7" thickBot="1" x14ac:dyDescent="0.6">
      <c r="B1" s="1292" t="s">
        <v>486</v>
      </c>
      <c r="C1" s="1293"/>
      <c r="D1" s="1293"/>
      <c r="E1" s="1294"/>
    </row>
    <row r="2" spans="1:6" ht="14.7" thickBot="1" x14ac:dyDescent="0.6">
      <c r="B2" s="844" t="s">
        <v>434</v>
      </c>
      <c r="C2" s="845" t="s">
        <v>487</v>
      </c>
      <c r="D2" s="846" t="s">
        <v>282</v>
      </c>
      <c r="E2" s="870" t="s">
        <v>488</v>
      </c>
    </row>
    <row r="3" spans="1:6" x14ac:dyDescent="0.55000000000000004">
      <c r="B3" s="257" t="s">
        <v>489</v>
      </c>
      <c r="C3" s="258" t="s">
        <v>351</v>
      </c>
      <c r="D3" s="913" t="s">
        <v>46</v>
      </c>
      <c r="E3" s="921">
        <v>6171.4922727272715</v>
      </c>
    </row>
    <row r="4" spans="1:6" x14ac:dyDescent="0.55000000000000004">
      <c r="A4" s="842" t="s">
        <v>490</v>
      </c>
      <c r="B4" s="546" t="s">
        <v>491</v>
      </c>
      <c r="C4" s="380" t="s">
        <v>492</v>
      </c>
      <c r="D4" s="914" t="s">
        <v>22</v>
      </c>
      <c r="E4" s="922">
        <v>83939.625</v>
      </c>
      <c r="F4" s="851"/>
    </row>
    <row r="5" spans="1:6" ht="15.6" x14ac:dyDescent="0.6">
      <c r="A5" s="580" t="s">
        <v>493</v>
      </c>
      <c r="B5" s="546" t="s">
        <v>494</v>
      </c>
      <c r="C5" s="547" t="s">
        <v>307</v>
      </c>
      <c r="D5" s="914" t="s">
        <v>308</v>
      </c>
      <c r="E5" s="369">
        <v>111.37500000000001</v>
      </c>
    </row>
    <row r="6" spans="1:6" x14ac:dyDescent="0.55000000000000004">
      <c r="B6" s="546" t="s">
        <v>495</v>
      </c>
      <c r="C6" s="547" t="s">
        <v>352</v>
      </c>
      <c r="D6" s="914" t="s">
        <v>46</v>
      </c>
      <c r="E6" s="872">
        <v>10307.039595923019</v>
      </c>
    </row>
    <row r="7" spans="1:6" x14ac:dyDescent="0.55000000000000004">
      <c r="B7" s="546" t="s">
        <v>496</v>
      </c>
      <c r="C7" s="548" t="s">
        <v>497</v>
      </c>
      <c r="D7" s="552" t="s">
        <v>46</v>
      </c>
      <c r="E7" s="923">
        <v>29122.537499999999</v>
      </c>
    </row>
    <row r="8" spans="1:6" ht="15.6" x14ac:dyDescent="0.6">
      <c r="A8" s="580" t="s">
        <v>498</v>
      </c>
      <c r="B8" s="546" t="s">
        <v>499</v>
      </c>
      <c r="C8" s="548" t="s">
        <v>500</v>
      </c>
      <c r="D8" s="552" t="s">
        <v>22</v>
      </c>
      <c r="E8" s="873">
        <v>80190</v>
      </c>
    </row>
    <row r="9" spans="1:6" x14ac:dyDescent="0.55000000000000004">
      <c r="B9" s="546" t="s">
        <v>501</v>
      </c>
      <c r="C9" s="548" t="s">
        <v>502</v>
      </c>
      <c r="D9" s="552" t="s">
        <v>46</v>
      </c>
      <c r="E9" s="871">
        <v>6171.4922727272715</v>
      </c>
    </row>
    <row r="10" spans="1:6" x14ac:dyDescent="0.55000000000000004">
      <c r="B10" s="546" t="s">
        <v>503</v>
      </c>
      <c r="C10" s="548" t="s">
        <v>324</v>
      </c>
      <c r="D10" s="552" t="s">
        <v>46</v>
      </c>
      <c r="E10" s="871">
        <v>6171.4922727272715</v>
      </c>
    </row>
    <row r="11" spans="1:6" x14ac:dyDescent="0.55000000000000004">
      <c r="B11" s="546" t="s">
        <v>504</v>
      </c>
      <c r="C11" s="548" t="s">
        <v>505</v>
      </c>
      <c r="D11" s="552" t="s">
        <v>46</v>
      </c>
      <c r="E11" s="874">
        <v>3032.5728625890233</v>
      </c>
    </row>
    <row r="12" spans="1:6" ht="15.6" x14ac:dyDescent="0.55000000000000004">
      <c r="A12" s="632" t="s">
        <v>506</v>
      </c>
      <c r="B12" s="546" t="s">
        <v>507</v>
      </c>
      <c r="C12" s="548" t="s">
        <v>508</v>
      </c>
      <c r="D12" s="552" t="s">
        <v>46</v>
      </c>
      <c r="E12" s="369">
        <v>835.3125</v>
      </c>
    </row>
    <row r="13" spans="1:6" ht="15" customHeight="1" thickBot="1" x14ac:dyDescent="0.6">
      <c r="B13" s="852" t="s">
        <v>509</v>
      </c>
      <c r="C13" s="817" t="s">
        <v>325</v>
      </c>
      <c r="D13" s="915" t="s">
        <v>50</v>
      </c>
      <c r="E13" s="874">
        <v>1584.5986864075537</v>
      </c>
    </row>
    <row r="14" spans="1:6" ht="18" customHeight="1" x14ac:dyDescent="0.55000000000000004">
      <c r="B14" s="257" t="s">
        <v>510</v>
      </c>
      <c r="C14" s="930" t="s">
        <v>511</v>
      </c>
      <c r="D14" s="856" t="s">
        <v>22</v>
      </c>
      <c r="E14" s="857">
        <f>(+'CONCRETOS Y MORTEROS '!J14)</f>
        <v>699527</v>
      </c>
      <c r="F14" s="830"/>
    </row>
    <row r="15" spans="1:6" x14ac:dyDescent="0.55000000000000004">
      <c r="B15" s="546" t="s">
        <v>512</v>
      </c>
      <c r="C15" s="931" t="s">
        <v>513</v>
      </c>
      <c r="D15" s="552" t="s">
        <v>22</v>
      </c>
      <c r="E15" s="858">
        <f>(+'CONCRETOS Y MORTEROS '!J12)</f>
        <v>574270</v>
      </c>
      <c r="F15" s="830"/>
    </row>
    <row r="16" spans="1:6" ht="14.7" thickBot="1" x14ac:dyDescent="0.6">
      <c r="B16" s="855" t="s">
        <v>514</v>
      </c>
      <c r="C16" s="932" t="s">
        <v>515</v>
      </c>
      <c r="D16" s="553" t="s">
        <v>22</v>
      </c>
      <c r="E16" s="859">
        <f>(+'CONCRETOS Y MORTEROS '!J10)</f>
        <v>646227</v>
      </c>
      <c r="F16" s="830"/>
    </row>
    <row r="17" spans="1:5" ht="15.75" customHeight="1" x14ac:dyDescent="0.55000000000000004">
      <c r="B17" s="853" t="s">
        <v>516</v>
      </c>
      <c r="C17" s="854" t="s">
        <v>517</v>
      </c>
      <c r="D17" s="916" t="s">
        <v>22</v>
      </c>
      <c r="E17" s="924">
        <v>10977.75</v>
      </c>
    </row>
    <row r="18" spans="1:5" x14ac:dyDescent="0.55000000000000004">
      <c r="B18" s="546" t="s">
        <v>518</v>
      </c>
      <c r="C18" s="548" t="s">
        <v>519</v>
      </c>
      <c r="D18" s="552" t="s">
        <v>375</v>
      </c>
      <c r="E18" s="874">
        <v>44638.402718625322</v>
      </c>
    </row>
    <row r="19" spans="1:5" x14ac:dyDescent="0.55000000000000004">
      <c r="B19" s="546" t="s">
        <v>520</v>
      </c>
      <c r="C19" s="548" t="s">
        <v>373</v>
      </c>
      <c r="D19" s="552" t="s">
        <v>46</v>
      </c>
      <c r="E19" s="874">
        <v>7710.1184204317806</v>
      </c>
    </row>
    <row r="20" spans="1:5" ht="27.75" customHeight="1" x14ac:dyDescent="0.55000000000000004">
      <c r="B20" s="546" t="s">
        <v>521</v>
      </c>
      <c r="C20" s="548" t="s">
        <v>522</v>
      </c>
      <c r="D20" s="552" t="s">
        <v>346</v>
      </c>
      <c r="E20" s="922">
        <v>18916.537500000002</v>
      </c>
    </row>
    <row r="21" spans="1:5" ht="25.8" x14ac:dyDescent="0.55000000000000004">
      <c r="B21" s="546" t="s">
        <v>523</v>
      </c>
      <c r="C21" s="548" t="s">
        <v>524</v>
      </c>
      <c r="D21" s="552" t="s">
        <v>346</v>
      </c>
      <c r="E21" s="922">
        <v>8629.0313289189362</v>
      </c>
    </row>
    <row r="22" spans="1:5" x14ac:dyDescent="0.55000000000000004">
      <c r="B22" s="546" t="s">
        <v>525</v>
      </c>
      <c r="C22" s="548" t="s">
        <v>526</v>
      </c>
      <c r="D22" s="552" t="s">
        <v>22</v>
      </c>
      <c r="E22" s="922">
        <v>96390</v>
      </c>
    </row>
    <row r="23" spans="1:5" x14ac:dyDescent="0.55000000000000004">
      <c r="B23" s="546" t="s">
        <v>527</v>
      </c>
      <c r="C23" s="548" t="s">
        <v>528</v>
      </c>
      <c r="D23" s="552" t="s">
        <v>22</v>
      </c>
      <c r="E23" s="922">
        <v>67729.451158730037</v>
      </c>
    </row>
    <row r="24" spans="1:5" x14ac:dyDescent="0.55000000000000004">
      <c r="B24" s="546" t="s">
        <v>529</v>
      </c>
      <c r="C24" s="548" t="s">
        <v>530</v>
      </c>
      <c r="D24" s="552" t="s">
        <v>22</v>
      </c>
      <c r="E24" s="922">
        <v>25288.987499999999</v>
      </c>
    </row>
    <row r="25" spans="1:5" x14ac:dyDescent="0.55000000000000004">
      <c r="B25" s="546" t="s">
        <v>531</v>
      </c>
      <c r="C25" s="548" t="s">
        <v>532</v>
      </c>
      <c r="D25" s="552" t="s">
        <v>22</v>
      </c>
      <c r="E25" s="922">
        <v>77112</v>
      </c>
    </row>
    <row r="26" spans="1:5" x14ac:dyDescent="0.55000000000000004">
      <c r="B26" s="546" t="s">
        <v>533</v>
      </c>
      <c r="C26" s="548" t="s">
        <v>534</v>
      </c>
      <c r="D26" s="552" t="s">
        <v>22</v>
      </c>
      <c r="E26" s="925">
        <v>48258.787500000006</v>
      </c>
    </row>
    <row r="27" spans="1:5" ht="16.5" customHeight="1" thickBot="1" x14ac:dyDescent="0.6">
      <c r="B27" s="852" t="s">
        <v>535</v>
      </c>
      <c r="C27" s="817" t="s">
        <v>536</v>
      </c>
      <c r="D27" s="915" t="s">
        <v>22</v>
      </c>
      <c r="E27" s="926">
        <v>49710.93044367111</v>
      </c>
    </row>
    <row r="28" spans="1:5" ht="14.7" thickBot="1" x14ac:dyDescent="0.6">
      <c r="B28" s="866" t="s">
        <v>537</v>
      </c>
      <c r="C28" s="933" t="s">
        <v>538</v>
      </c>
      <c r="D28" s="917" t="s">
        <v>22</v>
      </c>
      <c r="E28" s="927">
        <f>+'CONCRETOS Y MORTEROS '!J17</f>
        <v>608777</v>
      </c>
    </row>
    <row r="29" spans="1:5" ht="15.6" x14ac:dyDescent="0.55000000000000004">
      <c r="A29" s="843" t="s">
        <v>539</v>
      </c>
      <c r="B29" s="853" t="s">
        <v>539</v>
      </c>
      <c r="C29" s="865" t="s">
        <v>540</v>
      </c>
      <c r="D29" s="916" t="s">
        <v>22</v>
      </c>
      <c r="E29" s="924">
        <v>67561.886954972651</v>
      </c>
    </row>
    <row r="30" spans="1:5" ht="17.25" customHeight="1" x14ac:dyDescent="0.55000000000000004">
      <c r="B30" s="546" t="s">
        <v>541</v>
      </c>
      <c r="C30" s="548" t="s">
        <v>542</v>
      </c>
      <c r="D30" s="552" t="s">
        <v>375</v>
      </c>
      <c r="E30" s="874">
        <v>167062.5</v>
      </c>
    </row>
    <row r="31" spans="1:5" ht="20.25" customHeight="1" x14ac:dyDescent="0.55000000000000004">
      <c r="B31" s="546" t="s">
        <v>543</v>
      </c>
      <c r="C31" s="548" t="s">
        <v>544</v>
      </c>
      <c r="D31" s="552" t="s">
        <v>382</v>
      </c>
      <c r="E31" s="874">
        <v>165154.2245163194</v>
      </c>
    </row>
    <row r="32" spans="1:5" x14ac:dyDescent="0.55000000000000004">
      <c r="B32" s="546" t="s">
        <v>545</v>
      </c>
      <c r="C32" s="548" t="s">
        <v>326</v>
      </c>
      <c r="D32" s="552" t="s">
        <v>50</v>
      </c>
      <c r="E32" s="874">
        <v>11502.129202252665</v>
      </c>
    </row>
    <row r="33" spans="1:6" ht="30" customHeight="1" x14ac:dyDescent="0.55000000000000004">
      <c r="B33" s="546" t="s">
        <v>546</v>
      </c>
      <c r="C33" s="548" t="s">
        <v>547</v>
      </c>
      <c r="D33" s="552" t="s">
        <v>382</v>
      </c>
      <c r="E33" s="370">
        <v>477130.5</v>
      </c>
    </row>
    <row r="34" spans="1:6" ht="14.25" customHeight="1" x14ac:dyDescent="0.55000000000000004">
      <c r="B34" s="546"/>
      <c r="C34" s="861" t="s">
        <v>548</v>
      </c>
      <c r="D34" s="918" t="s">
        <v>549</v>
      </c>
      <c r="E34" s="922">
        <v>19950.240790859942</v>
      </c>
    </row>
    <row r="35" spans="1:6" ht="14.25" customHeight="1" x14ac:dyDescent="0.55000000000000004">
      <c r="B35" s="546"/>
      <c r="C35" s="743" t="s">
        <v>550</v>
      </c>
      <c r="D35" s="919" t="s">
        <v>50</v>
      </c>
      <c r="E35" s="928">
        <v>2632.5</v>
      </c>
    </row>
    <row r="36" spans="1:6" ht="14.25" customHeight="1" x14ac:dyDescent="0.55000000000000004">
      <c r="B36" s="546" t="s">
        <v>551</v>
      </c>
      <c r="C36" s="548" t="s">
        <v>552</v>
      </c>
      <c r="D36" s="552" t="s">
        <v>50</v>
      </c>
      <c r="E36" s="874">
        <v>925103.02499999991</v>
      </c>
    </row>
    <row r="37" spans="1:6" x14ac:dyDescent="0.55000000000000004">
      <c r="B37" s="546" t="s">
        <v>553</v>
      </c>
      <c r="C37" s="548" t="s">
        <v>554</v>
      </c>
      <c r="D37" s="552" t="s">
        <v>50</v>
      </c>
      <c r="E37" s="874">
        <v>22661.92239189021</v>
      </c>
    </row>
    <row r="38" spans="1:6" ht="15.9" thickBot="1" x14ac:dyDescent="0.65">
      <c r="A38" s="632" t="s">
        <v>555</v>
      </c>
      <c r="B38" s="823"/>
      <c r="C38" s="847" t="s">
        <v>556</v>
      </c>
      <c r="D38" s="920" t="s">
        <v>557</v>
      </c>
      <c r="E38" s="929">
        <v>89100</v>
      </c>
    </row>
    <row r="39" spans="1:6" x14ac:dyDescent="0.55000000000000004">
      <c r="F39" s="367"/>
    </row>
  </sheetData>
  <mergeCells count="1">
    <mergeCell ref="B1:E1"/>
  </mergeCells>
  <phoneticPr fontId="96" type="noConversion"/>
  <pageMargins left="0.7" right="0.7" top="0.75" bottom="0.75" header="0.3" footer="0.3"/>
  <pageSetup orientation="portrait" horizontalDpi="1200" verticalDpi="1200" r:id="rId1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2:P133"/>
  <sheetViews>
    <sheetView topLeftCell="B7" workbookViewId="0">
      <selection activeCell="K9" sqref="K9:K10"/>
    </sheetView>
  </sheetViews>
  <sheetFormatPr baseColWidth="10" defaultColWidth="9.15625" defaultRowHeight="14.4" x14ac:dyDescent="0.55000000000000004"/>
  <cols>
    <col min="2" max="2" width="30.41796875" style="245" customWidth="1"/>
    <col min="3" max="3" width="11.68359375" bestFit="1" customWidth="1"/>
    <col min="4" max="4" width="12.26171875" bestFit="1" customWidth="1"/>
    <col min="5" max="11" width="10.83984375" bestFit="1" customWidth="1"/>
    <col min="12" max="12" width="10.15625" bestFit="1" customWidth="1"/>
    <col min="14" max="14" width="11.68359375" bestFit="1" customWidth="1"/>
    <col min="15" max="16" width="14.26171875" bestFit="1" customWidth="1"/>
  </cols>
  <sheetData>
    <row r="2" spans="2:16" x14ac:dyDescent="0.55000000000000004">
      <c r="B2" s="315"/>
      <c r="C2" s="30"/>
      <c r="D2" s="171"/>
      <c r="E2" s="172"/>
      <c r="F2" s="172"/>
      <c r="G2" s="172"/>
      <c r="H2" s="173"/>
      <c r="I2" s="180"/>
      <c r="J2" s="181"/>
      <c r="K2" s="182"/>
    </row>
    <row r="3" spans="2:16" ht="15" customHeight="1" x14ac:dyDescent="0.55000000000000004">
      <c r="B3" s="316"/>
      <c r="C3" s="1279" t="s">
        <v>0</v>
      </c>
      <c r="D3" s="1279"/>
      <c r="E3" s="1279"/>
      <c r="F3" s="1279"/>
      <c r="G3" s="1279"/>
      <c r="H3" s="1279"/>
      <c r="I3" s="1279"/>
      <c r="J3" s="1295"/>
      <c r="K3" s="185"/>
    </row>
    <row r="4" spans="2:16" x14ac:dyDescent="0.55000000000000004">
      <c r="B4" s="316"/>
      <c r="C4" s="1279"/>
      <c r="D4" s="1279"/>
      <c r="E4" s="1279"/>
      <c r="F4" s="1279"/>
      <c r="G4" s="1279"/>
      <c r="H4" s="1279"/>
      <c r="I4" s="1279"/>
      <c r="J4" s="1295"/>
      <c r="K4" s="185"/>
    </row>
    <row r="5" spans="2:16" x14ac:dyDescent="0.55000000000000004">
      <c r="B5" s="316"/>
      <c r="C5" s="1279"/>
      <c r="D5" s="1279"/>
      <c r="E5" s="1279"/>
      <c r="F5" s="1279"/>
      <c r="G5" s="1279"/>
      <c r="H5" s="1279"/>
      <c r="I5" s="1279"/>
      <c r="J5" s="1295"/>
      <c r="K5" s="185"/>
    </row>
    <row r="6" spans="2:16" x14ac:dyDescent="0.55000000000000004">
      <c r="B6" s="316"/>
      <c r="C6" s="31"/>
      <c r="D6" s="174"/>
      <c r="E6" s="175"/>
      <c r="F6" s="175"/>
      <c r="G6" s="175"/>
      <c r="H6" s="176"/>
      <c r="I6" s="183"/>
      <c r="J6" s="184"/>
      <c r="K6" s="185"/>
    </row>
    <row r="7" spans="2:16" x14ac:dyDescent="0.55000000000000004">
      <c r="B7" s="1116"/>
      <c r="C7" s="32"/>
      <c r="D7" s="177"/>
      <c r="E7" s="178"/>
      <c r="F7" s="178"/>
      <c r="G7" s="178"/>
      <c r="H7" s="179"/>
      <c r="I7" s="186"/>
      <c r="J7" s="187"/>
      <c r="K7" s="188"/>
    </row>
    <row r="9" spans="2:16" ht="21" x14ac:dyDescent="0.55000000000000004">
      <c r="B9" s="317" t="s">
        <v>558</v>
      </c>
      <c r="C9" s="169"/>
      <c r="D9" s="169"/>
      <c r="E9" s="169"/>
      <c r="F9" s="169"/>
      <c r="G9" s="169"/>
      <c r="H9" s="169"/>
      <c r="I9" s="169"/>
      <c r="J9" s="169"/>
      <c r="K9" s="169"/>
      <c r="L9" s="33"/>
      <c r="M9" s="33"/>
      <c r="N9" s="33"/>
      <c r="O9" s="33"/>
    </row>
    <row r="10" spans="2:16" ht="15" customHeight="1" x14ac:dyDescent="0.55000000000000004">
      <c r="B10" s="317"/>
      <c r="C10" s="169"/>
      <c r="D10" s="372"/>
      <c r="E10" s="372"/>
      <c r="F10" s="848" t="s">
        <v>559</v>
      </c>
      <c r="G10" s="520">
        <f>+C17/30</f>
        <v>43333.333333333336</v>
      </c>
      <c r="H10" s="848" t="s">
        <v>560</v>
      </c>
      <c r="I10" s="849">
        <f>+jornal*1.7</f>
        <v>73666.666666666672</v>
      </c>
      <c r="J10" s="33"/>
      <c r="K10" s="33"/>
      <c r="L10" s="33"/>
      <c r="M10" s="33"/>
      <c r="N10" s="33" t="s">
        <v>97</v>
      </c>
      <c r="O10" s="33" t="s">
        <v>561</v>
      </c>
    </row>
    <row r="11" spans="2:16" x14ac:dyDescent="0.55000000000000004">
      <c r="B11" s="34" t="s">
        <v>562</v>
      </c>
      <c r="C11" s="320"/>
      <c r="D11" s="35"/>
      <c r="E11" s="35"/>
      <c r="F11" s="35"/>
      <c r="G11" s="33"/>
      <c r="H11" s="33"/>
      <c r="I11" s="33"/>
      <c r="J11" s="33"/>
      <c r="K11" s="33"/>
      <c r="L11" s="33"/>
      <c r="M11" s="33">
        <v>2023</v>
      </c>
      <c r="N11" s="810">
        <v>1160000</v>
      </c>
      <c r="O11" s="810">
        <v>140606</v>
      </c>
      <c r="P11" s="366">
        <f>+N11+O11</f>
        <v>1300606</v>
      </c>
    </row>
    <row r="12" spans="2:16" x14ac:dyDescent="0.55000000000000004">
      <c r="B12" s="36"/>
      <c r="C12" s="37"/>
      <c r="D12" s="38">
        <f>+C17*1.2</f>
        <v>1560000</v>
      </c>
      <c r="E12" s="38">
        <f>+C17*1.5</f>
        <v>1950000</v>
      </c>
      <c r="F12" s="38">
        <f t="shared" ref="F12:K12" si="0">+E17*1.2</f>
        <v>2340000</v>
      </c>
      <c r="G12" s="38">
        <f t="shared" si="0"/>
        <v>2808000</v>
      </c>
      <c r="H12" s="38">
        <f t="shared" si="0"/>
        <v>3120000</v>
      </c>
      <c r="I12" s="38">
        <f t="shared" si="0"/>
        <v>3900000</v>
      </c>
      <c r="J12" s="38">
        <f t="shared" si="0"/>
        <v>4680000</v>
      </c>
      <c r="K12" s="38">
        <f t="shared" si="0"/>
        <v>5460000</v>
      </c>
      <c r="L12" s="38"/>
      <c r="M12" s="840">
        <v>2024</v>
      </c>
      <c r="N12" s="811">
        <v>1300000</v>
      </c>
      <c r="O12" s="366">
        <v>166200</v>
      </c>
      <c r="P12" s="366">
        <f>+N12+O12</f>
        <v>1466200</v>
      </c>
    </row>
    <row r="13" spans="2:16" x14ac:dyDescent="0.55000000000000004">
      <c r="B13" s="39"/>
      <c r="C13" s="40"/>
      <c r="D13" s="41"/>
      <c r="E13" s="41"/>
      <c r="F13" s="40"/>
      <c r="G13" s="40"/>
      <c r="H13" s="40"/>
      <c r="I13" s="40"/>
      <c r="J13" s="40"/>
      <c r="K13" s="40"/>
      <c r="L13" s="40"/>
      <c r="M13" s="40"/>
      <c r="N13" s="40"/>
      <c r="O13" s="40"/>
    </row>
    <row r="14" spans="2:16" x14ac:dyDescent="0.55000000000000004">
      <c r="B14" s="1117" t="s">
        <v>563</v>
      </c>
      <c r="C14" s="1118">
        <v>1</v>
      </c>
      <c r="D14" s="1118">
        <v>1.2</v>
      </c>
      <c r="E14" s="1118">
        <v>1.5</v>
      </c>
      <c r="F14" s="1118">
        <v>1.8</v>
      </c>
      <c r="G14" s="1118">
        <v>2</v>
      </c>
      <c r="H14" s="1118">
        <v>2.5</v>
      </c>
      <c r="I14" s="1118">
        <v>3</v>
      </c>
      <c r="J14" s="1118">
        <v>3.5</v>
      </c>
      <c r="K14" s="1118">
        <v>4</v>
      </c>
      <c r="L14" s="42"/>
      <c r="M14" s="42"/>
      <c r="N14" s="809"/>
      <c r="O14" s="42"/>
      <c r="P14" s="42"/>
    </row>
    <row r="15" spans="2:16" ht="14.7" thickBot="1" x14ac:dyDescent="0.6">
      <c r="B15" s="1119" t="s">
        <v>564</v>
      </c>
      <c r="C15" s="519">
        <f>+C16*12</f>
        <v>1944000</v>
      </c>
      <c r="D15" s="1120">
        <f t="shared" ref="D15:K15" si="1">+D16*12</f>
        <v>1944000</v>
      </c>
      <c r="E15" s="1120">
        <f t="shared" si="1"/>
        <v>1944000</v>
      </c>
      <c r="F15" s="1120">
        <f t="shared" si="1"/>
        <v>1944000</v>
      </c>
      <c r="G15" s="1120">
        <f t="shared" si="1"/>
        <v>1944000</v>
      </c>
      <c r="H15" s="1120">
        <f t="shared" si="1"/>
        <v>0</v>
      </c>
      <c r="I15" s="1120">
        <f t="shared" si="1"/>
        <v>0</v>
      </c>
      <c r="J15" s="1120">
        <f t="shared" si="1"/>
        <v>0</v>
      </c>
      <c r="K15" s="1120">
        <f t="shared" si="1"/>
        <v>0</v>
      </c>
      <c r="N15" s="327"/>
    </row>
    <row r="16" spans="2:16" ht="14.7" thickBot="1" x14ac:dyDescent="0.6">
      <c r="B16" s="515" t="s">
        <v>565</v>
      </c>
      <c r="C16" s="518">
        <v>162000</v>
      </c>
      <c r="D16" s="516">
        <f>$C$16</f>
        <v>162000</v>
      </c>
      <c r="E16" s="1120">
        <f t="shared" ref="E16:G16" si="2">$C$16</f>
        <v>162000</v>
      </c>
      <c r="F16" s="1120">
        <f t="shared" si="2"/>
        <v>162000</v>
      </c>
      <c r="G16" s="1120">
        <f t="shared" si="2"/>
        <v>162000</v>
      </c>
      <c r="H16" s="1120">
        <v>0</v>
      </c>
      <c r="I16" s="1120">
        <v>0</v>
      </c>
      <c r="J16" s="1120">
        <v>0</v>
      </c>
      <c r="K16" s="1120">
        <v>0</v>
      </c>
    </row>
    <row r="17" spans="2:11" ht="14.7" thickBot="1" x14ac:dyDescent="0.6">
      <c r="B17" s="515" t="s">
        <v>566</v>
      </c>
      <c r="C17" s="518">
        <v>1300000</v>
      </c>
      <c r="D17" s="516">
        <f>+$C$17*D14</f>
        <v>1560000</v>
      </c>
      <c r="E17" s="1120">
        <f t="shared" ref="E17:K17" si="3">+$C$17*E14</f>
        <v>1950000</v>
      </c>
      <c r="F17" s="1120">
        <f t="shared" si="3"/>
        <v>2340000</v>
      </c>
      <c r="G17" s="1120">
        <f t="shared" si="3"/>
        <v>2600000</v>
      </c>
      <c r="H17" s="1120">
        <f t="shared" si="3"/>
        <v>3250000</v>
      </c>
      <c r="I17" s="1120">
        <f t="shared" si="3"/>
        <v>3900000</v>
      </c>
      <c r="J17" s="1120">
        <f t="shared" si="3"/>
        <v>4550000</v>
      </c>
      <c r="K17" s="1120">
        <f t="shared" si="3"/>
        <v>5200000</v>
      </c>
    </row>
    <row r="18" spans="2:11" x14ac:dyDescent="0.55000000000000004">
      <c r="B18" s="1121" t="s">
        <v>567</v>
      </c>
      <c r="C18" s="517">
        <f>+ROUND(C17*12,0)</f>
        <v>15600000</v>
      </c>
      <c r="D18" s="1120">
        <f t="shared" ref="D18:I18" si="4">+ROUND(D17*12,0)</f>
        <v>18720000</v>
      </c>
      <c r="E18" s="1120">
        <f t="shared" si="4"/>
        <v>23400000</v>
      </c>
      <c r="F18" s="1120">
        <f t="shared" si="4"/>
        <v>28080000</v>
      </c>
      <c r="G18" s="1120">
        <f t="shared" si="4"/>
        <v>31200000</v>
      </c>
      <c r="H18" s="1120">
        <f t="shared" si="4"/>
        <v>39000000</v>
      </c>
      <c r="I18" s="1120">
        <f t="shared" si="4"/>
        <v>46800000</v>
      </c>
      <c r="J18" s="1120">
        <f>+ROUND(J17*12,0)</f>
        <v>54600000</v>
      </c>
      <c r="K18" s="1120">
        <f>+ROUND(K17*12,0)</f>
        <v>62400000</v>
      </c>
    </row>
    <row r="19" spans="2:11" x14ac:dyDescent="0.55000000000000004">
      <c r="B19" s="1121" t="s">
        <v>568</v>
      </c>
      <c r="C19" s="1120">
        <f>+ROUND((C18+C15)*0.1,0)</f>
        <v>1754400</v>
      </c>
      <c r="D19" s="1120">
        <f t="shared" ref="D19:I19" si="5">+ROUND((D18+D15)*0.1,0)</f>
        <v>2066400</v>
      </c>
      <c r="E19" s="1120">
        <f t="shared" si="5"/>
        <v>2534400</v>
      </c>
      <c r="F19" s="1120">
        <f t="shared" si="5"/>
        <v>3002400</v>
      </c>
      <c r="G19" s="1120">
        <f t="shared" si="5"/>
        <v>3314400</v>
      </c>
      <c r="H19" s="1120">
        <f t="shared" si="5"/>
        <v>3900000</v>
      </c>
      <c r="I19" s="1120">
        <f t="shared" si="5"/>
        <v>4680000</v>
      </c>
      <c r="J19" s="1120">
        <f>+ROUND((J18+J15)*0.1,0)</f>
        <v>5460000</v>
      </c>
      <c r="K19" s="1120">
        <f>+ROUND((K18+K15)*0.1,0)</f>
        <v>6240000</v>
      </c>
    </row>
    <row r="20" spans="2:11" x14ac:dyDescent="0.55000000000000004">
      <c r="B20" s="1121" t="s">
        <v>569</v>
      </c>
      <c r="C20" s="1120">
        <f>+ROUND(C17/2,0)</f>
        <v>650000</v>
      </c>
      <c r="D20" s="1120">
        <f t="shared" ref="D20:I20" si="6">+ROUND(D17/2,0)</f>
        <v>780000</v>
      </c>
      <c r="E20" s="1120">
        <f t="shared" si="6"/>
        <v>975000</v>
      </c>
      <c r="F20" s="1120">
        <f t="shared" si="6"/>
        <v>1170000</v>
      </c>
      <c r="G20" s="1120">
        <f t="shared" si="6"/>
        <v>1300000</v>
      </c>
      <c r="H20" s="1120">
        <f t="shared" si="6"/>
        <v>1625000</v>
      </c>
      <c r="I20" s="1120">
        <f t="shared" si="6"/>
        <v>1950000</v>
      </c>
      <c r="J20" s="1120">
        <f>+ROUND(J17/2,0)</f>
        <v>2275000</v>
      </c>
      <c r="K20" s="1120">
        <f>+ROUND(K17/2,0)</f>
        <v>2600000</v>
      </c>
    </row>
    <row r="21" spans="2:11" x14ac:dyDescent="0.55000000000000004">
      <c r="B21" s="1121" t="s">
        <v>570</v>
      </c>
      <c r="C21" s="1120">
        <f>+C17+C16</f>
        <v>1462000</v>
      </c>
      <c r="D21" s="1120">
        <f t="shared" ref="D21:I21" si="7">+D17+D16</f>
        <v>1722000</v>
      </c>
      <c r="E21" s="1120">
        <f t="shared" si="7"/>
        <v>2112000</v>
      </c>
      <c r="F21" s="1120">
        <f t="shared" si="7"/>
        <v>2502000</v>
      </c>
      <c r="G21" s="1120">
        <f t="shared" si="7"/>
        <v>2762000</v>
      </c>
      <c r="H21" s="1120">
        <f t="shared" si="7"/>
        <v>3250000</v>
      </c>
      <c r="I21" s="1120">
        <f t="shared" si="7"/>
        <v>3900000</v>
      </c>
      <c r="J21" s="1120">
        <f>+J17+J16</f>
        <v>4550000</v>
      </c>
      <c r="K21" s="1120">
        <f>+K17+K16</f>
        <v>5200000</v>
      </c>
    </row>
    <row r="22" spans="2:11" x14ac:dyDescent="0.55000000000000004">
      <c r="B22" s="1121" t="s">
        <v>571</v>
      </c>
      <c r="C22" s="1120">
        <f>+ROUND(C19*(1%*12),0)</f>
        <v>210528</v>
      </c>
      <c r="D22" s="1120">
        <f t="shared" ref="D22:I22" si="8">+ROUND(D19*(1%*12),0)</f>
        <v>247968</v>
      </c>
      <c r="E22" s="1120">
        <f t="shared" si="8"/>
        <v>304128</v>
      </c>
      <c r="F22" s="1120">
        <f t="shared" si="8"/>
        <v>360288</v>
      </c>
      <c r="G22" s="1120">
        <f t="shared" si="8"/>
        <v>397728</v>
      </c>
      <c r="H22" s="1120">
        <f t="shared" si="8"/>
        <v>468000</v>
      </c>
      <c r="I22" s="1120">
        <f t="shared" si="8"/>
        <v>561600</v>
      </c>
      <c r="J22" s="1120">
        <f>+ROUND(J19*(1%*12),0)</f>
        <v>655200</v>
      </c>
      <c r="K22" s="1120">
        <f>+ROUND(K19*(1%*12),0)</f>
        <v>748800</v>
      </c>
    </row>
    <row r="23" spans="2:11" ht="21" x14ac:dyDescent="0.55000000000000004">
      <c r="B23" s="1121" t="s">
        <v>572</v>
      </c>
      <c r="C23" s="1120">
        <f>+ROUND((C17*12)/40,0)</f>
        <v>390000</v>
      </c>
      <c r="D23" s="1120">
        <f>+ROUND((C17*12)/40,0)</f>
        <v>390000</v>
      </c>
      <c r="E23" s="1120">
        <f>+ROUND((C17*12)/40,0)</f>
        <v>390000</v>
      </c>
      <c r="F23" s="1120">
        <f>+ROUND((C17*12)/40,0)</f>
        <v>390000</v>
      </c>
      <c r="G23" s="1120">
        <f>+ROUND((C17*12)/40,0)</f>
        <v>390000</v>
      </c>
      <c r="H23" s="1120">
        <f>+ROUND((C17*12)/40,0)</f>
        <v>390000</v>
      </c>
      <c r="I23" s="1120">
        <f>+ROUND(($C$17*12)/40,0)</f>
        <v>390000</v>
      </c>
      <c r="J23" s="1120">
        <f>+ROUND(($C$17*12)/40,0)</f>
        <v>390000</v>
      </c>
      <c r="K23" s="1120">
        <f>+ROUND(($C$17*12)/40,0)</f>
        <v>390000</v>
      </c>
    </row>
    <row r="24" spans="2:11" x14ac:dyDescent="0.55000000000000004">
      <c r="B24" s="1121" t="s">
        <v>573</v>
      </c>
      <c r="C24" s="1120">
        <f>(C16/30)*(360-18)</f>
        <v>1846800</v>
      </c>
      <c r="D24" s="1120">
        <f t="shared" ref="D24:I24" si="9">(D16/30)*(360-18)</f>
        <v>1846800</v>
      </c>
      <c r="E24" s="1120">
        <f t="shared" si="9"/>
        <v>1846800</v>
      </c>
      <c r="F24" s="1120">
        <f t="shared" si="9"/>
        <v>1846800</v>
      </c>
      <c r="G24" s="1120">
        <f t="shared" si="9"/>
        <v>1846800</v>
      </c>
      <c r="H24" s="1122">
        <f t="shared" si="9"/>
        <v>0</v>
      </c>
      <c r="I24" s="1120">
        <f t="shared" si="9"/>
        <v>0</v>
      </c>
      <c r="J24" s="1120">
        <f>(J16/30)*(360-18)</f>
        <v>0</v>
      </c>
      <c r="K24" s="1120">
        <f>(K16/30)*(360-18)</f>
        <v>0</v>
      </c>
    </row>
    <row r="25" spans="2:11" ht="21" x14ac:dyDescent="0.55000000000000004">
      <c r="B25" s="1121" t="s">
        <v>574</v>
      </c>
      <c r="C25" s="1120">
        <v>0</v>
      </c>
      <c r="D25" s="1120">
        <v>0</v>
      </c>
      <c r="E25" s="1120">
        <v>0</v>
      </c>
      <c r="F25" s="1120">
        <v>0</v>
      </c>
      <c r="G25" s="1120">
        <v>0</v>
      </c>
      <c r="H25" s="1120">
        <v>0</v>
      </c>
      <c r="I25" s="1120">
        <v>0</v>
      </c>
      <c r="J25" s="1120">
        <v>0</v>
      </c>
      <c r="K25" s="1120">
        <v>0</v>
      </c>
    </row>
    <row r="26" spans="2:11" x14ac:dyDescent="0.55000000000000004">
      <c r="B26" s="1121" t="s">
        <v>575</v>
      </c>
      <c r="C26" s="1120">
        <f>+ROUND(C18*12%,0)</f>
        <v>1872000</v>
      </c>
      <c r="D26" s="1120">
        <f t="shared" ref="D26:I26" si="10">+ROUND(D18*12%,0)</f>
        <v>2246400</v>
      </c>
      <c r="E26" s="1120">
        <f t="shared" si="10"/>
        <v>2808000</v>
      </c>
      <c r="F26" s="1120">
        <f t="shared" si="10"/>
        <v>3369600</v>
      </c>
      <c r="G26" s="1120">
        <f t="shared" si="10"/>
        <v>3744000</v>
      </c>
      <c r="H26" s="1120">
        <f t="shared" si="10"/>
        <v>4680000</v>
      </c>
      <c r="I26" s="1120">
        <f t="shared" si="10"/>
        <v>5616000</v>
      </c>
      <c r="J26" s="1120">
        <f>+ROUND(J18*12%,0)</f>
        <v>6552000</v>
      </c>
      <c r="K26" s="1120">
        <f>+ROUND(K18*12%,0)</f>
        <v>7488000</v>
      </c>
    </row>
    <row r="27" spans="2:11" x14ac:dyDescent="0.55000000000000004">
      <c r="B27" s="1121" t="s">
        <v>576</v>
      </c>
      <c r="C27" s="1120">
        <f>+ROUND((C17*12)*6.96%,0)</f>
        <v>1085760</v>
      </c>
      <c r="D27" s="1120">
        <f t="shared" ref="D27:I27" si="11">+ROUND((D17*12)*6.96%,0)</f>
        <v>1302912</v>
      </c>
      <c r="E27" s="1120">
        <f t="shared" si="11"/>
        <v>1628640</v>
      </c>
      <c r="F27" s="1120">
        <f t="shared" si="11"/>
        <v>1954368</v>
      </c>
      <c r="G27" s="1120">
        <f t="shared" si="11"/>
        <v>2171520</v>
      </c>
      <c r="H27" s="1120">
        <f t="shared" si="11"/>
        <v>2714400</v>
      </c>
      <c r="I27" s="1120">
        <f t="shared" si="11"/>
        <v>3257280</v>
      </c>
      <c r="J27" s="1120">
        <f>+ROUND((J17*12)*6.96%,0)</f>
        <v>3800160</v>
      </c>
      <c r="K27" s="1120">
        <f>+ROUND((K17*12)*6.96%,0)</f>
        <v>4343040</v>
      </c>
    </row>
    <row r="28" spans="2:11" x14ac:dyDescent="0.55000000000000004">
      <c r="B28" s="1121" t="s">
        <v>577</v>
      </c>
      <c r="C28" s="1120">
        <f>+ROUND((C17*12)*4%,0)</f>
        <v>624000</v>
      </c>
      <c r="D28" s="1120">
        <f t="shared" ref="D28:I28" si="12">+ROUND((D17*12)*4%,0)</f>
        <v>748800</v>
      </c>
      <c r="E28" s="1120">
        <f t="shared" si="12"/>
        <v>936000</v>
      </c>
      <c r="F28" s="1120">
        <f t="shared" si="12"/>
        <v>1123200</v>
      </c>
      <c r="G28" s="1120">
        <f t="shared" si="12"/>
        <v>1248000</v>
      </c>
      <c r="H28" s="1120">
        <f t="shared" si="12"/>
        <v>1560000</v>
      </c>
      <c r="I28" s="1120">
        <f t="shared" si="12"/>
        <v>1872000</v>
      </c>
      <c r="J28" s="1120">
        <f>+ROUND((J17*12)*4%,0)</f>
        <v>2184000</v>
      </c>
      <c r="K28" s="1120">
        <f>+ROUND((K17*12)*4%,0)</f>
        <v>2496000</v>
      </c>
    </row>
    <row r="29" spans="2:11" x14ac:dyDescent="0.55000000000000004">
      <c r="B29" s="1121" t="s">
        <v>578</v>
      </c>
      <c r="C29" s="1120">
        <v>0</v>
      </c>
      <c r="D29" s="1120">
        <v>0</v>
      </c>
      <c r="E29" s="1120">
        <v>0</v>
      </c>
      <c r="F29" s="1120">
        <v>0</v>
      </c>
      <c r="G29" s="1120">
        <v>0</v>
      </c>
      <c r="H29" s="1120">
        <v>0</v>
      </c>
      <c r="I29" s="1120">
        <v>0</v>
      </c>
      <c r="J29" s="1120">
        <v>0</v>
      </c>
      <c r="K29" s="1120">
        <v>0</v>
      </c>
    </row>
    <row r="30" spans="2:11" x14ac:dyDescent="0.55000000000000004">
      <c r="B30" s="1121" t="s">
        <v>579</v>
      </c>
      <c r="C30" s="1120">
        <v>0</v>
      </c>
      <c r="D30" s="1120">
        <v>0</v>
      </c>
      <c r="E30" s="1120">
        <v>0</v>
      </c>
      <c r="F30" s="1120">
        <v>0</v>
      </c>
      <c r="G30" s="1120">
        <v>0</v>
      </c>
      <c r="H30" s="1120">
        <v>0</v>
      </c>
      <c r="I30" s="1120">
        <v>0</v>
      </c>
      <c r="J30" s="1120">
        <v>0</v>
      </c>
      <c r="K30" s="1120">
        <v>0</v>
      </c>
    </row>
    <row r="31" spans="2:11" x14ac:dyDescent="0.55000000000000004">
      <c r="B31" s="1121" t="s">
        <v>580</v>
      </c>
      <c r="C31" s="1120">
        <v>377400</v>
      </c>
      <c r="D31" s="1120">
        <v>377400</v>
      </c>
      <c r="E31" s="1120">
        <v>377400</v>
      </c>
      <c r="F31" s="1120">
        <v>377400</v>
      </c>
      <c r="G31" s="1120">
        <v>377400</v>
      </c>
      <c r="H31" s="1120">
        <v>0</v>
      </c>
      <c r="I31" s="1120">
        <v>0</v>
      </c>
      <c r="J31" s="1120">
        <v>0</v>
      </c>
      <c r="K31" s="1120">
        <v>0</v>
      </c>
    </row>
    <row r="32" spans="2:11" x14ac:dyDescent="0.55000000000000004">
      <c r="B32" s="1121" t="s">
        <v>581</v>
      </c>
      <c r="C32" s="1120">
        <v>172620</v>
      </c>
      <c r="D32" s="1120">
        <v>172620</v>
      </c>
      <c r="E32" s="1120">
        <v>172620</v>
      </c>
      <c r="F32" s="1120">
        <v>172620</v>
      </c>
      <c r="G32" s="1120">
        <v>172620</v>
      </c>
      <c r="H32" s="1120">
        <v>172620</v>
      </c>
      <c r="I32" s="1120">
        <v>172620</v>
      </c>
      <c r="J32" s="1120">
        <v>172620</v>
      </c>
      <c r="K32" s="1120">
        <v>172620</v>
      </c>
    </row>
    <row r="33" spans="2:11" x14ac:dyDescent="0.55000000000000004">
      <c r="B33" s="1117" t="s">
        <v>582</v>
      </c>
      <c r="C33" s="1123">
        <f t="shared" ref="C33:K33" si="13">SUM(C18:C32)</f>
        <v>26045508</v>
      </c>
      <c r="D33" s="1123">
        <f t="shared" si="13"/>
        <v>30621300</v>
      </c>
      <c r="E33" s="1123">
        <f t="shared" si="13"/>
        <v>37484988</v>
      </c>
      <c r="F33" s="1123">
        <f t="shared" si="13"/>
        <v>44348676</v>
      </c>
      <c r="G33" s="1123">
        <f t="shared" si="13"/>
        <v>48924468</v>
      </c>
      <c r="H33" s="1123">
        <f t="shared" si="13"/>
        <v>57760020</v>
      </c>
      <c r="I33" s="1123">
        <f t="shared" si="13"/>
        <v>69199500</v>
      </c>
      <c r="J33" s="1123">
        <f t="shared" si="13"/>
        <v>80638980</v>
      </c>
      <c r="K33" s="1123">
        <f t="shared" si="13"/>
        <v>92078460</v>
      </c>
    </row>
    <row r="34" spans="2:11" x14ac:dyDescent="0.55000000000000004">
      <c r="B34" s="318"/>
      <c r="C34" s="43"/>
      <c r="D34" s="43"/>
      <c r="E34" s="44"/>
      <c r="F34" s="44"/>
      <c r="G34" s="44"/>
      <c r="H34" s="44"/>
      <c r="I34" s="44"/>
    </row>
    <row r="35" spans="2:11" x14ac:dyDescent="0.55000000000000004">
      <c r="B35" s="170" t="s">
        <v>583</v>
      </c>
      <c r="C35" s="189"/>
      <c r="D35" s="189"/>
      <c r="E35" s="189"/>
      <c r="F35" s="189"/>
      <c r="G35" s="189"/>
      <c r="H35" s="189"/>
      <c r="I35" s="189"/>
    </row>
    <row r="36" spans="2:11" x14ac:dyDescent="0.55000000000000004">
      <c r="B36" s="1124" t="s">
        <v>584</v>
      </c>
      <c r="C36" s="1125">
        <f>+C15+C18</f>
        <v>17544000</v>
      </c>
      <c r="D36" s="1125">
        <f t="shared" ref="D36:I36" si="14">+D15+D18</f>
        <v>20664000</v>
      </c>
      <c r="E36" s="1125">
        <f t="shared" si="14"/>
        <v>25344000</v>
      </c>
      <c r="F36" s="1125">
        <f t="shared" si="14"/>
        <v>30024000</v>
      </c>
      <c r="G36" s="1125">
        <f t="shared" si="14"/>
        <v>33144000</v>
      </c>
      <c r="H36" s="1125">
        <f t="shared" si="14"/>
        <v>39000000</v>
      </c>
      <c r="I36" s="1125">
        <f t="shared" si="14"/>
        <v>46800000</v>
      </c>
      <c r="J36" s="1125">
        <f>+J15+J18</f>
        <v>54600000</v>
      </c>
      <c r="K36" s="1125">
        <f>+K15+K18</f>
        <v>62400000</v>
      </c>
    </row>
    <row r="37" spans="2:11" x14ac:dyDescent="0.55000000000000004">
      <c r="B37" s="1124" t="s">
        <v>585</v>
      </c>
      <c r="C37" s="1125">
        <f>+C16+C17</f>
        <v>1462000</v>
      </c>
      <c r="D37" s="1125">
        <f t="shared" ref="D37:I37" si="15">+D16+D17</f>
        <v>1722000</v>
      </c>
      <c r="E37" s="1125">
        <f t="shared" si="15"/>
        <v>2112000</v>
      </c>
      <c r="F37" s="1125">
        <f t="shared" si="15"/>
        <v>2502000</v>
      </c>
      <c r="G37" s="1125">
        <f t="shared" si="15"/>
        <v>2762000</v>
      </c>
      <c r="H37" s="1125">
        <f t="shared" si="15"/>
        <v>3250000</v>
      </c>
      <c r="I37" s="1125">
        <f t="shared" si="15"/>
        <v>3900000</v>
      </c>
      <c r="J37" s="1125">
        <f>+J16+J17</f>
        <v>4550000</v>
      </c>
      <c r="K37" s="1125">
        <f>+K16+K17</f>
        <v>5200000</v>
      </c>
    </row>
    <row r="38" spans="2:11" x14ac:dyDescent="0.55000000000000004">
      <c r="B38" s="1124" t="s">
        <v>586</v>
      </c>
      <c r="C38" s="1125">
        <f>+C37/30</f>
        <v>48733.333333333336</v>
      </c>
      <c r="D38" s="1125">
        <f t="shared" ref="D38:I38" si="16">+D37/30</f>
        <v>57400</v>
      </c>
      <c r="E38" s="1125">
        <f t="shared" si="16"/>
        <v>70400</v>
      </c>
      <c r="F38" s="1125">
        <f t="shared" si="16"/>
        <v>83400</v>
      </c>
      <c r="G38" s="1125">
        <f t="shared" si="16"/>
        <v>92066.666666666672</v>
      </c>
      <c r="H38" s="1125">
        <f t="shared" si="16"/>
        <v>108333.33333333333</v>
      </c>
      <c r="I38" s="1125">
        <f t="shared" si="16"/>
        <v>130000</v>
      </c>
      <c r="J38" s="1125">
        <f>+J37/30</f>
        <v>151666.66666666666</v>
      </c>
      <c r="K38" s="1125">
        <f>+K37/30</f>
        <v>173333.33333333334</v>
      </c>
    </row>
    <row r="39" spans="2:11" x14ac:dyDescent="0.55000000000000004">
      <c r="B39" s="1124" t="s">
        <v>587</v>
      </c>
      <c r="C39" s="1125">
        <f>+ROUND(C38/8,0)</f>
        <v>6092</v>
      </c>
      <c r="D39" s="1125">
        <f t="shared" ref="D39:I39" si="17">+ROUND(D38/8,0)</f>
        <v>7175</v>
      </c>
      <c r="E39" s="1125">
        <f t="shared" si="17"/>
        <v>8800</v>
      </c>
      <c r="F39" s="1125">
        <f t="shared" si="17"/>
        <v>10425</v>
      </c>
      <c r="G39" s="1125">
        <f t="shared" si="17"/>
        <v>11508</v>
      </c>
      <c r="H39" s="1125">
        <f t="shared" si="17"/>
        <v>13542</v>
      </c>
      <c r="I39" s="1125">
        <f t="shared" si="17"/>
        <v>16250</v>
      </c>
      <c r="J39" s="1125">
        <f>+ROUND(J38/8,0)</f>
        <v>18958</v>
      </c>
      <c r="K39" s="1125">
        <f>+ROUND(K38/8,0)</f>
        <v>21667</v>
      </c>
    </row>
    <row r="40" spans="2:11" x14ac:dyDescent="0.55000000000000004">
      <c r="B40" s="318"/>
      <c r="C40" s="43"/>
      <c r="D40" s="43"/>
      <c r="E40" s="44"/>
      <c r="F40" s="44"/>
      <c r="G40" s="44"/>
      <c r="H40" s="44"/>
      <c r="I40" s="44"/>
    </row>
    <row r="41" spans="2:11" x14ac:dyDescent="0.55000000000000004">
      <c r="B41" s="318"/>
      <c r="C41" s="43"/>
      <c r="D41" s="43"/>
      <c r="E41" s="44"/>
      <c r="F41" s="44"/>
      <c r="G41" s="44"/>
      <c r="H41" s="44"/>
      <c r="I41" s="44"/>
    </row>
    <row r="42" spans="2:11" ht="25.8" x14ac:dyDescent="0.55000000000000004">
      <c r="B42" s="170" t="s">
        <v>588</v>
      </c>
      <c r="C42" s="170"/>
      <c r="D42" s="170"/>
      <c r="E42" s="170"/>
      <c r="F42" s="45"/>
      <c r="G42" s="45"/>
      <c r="H42" s="45"/>
      <c r="I42" s="45"/>
    </row>
    <row r="43" spans="2:11" x14ac:dyDescent="0.55000000000000004">
      <c r="B43" s="1126" t="s">
        <v>589</v>
      </c>
      <c r="C43" s="1118"/>
      <c r="D43" s="1127">
        <f>+C33</f>
        <v>26045508</v>
      </c>
      <c r="E43" s="1128"/>
      <c r="F43" s="46"/>
      <c r="G43" s="47"/>
      <c r="H43" s="47"/>
      <c r="I43" s="47"/>
    </row>
    <row r="44" spans="2:11" x14ac:dyDescent="0.55000000000000004">
      <c r="B44" s="1126" t="s">
        <v>590</v>
      </c>
      <c r="C44" s="1129" t="s">
        <v>591</v>
      </c>
      <c r="D44" s="1127">
        <f>360*8</f>
        <v>2880</v>
      </c>
      <c r="E44" s="1128"/>
      <c r="F44" s="46"/>
      <c r="G44" s="47"/>
      <c r="H44" s="47"/>
      <c r="I44" s="47"/>
    </row>
    <row r="45" spans="2:11" ht="21" x14ac:dyDescent="0.55000000000000004">
      <c r="B45" s="1126" t="s">
        <v>592</v>
      </c>
      <c r="C45" s="1129" t="s">
        <v>593</v>
      </c>
      <c r="D45" s="1127">
        <f>48*52</f>
        <v>2496</v>
      </c>
      <c r="E45" s="1128"/>
      <c r="F45" s="46"/>
      <c r="G45" s="47"/>
      <c r="H45" s="47"/>
      <c r="I45" s="47"/>
    </row>
    <row r="46" spans="2:11" ht="73.5" x14ac:dyDescent="0.55000000000000004">
      <c r="B46" s="1126" t="s">
        <v>594</v>
      </c>
      <c r="C46" s="1129" t="s">
        <v>595</v>
      </c>
      <c r="D46" s="1130">
        <f>2920-((52+16+3+15)*8)</f>
        <v>2232</v>
      </c>
      <c r="E46" s="1128"/>
      <c r="F46" s="46"/>
      <c r="G46" s="47"/>
      <c r="H46" s="47"/>
      <c r="I46" s="47"/>
    </row>
    <row r="47" spans="2:11" x14ac:dyDescent="0.55000000000000004">
      <c r="B47" s="1126" t="s">
        <v>596</v>
      </c>
      <c r="C47" s="1118"/>
      <c r="D47" s="1127">
        <f>+D43/D44</f>
        <v>9043.5791666666664</v>
      </c>
      <c r="E47" s="1131">
        <v>1</v>
      </c>
      <c r="F47" s="48"/>
      <c r="G47" s="47"/>
      <c r="H47" s="47"/>
      <c r="I47" s="47"/>
      <c r="J47" s="49"/>
    </row>
    <row r="48" spans="2:11" x14ac:dyDescent="0.55000000000000004">
      <c r="B48" s="1126" t="s">
        <v>597</v>
      </c>
      <c r="C48" s="1118"/>
      <c r="D48" s="1127">
        <f>+D43/D45</f>
        <v>10434.899038461539</v>
      </c>
      <c r="E48" s="1132">
        <f>+(D48*E47)/D47</f>
        <v>1.153846153846154</v>
      </c>
      <c r="F48" s="50"/>
      <c r="G48" s="47"/>
      <c r="H48" s="47"/>
      <c r="I48" s="47"/>
      <c r="J48" s="49"/>
    </row>
    <row r="49" spans="2:11" x14ac:dyDescent="0.55000000000000004">
      <c r="B49" s="1126" t="s">
        <v>598</v>
      </c>
      <c r="C49" s="1118"/>
      <c r="D49" s="1127">
        <f>+D43/D46</f>
        <v>11669.134408602151</v>
      </c>
      <c r="E49" s="1133">
        <f>+(D49*E48)/D48</f>
        <v>1.2903225806451615</v>
      </c>
      <c r="F49" s="51"/>
      <c r="G49" s="47"/>
      <c r="H49" s="47"/>
      <c r="I49" s="47"/>
    </row>
    <row r="50" spans="2:11" x14ac:dyDescent="0.55000000000000004">
      <c r="B50" s="318"/>
      <c r="C50" s="43"/>
      <c r="D50" s="43"/>
      <c r="E50" s="44"/>
      <c r="F50" s="44"/>
      <c r="G50" s="44"/>
      <c r="H50" s="44"/>
      <c r="I50" s="44"/>
    </row>
    <row r="51" spans="2:11" x14ac:dyDescent="0.55000000000000004">
      <c r="B51" s="1117" t="s">
        <v>563</v>
      </c>
      <c r="C51" s="1118">
        <v>1</v>
      </c>
      <c r="D51" s="1118">
        <v>1.2</v>
      </c>
      <c r="E51" s="1118">
        <v>1.5</v>
      </c>
      <c r="F51" s="1118">
        <v>1.8</v>
      </c>
      <c r="G51" s="1118">
        <v>2</v>
      </c>
      <c r="H51" s="1118">
        <v>2.5</v>
      </c>
      <c r="I51" s="1118">
        <v>3</v>
      </c>
      <c r="J51" s="1118">
        <v>3.5</v>
      </c>
      <c r="K51" s="1118">
        <v>4</v>
      </c>
    </row>
    <row r="52" spans="2:11" ht="31.5" x14ac:dyDescent="0.55000000000000004">
      <c r="B52" s="1126" t="s">
        <v>599</v>
      </c>
      <c r="C52" s="1134">
        <f>+(C33*100%)/(C15+C18)</f>
        <v>1.4845820793433653</v>
      </c>
      <c r="D52" s="1134">
        <f t="shared" ref="D52:K52" si="18">+(D33*100%)/(D15+D18)</f>
        <v>1.4818670150987223</v>
      </c>
      <c r="E52" s="1134">
        <f t="shared" si="18"/>
        <v>1.479047821969697</v>
      </c>
      <c r="F52" s="1134">
        <f t="shared" si="18"/>
        <v>1.477107513988809</v>
      </c>
      <c r="G52" s="1134">
        <f t="shared" si="18"/>
        <v>1.4761183924692252</v>
      </c>
      <c r="H52" s="1135">
        <f t="shared" si="18"/>
        <v>1.4810261538461538</v>
      </c>
      <c r="I52" s="1135">
        <f t="shared" si="18"/>
        <v>1.4786217948717948</v>
      </c>
      <c r="J52" s="1135">
        <f t="shared" si="18"/>
        <v>1.4769043956043957</v>
      </c>
      <c r="K52" s="1135">
        <f t="shared" si="18"/>
        <v>1.4756163461538461</v>
      </c>
    </row>
    <row r="53" spans="2:11" ht="21" x14ac:dyDescent="0.55000000000000004">
      <c r="B53" s="1126" t="s">
        <v>600</v>
      </c>
      <c r="C53" s="1134">
        <f t="shared" ref="C53:K53" si="19">+C52*$E$49</f>
        <v>1.9155897797978909</v>
      </c>
      <c r="D53" s="1134">
        <f t="shared" si="19"/>
        <v>1.9120864710951258</v>
      </c>
      <c r="E53" s="1134">
        <f t="shared" si="19"/>
        <v>1.9084488025415447</v>
      </c>
      <c r="F53" s="1134">
        <f t="shared" si="19"/>
        <v>1.905945179340399</v>
      </c>
      <c r="G53" s="1134">
        <f t="shared" si="19"/>
        <v>1.904668893508678</v>
      </c>
      <c r="H53" s="1134">
        <f t="shared" si="19"/>
        <v>1.911001488833747</v>
      </c>
      <c r="I53" s="1134">
        <f t="shared" si="19"/>
        <v>1.9078990901571549</v>
      </c>
      <c r="J53" s="1134">
        <f t="shared" si="19"/>
        <v>1.9056830911024463</v>
      </c>
      <c r="K53" s="1134">
        <f t="shared" si="19"/>
        <v>1.9040210918114147</v>
      </c>
    </row>
    <row r="55" spans="2:11" ht="21" x14ac:dyDescent="0.55000000000000004">
      <c r="B55" s="317" t="s">
        <v>601</v>
      </c>
      <c r="C55" s="169"/>
      <c r="D55" s="169"/>
      <c r="E55" s="169"/>
      <c r="F55" s="169"/>
      <c r="G55" s="169"/>
      <c r="H55" s="169"/>
      <c r="I55" s="169"/>
      <c r="J55" s="169"/>
      <c r="K55" s="169"/>
    </row>
    <row r="57" spans="2:11" ht="21" x14ac:dyDescent="0.55000000000000004">
      <c r="C57" s="1136" t="s">
        <v>602</v>
      </c>
      <c r="D57" s="1136" t="s">
        <v>603</v>
      </c>
      <c r="E57" s="1136" t="s">
        <v>604</v>
      </c>
      <c r="F57" s="1136" t="s">
        <v>605</v>
      </c>
      <c r="G57" s="1137" t="s">
        <v>606</v>
      </c>
      <c r="H57" s="1138"/>
      <c r="I57" s="1139"/>
    </row>
    <row r="58" spans="2:11" ht="21" x14ac:dyDescent="0.55000000000000004">
      <c r="C58" s="165"/>
      <c r="D58" s="165"/>
      <c r="E58" s="165"/>
      <c r="F58" s="165"/>
      <c r="G58" s="1140" t="s">
        <v>607</v>
      </c>
      <c r="H58" s="1140" t="s">
        <v>608</v>
      </c>
      <c r="I58" s="1140" t="s">
        <v>609</v>
      </c>
    </row>
    <row r="59" spans="2:11" x14ac:dyDescent="0.55000000000000004">
      <c r="B59" s="53"/>
      <c r="C59" s="1141">
        <v>10</v>
      </c>
      <c r="D59" s="1141">
        <v>5.5</v>
      </c>
      <c r="E59" s="1141">
        <v>1.8</v>
      </c>
      <c r="F59" s="1141">
        <v>1.2</v>
      </c>
      <c r="G59" s="54">
        <v>3</v>
      </c>
      <c r="H59" s="1142">
        <v>1.8</v>
      </c>
      <c r="I59" s="1143">
        <v>250000</v>
      </c>
    </row>
    <row r="60" spans="2:11" x14ac:dyDescent="0.55000000000000004">
      <c r="B60" s="1144" t="s">
        <v>563</v>
      </c>
      <c r="C60" s="1145">
        <v>3.5</v>
      </c>
      <c r="D60" s="1145">
        <v>2.5</v>
      </c>
      <c r="E60" s="1146">
        <v>1.5</v>
      </c>
      <c r="F60" s="1147">
        <v>1.2</v>
      </c>
      <c r="G60" s="1147">
        <v>1</v>
      </c>
      <c r="H60" s="1147">
        <v>1</v>
      </c>
      <c r="I60" s="166"/>
    </row>
    <row r="61" spans="2:11" x14ac:dyDescent="0.55000000000000004">
      <c r="B61" s="515" t="s">
        <v>564</v>
      </c>
      <c r="C61" s="1120">
        <v>1</v>
      </c>
      <c r="D61" s="1120">
        <f t="shared" ref="D61:F61" si="20">+D62*12</f>
        <v>0</v>
      </c>
      <c r="E61" s="1120">
        <f t="shared" si="20"/>
        <v>1944000</v>
      </c>
      <c r="F61" s="1120">
        <f t="shared" si="20"/>
        <v>1944000</v>
      </c>
      <c r="G61" s="1120">
        <f>+G62*12</f>
        <v>1944000</v>
      </c>
      <c r="H61" s="1120">
        <f>+H62*12</f>
        <v>1944000</v>
      </c>
      <c r="I61" s="166"/>
    </row>
    <row r="62" spans="2:11" x14ac:dyDescent="0.55000000000000004">
      <c r="B62" s="515" t="s">
        <v>565</v>
      </c>
      <c r="C62" s="1120">
        <v>0</v>
      </c>
      <c r="D62" s="1120">
        <v>0</v>
      </c>
      <c r="E62" s="1120">
        <f>$C$16</f>
        <v>162000</v>
      </c>
      <c r="F62" s="1120">
        <f t="shared" ref="F62:H62" si="21">$C$16</f>
        <v>162000</v>
      </c>
      <c r="G62" s="1120">
        <f t="shared" si="21"/>
        <v>162000</v>
      </c>
      <c r="H62" s="1120">
        <f t="shared" si="21"/>
        <v>162000</v>
      </c>
      <c r="I62" s="166"/>
    </row>
    <row r="63" spans="2:11" x14ac:dyDescent="0.55000000000000004">
      <c r="B63" s="1148" t="s">
        <v>566</v>
      </c>
      <c r="C63" s="1120">
        <f>+$C$17*C60</f>
        <v>4550000</v>
      </c>
      <c r="D63" s="1120">
        <f>+$C$17*D60</f>
        <v>3250000</v>
      </c>
      <c r="E63" s="1120">
        <f t="shared" ref="E63:H63" si="22">+$C$17*E60</f>
        <v>1950000</v>
      </c>
      <c r="F63" s="1120">
        <f t="shared" si="22"/>
        <v>1560000</v>
      </c>
      <c r="G63" s="1120">
        <f t="shared" si="22"/>
        <v>1300000</v>
      </c>
      <c r="H63" s="1120">
        <f t="shared" si="22"/>
        <v>1300000</v>
      </c>
      <c r="I63" s="166"/>
    </row>
    <row r="64" spans="2:11" x14ac:dyDescent="0.55000000000000004">
      <c r="B64" s="1149" t="s">
        <v>567</v>
      </c>
      <c r="C64" s="1120">
        <f t="shared" ref="C64:F64" si="23">+ROUND(C63*12,0)</f>
        <v>54600000</v>
      </c>
      <c r="D64" s="1120">
        <f t="shared" si="23"/>
        <v>39000000</v>
      </c>
      <c r="E64" s="1120">
        <f t="shared" si="23"/>
        <v>23400000</v>
      </c>
      <c r="F64" s="1120">
        <f t="shared" si="23"/>
        <v>18720000</v>
      </c>
      <c r="G64" s="1120">
        <f>+ROUND(G63*12,0)</f>
        <v>15600000</v>
      </c>
      <c r="H64" s="1120">
        <f>+ROUND(H63*12,0)</f>
        <v>15600000</v>
      </c>
      <c r="I64" s="166"/>
    </row>
    <row r="65" spans="2:12" x14ac:dyDescent="0.55000000000000004">
      <c r="B65" s="1149" t="s">
        <v>568</v>
      </c>
      <c r="C65" s="1120">
        <f t="shared" ref="C65:F65" si="24">+ROUND((C64+C61)*0.1,0)</f>
        <v>5460000</v>
      </c>
      <c r="D65" s="1120">
        <f t="shared" si="24"/>
        <v>3900000</v>
      </c>
      <c r="E65" s="1120">
        <f t="shared" si="24"/>
        <v>2534400</v>
      </c>
      <c r="F65" s="1120">
        <f t="shared" si="24"/>
        <v>2066400</v>
      </c>
      <c r="G65" s="1120">
        <f>+ROUND((G64+G61)*0.1,0)</f>
        <v>1754400</v>
      </c>
      <c r="H65" s="1120">
        <f>+ROUND((H64+H61)*0.1,0)</f>
        <v>1754400</v>
      </c>
      <c r="I65" s="166"/>
    </row>
    <row r="66" spans="2:12" x14ac:dyDescent="0.55000000000000004">
      <c r="B66" s="1149" t="s">
        <v>569</v>
      </c>
      <c r="C66" s="1120">
        <f t="shared" ref="C66:F66" si="25">+ROUND(C63/2,0)</f>
        <v>2275000</v>
      </c>
      <c r="D66" s="1120">
        <f t="shared" si="25"/>
        <v>1625000</v>
      </c>
      <c r="E66" s="1120">
        <f t="shared" si="25"/>
        <v>975000</v>
      </c>
      <c r="F66" s="1120">
        <f t="shared" si="25"/>
        <v>780000</v>
      </c>
      <c r="G66" s="1120">
        <f>+ROUND(G63/2,0)</f>
        <v>650000</v>
      </c>
      <c r="H66" s="1120">
        <f>+ROUND(H63/2,0)</f>
        <v>650000</v>
      </c>
      <c r="I66" s="166"/>
    </row>
    <row r="67" spans="2:12" x14ac:dyDescent="0.55000000000000004">
      <c r="B67" s="1149" t="s">
        <v>570</v>
      </c>
      <c r="C67" s="1120">
        <f t="shared" ref="C67:F67" si="26">+C63+C62</f>
        <v>4550000</v>
      </c>
      <c r="D67" s="1120">
        <f t="shared" si="26"/>
        <v>3250000</v>
      </c>
      <c r="E67" s="1120">
        <f t="shared" si="26"/>
        <v>2112000</v>
      </c>
      <c r="F67" s="1120">
        <f t="shared" si="26"/>
        <v>1722000</v>
      </c>
      <c r="G67" s="1120">
        <f>+G63+G62</f>
        <v>1462000</v>
      </c>
      <c r="H67" s="1120">
        <f>+H63+H62</f>
        <v>1462000</v>
      </c>
      <c r="I67" s="166"/>
    </row>
    <row r="68" spans="2:12" x14ac:dyDescent="0.55000000000000004">
      <c r="B68" s="1149" t="s">
        <v>610</v>
      </c>
      <c r="C68" s="1120">
        <f t="shared" ref="C68:F68" si="27">+ROUND(C65*(1%*12),0)</f>
        <v>655200</v>
      </c>
      <c r="D68" s="1120">
        <f t="shared" si="27"/>
        <v>468000</v>
      </c>
      <c r="E68" s="1120">
        <f t="shared" si="27"/>
        <v>304128</v>
      </c>
      <c r="F68" s="1120">
        <f t="shared" si="27"/>
        <v>247968</v>
      </c>
      <c r="G68" s="1120">
        <f>+ROUND(G65*(1%*12),0)</f>
        <v>210528</v>
      </c>
      <c r="H68" s="1120">
        <f>+ROUND(H65*(1%*12),0)</f>
        <v>210528</v>
      </c>
      <c r="I68" s="166"/>
    </row>
    <row r="69" spans="2:12" ht="21" x14ac:dyDescent="0.55000000000000004">
      <c r="B69" s="1149" t="s">
        <v>572</v>
      </c>
      <c r="C69" s="1120">
        <f t="shared" ref="C69:F69" si="28">+ROUND((689455*12)/40,0)</f>
        <v>206837</v>
      </c>
      <c r="D69" s="1120">
        <f t="shared" si="28"/>
        <v>206837</v>
      </c>
      <c r="E69" s="1120">
        <f t="shared" si="28"/>
        <v>206837</v>
      </c>
      <c r="F69" s="1120">
        <f t="shared" si="28"/>
        <v>206837</v>
      </c>
      <c r="G69" s="1120">
        <f>+ROUND((689455*12)/40,0)</f>
        <v>206837</v>
      </c>
      <c r="H69" s="1120">
        <f>+ROUND((689455*12)/40,0)</f>
        <v>206837</v>
      </c>
      <c r="I69" s="166"/>
    </row>
    <row r="70" spans="2:12" x14ac:dyDescent="0.55000000000000004">
      <c r="B70" s="1149" t="s">
        <v>573</v>
      </c>
      <c r="C70" s="1120">
        <f t="shared" ref="C70:F70" si="29">(C62/30)*(360-18)</f>
        <v>0</v>
      </c>
      <c r="D70" s="1120">
        <f t="shared" si="29"/>
        <v>0</v>
      </c>
      <c r="E70" s="1120">
        <f t="shared" si="29"/>
        <v>1846800</v>
      </c>
      <c r="F70" s="1120">
        <f t="shared" si="29"/>
        <v>1846800</v>
      </c>
      <c r="G70" s="1120">
        <f>(G62/30)*(360-18)</f>
        <v>1846800</v>
      </c>
      <c r="H70" s="1120">
        <f>(H62/30)*(360-18)</f>
        <v>1846800</v>
      </c>
      <c r="I70" s="166"/>
    </row>
    <row r="71" spans="2:12" ht="21" x14ac:dyDescent="0.55000000000000004">
      <c r="B71" s="1149" t="s">
        <v>574</v>
      </c>
      <c r="C71" s="1120">
        <v>0</v>
      </c>
      <c r="D71" s="1120">
        <v>0</v>
      </c>
      <c r="E71" s="1120">
        <v>0</v>
      </c>
      <c r="F71" s="1120">
        <v>0</v>
      </c>
      <c r="G71" s="1120">
        <v>0</v>
      </c>
      <c r="H71" s="1120">
        <v>0</v>
      </c>
      <c r="I71" s="166"/>
    </row>
    <row r="72" spans="2:12" x14ac:dyDescent="0.55000000000000004">
      <c r="B72" s="1149" t="s">
        <v>575</v>
      </c>
      <c r="C72" s="1120">
        <f t="shared" ref="C72:F72" si="30">+ROUND(C64*12%,0)</f>
        <v>6552000</v>
      </c>
      <c r="D72" s="1120">
        <f t="shared" si="30"/>
        <v>4680000</v>
      </c>
      <c r="E72" s="1120">
        <f t="shared" si="30"/>
        <v>2808000</v>
      </c>
      <c r="F72" s="1120">
        <f t="shared" si="30"/>
        <v>2246400</v>
      </c>
      <c r="G72" s="1120">
        <f>+ROUND(G64*12%,0)</f>
        <v>1872000</v>
      </c>
      <c r="H72" s="1120">
        <f>+ROUND(H64*12%,0)</f>
        <v>1872000</v>
      </c>
      <c r="I72" s="166"/>
    </row>
    <row r="73" spans="2:12" x14ac:dyDescent="0.55000000000000004">
      <c r="B73" s="1149" t="s">
        <v>576</v>
      </c>
      <c r="C73" s="1120">
        <f t="shared" ref="C73:F73" si="31">+ROUND((C63*12)*6.96%,0)</f>
        <v>3800160</v>
      </c>
      <c r="D73" s="1120">
        <f t="shared" si="31"/>
        <v>2714400</v>
      </c>
      <c r="E73" s="1120">
        <f t="shared" si="31"/>
        <v>1628640</v>
      </c>
      <c r="F73" s="1120">
        <f t="shared" si="31"/>
        <v>1302912</v>
      </c>
      <c r="G73" s="1120">
        <f>+ROUND((G63*12)*6.96%,0)</f>
        <v>1085760</v>
      </c>
      <c r="H73" s="1120">
        <f>+ROUND((H63*12)*6.96%,0)</f>
        <v>1085760</v>
      </c>
      <c r="I73" s="166"/>
      <c r="L73" s="327"/>
    </row>
    <row r="74" spans="2:12" x14ac:dyDescent="0.55000000000000004">
      <c r="B74" s="1149" t="s">
        <v>577</v>
      </c>
      <c r="C74" s="1120">
        <f t="shared" ref="C74:F74" si="32">+ROUND((C63*12)*4%,0)</f>
        <v>2184000</v>
      </c>
      <c r="D74" s="1120">
        <f t="shared" si="32"/>
        <v>1560000</v>
      </c>
      <c r="E74" s="1120">
        <f t="shared" si="32"/>
        <v>936000</v>
      </c>
      <c r="F74" s="1120">
        <f t="shared" si="32"/>
        <v>748800</v>
      </c>
      <c r="G74" s="1120">
        <f>+ROUND((G63*12)*4%,0)</f>
        <v>624000</v>
      </c>
      <c r="H74" s="1120">
        <f>+ROUND((H63*12)*4%,0)</f>
        <v>624000</v>
      </c>
      <c r="I74" s="166"/>
    </row>
    <row r="75" spans="2:12" x14ac:dyDescent="0.55000000000000004">
      <c r="B75" s="1149" t="s">
        <v>578</v>
      </c>
      <c r="C75" s="1120">
        <v>0</v>
      </c>
      <c r="D75" s="1120">
        <v>0</v>
      </c>
      <c r="E75" s="1120">
        <v>0</v>
      </c>
      <c r="F75" s="1120">
        <v>0</v>
      </c>
      <c r="G75" s="1120">
        <v>0</v>
      </c>
      <c r="H75" s="1120">
        <v>0</v>
      </c>
      <c r="I75" s="166"/>
    </row>
    <row r="76" spans="2:12" x14ac:dyDescent="0.55000000000000004">
      <c r="B76" s="1149" t="s">
        <v>611</v>
      </c>
      <c r="C76" s="1120">
        <v>0</v>
      </c>
      <c r="D76" s="1120">
        <v>0</v>
      </c>
      <c r="E76" s="1120">
        <v>0</v>
      </c>
      <c r="F76" s="1120">
        <v>0</v>
      </c>
      <c r="G76" s="1120">
        <v>0</v>
      </c>
      <c r="H76" s="1120">
        <v>0</v>
      </c>
      <c r="I76" s="166"/>
    </row>
    <row r="77" spans="2:12" x14ac:dyDescent="0.55000000000000004">
      <c r="B77" s="1149" t="s">
        <v>580</v>
      </c>
      <c r="C77" s="1120">
        <v>0</v>
      </c>
      <c r="D77" s="1120">
        <v>0</v>
      </c>
      <c r="E77" s="1120">
        <f>+$C$17*50%</f>
        <v>650000</v>
      </c>
      <c r="F77" s="1120">
        <f t="shared" ref="F77:H77" si="33">+$C$17*50%</f>
        <v>650000</v>
      </c>
      <c r="G77" s="1120">
        <f t="shared" si="33"/>
        <v>650000</v>
      </c>
      <c r="H77" s="1120">
        <f t="shared" si="33"/>
        <v>650000</v>
      </c>
      <c r="I77" s="166"/>
    </row>
    <row r="78" spans="2:12" x14ac:dyDescent="0.55000000000000004">
      <c r="B78" s="1149" t="s">
        <v>612</v>
      </c>
      <c r="C78" s="1120">
        <v>336280</v>
      </c>
      <c r="D78" s="1120">
        <v>336280</v>
      </c>
      <c r="E78" s="1120">
        <v>336280</v>
      </c>
      <c r="F78" s="1120">
        <v>336280</v>
      </c>
      <c r="G78" s="1120">
        <v>336280</v>
      </c>
      <c r="H78" s="1120">
        <v>336280</v>
      </c>
      <c r="I78" s="166"/>
    </row>
    <row r="79" spans="2:12" x14ac:dyDescent="0.55000000000000004">
      <c r="B79" s="1144" t="s">
        <v>582</v>
      </c>
      <c r="C79" s="1150">
        <f>SUM(C64:C78)-6</f>
        <v>80619471</v>
      </c>
      <c r="D79" s="1123">
        <f>SUM(D64:D78)+3</f>
        <v>57740520</v>
      </c>
      <c r="E79" s="1123">
        <f>SUM(E64:E78)</f>
        <v>37738085</v>
      </c>
      <c r="F79" s="1123">
        <f>SUM(F64:F78)</f>
        <v>30874397</v>
      </c>
      <c r="G79" s="1123">
        <f>SUM(G64:G78)</f>
        <v>26298605</v>
      </c>
      <c r="H79" s="1123">
        <f>SUM(H64:H78)</f>
        <v>26298605</v>
      </c>
      <c r="I79" s="1123">
        <f>+I59*12</f>
        <v>3000000</v>
      </c>
    </row>
    <row r="80" spans="2:12" x14ac:dyDescent="0.55000000000000004">
      <c r="B80" s="1151" t="s">
        <v>613</v>
      </c>
      <c r="C80" s="1152">
        <f>ROUND(C79/12,0)</f>
        <v>6718289</v>
      </c>
      <c r="D80" s="1123">
        <f t="shared" ref="D80:F80" si="34">D79/12</f>
        <v>4811710</v>
      </c>
      <c r="E80" s="1123">
        <f t="shared" si="34"/>
        <v>3144840.4166666665</v>
      </c>
      <c r="F80" s="1123">
        <f t="shared" si="34"/>
        <v>2572866.4166666665</v>
      </c>
      <c r="G80" s="1123">
        <f>G79/12</f>
        <v>2191550.4166666665</v>
      </c>
      <c r="H80" s="1123">
        <f>H79/12</f>
        <v>2191550.4166666665</v>
      </c>
      <c r="I80" s="1123">
        <f>I79/12</f>
        <v>250000</v>
      </c>
    </row>
    <row r="81" spans="2:14" x14ac:dyDescent="0.55000000000000004">
      <c r="G81" s="1153">
        <f>+G80+H80+I80</f>
        <v>4633100.833333333</v>
      </c>
      <c r="H81" s="1154"/>
      <c r="I81" s="1155"/>
    </row>
    <row r="82" spans="2:14" x14ac:dyDescent="0.55000000000000004">
      <c r="B82" s="52"/>
    </row>
    <row r="83" spans="2:14" ht="31.5" x14ac:dyDescent="0.55000000000000004">
      <c r="B83" s="56"/>
      <c r="C83" s="1156" t="s">
        <v>614</v>
      </c>
      <c r="D83" s="1136" t="s">
        <v>615</v>
      </c>
      <c r="E83" s="1136" t="s">
        <v>616</v>
      </c>
      <c r="F83" s="1136" t="s">
        <v>617</v>
      </c>
      <c r="G83" s="1157" t="s">
        <v>618</v>
      </c>
      <c r="H83" s="1157" t="s">
        <v>619</v>
      </c>
      <c r="I83" s="1136" t="s">
        <v>620</v>
      </c>
      <c r="J83" s="1136" t="s">
        <v>621</v>
      </c>
      <c r="K83" s="1136" t="s">
        <v>622</v>
      </c>
    </row>
    <row r="84" spans="2:14" x14ac:dyDescent="0.55000000000000004">
      <c r="B84" s="55"/>
      <c r="C84" s="167"/>
      <c r="D84" s="165"/>
      <c r="E84" s="165"/>
      <c r="F84" s="165"/>
      <c r="G84" s="168"/>
      <c r="H84" s="168"/>
      <c r="I84" s="165"/>
      <c r="J84" s="165"/>
      <c r="K84" s="165"/>
    </row>
    <row r="85" spans="2:14" x14ac:dyDescent="0.55000000000000004">
      <c r="B85" s="57"/>
      <c r="C85" s="1146">
        <v>3.5</v>
      </c>
      <c r="D85" s="1146">
        <v>2</v>
      </c>
      <c r="E85" s="1146">
        <v>1.8</v>
      </c>
      <c r="F85" s="1146">
        <v>1.5</v>
      </c>
      <c r="G85" s="1146">
        <v>2</v>
      </c>
      <c r="H85" s="1146">
        <v>1.2</v>
      </c>
      <c r="I85" s="1141">
        <v>3.5</v>
      </c>
      <c r="J85" s="1141">
        <v>3.5</v>
      </c>
      <c r="K85" s="1141">
        <v>3</v>
      </c>
    </row>
    <row r="86" spans="2:14" x14ac:dyDescent="0.55000000000000004">
      <c r="B86" s="1144" t="s">
        <v>563</v>
      </c>
      <c r="C86" s="1146">
        <v>2.2999999999999998</v>
      </c>
      <c r="D86" s="1146">
        <v>2</v>
      </c>
      <c r="E86" s="1146">
        <v>1.8</v>
      </c>
      <c r="F86" s="1146">
        <v>1.5</v>
      </c>
      <c r="G86" s="1147">
        <v>2</v>
      </c>
      <c r="H86" s="1147">
        <v>1.2</v>
      </c>
      <c r="I86" s="1146">
        <v>2.2999999999999998</v>
      </c>
      <c r="J86" s="1146">
        <v>1</v>
      </c>
      <c r="K86" s="1146">
        <v>2.2999999999999998</v>
      </c>
    </row>
    <row r="87" spans="2:14" x14ac:dyDescent="0.55000000000000004">
      <c r="B87" s="515" t="s">
        <v>623</v>
      </c>
      <c r="C87" s="1120">
        <f t="shared" ref="C87:G87" si="35">+C88*12</f>
        <v>0</v>
      </c>
      <c r="D87" s="1120">
        <f t="shared" si="35"/>
        <v>1944000</v>
      </c>
      <c r="E87" s="1120">
        <f t="shared" si="35"/>
        <v>1944000</v>
      </c>
      <c r="F87" s="1120">
        <f t="shared" si="35"/>
        <v>1944000</v>
      </c>
      <c r="G87" s="1120">
        <f t="shared" si="35"/>
        <v>1944000</v>
      </c>
      <c r="H87" s="1120">
        <f>+H88*12</f>
        <v>1944000</v>
      </c>
      <c r="I87" s="1120">
        <f>+I88*12</f>
        <v>0</v>
      </c>
      <c r="J87" s="1120">
        <f>+J88*12</f>
        <v>0</v>
      </c>
      <c r="K87" s="1120">
        <f>+K88*12</f>
        <v>0</v>
      </c>
      <c r="M87" s="40"/>
    </row>
    <row r="88" spans="2:14" x14ac:dyDescent="0.55000000000000004">
      <c r="B88" s="515" t="s">
        <v>624</v>
      </c>
      <c r="C88" s="1120">
        <v>0</v>
      </c>
      <c r="D88" s="1120">
        <f>$C$16</f>
        <v>162000</v>
      </c>
      <c r="E88" s="1120">
        <f t="shared" ref="E88:H88" si="36">$C$16</f>
        <v>162000</v>
      </c>
      <c r="F88" s="1120">
        <f t="shared" si="36"/>
        <v>162000</v>
      </c>
      <c r="G88" s="1120">
        <f t="shared" si="36"/>
        <v>162000</v>
      </c>
      <c r="H88" s="1120">
        <f t="shared" si="36"/>
        <v>162000</v>
      </c>
      <c r="I88" s="1120">
        <v>0</v>
      </c>
      <c r="J88" s="1120">
        <v>0</v>
      </c>
      <c r="K88" s="1120">
        <v>0</v>
      </c>
    </row>
    <row r="89" spans="2:14" x14ac:dyDescent="0.55000000000000004">
      <c r="B89" s="1148" t="s">
        <v>566</v>
      </c>
      <c r="C89" s="1120">
        <f>+$C$17*C86</f>
        <v>2990000</v>
      </c>
      <c r="D89" s="1120">
        <f>+$C$17*D86</f>
        <v>2600000</v>
      </c>
      <c r="E89" s="1120">
        <f>+$C$17*E86</f>
        <v>2340000</v>
      </c>
      <c r="F89" s="1120">
        <f t="shared" ref="F89:J89" si="37">+$C$17*F86</f>
        <v>1950000</v>
      </c>
      <c r="G89" s="1120">
        <f t="shared" si="37"/>
        <v>2600000</v>
      </c>
      <c r="H89" s="1120">
        <f t="shared" si="37"/>
        <v>1560000</v>
      </c>
      <c r="I89" s="1120">
        <f t="shared" si="37"/>
        <v>2990000</v>
      </c>
      <c r="J89" s="1120">
        <f t="shared" si="37"/>
        <v>1300000</v>
      </c>
      <c r="K89" s="1120">
        <f>+$C$17*K86</f>
        <v>2990000</v>
      </c>
      <c r="N89" s="327"/>
    </row>
    <row r="90" spans="2:14" x14ac:dyDescent="0.55000000000000004">
      <c r="B90" s="1149" t="s">
        <v>567</v>
      </c>
      <c r="C90" s="1120">
        <f t="shared" ref="C90:H90" si="38">+ROUND(C89*12,0)</f>
        <v>35880000</v>
      </c>
      <c r="D90" s="1120">
        <f t="shared" si="38"/>
        <v>31200000</v>
      </c>
      <c r="E90" s="1120">
        <f t="shared" si="38"/>
        <v>28080000</v>
      </c>
      <c r="F90" s="1120">
        <f t="shared" si="38"/>
        <v>23400000</v>
      </c>
      <c r="G90" s="1120">
        <f t="shared" si="38"/>
        <v>31200000</v>
      </c>
      <c r="H90" s="1120">
        <f t="shared" si="38"/>
        <v>18720000</v>
      </c>
      <c r="I90" s="1120">
        <f>+ROUND(I89*12,0)</f>
        <v>35880000</v>
      </c>
      <c r="J90" s="1120">
        <f>+ROUND(J89*12,0)</f>
        <v>15600000</v>
      </c>
      <c r="K90" s="1120">
        <f>+ROUND(K89*12,0)</f>
        <v>35880000</v>
      </c>
      <c r="M90" s="40"/>
    </row>
    <row r="91" spans="2:14" x14ac:dyDescent="0.55000000000000004">
      <c r="B91" s="1149" t="s">
        <v>568</v>
      </c>
      <c r="C91" s="1120">
        <f t="shared" ref="C91:H91" si="39">+ROUND((C90+C87)*0.1,0)</f>
        <v>3588000</v>
      </c>
      <c r="D91" s="1120">
        <f t="shared" si="39"/>
        <v>3314400</v>
      </c>
      <c r="E91" s="1120">
        <f t="shared" si="39"/>
        <v>3002400</v>
      </c>
      <c r="F91" s="1120">
        <f t="shared" si="39"/>
        <v>2534400</v>
      </c>
      <c r="G91" s="1120">
        <f t="shared" si="39"/>
        <v>3314400</v>
      </c>
      <c r="H91" s="1120">
        <f t="shared" si="39"/>
        <v>2066400</v>
      </c>
      <c r="I91" s="1120">
        <f>+ROUND((I90+I87)*0.1,0)</f>
        <v>3588000</v>
      </c>
      <c r="J91" s="1120">
        <f>+ROUND((J90+J87)*0.1,0)</f>
        <v>1560000</v>
      </c>
      <c r="K91" s="1120">
        <f>+ROUND((K90+K87)*0.1,0)</f>
        <v>3588000</v>
      </c>
    </row>
    <row r="92" spans="2:14" x14ac:dyDescent="0.55000000000000004">
      <c r="B92" s="1149" t="s">
        <v>569</v>
      </c>
      <c r="C92" s="1120">
        <f t="shared" ref="C92:H92" si="40">+ROUND(C89/2,0)</f>
        <v>1495000</v>
      </c>
      <c r="D92" s="1120">
        <f t="shared" si="40"/>
        <v>1300000</v>
      </c>
      <c r="E92" s="1120">
        <f t="shared" si="40"/>
        <v>1170000</v>
      </c>
      <c r="F92" s="1120">
        <f t="shared" si="40"/>
        <v>975000</v>
      </c>
      <c r="G92" s="1120">
        <f t="shared" si="40"/>
        <v>1300000</v>
      </c>
      <c r="H92" s="1120">
        <f t="shared" si="40"/>
        <v>780000</v>
      </c>
      <c r="I92" s="1120">
        <f>+ROUND(I89/2,0)</f>
        <v>1495000</v>
      </c>
      <c r="J92" s="1120">
        <f>+ROUND(J89/2,0)</f>
        <v>650000</v>
      </c>
      <c r="K92" s="1120">
        <f>+ROUND(K89/2,0)</f>
        <v>1495000</v>
      </c>
    </row>
    <row r="93" spans="2:14" x14ac:dyDescent="0.55000000000000004">
      <c r="B93" s="1149" t="s">
        <v>570</v>
      </c>
      <c r="C93" s="1120">
        <f t="shared" ref="C93:H93" si="41">+C89+C88</f>
        <v>2990000</v>
      </c>
      <c r="D93" s="1120">
        <f t="shared" si="41"/>
        <v>2762000</v>
      </c>
      <c r="E93" s="1120">
        <f t="shared" si="41"/>
        <v>2502000</v>
      </c>
      <c r="F93" s="1120">
        <f t="shared" si="41"/>
        <v>2112000</v>
      </c>
      <c r="G93" s="1120">
        <f t="shared" si="41"/>
        <v>2762000</v>
      </c>
      <c r="H93" s="1120">
        <f t="shared" si="41"/>
        <v>1722000</v>
      </c>
      <c r="I93" s="1120">
        <f>+I89+I88</f>
        <v>2990000</v>
      </c>
      <c r="J93" s="1120">
        <f>+J89+J88</f>
        <v>1300000</v>
      </c>
      <c r="K93" s="1120">
        <f>+K89+K88</f>
        <v>2990000</v>
      </c>
    </row>
    <row r="94" spans="2:14" x14ac:dyDescent="0.55000000000000004">
      <c r="B94" s="1149" t="s">
        <v>610</v>
      </c>
      <c r="C94" s="1120">
        <f t="shared" ref="C94:H94" si="42">+ROUND(C91*(1%*12),0)</f>
        <v>430560</v>
      </c>
      <c r="D94" s="1120">
        <f t="shared" si="42"/>
        <v>397728</v>
      </c>
      <c r="E94" s="1120">
        <f t="shared" si="42"/>
        <v>360288</v>
      </c>
      <c r="F94" s="1120">
        <f t="shared" si="42"/>
        <v>304128</v>
      </c>
      <c r="G94" s="1120">
        <f t="shared" si="42"/>
        <v>397728</v>
      </c>
      <c r="H94" s="1120">
        <f t="shared" si="42"/>
        <v>247968</v>
      </c>
      <c r="I94" s="1120">
        <f>+ROUND(I91*(1%*12),0)</f>
        <v>430560</v>
      </c>
      <c r="J94" s="1120">
        <f>+ROUND(J91*(1%*12),0)</f>
        <v>187200</v>
      </c>
      <c r="K94" s="1120">
        <f>+ROUND(K91*(1%*12),0)</f>
        <v>430560</v>
      </c>
    </row>
    <row r="95" spans="2:14" ht="21" x14ac:dyDescent="0.55000000000000004">
      <c r="B95" s="1149" t="s">
        <v>572</v>
      </c>
      <c r="C95" s="1120">
        <f>+ROUND((C89*12)/40,0)</f>
        <v>897000</v>
      </c>
      <c r="D95" s="1120">
        <f>+ROUND((D89*12)/40,0)</f>
        <v>780000</v>
      </c>
      <c r="E95" s="1120">
        <f>+ROUND((E89*12)/40,0)</f>
        <v>702000</v>
      </c>
      <c r="F95" s="1120">
        <f>+ROUND((F89*12)/40,0)</f>
        <v>585000</v>
      </c>
      <c r="G95" s="1120">
        <f>+ROUND((689455*12)/40,0)</f>
        <v>206837</v>
      </c>
      <c r="H95" s="1120">
        <f>+ROUND((689455*12)/40,0)</f>
        <v>206837</v>
      </c>
      <c r="I95" s="1120">
        <f>+ROUND((I89*12)/40,0)</f>
        <v>897000</v>
      </c>
      <c r="J95" s="1120">
        <f>+ROUND((J89*12)/40,0)</f>
        <v>390000</v>
      </c>
      <c r="K95" s="1120">
        <f>+ROUND((K89*12)/40,0)</f>
        <v>897000</v>
      </c>
    </row>
    <row r="96" spans="2:14" x14ac:dyDescent="0.55000000000000004">
      <c r="B96" s="1149" t="s">
        <v>573</v>
      </c>
      <c r="C96" s="1120">
        <f t="shared" ref="C96:H96" si="43">(C88/30)*(360-18)</f>
        <v>0</v>
      </c>
      <c r="D96" s="1120">
        <f t="shared" si="43"/>
        <v>1846800</v>
      </c>
      <c r="E96" s="1120">
        <f t="shared" si="43"/>
        <v>1846800</v>
      </c>
      <c r="F96" s="1120">
        <f t="shared" si="43"/>
        <v>1846800</v>
      </c>
      <c r="G96" s="1120">
        <f t="shared" si="43"/>
        <v>1846800</v>
      </c>
      <c r="H96" s="1120">
        <f t="shared" si="43"/>
        <v>1846800</v>
      </c>
      <c r="I96" s="1120">
        <f>(I88/30)*(360-18)</f>
        <v>0</v>
      </c>
      <c r="J96" s="1120">
        <f>(J88/30)*(360-18)</f>
        <v>0</v>
      </c>
      <c r="K96" s="1120">
        <f>(K88/30)*(360-18)</f>
        <v>0</v>
      </c>
    </row>
    <row r="97" spans="2:11" ht="21" x14ac:dyDescent="0.55000000000000004">
      <c r="B97" s="1149" t="s">
        <v>574</v>
      </c>
      <c r="C97" s="1120">
        <v>0</v>
      </c>
      <c r="D97" s="1120">
        <v>0</v>
      </c>
      <c r="E97" s="1120">
        <v>0</v>
      </c>
      <c r="F97" s="1120">
        <v>0</v>
      </c>
      <c r="G97" s="1120">
        <v>0</v>
      </c>
      <c r="H97" s="1120">
        <v>0</v>
      </c>
      <c r="I97" s="1120">
        <v>0</v>
      </c>
      <c r="J97" s="1120">
        <v>0</v>
      </c>
      <c r="K97" s="1120">
        <v>0</v>
      </c>
    </row>
    <row r="98" spans="2:11" x14ac:dyDescent="0.55000000000000004">
      <c r="B98" s="1149" t="s">
        <v>575</v>
      </c>
      <c r="C98" s="1120">
        <f t="shared" ref="C98:H98" si="44">+ROUND(C90*12%,0)</f>
        <v>4305600</v>
      </c>
      <c r="D98" s="1120">
        <f t="shared" si="44"/>
        <v>3744000</v>
      </c>
      <c r="E98" s="1120">
        <f t="shared" si="44"/>
        <v>3369600</v>
      </c>
      <c r="F98" s="1120">
        <f t="shared" si="44"/>
        <v>2808000</v>
      </c>
      <c r="G98" s="1120">
        <f t="shared" si="44"/>
        <v>3744000</v>
      </c>
      <c r="H98" s="1120">
        <f t="shared" si="44"/>
        <v>2246400</v>
      </c>
      <c r="I98" s="1120">
        <f>+ROUND(I90*12%,0)</f>
        <v>4305600</v>
      </c>
      <c r="J98" s="1120">
        <f>+ROUND(J90*12%,0)</f>
        <v>1872000</v>
      </c>
      <c r="K98" s="1120">
        <f>+ROUND(K90*12%,0)</f>
        <v>4305600</v>
      </c>
    </row>
    <row r="99" spans="2:11" x14ac:dyDescent="0.55000000000000004">
      <c r="B99" s="1149" t="s">
        <v>576</v>
      </c>
      <c r="C99" s="1120">
        <f t="shared" ref="C99:H99" si="45">+ROUND((C89*12)*6.96%,0)</f>
        <v>2497248</v>
      </c>
      <c r="D99" s="1120">
        <f t="shared" si="45"/>
        <v>2171520</v>
      </c>
      <c r="E99" s="1120">
        <f t="shared" si="45"/>
        <v>1954368</v>
      </c>
      <c r="F99" s="1120">
        <f t="shared" si="45"/>
        <v>1628640</v>
      </c>
      <c r="G99" s="1120">
        <f t="shared" si="45"/>
        <v>2171520</v>
      </c>
      <c r="H99" s="1120">
        <f t="shared" si="45"/>
        <v>1302912</v>
      </c>
      <c r="I99" s="1120">
        <f>+ROUND((I89*12)*6.96%,0)</f>
        <v>2497248</v>
      </c>
      <c r="J99" s="1120">
        <f>+ROUND((J89*12)*6.96%,0)</f>
        <v>1085760</v>
      </c>
      <c r="K99" s="1120">
        <f>+ROUND((K89*12)*6.96%,0)</f>
        <v>2497248</v>
      </c>
    </row>
    <row r="100" spans="2:11" x14ac:dyDescent="0.55000000000000004">
      <c r="B100" s="1149" t="s">
        <v>577</v>
      </c>
      <c r="C100" s="1120">
        <f t="shared" ref="C100:H100" si="46">+ROUND((C89*12)*4%,0)</f>
        <v>1435200</v>
      </c>
      <c r="D100" s="1120">
        <f t="shared" si="46"/>
        <v>1248000</v>
      </c>
      <c r="E100" s="1120">
        <f t="shared" si="46"/>
        <v>1123200</v>
      </c>
      <c r="F100" s="1120">
        <f t="shared" si="46"/>
        <v>936000</v>
      </c>
      <c r="G100" s="1120">
        <f t="shared" si="46"/>
        <v>1248000</v>
      </c>
      <c r="H100" s="1120">
        <f t="shared" si="46"/>
        <v>748800</v>
      </c>
      <c r="I100" s="1120">
        <f>+ROUND((I89*12)*4%,0)</f>
        <v>1435200</v>
      </c>
      <c r="J100" s="1120">
        <f>+ROUND((J89*12)*4%,0)</f>
        <v>624000</v>
      </c>
      <c r="K100" s="1120">
        <f>+ROUND((K89*12)*4%,0)</f>
        <v>1435200</v>
      </c>
    </row>
    <row r="101" spans="2:11" x14ac:dyDescent="0.55000000000000004">
      <c r="B101" s="1149" t="s">
        <v>578</v>
      </c>
      <c r="C101" s="1120">
        <v>0</v>
      </c>
      <c r="D101" s="1120">
        <v>0</v>
      </c>
      <c r="E101" s="1120">
        <v>0</v>
      </c>
      <c r="F101" s="1120">
        <v>0</v>
      </c>
      <c r="G101" s="1120">
        <v>0</v>
      </c>
      <c r="H101" s="1120">
        <v>0</v>
      </c>
      <c r="I101" s="1120">
        <v>0</v>
      </c>
      <c r="J101" s="1120">
        <v>0</v>
      </c>
      <c r="K101" s="1120">
        <v>0</v>
      </c>
    </row>
    <row r="102" spans="2:11" x14ac:dyDescent="0.55000000000000004">
      <c r="B102" s="1149" t="s">
        <v>611</v>
      </c>
      <c r="C102" s="1120">
        <v>0</v>
      </c>
      <c r="D102" s="1120">
        <v>0</v>
      </c>
      <c r="E102" s="1120">
        <v>0</v>
      </c>
      <c r="F102" s="1120">
        <v>0</v>
      </c>
      <c r="G102" s="1120">
        <v>0</v>
      </c>
      <c r="H102" s="1120">
        <v>0</v>
      </c>
      <c r="I102" s="1120">
        <v>0</v>
      </c>
      <c r="J102" s="1120">
        <v>0</v>
      </c>
      <c r="K102" s="1120">
        <v>0</v>
      </c>
    </row>
    <row r="103" spans="2:11" x14ac:dyDescent="0.55000000000000004">
      <c r="B103" s="1149" t="s">
        <v>625</v>
      </c>
      <c r="C103" s="1120">
        <v>0</v>
      </c>
      <c r="D103" s="1120">
        <f t="shared" ref="D103:H103" si="47">+$C$17*50%</f>
        <v>650000</v>
      </c>
      <c r="E103" s="1120">
        <f t="shared" si="47"/>
        <v>650000</v>
      </c>
      <c r="F103" s="1120">
        <f t="shared" si="47"/>
        <v>650000</v>
      </c>
      <c r="G103" s="1120">
        <f t="shared" si="47"/>
        <v>650000</v>
      </c>
      <c r="H103" s="1120">
        <f t="shared" si="47"/>
        <v>650000</v>
      </c>
      <c r="I103" s="1120">
        <v>0</v>
      </c>
      <c r="J103" s="1120">
        <v>0</v>
      </c>
      <c r="K103" s="1120">
        <f t="shared" ref="K103" si="48">+$C$17*50%</f>
        <v>650000</v>
      </c>
    </row>
    <row r="104" spans="2:11" x14ac:dyDescent="0.55000000000000004">
      <c r="B104" s="1149" t="s">
        <v>612</v>
      </c>
      <c r="C104" s="1120">
        <v>336280</v>
      </c>
      <c r="D104" s="1120">
        <v>336280</v>
      </c>
      <c r="E104" s="1120">
        <v>336280</v>
      </c>
      <c r="F104" s="1120">
        <v>336280</v>
      </c>
      <c r="G104" s="1120">
        <v>336280</v>
      </c>
      <c r="H104" s="1120">
        <v>336280</v>
      </c>
      <c r="I104" s="1120">
        <v>336280</v>
      </c>
      <c r="J104" s="1120">
        <v>336280</v>
      </c>
      <c r="K104" s="1120">
        <v>336280</v>
      </c>
    </row>
    <row r="105" spans="2:11" x14ac:dyDescent="0.55000000000000004">
      <c r="B105" s="1144" t="s">
        <v>626</v>
      </c>
      <c r="C105" s="1123">
        <f t="shared" ref="C105:H105" si="49">SUM(C90:C104)</f>
        <v>53854888</v>
      </c>
      <c r="D105" s="1123">
        <f t="shared" si="49"/>
        <v>49750728</v>
      </c>
      <c r="E105" s="1123">
        <f t="shared" si="49"/>
        <v>45096936</v>
      </c>
      <c r="F105" s="1123">
        <f t="shared" si="49"/>
        <v>38116248</v>
      </c>
      <c r="G105" s="1123">
        <f t="shared" si="49"/>
        <v>49177565</v>
      </c>
      <c r="H105" s="1123">
        <f t="shared" si="49"/>
        <v>30874397</v>
      </c>
      <c r="I105" s="1123">
        <f>SUM(I90:I104)</f>
        <v>53854888</v>
      </c>
      <c r="J105" s="1123">
        <f>SUM(J90:J104)</f>
        <v>23605240</v>
      </c>
      <c r="K105" s="1123">
        <f t="shared" ref="K105" si="50">SUM(K90:K104)</f>
        <v>54504888</v>
      </c>
    </row>
    <row r="106" spans="2:11" x14ac:dyDescent="0.55000000000000004">
      <c r="B106" s="1151" t="s">
        <v>613</v>
      </c>
      <c r="C106" s="1123">
        <f>C105/12</f>
        <v>4487907.333333333</v>
      </c>
      <c r="D106" s="1123">
        <f t="shared" ref="D106:G106" si="51">D105/12</f>
        <v>4145894</v>
      </c>
      <c r="E106" s="1123">
        <f t="shared" si="51"/>
        <v>3758078</v>
      </c>
      <c r="F106" s="1123">
        <f t="shared" si="51"/>
        <v>3176354</v>
      </c>
      <c r="G106" s="1123">
        <f t="shared" si="51"/>
        <v>4098130.4166666665</v>
      </c>
      <c r="H106" s="1123">
        <f>H105/12</f>
        <v>2572866.4166666665</v>
      </c>
      <c r="I106" s="1123">
        <f>I105/12</f>
        <v>4487907.333333333</v>
      </c>
      <c r="J106" s="1123">
        <f>J105/12</f>
        <v>1967103.3333333333</v>
      </c>
      <c r="K106" s="1123">
        <f t="shared" ref="K106" si="52">K105/12</f>
        <v>4542074</v>
      </c>
    </row>
    <row r="109" spans="2:11" x14ac:dyDescent="0.55000000000000004">
      <c r="B109" s="1158" t="s">
        <v>627</v>
      </c>
      <c r="C109" s="1159"/>
      <c r="D109" s="1159"/>
      <c r="E109" s="1160"/>
    </row>
    <row r="110" spans="2:11" ht="21" x14ac:dyDescent="0.55000000000000004">
      <c r="B110" s="1161" t="s">
        <v>607</v>
      </c>
      <c r="C110" s="1161" t="s">
        <v>608</v>
      </c>
      <c r="D110" s="1161" t="s">
        <v>628</v>
      </c>
      <c r="E110" s="1161" t="s">
        <v>609</v>
      </c>
    </row>
    <row r="111" spans="2:11" x14ac:dyDescent="0.55000000000000004">
      <c r="B111" s="319">
        <v>3</v>
      </c>
      <c r="C111" s="1141">
        <v>1.8</v>
      </c>
      <c r="D111" s="1141">
        <v>1.2</v>
      </c>
      <c r="E111" s="1143">
        <v>166766.32999999999</v>
      </c>
    </row>
    <row r="112" spans="2:11" x14ac:dyDescent="0.55000000000000004">
      <c r="B112" s="1162">
        <v>1</v>
      </c>
      <c r="C112" s="1147">
        <v>0.8</v>
      </c>
      <c r="D112" s="1147">
        <v>0.8</v>
      </c>
      <c r="E112" s="166"/>
    </row>
    <row r="113" spans="2:7" x14ac:dyDescent="0.55000000000000004">
      <c r="B113" s="1121">
        <f>+B114*12</f>
        <v>1944000</v>
      </c>
      <c r="C113" s="1120">
        <f>+C114*12</f>
        <v>1944000</v>
      </c>
      <c r="D113" s="1120">
        <f>+D114*12</f>
        <v>1944000</v>
      </c>
      <c r="E113" s="166"/>
    </row>
    <row r="114" spans="2:7" x14ac:dyDescent="0.55000000000000004">
      <c r="B114" s="1163">
        <f>$D$88</f>
        <v>162000</v>
      </c>
      <c r="C114" s="1120">
        <f t="shared" ref="C114:D114" si="53">$D$88</f>
        <v>162000</v>
      </c>
      <c r="D114" s="1120">
        <f t="shared" si="53"/>
        <v>162000</v>
      </c>
      <c r="E114" s="166"/>
    </row>
    <row r="115" spans="2:7" x14ac:dyDescent="0.55000000000000004">
      <c r="B115" s="1163">
        <f>+C17</f>
        <v>1300000</v>
      </c>
      <c r="C115" s="1120">
        <f>+C17*C112</f>
        <v>1040000</v>
      </c>
      <c r="D115" s="1120">
        <f>+C17*D112</f>
        <v>1040000</v>
      </c>
      <c r="E115" s="166"/>
      <c r="G115" s="327"/>
    </row>
    <row r="116" spans="2:7" x14ac:dyDescent="0.55000000000000004">
      <c r="B116" s="1121">
        <f>+ROUND(B115*12,0)</f>
        <v>15600000</v>
      </c>
      <c r="C116" s="1120">
        <f>+ROUND(C115*12,0)</f>
        <v>12480000</v>
      </c>
      <c r="D116" s="1120">
        <f>+ROUND(D115*12,0)</f>
        <v>12480000</v>
      </c>
      <c r="E116" s="166"/>
    </row>
    <row r="117" spans="2:7" x14ac:dyDescent="0.55000000000000004">
      <c r="B117" s="1121">
        <f>+ROUND((B116+B113)*0.1,0)</f>
        <v>1754400</v>
      </c>
      <c r="C117" s="1120">
        <f>+ROUND((C116+C113)*0.1,0)</f>
        <v>1442400</v>
      </c>
      <c r="D117" s="1120">
        <f>+ROUND((D116+D113)*0.1,0)</f>
        <v>1442400</v>
      </c>
      <c r="E117" s="166"/>
    </row>
    <row r="118" spans="2:7" x14ac:dyDescent="0.55000000000000004">
      <c r="B118" s="1121">
        <f>+ROUND(B115/2,0)</f>
        <v>650000</v>
      </c>
      <c r="C118" s="1120">
        <f>+ROUND(C115/2,0)</f>
        <v>520000</v>
      </c>
      <c r="D118" s="1120">
        <f>+ROUND(D115/2,0)</f>
        <v>520000</v>
      </c>
      <c r="E118" s="166"/>
    </row>
    <row r="119" spans="2:7" x14ac:dyDescent="0.55000000000000004">
      <c r="B119" s="1121">
        <f>+B115+B114</f>
        <v>1462000</v>
      </c>
      <c r="C119" s="1120">
        <f>+C115+C114</f>
        <v>1202000</v>
      </c>
      <c r="D119" s="1120">
        <f>+D115+D114</f>
        <v>1202000</v>
      </c>
      <c r="E119" s="166"/>
    </row>
    <row r="120" spans="2:7" x14ac:dyDescent="0.55000000000000004">
      <c r="B120" s="1121">
        <f>+ROUND(B117*(1%*12),0)</f>
        <v>210528</v>
      </c>
      <c r="C120" s="1120">
        <f>+ROUND(C117*(1%*12),0)</f>
        <v>173088</v>
      </c>
      <c r="D120" s="1120">
        <f>+ROUND(D117*(1%*12),0)</f>
        <v>173088</v>
      </c>
      <c r="E120" s="166"/>
    </row>
    <row r="121" spans="2:7" x14ac:dyDescent="0.55000000000000004">
      <c r="B121" s="1121">
        <v>248435</v>
      </c>
      <c r="C121" s="1120">
        <v>248435</v>
      </c>
      <c r="D121" s="1120">
        <v>248435</v>
      </c>
      <c r="E121" s="166"/>
    </row>
    <row r="122" spans="2:7" x14ac:dyDescent="0.55000000000000004">
      <c r="B122" s="1121">
        <f>(B114/30)*(360-18)</f>
        <v>1846800</v>
      </c>
      <c r="C122" s="1120">
        <f>(C114/30)*(360-18)</f>
        <v>1846800</v>
      </c>
      <c r="D122" s="1120">
        <f>(D114/30)*(360-18)</f>
        <v>1846800</v>
      </c>
      <c r="E122" s="166"/>
    </row>
    <row r="123" spans="2:7" x14ac:dyDescent="0.55000000000000004">
      <c r="B123" s="1121">
        <v>0</v>
      </c>
      <c r="C123" s="1120">
        <v>0</v>
      </c>
      <c r="D123" s="1120">
        <v>0</v>
      </c>
      <c r="E123" s="166"/>
    </row>
    <row r="124" spans="2:7" x14ac:dyDescent="0.55000000000000004">
      <c r="B124" s="1121">
        <f>+ROUND(B116*12%,0)</f>
        <v>1872000</v>
      </c>
      <c r="C124" s="1120">
        <f>+ROUND(C116*12%,0)</f>
        <v>1497600</v>
      </c>
      <c r="D124" s="1120">
        <f>+ROUND(D116*12%,0)</f>
        <v>1497600</v>
      </c>
      <c r="E124" s="166"/>
    </row>
    <row r="125" spans="2:7" x14ac:dyDescent="0.55000000000000004">
      <c r="B125" s="1121">
        <f>+ROUND((B115*12)*6.96%,0)</f>
        <v>1085760</v>
      </c>
      <c r="C125" s="1120">
        <f>+ROUND((C115*12)*6.96%,0)</f>
        <v>868608</v>
      </c>
      <c r="D125" s="1120">
        <f>+ROUND((D115*12)*6.96%,0)</f>
        <v>868608</v>
      </c>
      <c r="E125" s="166"/>
    </row>
    <row r="126" spans="2:7" x14ac:dyDescent="0.55000000000000004">
      <c r="B126" s="1121">
        <f>+ROUND((B115*12)*4%,0)</f>
        <v>624000</v>
      </c>
      <c r="C126" s="1120">
        <f>+ROUND((C115*12)*4%,0)</f>
        <v>499200</v>
      </c>
      <c r="D126" s="1120">
        <f>+ROUND((D115*12)*4%,0)</f>
        <v>499200</v>
      </c>
      <c r="E126" s="166"/>
    </row>
    <row r="127" spans="2:7" x14ac:dyDescent="0.55000000000000004">
      <c r="B127" s="1121">
        <v>0</v>
      </c>
      <c r="C127" s="1120">
        <v>0</v>
      </c>
      <c r="D127" s="1120">
        <v>0</v>
      </c>
      <c r="E127" s="166"/>
    </row>
    <row r="128" spans="2:7" x14ac:dyDescent="0.55000000000000004">
      <c r="B128" s="1121">
        <v>0</v>
      </c>
      <c r="C128" s="1120">
        <v>0</v>
      </c>
      <c r="D128" s="1120">
        <v>0</v>
      </c>
      <c r="E128" s="166"/>
    </row>
    <row r="129" spans="2:5" x14ac:dyDescent="0.55000000000000004">
      <c r="B129" s="1121">
        <v>405900</v>
      </c>
      <c r="C129" s="1120">
        <v>405900</v>
      </c>
      <c r="D129" s="1120">
        <v>405900</v>
      </c>
      <c r="E129" s="166"/>
    </row>
    <row r="130" spans="2:5" x14ac:dyDescent="0.55000000000000004">
      <c r="B130" s="1121">
        <v>336280</v>
      </c>
      <c r="C130" s="1120">
        <v>336280</v>
      </c>
      <c r="D130" s="1120">
        <v>336280</v>
      </c>
      <c r="E130" s="166"/>
    </row>
    <row r="131" spans="2:5" x14ac:dyDescent="0.55000000000000004">
      <c r="B131" s="1164">
        <f>SUM(B116:B130)</f>
        <v>26096103</v>
      </c>
      <c r="C131" s="1123">
        <f>SUM(C116:C130)</f>
        <v>21520311</v>
      </c>
      <c r="D131" s="1123">
        <f>SUM(D116:D130)</f>
        <v>21520311</v>
      </c>
      <c r="E131" s="1123">
        <f>+E111*12</f>
        <v>2001195.96</v>
      </c>
    </row>
    <row r="132" spans="2:5" x14ac:dyDescent="0.55000000000000004">
      <c r="B132" s="1164">
        <f>B131/12</f>
        <v>2174675.25</v>
      </c>
      <c r="C132" s="1123">
        <f>C131/12</f>
        <v>1793359.25</v>
      </c>
      <c r="D132" s="1123">
        <f>D131/12</f>
        <v>1793359.25</v>
      </c>
      <c r="E132" s="1123">
        <f>E131/12</f>
        <v>166766.32999999999</v>
      </c>
    </row>
    <row r="133" spans="2:5" x14ac:dyDescent="0.55000000000000004">
      <c r="B133" s="1165">
        <f>+B132+C132+D132+E132</f>
        <v>5928160.0800000001</v>
      </c>
      <c r="C133" s="1166"/>
      <c r="D133" s="1166"/>
      <c r="E133" s="1166"/>
    </row>
  </sheetData>
  <mergeCells count="1">
    <mergeCell ref="C3:J5"/>
  </mergeCells>
  <phoneticPr fontId="96" type="noConversion"/>
  <pageMargins left="0.7" right="0.7" top="0.75" bottom="0.75" header="0.3" footer="0.3"/>
  <pageSetup orientation="portrait" horizontalDpi="1200" verticalDpi="12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BFB56-3BBE-4B9E-81A3-A782B82740CC}">
  <sheetPr>
    <tabColor rgb="FF00B050"/>
  </sheetPr>
  <dimension ref="A1:L547"/>
  <sheetViews>
    <sheetView topLeftCell="A4" zoomScale="70" zoomScaleNormal="70" workbookViewId="0">
      <selection activeCell="J14" sqref="J14"/>
    </sheetView>
  </sheetViews>
  <sheetFormatPr baseColWidth="10" defaultColWidth="11.41796875" defaultRowHeight="15.6" x14ac:dyDescent="0.6"/>
  <cols>
    <col min="1" max="1" width="11.68359375" style="580" customWidth="1"/>
    <col min="2" max="2" width="23.68359375" style="580" customWidth="1"/>
    <col min="3" max="3" width="34.68359375" style="580" bestFit="1" customWidth="1"/>
    <col min="4" max="4" width="17.41796875" style="580" bestFit="1" customWidth="1"/>
    <col min="5" max="5" width="15.578125" style="580" customWidth="1"/>
    <col min="6" max="6" width="17.578125" style="580" bestFit="1" customWidth="1"/>
    <col min="7" max="7" width="20.578125" style="580" bestFit="1" customWidth="1"/>
    <col min="8" max="8" width="20.15625" style="580" customWidth="1"/>
    <col min="9" max="9" width="31.83984375" style="825" customWidth="1"/>
    <col min="10" max="10" width="13.68359375" style="825" customWidth="1"/>
    <col min="11" max="16384" width="11.41796875" style="580"/>
  </cols>
  <sheetData>
    <row r="1" spans="1:12" x14ac:dyDescent="0.6">
      <c r="B1" s="1296" t="s">
        <v>629</v>
      </c>
      <c r="C1" s="1297"/>
      <c r="D1" s="1297"/>
      <c r="E1" s="1297"/>
      <c r="F1" s="1297"/>
      <c r="G1" s="1297"/>
      <c r="H1" s="1298"/>
      <c r="K1" s="581" t="s">
        <v>630</v>
      </c>
      <c r="L1" s="581">
        <v>1.85</v>
      </c>
    </row>
    <row r="2" spans="1:12" ht="30.75" customHeight="1" x14ac:dyDescent="0.6">
      <c r="B2" s="582" t="s">
        <v>631</v>
      </c>
      <c r="C2" s="1299" t="str">
        <f>+PRESUPUESTO!B1</f>
        <v>MEJORAMIENTO DE LA VIA QUE COMUNICA LA VEREDA EL ENCANTO CON EL CORREGIMIENTO EL SILENCIO, MUNICIPIO DE CAREPA, DEPARTAMENTO DE ANTIOQUIA.</v>
      </c>
      <c r="D2" s="1299"/>
      <c r="E2" s="1299"/>
      <c r="F2" s="1299"/>
      <c r="G2" s="1299"/>
      <c r="H2" s="1300"/>
    </row>
    <row r="3" spans="1:12" x14ac:dyDescent="0.6">
      <c r="B3" s="582" t="s">
        <v>632</v>
      </c>
      <c r="C3" s="1301"/>
      <c r="D3" s="1301"/>
      <c r="E3" s="1301"/>
      <c r="F3" s="1301"/>
      <c r="G3" s="1301"/>
      <c r="H3" s="1302"/>
    </row>
    <row r="4" spans="1:12" ht="15.9" thickBot="1" x14ac:dyDescent="0.65">
      <c r="B4" s="583"/>
      <c r="C4" s="584"/>
      <c r="D4" s="584"/>
      <c r="E4" s="584"/>
      <c r="F4" s="584"/>
      <c r="G4" s="584"/>
      <c r="H4" s="585"/>
    </row>
    <row r="5" spans="1:12" ht="15.9" thickBot="1" x14ac:dyDescent="0.65">
      <c r="B5" s="586" t="s">
        <v>264</v>
      </c>
      <c r="C5" s="1303" t="s">
        <v>115</v>
      </c>
      <c r="D5" s="1304"/>
      <c r="E5" s="1305"/>
      <c r="F5" s="587"/>
      <c r="G5" s="588" t="s">
        <v>386</v>
      </c>
      <c r="H5" s="586" t="s">
        <v>7</v>
      </c>
    </row>
    <row r="6" spans="1:12" ht="15.9" hidden="1" thickBot="1" x14ac:dyDescent="0.65">
      <c r="B6" s="586" t="s">
        <v>264</v>
      </c>
      <c r="C6" s="1306" t="s">
        <v>115</v>
      </c>
      <c r="D6" s="1307"/>
      <c r="E6" s="589"/>
      <c r="F6" s="590"/>
      <c r="G6" s="591" t="s">
        <v>386</v>
      </c>
      <c r="H6" s="586" t="s">
        <v>7</v>
      </c>
    </row>
    <row r="7" spans="1:12" s="708" customFormat="1" ht="29.25" customHeight="1" thickBot="1" x14ac:dyDescent="0.6">
      <c r="A7" s="708">
        <v>0</v>
      </c>
      <c r="B7" s="709" t="s">
        <v>633</v>
      </c>
      <c r="C7" s="1308" t="s">
        <v>634</v>
      </c>
      <c r="D7" s="1309"/>
      <c r="E7" s="1310"/>
      <c r="F7" s="710"/>
      <c r="G7" s="1167" t="s">
        <v>22</v>
      </c>
      <c r="H7" s="711">
        <v>1</v>
      </c>
    </row>
    <row r="8" spans="1:12" ht="9" customHeight="1" thickBot="1" x14ac:dyDescent="0.65">
      <c r="B8" s="592"/>
      <c r="C8" s="593"/>
      <c r="D8" s="593"/>
      <c r="E8" s="593"/>
      <c r="F8" s="593"/>
      <c r="G8" s="593"/>
      <c r="H8" s="594"/>
    </row>
    <row r="9" spans="1:12" ht="17.25" customHeight="1" thickBot="1" x14ac:dyDescent="0.65">
      <c r="B9" s="595" t="s">
        <v>635</v>
      </c>
      <c r="C9" s="596"/>
      <c r="D9" s="596"/>
      <c r="E9" s="596"/>
      <c r="F9" s="596"/>
      <c r="G9" s="596"/>
      <c r="H9" s="596"/>
      <c r="I9" s="934" t="str">
        <f>+C7</f>
        <v>Concreto 1:2:2 3500 psi - 24,5 mpa</v>
      </c>
      <c r="J9" s="935">
        <f>+H47</f>
        <v>696741</v>
      </c>
    </row>
    <row r="10" spans="1:12" ht="15.9" thickBot="1" x14ac:dyDescent="0.65">
      <c r="B10" s="598" t="s">
        <v>636</v>
      </c>
      <c r="C10" s="599"/>
      <c r="D10" s="599"/>
      <c r="E10" s="600"/>
      <c r="F10" s="601" t="s">
        <v>637</v>
      </c>
      <c r="G10" s="602" t="s">
        <v>638</v>
      </c>
      <c r="H10" s="625" t="s">
        <v>165</v>
      </c>
      <c r="I10" s="936" t="str">
        <f>+C63</f>
        <v>Concreto 1:2:3 3000 Psi -  21 Mpa</v>
      </c>
      <c r="J10" s="956">
        <f>+H103</f>
        <v>646227</v>
      </c>
    </row>
    <row r="11" spans="1:12" ht="15.9" thickBot="1" x14ac:dyDescent="0.65">
      <c r="A11" s="580" t="s">
        <v>461</v>
      </c>
      <c r="B11" s="604" t="str">
        <f>+IFERROR(VLOOKUP(A11,'equipos y transporte'!$A$4:$E$35,3,FALSE), " ")</f>
        <v>Mezcladora de concreto 1 bulto</v>
      </c>
      <c r="C11" s="605"/>
      <c r="D11" s="605"/>
      <c r="E11" s="605"/>
      <c r="F11" s="813">
        <f>+IFERROR(VLOOKUP(A11,'equipos y transporte'!$A$4:$E$35,5,FALSE), " ")</f>
        <v>50624.999999999993</v>
      </c>
      <c r="G11" s="607">
        <v>6</v>
      </c>
      <c r="H11" s="828">
        <f>IFERROR(F11/G11, " ")</f>
        <v>8437.4999999999982</v>
      </c>
      <c r="I11" s="937" t="str">
        <f>+C118</f>
        <v>Concreto 1:2:4 2500 psi - 17,5 mpa</v>
      </c>
      <c r="J11" s="939">
        <f>+H158</f>
        <v>605557</v>
      </c>
    </row>
    <row r="12" spans="1:12" ht="15.9" thickBot="1" x14ac:dyDescent="0.65">
      <c r="B12" s="604" t="str">
        <f>+IFERROR(VLOOKUP(A12,'equipos y transporte'!$A$4:$E$35,3,FALSE), " ")</f>
        <v xml:space="preserve"> </v>
      </c>
      <c r="C12" s="605"/>
      <c r="D12" s="605"/>
      <c r="E12" s="605"/>
      <c r="F12" s="813" t="str">
        <f>+IFERROR(VLOOKUP(A12,'equipos y transporte'!$A$4:$E$35,5,FALSE), " ")</f>
        <v xml:space="preserve"> </v>
      </c>
      <c r="G12" s="609"/>
      <c r="H12" s="828" t="str">
        <f t="shared" ref="H12:H14" si="0">IFERROR(F12/G12, " ")</f>
        <v xml:space="preserve"> </v>
      </c>
      <c r="I12" s="936" t="str">
        <f>+C173</f>
        <v xml:space="preserve">Concreto 14 Mpa </v>
      </c>
      <c r="J12" s="956">
        <f>+H213</f>
        <v>574270</v>
      </c>
    </row>
    <row r="13" spans="1:12" ht="15.9" thickBot="1" x14ac:dyDescent="0.65">
      <c r="B13" s="604" t="str">
        <f>+IFERROR(VLOOKUP(A13,'equipos y transporte'!$A$4:$E$35,3,FALSE), " ")</f>
        <v xml:space="preserve"> </v>
      </c>
      <c r="C13" s="605"/>
      <c r="D13" s="605"/>
      <c r="E13" s="605"/>
      <c r="F13" s="813" t="str">
        <f>+IFERROR(VLOOKUP(A13,'equipos y transporte'!$A$4:$E$35,5,FALSE), " ")</f>
        <v xml:space="preserve"> </v>
      </c>
      <c r="G13" s="609"/>
      <c r="H13" s="828" t="str">
        <f t="shared" si="0"/>
        <v xml:space="preserve"> </v>
      </c>
      <c r="I13" s="937" t="str">
        <f>+C228</f>
        <v>Concreto 1:4:7 1560 psi - 10,1 mpa</v>
      </c>
      <c r="J13" s="938">
        <f>+H268</f>
        <v>509575</v>
      </c>
    </row>
    <row r="14" spans="1:12" ht="15.9" thickBot="1" x14ac:dyDescent="0.65">
      <c r="B14" s="604" t="str">
        <f>+IFERROR(VLOOKUP(A14,'equipos y transporte'!$A$4:$E$35,3,FALSE), " ")</f>
        <v xml:space="preserve"> </v>
      </c>
      <c r="C14" s="605"/>
      <c r="D14" s="605"/>
      <c r="E14" s="605"/>
      <c r="F14" s="813" t="str">
        <f>+IFERROR(VLOOKUP(A14,'equipos y transporte'!$A$4:$E$35,5,FALSE), " ")</f>
        <v xml:space="preserve"> </v>
      </c>
      <c r="G14" s="611"/>
      <c r="H14" s="828" t="str">
        <f t="shared" si="0"/>
        <v xml:space="preserve"> </v>
      </c>
      <c r="I14" s="936" t="str">
        <f>+C284</f>
        <v>PAVIMENTO DE CONCRETO HIDRÁULICO MR 3,8 MPA</v>
      </c>
      <c r="J14" s="956">
        <f>+H324</f>
        <v>699527</v>
      </c>
    </row>
    <row r="15" spans="1:12" ht="15.9" thickBot="1" x14ac:dyDescent="0.65">
      <c r="B15" s="1311" t="s">
        <v>639</v>
      </c>
      <c r="C15" s="1312"/>
      <c r="D15" s="1313"/>
      <c r="E15" s="1314"/>
      <c r="F15" s="613"/>
      <c r="G15" s="1168">
        <v>0.01</v>
      </c>
      <c r="H15" s="1169">
        <f>ROUND(H45*G15,2)</f>
        <v>1162.42</v>
      </c>
      <c r="I15" s="936" t="str">
        <f>+C340</f>
        <v>Concreto ciclópeo (Concreto Clase D  f´c=21  MPa 60% concreto -40% agregado ciclópeo)</v>
      </c>
      <c r="J15" s="956">
        <f>+H380</f>
        <v>513266</v>
      </c>
    </row>
    <row r="16" spans="1:12" ht="15.9" thickBot="1" x14ac:dyDescent="0.65">
      <c r="B16" s="615"/>
      <c r="C16" s="616"/>
      <c r="D16" s="616"/>
      <c r="E16" s="616"/>
      <c r="F16" s="616"/>
      <c r="G16" s="617" t="s">
        <v>640</v>
      </c>
      <c r="H16" s="829">
        <f>ROUND(SUM(H11:H15),2)</f>
        <v>9599.92</v>
      </c>
      <c r="I16" s="937" t="str">
        <f>+C395</f>
        <v>Mortero 1:2</v>
      </c>
      <c r="J16" s="939">
        <f>+H435</f>
        <v>627290</v>
      </c>
    </row>
    <row r="17" spans="1:10" x14ac:dyDescent="0.6">
      <c r="B17" s="619"/>
      <c r="C17" s="620"/>
      <c r="D17" s="620"/>
      <c r="E17" s="620"/>
      <c r="F17" s="620"/>
      <c r="G17" s="620"/>
      <c r="H17" s="620"/>
      <c r="I17" s="937" t="str">
        <f>+C450</f>
        <v>Mortero 1:3</v>
      </c>
      <c r="J17" s="940">
        <f>+H486</f>
        <v>608777</v>
      </c>
    </row>
    <row r="18" spans="1:10" ht="15.9" thickBot="1" x14ac:dyDescent="0.65">
      <c r="B18" s="622" t="s">
        <v>641</v>
      </c>
      <c r="C18" s="623"/>
      <c r="D18" s="623"/>
      <c r="E18" s="623"/>
      <c r="F18" s="623"/>
      <c r="G18" s="623"/>
      <c r="H18" s="623"/>
      <c r="I18" s="1170" t="str">
        <f>+C501</f>
        <v>Mortero 1:4</v>
      </c>
      <c r="J18" s="1171">
        <f>+H538</f>
        <v>525530</v>
      </c>
    </row>
    <row r="19" spans="1:10" x14ac:dyDescent="0.6">
      <c r="B19" s="598" t="s">
        <v>642</v>
      </c>
      <c r="C19" s="599"/>
      <c r="D19" s="601" t="s">
        <v>386</v>
      </c>
      <c r="E19" s="601" t="s">
        <v>7</v>
      </c>
      <c r="F19" s="601" t="s">
        <v>643</v>
      </c>
      <c r="G19" s="625" t="s">
        <v>177</v>
      </c>
      <c r="H19" s="603" t="s">
        <v>165</v>
      </c>
    </row>
    <row r="20" spans="1:10" x14ac:dyDescent="0.6">
      <c r="A20" s="580" t="s">
        <v>493</v>
      </c>
      <c r="B20" s="626" t="str">
        <f>IFERROR(VLOOKUP(A20,insumos!$A$3:$E$39,3,FALSE), " ")</f>
        <v>Agua</v>
      </c>
      <c r="C20" s="627"/>
      <c r="D20" s="815" t="str">
        <f>IFERROR(VLOOKUP(A20,insumos!$A$3:$E$39,4,FALSE), " ")</f>
        <v>lt</v>
      </c>
      <c r="E20" s="628">
        <v>200</v>
      </c>
      <c r="F20" s="629">
        <v>0.03</v>
      </c>
      <c r="G20" s="814">
        <f>IFERROR(VLOOKUP(A20,insumos!$A$3:$E$39,5,FALSE), " ")</f>
        <v>111.37500000000001</v>
      </c>
      <c r="H20" s="630">
        <f>+IFERROR(ROUND(G20*(E20*(1+F20/100)),2), " ")</f>
        <v>22281.68</v>
      </c>
    </row>
    <row r="21" spans="1:10" x14ac:dyDescent="0.6">
      <c r="A21" s="580" t="s">
        <v>498</v>
      </c>
      <c r="B21" s="626" t="str">
        <f>IFERROR(VLOOKUP(A21,insumos!$A$3:$E$39,3,FALSE), " ")</f>
        <v>Arena lavada</v>
      </c>
      <c r="C21" s="627"/>
      <c r="D21" s="815" t="str">
        <f>IFERROR(VLOOKUP(A21,insumos!$A$3:$E$39,4,FALSE), " ")</f>
        <v>m3</v>
      </c>
      <c r="E21" s="628">
        <v>0.67</v>
      </c>
      <c r="F21" s="629">
        <v>0.03</v>
      </c>
      <c r="G21" s="814">
        <f>IFERROR(VLOOKUP(A21,insumos!$A$3:$E$39,5,FALSE), " ")</f>
        <v>80190</v>
      </c>
      <c r="H21" s="630">
        <f t="shared" ref="H21:H26" si="1">+IFERROR(ROUND(G21*(E21*(1+F21/100)),2), " ")</f>
        <v>53743.42</v>
      </c>
    </row>
    <row r="22" spans="1:10" x14ac:dyDescent="0.6">
      <c r="A22" s="631" t="s">
        <v>490</v>
      </c>
      <c r="B22" s="626" t="str">
        <f>IFERROR(VLOOKUP(A22,insumos!$A$3:$E$39,3,FALSE), " ")</f>
        <v>Agregado para concreto hidráulico</v>
      </c>
      <c r="C22" s="627"/>
      <c r="D22" s="815" t="str">
        <f>IFERROR(VLOOKUP(A22,insumos!$A$3:$E$39,4,FALSE), " ")</f>
        <v>m3</v>
      </c>
      <c r="E22" s="628">
        <v>0.68</v>
      </c>
      <c r="F22" s="629">
        <v>0.03</v>
      </c>
      <c r="G22" s="814">
        <f>IFERROR(VLOOKUP(A22,insumos!$A$3:$E$39,5,FALSE), " ")</f>
        <v>83939.625</v>
      </c>
      <c r="H22" s="630">
        <f t="shared" si="1"/>
        <v>57096.07</v>
      </c>
    </row>
    <row r="23" spans="1:10" x14ac:dyDescent="0.6">
      <c r="A23" s="632" t="s">
        <v>506</v>
      </c>
      <c r="B23" s="626" t="str">
        <f>IFERROR(VLOOKUP(A23,insumos!$A$3:$E$39,3,FALSE), " ")</f>
        <v>Cemento gris</v>
      </c>
      <c r="C23" s="627"/>
      <c r="D23" s="815" t="str">
        <f>IFERROR(VLOOKUP(A23,insumos!$A$3:$E$39,4,FALSE), " ")</f>
        <v>kg</v>
      </c>
      <c r="E23" s="628">
        <v>420</v>
      </c>
      <c r="F23" s="629">
        <v>0.03</v>
      </c>
      <c r="G23" s="814">
        <f>IFERROR(VLOOKUP(A23,insumos!$A$3:$E$39,5,FALSE), " ")</f>
        <v>835.3125</v>
      </c>
      <c r="H23" s="630">
        <f t="shared" si="1"/>
        <v>350936.5</v>
      </c>
    </row>
    <row r="24" spans="1:10" x14ac:dyDescent="0.6">
      <c r="A24" s="632"/>
      <c r="B24" s="626" t="str">
        <f>IFERROR(VLOOKUP(A24,insumos!$A$3:$E$39,3,FALSE), " ")</f>
        <v xml:space="preserve"> </v>
      </c>
      <c r="C24" s="627"/>
      <c r="D24" s="815" t="str">
        <f>IFERROR(VLOOKUP(A24,insumos!$A$3:$E$39,4,FALSE), " ")</f>
        <v xml:space="preserve"> </v>
      </c>
      <c r="E24" s="628"/>
      <c r="F24" s="629"/>
      <c r="G24" s="814" t="str">
        <f>IFERROR(VLOOKUP(A24,insumos!$A$3:$E$39,5,FALSE), " ")</f>
        <v xml:space="preserve"> </v>
      </c>
      <c r="H24" s="630" t="str">
        <f t="shared" si="1"/>
        <v xml:space="preserve"> </v>
      </c>
    </row>
    <row r="25" spans="1:10" x14ac:dyDescent="0.6">
      <c r="A25" s="632"/>
      <c r="B25" s="626" t="str">
        <f>IFERROR(VLOOKUP(A25,insumos!$A$3:$E$39,3,FALSE), " ")</f>
        <v xml:space="preserve"> </v>
      </c>
      <c r="C25" s="627"/>
      <c r="D25" s="815" t="str">
        <f>IFERROR(VLOOKUP(A25,insumos!$A$3:$E$39,4,FALSE), " ")</f>
        <v xml:space="preserve"> </v>
      </c>
      <c r="E25" s="628"/>
      <c r="F25" s="629"/>
      <c r="G25" s="814" t="str">
        <f>IFERROR(VLOOKUP(A25,insumos!$A$3:$E$39,5,FALSE), " ")</f>
        <v xml:space="preserve"> </v>
      </c>
      <c r="H25" s="630" t="str">
        <f t="shared" si="1"/>
        <v xml:space="preserve"> </v>
      </c>
    </row>
    <row r="26" spans="1:10" x14ac:dyDescent="0.6">
      <c r="B26" s="626" t="str">
        <f>IFERROR(VLOOKUP(A26,insumos!$A$3:$E$39,3,FALSE), " ")</f>
        <v xml:space="preserve"> </v>
      </c>
      <c r="C26" s="627"/>
      <c r="D26" s="815" t="str">
        <f>IFERROR(VLOOKUP(A26,insumos!$A$3:$E$39,4,FALSE), " ")</f>
        <v xml:space="preserve"> </v>
      </c>
      <c r="E26" s="633"/>
      <c r="F26" s="634"/>
      <c r="G26" s="814" t="str">
        <f>IFERROR(VLOOKUP(A26,insumos!$A$3:$E$39,5,FALSE), " ")</f>
        <v xml:space="preserve"> </v>
      </c>
      <c r="H26" s="630" t="str">
        <f t="shared" si="1"/>
        <v xml:space="preserve"> </v>
      </c>
    </row>
    <row r="27" spans="1:10" ht="15.9" thickBot="1" x14ac:dyDescent="0.65">
      <c r="B27" s="626" t="str">
        <f>IFERROR(VLOOKUP(A27,insumos!$A$3:$E$39,3,FALSE), " ")</f>
        <v xml:space="preserve"> </v>
      </c>
      <c r="C27" s="1172"/>
      <c r="D27" s="815" t="str">
        <f>IFERROR(VLOOKUP(A27,insumos!$A$3:$E$39,4,FALSE), " ")</f>
        <v xml:space="preserve"> </v>
      </c>
      <c r="E27" s="1173"/>
      <c r="F27" s="1174"/>
      <c r="G27" s="814" t="str">
        <f>IFERROR(VLOOKUP(A27,insumos!$A$3:$E$39,5,FALSE), " ")</f>
        <v xml:space="preserve"> </v>
      </c>
      <c r="H27" s="1175"/>
    </row>
    <row r="28" spans="1:10" ht="15.9" thickBot="1" x14ac:dyDescent="0.65">
      <c r="B28" s="615"/>
      <c r="C28" s="616"/>
      <c r="D28" s="616"/>
      <c r="E28" s="616"/>
      <c r="F28" s="616"/>
      <c r="G28" s="617" t="s">
        <v>640</v>
      </c>
      <c r="H28" s="635">
        <f>ROUND(SUM(H20:H27),2)</f>
        <v>484057.67</v>
      </c>
    </row>
    <row r="29" spans="1:10" x14ac:dyDescent="0.6">
      <c r="B29" s="636"/>
      <c r="C29" s="620"/>
      <c r="D29" s="620"/>
      <c r="E29" s="620"/>
      <c r="F29" s="620"/>
      <c r="G29" s="620"/>
      <c r="H29" s="621"/>
    </row>
    <row r="30" spans="1:10" ht="15.9" thickBot="1" x14ac:dyDescent="0.65">
      <c r="B30" s="622" t="s">
        <v>285</v>
      </c>
      <c r="C30" s="623"/>
      <c r="D30" s="623"/>
      <c r="E30" s="623"/>
      <c r="F30" s="623"/>
      <c r="G30" s="623"/>
      <c r="H30" s="624"/>
    </row>
    <row r="31" spans="1:10" x14ac:dyDescent="0.6">
      <c r="B31" s="598" t="s">
        <v>644</v>
      </c>
      <c r="C31" s="637"/>
      <c r="D31" s="638" t="s">
        <v>645</v>
      </c>
      <c r="E31" s="639" t="s">
        <v>646</v>
      </c>
      <c r="F31" s="640" t="s">
        <v>647</v>
      </c>
      <c r="G31" s="641" t="s">
        <v>648</v>
      </c>
      <c r="H31" s="642" t="s">
        <v>165</v>
      </c>
    </row>
    <row r="32" spans="1:10" x14ac:dyDescent="0.6">
      <c r="A32" s="580" t="s">
        <v>484</v>
      </c>
      <c r="B32" s="643" t="str">
        <f>IFERROR(VLOOKUP(A32,'equipos y transporte'!$A$4:$E$35,3,FALSE), " ")</f>
        <v>Transporte de Arena Lavada</v>
      </c>
      <c r="C32" s="605"/>
      <c r="D32" s="610">
        <f>+E21</f>
        <v>0.67</v>
      </c>
      <c r="E32" s="644">
        <f>+cantera</f>
        <v>35</v>
      </c>
      <c r="F32" s="610">
        <f>IFERROR(D32*E32, " ")</f>
        <v>23.450000000000003</v>
      </c>
      <c r="G32" s="814">
        <f>IFERROR(VLOOKUP(A32,'equipos y transporte'!$A$4:$E$35,5,FALSE), " ")</f>
        <v>1672.9261363636363</v>
      </c>
      <c r="H32" s="645">
        <f>IFERROR(ROUND(F32*G32,2), " ")</f>
        <v>39230.120000000003</v>
      </c>
    </row>
    <row r="33" spans="1:9" x14ac:dyDescent="0.6">
      <c r="A33" s="580" t="s">
        <v>481</v>
      </c>
      <c r="B33" s="643" t="str">
        <f>IFERROR(VLOOKUP(A33,'equipos y transporte'!$A$4:$E$35,3,FALSE), " ")</f>
        <v>Transporte de Material Triturado</v>
      </c>
      <c r="C33" s="605"/>
      <c r="D33" s="610">
        <f>+E22</f>
        <v>0.68</v>
      </c>
      <c r="E33" s="644">
        <f>+cantera</f>
        <v>35</v>
      </c>
      <c r="F33" s="610">
        <f t="shared" ref="F33:F36" si="2">IFERROR(D33*E33, " ")</f>
        <v>23.8</v>
      </c>
      <c r="G33" s="814">
        <f>IFERROR(VLOOKUP(A33,'equipos y transporte'!$A$4:$E$35,5,FALSE), " ")</f>
        <v>1672.9261363636363</v>
      </c>
      <c r="H33" s="645">
        <f>IFERROR(ROUND(F33*G33,2), " ")</f>
        <v>39815.64</v>
      </c>
    </row>
    <row r="34" spans="1:9" x14ac:dyDescent="0.6">
      <c r="A34" s="580" t="s">
        <v>474</v>
      </c>
      <c r="B34" s="643" t="str">
        <f>IFERROR(VLOOKUP(A34,'equipos y transporte'!$A$4:$E$35,3,FALSE), " ")</f>
        <v>Transporte de cemento</v>
      </c>
      <c r="C34" s="605"/>
      <c r="D34" s="610">
        <f>+E23</f>
        <v>420</v>
      </c>
      <c r="E34" s="644">
        <f>+escombro</f>
        <v>15</v>
      </c>
      <c r="F34" s="610">
        <f t="shared" si="2"/>
        <v>6300</v>
      </c>
      <c r="G34" s="814">
        <f>IFERROR(VLOOKUP(A34,'equipos y transporte'!$A$4:$E$35,5,FALSE), " ")</f>
        <v>1.2375000000000003</v>
      </c>
      <c r="H34" s="645">
        <f>IFERROR(ROUND(F34*G34,2), " ")</f>
        <v>7796.25</v>
      </c>
    </row>
    <row r="35" spans="1:9" x14ac:dyDescent="0.6">
      <c r="B35" s="643" t="str">
        <f>IFERROR(VLOOKUP(A35,'equipos y transporte'!$A$4:$E$35,3,FALSE), " ")</f>
        <v xml:space="preserve"> </v>
      </c>
      <c r="C35" s="605"/>
      <c r="D35" s="610"/>
      <c r="E35" s="644"/>
      <c r="F35" s="610">
        <f t="shared" si="2"/>
        <v>0</v>
      </c>
      <c r="G35" s="814" t="str">
        <f>IFERROR(VLOOKUP(A35,'equipos y transporte'!$A$4:$E$35,5,FALSE), " ")</f>
        <v xml:space="preserve"> </v>
      </c>
      <c r="H35" s="645" t="str">
        <f>IFERROR(ROUND(F35*G35,2), " ")</f>
        <v xml:space="preserve"> </v>
      </c>
    </row>
    <row r="36" spans="1:9" ht="15.9" thickBot="1" x14ac:dyDescent="0.65">
      <c r="B36" s="643" t="str">
        <f>IFERROR(VLOOKUP(A36,'equipos y transporte'!$A$4:$E$35,3,FALSE), " ")</f>
        <v xml:space="preserve"> </v>
      </c>
      <c r="C36" s="605"/>
      <c r="D36" s="1176"/>
      <c r="E36" s="1177"/>
      <c r="F36" s="1176">
        <f t="shared" si="2"/>
        <v>0</v>
      </c>
      <c r="G36" s="814" t="str">
        <f>IFERROR(VLOOKUP(A36,'equipos y transporte'!$A$4:$E$35,5,FALSE), " ")</f>
        <v xml:space="preserve"> </v>
      </c>
      <c r="H36" s="1178" t="str">
        <f>IFERROR(ROUND(F36*G36,2), " ")</f>
        <v xml:space="preserve"> </v>
      </c>
    </row>
    <row r="37" spans="1:9" ht="15.9" thickBot="1" x14ac:dyDescent="0.65">
      <c r="B37" s="615"/>
      <c r="C37" s="616"/>
      <c r="D37" s="616"/>
      <c r="E37" s="616"/>
      <c r="F37" s="616"/>
      <c r="G37" s="617" t="s">
        <v>640</v>
      </c>
      <c r="H37" s="647">
        <f>SUM(H32:H36)</f>
        <v>86842.010000000009</v>
      </c>
    </row>
    <row r="38" spans="1:9" x14ac:dyDescent="0.6">
      <c r="B38" s="636"/>
      <c r="C38" s="620"/>
      <c r="D38" s="620"/>
      <c r="E38" s="620"/>
      <c r="F38" s="620"/>
      <c r="G38" s="620"/>
      <c r="H38" s="621"/>
    </row>
    <row r="39" spans="1:9" ht="15.9" thickBot="1" x14ac:dyDescent="0.65">
      <c r="B39" s="622" t="s">
        <v>292</v>
      </c>
      <c r="C39" s="623"/>
      <c r="D39" s="623"/>
      <c r="E39" s="623"/>
      <c r="F39" s="623"/>
      <c r="G39" s="623"/>
      <c r="H39" s="624"/>
    </row>
    <row r="40" spans="1:9" ht="31.2" x14ac:dyDescent="0.6">
      <c r="B40" s="648" t="s">
        <v>649</v>
      </c>
      <c r="C40" s="649"/>
      <c r="D40" s="640" t="s">
        <v>650</v>
      </c>
      <c r="E40" s="639" t="s">
        <v>651</v>
      </c>
      <c r="F40" s="638" t="s">
        <v>652</v>
      </c>
      <c r="G40" s="650" t="s">
        <v>638</v>
      </c>
      <c r="H40" s="651" t="s">
        <v>165</v>
      </c>
    </row>
    <row r="41" spans="1:9" x14ac:dyDescent="0.6">
      <c r="A41" s="580" t="s">
        <v>653</v>
      </c>
      <c r="B41" s="652" t="s">
        <v>311</v>
      </c>
      <c r="C41" s="646"/>
      <c r="D41" s="653">
        <f>+ofic</f>
        <v>73666.666666666672</v>
      </c>
      <c r="E41" s="654">
        <f>+$L$57</f>
        <v>1.85</v>
      </c>
      <c r="F41" s="655">
        <f>+IFERROR(D41*E41, " ")</f>
        <v>136283.33333333334</v>
      </c>
      <c r="G41" s="656">
        <f>+$G$11</f>
        <v>6</v>
      </c>
      <c r="H41" s="645">
        <f>IFERROR(ROUND(F41/G41,2),0)</f>
        <v>22713.89</v>
      </c>
      <c r="I41" s="826"/>
    </row>
    <row r="42" spans="1:9" x14ac:dyDescent="0.6">
      <c r="A42" s="580" t="s">
        <v>654</v>
      </c>
      <c r="B42" s="652" t="s">
        <v>655</v>
      </c>
      <c r="C42" s="850">
        <v>7</v>
      </c>
      <c r="D42" s="653">
        <f>+jornal*C42</f>
        <v>303333.33333333337</v>
      </c>
      <c r="E42" s="654">
        <f>+$L$57</f>
        <v>1.85</v>
      </c>
      <c r="F42" s="655">
        <f t="shared" ref="F42:F44" si="3">+IFERROR(D42*E42, " ")</f>
        <v>561166.66666666674</v>
      </c>
      <c r="G42" s="656">
        <f>+$G$11</f>
        <v>6</v>
      </c>
      <c r="H42" s="645">
        <f>IFERROR(ROUND(F42/G42,2),0)</f>
        <v>93527.78</v>
      </c>
    </row>
    <row r="43" spans="1:9" x14ac:dyDescent="0.6">
      <c r="B43" s="652"/>
      <c r="C43" s="646"/>
      <c r="D43" s="653"/>
      <c r="E43" s="657"/>
      <c r="F43" s="655">
        <f t="shared" si="3"/>
        <v>0</v>
      </c>
      <c r="G43" s="658"/>
      <c r="H43" s="645">
        <f t="shared" ref="H43:H44" si="4">IFERROR(ROUND(F43/G43,2),0)</f>
        <v>0</v>
      </c>
    </row>
    <row r="44" spans="1:9" ht="15.9" thickBot="1" x14ac:dyDescent="0.65">
      <c r="B44" s="652"/>
      <c r="C44" s="646"/>
      <c r="D44" s="653"/>
      <c r="E44" s="657"/>
      <c r="F44" s="655">
        <f t="shared" si="3"/>
        <v>0</v>
      </c>
      <c r="G44" s="659"/>
      <c r="H44" s="645">
        <f t="shared" si="4"/>
        <v>0</v>
      </c>
    </row>
    <row r="45" spans="1:9" ht="15.9" thickBot="1" x14ac:dyDescent="0.65">
      <c r="B45" s="615"/>
      <c r="C45" s="616"/>
      <c r="D45" s="616"/>
      <c r="E45" s="616"/>
      <c r="F45" s="616"/>
      <c r="G45" s="617" t="s">
        <v>640</v>
      </c>
      <c r="H45" s="660">
        <f>ROUND(SUM(H41:H44),2)</f>
        <v>116241.67</v>
      </c>
    </row>
    <row r="46" spans="1:9" ht="15.9" thickBot="1" x14ac:dyDescent="0.65">
      <c r="B46" s="636"/>
      <c r="C46" s="620"/>
      <c r="D46" s="620"/>
      <c r="E46" s="620"/>
      <c r="F46" s="620"/>
      <c r="G46" s="620"/>
      <c r="H46" s="621"/>
    </row>
    <row r="47" spans="1:9" ht="15.9" thickBot="1" x14ac:dyDescent="0.65">
      <c r="B47" s="661"/>
      <c r="C47" s="662"/>
      <c r="D47" s="662"/>
      <c r="E47" s="662"/>
      <c r="F47" s="662"/>
      <c r="G47" s="663" t="s">
        <v>656</v>
      </c>
      <c r="H47" s="664">
        <f>IFERROR(ROUND(H16+H28+H37+H45,0)," " )</f>
        <v>696741</v>
      </c>
    </row>
    <row r="48" spans="1:9" x14ac:dyDescent="0.6">
      <c r="B48" s="636"/>
      <c r="C48" s="620"/>
      <c r="D48" s="620"/>
      <c r="E48" s="620"/>
      <c r="F48" s="620"/>
      <c r="G48" s="620"/>
      <c r="H48" s="621"/>
    </row>
    <row r="49" spans="1:12" x14ac:dyDescent="0.6">
      <c r="B49" s="665" t="s">
        <v>657</v>
      </c>
      <c r="C49" s="666"/>
      <c r="D49" s="666"/>
      <c r="E49" s="666"/>
      <c r="F49" s="666"/>
      <c r="G49" s="666"/>
      <c r="H49" s="667"/>
    </row>
    <row r="50" spans="1:12" ht="15.9" thickBot="1" x14ac:dyDescent="0.65">
      <c r="B50" s="636"/>
      <c r="C50" s="620"/>
      <c r="D50" s="620"/>
      <c r="E50" s="620"/>
      <c r="F50" s="620"/>
      <c r="G50" s="620"/>
      <c r="H50" s="621"/>
    </row>
    <row r="51" spans="1:12" x14ac:dyDescent="0.6">
      <c r="B51" s="1315" t="s">
        <v>270</v>
      </c>
      <c r="C51" s="1316"/>
      <c r="D51" s="637"/>
      <c r="E51" s="668"/>
      <c r="F51" s="669" t="s">
        <v>658</v>
      </c>
      <c r="G51" s="670" t="s">
        <v>659</v>
      </c>
      <c r="H51" s="671"/>
    </row>
    <row r="52" spans="1:12" x14ac:dyDescent="0.6">
      <c r="B52" s="1317" t="s">
        <v>69</v>
      </c>
      <c r="C52" s="1318"/>
      <c r="D52" s="672"/>
      <c r="E52" s="673"/>
      <c r="F52" s="674"/>
      <c r="G52" s="675">
        <f>ROUND(H47*F52,2)</f>
        <v>0</v>
      </c>
      <c r="H52" s="676"/>
    </row>
    <row r="53" spans="1:12" ht="15.9" thickBot="1" x14ac:dyDescent="0.65">
      <c r="B53" s="677" t="s">
        <v>70</v>
      </c>
      <c r="C53" s="678"/>
      <c r="D53" s="672"/>
      <c r="E53" s="673"/>
      <c r="F53" s="679"/>
      <c r="G53" s="1179">
        <f>ROUND(H47*F53,2)</f>
        <v>0</v>
      </c>
      <c r="H53" s="676"/>
    </row>
    <row r="54" spans="1:12" ht="15.9" thickBot="1" x14ac:dyDescent="0.65">
      <c r="B54" s="1319" t="s">
        <v>640</v>
      </c>
      <c r="C54" s="1320"/>
      <c r="D54" s="1320"/>
      <c r="E54" s="1320"/>
      <c r="F54" s="1320"/>
      <c r="G54" s="1320"/>
      <c r="H54" s="680">
        <f>ROUND(G52+G53,2)</f>
        <v>0</v>
      </c>
    </row>
    <row r="55" spans="1:12" ht="15.9" thickBot="1" x14ac:dyDescent="0.65">
      <c r="B55" s="681"/>
      <c r="C55" s="682"/>
      <c r="D55" s="682"/>
      <c r="E55" s="682"/>
      <c r="F55" s="682"/>
      <c r="G55" s="682"/>
      <c r="H55" s="683"/>
    </row>
    <row r="56" spans="1:12" ht="15.9" thickBot="1" x14ac:dyDescent="0.65">
      <c r="A56" s="580" t="s">
        <v>660</v>
      </c>
      <c r="B56" s="1321"/>
      <c r="C56" s="1322"/>
      <c r="D56" s="1322"/>
      <c r="E56" s="1322"/>
      <c r="F56" s="1322"/>
      <c r="G56" s="1322"/>
      <c r="H56" s="684">
        <f>ROUND(H47+H54,0)</f>
        <v>696741</v>
      </c>
    </row>
    <row r="57" spans="1:12" x14ac:dyDescent="0.6">
      <c r="B57" s="1296" t="s">
        <v>629</v>
      </c>
      <c r="C57" s="1297"/>
      <c r="D57" s="1297"/>
      <c r="E57" s="1297"/>
      <c r="F57" s="1297"/>
      <c r="G57" s="1297"/>
      <c r="H57" s="1298"/>
      <c r="K57" s="581" t="s">
        <v>630</v>
      </c>
      <c r="L57" s="581">
        <v>1.85</v>
      </c>
    </row>
    <row r="58" spans="1:12" ht="30.75" customHeight="1" x14ac:dyDescent="0.6">
      <c r="B58" s="582" t="s">
        <v>631</v>
      </c>
      <c r="C58" s="1299" t="str">
        <f>+C2</f>
        <v>MEJORAMIENTO DE LA VIA QUE COMUNICA LA VEREDA EL ENCANTO CON EL CORREGIMIENTO EL SILENCIO, MUNICIPIO DE CAREPA, DEPARTAMENTO DE ANTIOQUIA.</v>
      </c>
      <c r="D58" s="1299"/>
      <c r="E58" s="1299"/>
      <c r="F58" s="1299"/>
      <c r="G58" s="1299"/>
      <c r="H58" s="1300"/>
    </row>
    <row r="59" spans="1:12" x14ac:dyDescent="0.6">
      <c r="B59" s="582" t="s">
        <v>632</v>
      </c>
      <c r="C59" s="1301"/>
      <c r="D59" s="1301"/>
      <c r="E59" s="1301"/>
      <c r="F59" s="1301"/>
      <c r="G59" s="1301"/>
      <c r="H59" s="1302"/>
    </row>
    <row r="60" spans="1:12" ht="15.9" thickBot="1" x14ac:dyDescent="0.65">
      <c r="B60" s="583"/>
      <c r="C60" s="584"/>
      <c r="D60" s="584"/>
      <c r="E60" s="584"/>
      <c r="F60" s="584"/>
      <c r="G60" s="584"/>
      <c r="H60" s="585"/>
    </row>
    <row r="61" spans="1:12" ht="15.9" thickBot="1" x14ac:dyDescent="0.65">
      <c r="B61" s="692" t="s">
        <v>264</v>
      </c>
      <c r="C61" s="1303" t="s">
        <v>115</v>
      </c>
      <c r="D61" s="1304"/>
      <c r="E61" s="1305"/>
      <c r="F61" s="587"/>
      <c r="G61" s="588" t="s">
        <v>386</v>
      </c>
      <c r="H61" s="586" t="s">
        <v>7</v>
      </c>
    </row>
    <row r="62" spans="1:12" ht="15.9" hidden="1" thickBot="1" x14ac:dyDescent="0.65">
      <c r="B62" s="586" t="s">
        <v>264</v>
      </c>
      <c r="C62" s="1306" t="s">
        <v>115</v>
      </c>
      <c r="D62" s="1307"/>
      <c r="E62" s="589"/>
      <c r="F62" s="590"/>
      <c r="G62" s="591" t="s">
        <v>386</v>
      </c>
      <c r="H62" s="586" t="s">
        <v>7</v>
      </c>
    </row>
    <row r="63" spans="1:12" s="708" customFormat="1" ht="29.25" customHeight="1" thickBot="1" x14ac:dyDescent="0.6">
      <c r="A63" s="708">
        <v>0</v>
      </c>
      <c r="B63" s="709" t="s">
        <v>633</v>
      </c>
      <c r="C63" s="1308" t="s">
        <v>661</v>
      </c>
      <c r="D63" s="1309"/>
      <c r="E63" s="1310"/>
      <c r="F63" s="710"/>
      <c r="G63" s="1167" t="s">
        <v>22</v>
      </c>
      <c r="H63" s="711">
        <v>1</v>
      </c>
      <c r="I63" s="827"/>
      <c r="J63" s="827"/>
    </row>
    <row r="64" spans="1:12" ht="9" customHeight="1" x14ac:dyDescent="0.6">
      <c r="B64" s="592"/>
      <c r="C64" s="593"/>
      <c r="D64" s="593"/>
      <c r="E64" s="593"/>
      <c r="F64" s="593"/>
      <c r="G64" s="593"/>
      <c r="H64" s="594"/>
    </row>
    <row r="65" spans="1:8" ht="17.25" customHeight="1" thickBot="1" x14ac:dyDescent="0.65">
      <c r="B65" s="595" t="s">
        <v>635</v>
      </c>
      <c r="C65" s="596"/>
      <c r="D65" s="596"/>
      <c r="E65" s="596"/>
      <c r="F65" s="596"/>
      <c r="G65" s="596"/>
      <c r="H65" s="597"/>
    </row>
    <row r="66" spans="1:8" x14ac:dyDescent="0.6">
      <c r="B66" s="598" t="s">
        <v>636</v>
      </c>
      <c r="C66" s="599"/>
      <c r="D66" s="599"/>
      <c r="E66" s="600"/>
      <c r="F66" s="601" t="s">
        <v>637</v>
      </c>
      <c r="G66" s="602" t="s">
        <v>638</v>
      </c>
      <c r="H66" s="603" t="s">
        <v>165</v>
      </c>
    </row>
    <row r="67" spans="1:8" x14ac:dyDescent="0.6">
      <c r="A67" s="580" t="s">
        <v>461</v>
      </c>
      <c r="B67" s="604" t="str">
        <f>+IFERROR(VLOOKUP(A67,'equipos y transporte'!$A$4:$E$35,3,FALSE), " ")</f>
        <v>Mezcladora de concreto 1 bulto</v>
      </c>
      <c r="C67" s="605"/>
      <c r="D67" s="605"/>
      <c r="E67" s="605"/>
      <c r="F67" s="813">
        <f>+IFERROR(VLOOKUP(A67,'equipos y transporte'!$A$4:$E$35,5,FALSE), " ")</f>
        <v>50624.999999999993</v>
      </c>
      <c r="G67" s="607">
        <v>6</v>
      </c>
      <c r="H67" s="608">
        <f>IFERROR(F67/G67, " ")</f>
        <v>8437.4999999999982</v>
      </c>
    </row>
    <row r="68" spans="1:8" x14ac:dyDescent="0.6">
      <c r="B68" s="604" t="str">
        <f>+IFERROR(VLOOKUP(A68,'equipos y transporte'!$A$4:$E$35,3,FALSE), " ")</f>
        <v xml:space="preserve"> </v>
      </c>
      <c r="C68" s="605"/>
      <c r="D68" s="605"/>
      <c r="E68" s="605"/>
      <c r="F68" s="813" t="str">
        <f>+IFERROR(VLOOKUP(A68,'equipos y transporte'!$A$4:$E$35,5,FALSE), " ")</f>
        <v xml:space="preserve"> </v>
      </c>
      <c r="G68" s="609"/>
      <c r="H68" s="608" t="str">
        <f t="shared" ref="H68:H70" si="5">IFERROR(F68/G68, " ")</f>
        <v xml:space="preserve"> </v>
      </c>
    </row>
    <row r="69" spans="1:8" x14ac:dyDescent="0.6">
      <c r="B69" s="604" t="str">
        <f>+IFERROR(VLOOKUP(A69,'equipos y transporte'!$A$4:$E$35,3,FALSE), " ")</f>
        <v xml:space="preserve"> </v>
      </c>
      <c r="C69" s="605"/>
      <c r="D69" s="605"/>
      <c r="E69" s="605"/>
      <c r="F69" s="813" t="str">
        <f>+IFERROR(VLOOKUP(A69,'equipos y transporte'!$A$4:$E$35,5,FALSE), " ")</f>
        <v xml:space="preserve"> </v>
      </c>
      <c r="G69" s="609"/>
      <c r="H69" s="608" t="str">
        <f t="shared" si="5"/>
        <v xml:space="preserve"> </v>
      </c>
    </row>
    <row r="70" spans="1:8" x14ac:dyDescent="0.6">
      <c r="B70" s="604" t="str">
        <f>+IFERROR(VLOOKUP(A70,'equipos y transporte'!$A$4:$E$35,3,FALSE), " ")</f>
        <v xml:space="preserve"> </v>
      </c>
      <c r="C70" s="605"/>
      <c r="D70" s="605"/>
      <c r="E70" s="605"/>
      <c r="F70" s="813" t="str">
        <f>+IFERROR(VLOOKUP(A70,'equipos y transporte'!$A$4:$E$35,5,FALSE), " ")</f>
        <v xml:space="preserve"> </v>
      </c>
      <c r="G70" s="611"/>
      <c r="H70" s="608" t="str">
        <f t="shared" si="5"/>
        <v xml:space="preserve"> </v>
      </c>
    </row>
    <row r="71" spans="1:8" ht="15.9" thickBot="1" x14ac:dyDescent="0.65">
      <c r="B71" s="1311" t="s">
        <v>639</v>
      </c>
      <c r="C71" s="1312"/>
      <c r="D71" s="1313"/>
      <c r="E71" s="1314"/>
      <c r="F71" s="613"/>
      <c r="G71" s="1168">
        <v>0.01</v>
      </c>
      <c r="H71" s="614">
        <f>ROUND(H101*G71,2)</f>
        <v>1162.42</v>
      </c>
    </row>
    <row r="72" spans="1:8" ht="15.9" thickBot="1" x14ac:dyDescent="0.65">
      <c r="B72" s="615"/>
      <c r="C72" s="616"/>
      <c r="D72" s="616"/>
      <c r="E72" s="616"/>
      <c r="F72" s="616"/>
      <c r="G72" s="617" t="s">
        <v>640</v>
      </c>
      <c r="H72" s="618">
        <f>ROUND(SUM(H67:H71),2)</f>
        <v>9599.92</v>
      </c>
    </row>
    <row r="73" spans="1:8" x14ac:dyDescent="0.6">
      <c r="B73" s="619"/>
      <c r="C73" s="620"/>
      <c r="D73" s="620"/>
      <c r="E73" s="620"/>
      <c r="F73" s="620"/>
      <c r="G73" s="620"/>
      <c r="H73" s="621"/>
    </row>
    <row r="74" spans="1:8" ht="15.9" thickBot="1" x14ac:dyDescent="0.65">
      <c r="B74" s="622" t="s">
        <v>641</v>
      </c>
      <c r="C74" s="623"/>
      <c r="D74" s="623"/>
      <c r="E74" s="623"/>
      <c r="F74" s="623"/>
      <c r="G74" s="623"/>
      <c r="H74" s="624"/>
    </row>
    <row r="75" spans="1:8" x14ac:dyDescent="0.6">
      <c r="B75" s="598" t="s">
        <v>642</v>
      </c>
      <c r="C75" s="599"/>
      <c r="D75" s="601" t="s">
        <v>386</v>
      </c>
      <c r="E75" s="601" t="s">
        <v>7</v>
      </c>
      <c r="F75" s="601" t="s">
        <v>643</v>
      </c>
      <c r="G75" s="625" t="s">
        <v>177</v>
      </c>
      <c r="H75" s="603" t="s">
        <v>165</v>
      </c>
    </row>
    <row r="76" spans="1:8" x14ac:dyDescent="0.6">
      <c r="A76" s="580" t="s">
        <v>493</v>
      </c>
      <c r="B76" s="626" t="str">
        <f>IFERROR(VLOOKUP(A76,insumos!$A$3:$E$39,3,FALSE), " ")</f>
        <v>Agua</v>
      </c>
      <c r="C76" s="627"/>
      <c r="D76" s="815" t="str">
        <f>IFERROR(VLOOKUP(A76,insumos!$A$3:$E$39,4,FALSE), " ")</f>
        <v>lt</v>
      </c>
      <c r="E76" s="628">
        <v>190</v>
      </c>
      <c r="F76" s="629">
        <v>0.03</v>
      </c>
      <c r="G76" s="814">
        <f>IFERROR(VLOOKUP(A76,insumos!$A$3:$E$39,5,FALSE), " ")</f>
        <v>111.37500000000001</v>
      </c>
      <c r="H76" s="630">
        <f t="shared" ref="H76:H83" si="6">+IFERROR(ROUND(G76*(E76*(1+F76/100)),2), " ")</f>
        <v>21167.599999999999</v>
      </c>
    </row>
    <row r="77" spans="1:8" x14ac:dyDescent="0.6">
      <c r="A77" s="580" t="s">
        <v>498</v>
      </c>
      <c r="B77" s="626" t="str">
        <f>IFERROR(VLOOKUP(A77,insumos!$A$3:$E$39,3,FALSE), " ")</f>
        <v>Arena lavada</v>
      </c>
      <c r="C77" s="627"/>
      <c r="D77" s="815" t="str">
        <f>IFERROR(VLOOKUP(A77,insumos!$A$3:$E$39,4,FALSE), " ")</f>
        <v>m3</v>
      </c>
      <c r="E77" s="628">
        <v>0.56000000000000005</v>
      </c>
      <c r="F77" s="629">
        <v>0.03</v>
      </c>
      <c r="G77" s="814">
        <f>IFERROR(VLOOKUP(A77,insumos!$A$3:$E$39,5,FALSE), " ")</f>
        <v>80190</v>
      </c>
      <c r="H77" s="630">
        <f t="shared" si="6"/>
        <v>44919.87</v>
      </c>
    </row>
    <row r="78" spans="1:8" x14ac:dyDescent="0.6">
      <c r="A78" s="580" t="s">
        <v>490</v>
      </c>
      <c r="B78" s="626" t="str">
        <f>IFERROR(VLOOKUP(A78,insumos!$A$3:$E$39,3,FALSE), " ")</f>
        <v>Agregado para concreto hidráulico</v>
      </c>
      <c r="C78" s="627"/>
      <c r="D78" s="815" t="str">
        <f>IFERROR(VLOOKUP(A78,insumos!$A$3:$E$39,4,FALSE), " ")</f>
        <v>m3</v>
      </c>
      <c r="E78" s="628">
        <v>0.86</v>
      </c>
      <c r="F78" s="629">
        <v>0.03</v>
      </c>
      <c r="G78" s="814">
        <f>IFERROR(VLOOKUP(A78,insumos!$A$3:$E$39,5,FALSE), " ")</f>
        <v>83939.625</v>
      </c>
      <c r="H78" s="630">
        <f t="shared" si="6"/>
        <v>72209.73</v>
      </c>
    </row>
    <row r="79" spans="1:8" x14ac:dyDescent="0.6">
      <c r="A79" s="632" t="s">
        <v>506</v>
      </c>
      <c r="B79" s="626" t="str">
        <f>IFERROR(VLOOKUP(A79,insumos!$A$3:$E$39,3,FALSE), " ")</f>
        <v>Cemento gris</v>
      </c>
      <c r="C79" s="627"/>
      <c r="D79" s="815" t="str">
        <f>IFERROR(VLOOKUP(A79,insumos!$A$3:$E$39,4,FALSE), " ")</f>
        <v>kg</v>
      </c>
      <c r="E79" s="628">
        <v>350</v>
      </c>
      <c r="F79" s="629">
        <v>0.03</v>
      </c>
      <c r="G79" s="814">
        <f>IFERROR(VLOOKUP(A79,insumos!$A$3:$E$39,5,FALSE), " ")</f>
        <v>835.3125</v>
      </c>
      <c r="H79" s="630">
        <f t="shared" si="6"/>
        <v>292447.08</v>
      </c>
    </row>
    <row r="80" spans="1:8" x14ac:dyDescent="0.6">
      <c r="A80" s="632"/>
      <c r="B80" s="626" t="str">
        <f>IFERROR(VLOOKUP(A80,insumos!$A$3:$E$39,3,FALSE), " ")</f>
        <v xml:space="preserve"> </v>
      </c>
      <c r="C80" s="627"/>
      <c r="D80" s="815" t="str">
        <f>IFERROR(VLOOKUP(A80,insumos!$A$3:$E$39,4,FALSE), " ")</f>
        <v xml:space="preserve"> </v>
      </c>
      <c r="E80" s="628"/>
      <c r="F80" s="629"/>
      <c r="G80" s="814" t="str">
        <f>IFERROR(VLOOKUP(A80,insumos!$A$3:$E$39,5,FALSE), " ")</f>
        <v xml:space="preserve"> </v>
      </c>
      <c r="H80" s="630" t="str">
        <f t="shared" si="6"/>
        <v xml:space="preserve"> </v>
      </c>
    </row>
    <row r="81" spans="1:8" x14ac:dyDescent="0.6">
      <c r="A81" s="632"/>
      <c r="B81" s="626" t="str">
        <f>IFERROR(VLOOKUP(A81,insumos!$A$3:$E$39,3,FALSE), " ")</f>
        <v xml:space="preserve"> </v>
      </c>
      <c r="C81" s="627"/>
      <c r="D81" s="815" t="str">
        <f>IFERROR(VLOOKUP(A81,insumos!$A$3:$E$39,4,FALSE), " ")</f>
        <v xml:space="preserve"> </v>
      </c>
      <c r="E81" s="628"/>
      <c r="F81" s="629"/>
      <c r="G81" s="814" t="str">
        <f>IFERROR(VLOOKUP(A81,insumos!$A$3:$E$39,5,FALSE), " ")</f>
        <v xml:space="preserve"> </v>
      </c>
      <c r="H81" s="630" t="str">
        <f t="shared" si="6"/>
        <v xml:space="preserve"> </v>
      </c>
    </row>
    <row r="82" spans="1:8" x14ac:dyDescent="0.6">
      <c r="B82" s="626" t="str">
        <f>IFERROR(VLOOKUP(A82,insumos!$A$3:$E$39,3,FALSE), " ")</f>
        <v xml:space="preserve"> </v>
      </c>
      <c r="C82" s="627"/>
      <c r="D82" s="815" t="str">
        <f>IFERROR(VLOOKUP(A82,insumos!$A$3:$E$39,4,FALSE), " ")</f>
        <v xml:space="preserve"> </v>
      </c>
      <c r="E82" s="633"/>
      <c r="F82" s="634"/>
      <c r="G82" s="814" t="str">
        <f>IFERROR(VLOOKUP(A82,insumos!$A$3:$E$39,5,FALSE), " ")</f>
        <v xml:space="preserve"> </v>
      </c>
      <c r="H82" s="630" t="str">
        <f t="shared" si="6"/>
        <v xml:space="preserve"> </v>
      </c>
    </row>
    <row r="83" spans="1:8" ht="15.9" thickBot="1" x14ac:dyDescent="0.65">
      <c r="B83" s="626" t="str">
        <f>IFERROR(VLOOKUP(A83,insumos!$A$3:$E$39,3,FALSE), " ")</f>
        <v xml:space="preserve"> </v>
      </c>
      <c r="C83" s="627"/>
      <c r="D83" s="815" t="str">
        <f>IFERROR(VLOOKUP(A83,insumos!$A$3:$E$39,4,FALSE), " ")</f>
        <v xml:space="preserve"> </v>
      </c>
      <c r="E83" s="1173"/>
      <c r="F83" s="1174"/>
      <c r="G83" s="814" t="str">
        <f>IFERROR(VLOOKUP(A83,insumos!$A$3:$E$39,5,FALSE), " ")</f>
        <v xml:space="preserve"> </v>
      </c>
      <c r="H83" s="867" t="str">
        <f t="shared" si="6"/>
        <v xml:space="preserve"> </v>
      </c>
    </row>
    <row r="84" spans="1:8" ht="15.9" thickBot="1" x14ac:dyDescent="0.65">
      <c r="B84" s="615"/>
      <c r="C84" s="616"/>
      <c r="D84" s="616"/>
      <c r="E84" s="616"/>
      <c r="F84" s="616"/>
      <c r="G84" s="617" t="s">
        <v>640</v>
      </c>
      <c r="H84" s="868">
        <f>ROUND(SUM(H76:H83),2)</f>
        <v>430744.28</v>
      </c>
    </row>
    <row r="85" spans="1:8" x14ac:dyDescent="0.6">
      <c r="B85" s="636"/>
      <c r="C85" s="620"/>
      <c r="D85" s="620"/>
      <c r="E85" s="620"/>
      <c r="F85" s="620"/>
      <c r="G85" s="620"/>
      <c r="H85" s="621"/>
    </row>
    <row r="86" spans="1:8" ht="15.9" thickBot="1" x14ac:dyDescent="0.65">
      <c r="B86" s="622" t="s">
        <v>285</v>
      </c>
      <c r="C86" s="623"/>
      <c r="D86" s="623"/>
      <c r="E86" s="623"/>
      <c r="F86" s="623"/>
      <c r="G86" s="623"/>
      <c r="H86" s="624"/>
    </row>
    <row r="87" spans="1:8" x14ac:dyDescent="0.6">
      <c r="B87" s="598" t="s">
        <v>644</v>
      </c>
      <c r="C87" s="637"/>
      <c r="D87" s="638" t="s">
        <v>645</v>
      </c>
      <c r="E87" s="639" t="s">
        <v>646</v>
      </c>
      <c r="F87" s="640" t="s">
        <v>647</v>
      </c>
      <c r="G87" s="641" t="s">
        <v>648</v>
      </c>
      <c r="H87" s="642" t="s">
        <v>165</v>
      </c>
    </row>
    <row r="88" spans="1:8" x14ac:dyDescent="0.6">
      <c r="A88" s="580" t="s">
        <v>484</v>
      </c>
      <c r="B88" s="643" t="str">
        <f>IFERROR(VLOOKUP(A88,'equipos y transporte'!$A$4:$E$35,3,FALSE), " ")</f>
        <v>Transporte de Arena Lavada</v>
      </c>
      <c r="C88" s="605"/>
      <c r="D88" s="610">
        <f>+E77</f>
        <v>0.56000000000000005</v>
      </c>
      <c r="E88" s="644">
        <f>+cantera</f>
        <v>35</v>
      </c>
      <c r="F88" s="610">
        <f>IFERROR(D88*E88, " ")</f>
        <v>19.600000000000001</v>
      </c>
      <c r="G88" s="814">
        <f>IFERROR(VLOOKUP(A88,'equipos y transporte'!$A$4:$E$35,5,FALSE), " ")</f>
        <v>1672.9261363636363</v>
      </c>
      <c r="H88" s="645">
        <f>IFERROR(ROUND(F88*G88,2), " ")</f>
        <v>32789.35</v>
      </c>
    </row>
    <row r="89" spans="1:8" x14ac:dyDescent="0.6">
      <c r="A89" s="580" t="s">
        <v>481</v>
      </c>
      <c r="B89" s="643" t="str">
        <f>IFERROR(VLOOKUP(A89,'equipos y transporte'!$A$4:$E$35,3,FALSE), " ")</f>
        <v>Transporte de Material Triturado</v>
      </c>
      <c r="C89" s="646"/>
      <c r="D89" s="610">
        <f>+E78</f>
        <v>0.86</v>
      </c>
      <c r="E89" s="644">
        <f>+cantera</f>
        <v>35</v>
      </c>
      <c r="F89" s="610">
        <f t="shared" ref="F89:F92" si="7">IFERROR(D89*E89, " ")</f>
        <v>30.099999999999998</v>
      </c>
      <c r="G89" s="814">
        <f>IFERROR(VLOOKUP(A89,'equipos y transporte'!$A$4:$E$35,5,FALSE), " ")</f>
        <v>1672.9261363636363</v>
      </c>
      <c r="H89" s="645">
        <f>IFERROR(ROUND(F89*G89,2), " ")</f>
        <v>50355.08</v>
      </c>
    </row>
    <row r="90" spans="1:8" x14ac:dyDescent="0.6">
      <c r="A90" s="580" t="s">
        <v>474</v>
      </c>
      <c r="B90" s="643" t="str">
        <f>IFERROR(VLOOKUP(A90,'equipos y transporte'!$A$4:$E$35,3,FALSE), " ")</f>
        <v>Transporte de cemento</v>
      </c>
      <c r="C90" s="834"/>
      <c r="D90" s="835">
        <f>+E79</f>
        <v>350</v>
      </c>
      <c r="E90" s="836">
        <v>15</v>
      </c>
      <c r="F90" s="835">
        <f t="shared" si="7"/>
        <v>5250</v>
      </c>
      <c r="G90" s="837">
        <f>IFERROR(VLOOKUP(A90,'equipos y transporte'!$A$4:$E$35,5,FALSE), " ")</f>
        <v>1.2375000000000003</v>
      </c>
      <c r="H90" s="838">
        <f>IFERROR(ROUND(F90*G90,2), " ")</f>
        <v>6496.88</v>
      </c>
    </row>
    <row r="91" spans="1:8" x14ac:dyDescent="0.6">
      <c r="B91" s="643" t="str">
        <f>IFERROR(VLOOKUP(A91,'equipos y transporte'!$A$4:$E$35,3,FALSE), " ")</f>
        <v xml:space="preserve"> </v>
      </c>
      <c r="C91" s="834"/>
      <c r="D91" s="835"/>
      <c r="E91" s="836"/>
      <c r="F91" s="835">
        <f t="shared" si="7"/>
        <v>0</v>
      </c>
      <c r="G91" s="837" t="str">
        <f>IFERROR(VLOOKUP(A91,'equipos y transporte'!$A$4:$E$35,5,FALSE), " ")</f>
        <v xml:space="preserve"> </v>
      </c>
      <c r="H91" s="838" t="str">
        <f>IFERROR(ROUND(F91*G91,2), " ")</f>
        <v xml:space="preserve"> </v>
      </c>
    </row>
    <row r="92" spans="1:8" ht="15.9" thickBot="1" x14ac:dyDescent="0.65">
      <c r="B92" s="643" t="str">
        <f>IFERROR(VLOOKUP(A92,'equipos y transporte'!$A$4:$E$35,3,FALSE), " ")</f>
        <v xml:space="preserve"> </v>
      </c>
      <c r="C92" s="1172"/>
      <c r="D92" s="1176"/>
      <c r="E92" s="1177"/>
      <c r="F92" s="1176">
        <f t="shared" si="7"/>
        <v>0</v>
      </c>
      <c r="G92" s="814" t="str">
        <f>IFERROR(VLOOKUP(A92,'equipos y transporte'!$A$4:$E$35,5,FALSE), " ")</f>
        <v xml:space="preserve"> </v>
      </c>
      <c r="H92" s="1178" t="str">
        <f>IFERROR(ROUND(F92*G92,2), " ")</f>
        <v xml:space="preserve"> </v>
      </c>
    </row>
    <row r="93" spans="1:8" ht="15.9" thickBot="1" x14ac:dyDescent="0.65">
      <c r="B93" s="615"/>
      <c r="C93" s="616"/>
      <c r="D93" s="616"/>
      <c r="E93" s="616"/>
      <c r="F93" s="616"/>
      <c r="G93" s="617" t="s">
        <v>640</v>
      </c>
      <c r="H93" s="647">
        <f>SUM(H88:H92)</f>
        <v>89641.31</v>
      </c>
    </row>
    <row r="94" spans="1:8" x14ac:dyDescent="0.6">
      <c r="B94" s="636"/>
      <c r="C94" s="620"/>
      <c r="D94" s="620"/>
      <c r="E94" s="620"/>
      <c r="F94" s="620"/>
      <c r="G94" s="620"/>
      <c r="H94" s="621"/>
    </row>
    <row r="95" spans="1:8" ht="15.9" thickBot="1" x14ac:dyDescent="0.65">
      <c r="B95" s="622" t="s">
        <v>292</v>
      </c>
      <c r="C95" s="623"/>
      <c r="D95" s="623"/>
      <c r="E95" s="623"/>
      <c r="F95" s="623"/>
      <c r="G95" s="623"/>
      <c r="H95" s="624"/>
    </row>
    <row r="96" spans="1:8" ht="31.2" x14ac:dyDescent="0.6">
      <c r="B96" s="648" t="s">
        <v>649</v>
      </c>
      <c r="C96" s="649"/>
      <c r="D96" s="640" t="s">
        <v>650</v>
      </c>
      <c r="E96" s="639" t="s">
        <v>651</v>
      </c>
      <c r="F96" s="638" t="s">
        <v>652</v>
      </c>
      <c r="G96" s="650" t="s">
        <v>638</v>
      </c>
      <c r="H96" s="651" t="s">
        <v>165</v>
      </c>
    </row>
    <row r="97" spans="1:9" x14ac:dyDescent="0.6">
      <c r="A97" s="580" t="s">
        <v>653</v>
      </c>
      <c r="B97" s="652" t="s">
        <v>311</v>
      </c>
      <c r="C97" s="646"/>
      <c r="D97" s="653">
        <f>+ofic</f>
        <v>73666.666666666672</v>
      </c>
      <c r="E97" s="654">
        <f>+$L$57</f>
        <v>1.85</v>
      </c>
      <c r="F97" s="655">
        <f>+IFERROR(D97*E97, " ")</f>
        <v>136283.33333333334</v>
      </c>
      <c r="G97" s="656">
        <f>+$G$67</f>
        <v>6</v>
      </c>
      <c r="H97" s="645">
        <f>IFERROR(ROUND(F97/G97,2),0)</f>
        <v>22713.89</v>
      </c>
      <c r="I97" s="826"/>
    </row>
    <row r="98" spans="1:9" x14ac:dyDescent="0.6">
      <c r="A98" s="580" t="s">
        <v>654</v>
      </c>
      <c r="B98" s="652" t="s">
        <v>655</v>
      </c>
      <c r="C98" s="850">
        <v>7</v>
      </c>
      <c r="D98" s="653">
        <f>+jornal*C98</f>
        <v>303333.33333333337</v>
      </c>
      <c r="E98" s="654">
        <f>+$L$57</f>
        <v>1.85</v>
      </c>
      <c r="F98" s="655">
        <f t="shared" ref="F98:F100" si="8">+IFERROR(D98*E98, " ")</f>
        <v>561166.66666666674</v>
      </c>
      <c r="G98" s="656">
        <f>+$G$67</f>
        <v>6</v>
      </c>
      <c r="H98" s="645">
        <f>IFERROR(ROUND(F98/G98,2),0)</f>
        <v>93527.78</v>
      </c>
    </row>
    <row r="99" spans="1:9" x14ac:dyDescent="0.6">
      <c r="B99" s="652"/>
      <c r="C99" s="646"/>
      <c r="D99" s="653"/>
      <c r="E99" s="657"/>
      <c r="F99" s="655">
        <f t="shared" si="8"/>
        <v>0</v>
      </c>
      <c r="G99" s="658"/>
      <c r="H99" s="645">
        <f t="shared" ref="H99:H100" si="9">IFERROR(ROUND(F99/G99,2),0)</f>
        <v>0</v>
      </c>
    </row>
    <row r="100" spans="1:9" ht="15.9" thickBot="1" x14ac:dyDescent="0.65">
      <c r="B100" s="652"/>
      <c r="C100" s="646"/>
      <c r="D100" s="653"/>
      <c r="E100" s="657"/>
      <c r="F100" s="655">
        <f t="shared" si="8"/>
        <v>0</v>
      </c>
      <c r="G100" s="659"/>
      <c r="H100" s="645">
        <f t="shared" si="9"/>
        <v>0</v>
      </c>
    </row>
    <row r="101" spans="1:9" ht="15.9" thickBot="1" x14ac:dyDescent="0.65">
      <c r="B101" s="615"/>
      <c r="C101" s="616"/>
      <c r="D101" s="616"/>
      <c r="E101" s="616"/>
      <c r="F101" s="616"/>
      <c r="G101" s="617" t="s">
        <v>640</v>
      </c>
      <c r="H101" s="660">
        <f>ROUND(SUM(H97:H100),2)</f>
        <v>116241.67</v>
      </c>
    </row>
    <row r="102" spans="1:9" ht="15.9" thickBot="1" x14ac:dyDescent="0.65">
      <c r="B102" s="636"/>
      <c r="C102" s="620"/>
      <c r="D102" s="620"/>
      <c r="E102" s="620"/>
      <c r="F102" s="620"/>
      <c r="G102" s="620"/>
      <c r="H102" s="621"/>
    </row>
    <row r="103" spans="1:9" ht="15.9" thickBot="1" x14ac:dyDescent="0.65">
      <c r="B103" s="661"/>
      <c r="C103" s="662"/>
      <c r="D103" s="662"/>
      <c r="E103" s="662"/>
      <c r="F103" s="662"/>
      <c r="G103" s="663" t="s">
        <v>656</v>
      </c>
      <c r="H103" s="664">
        <f>IFERROR(ROUND(H72+H84+H93+H101,0)," " )</f>
        <v>646227</v>
      </c>
    </row>
    <row r="104" spans="1:9" x14ac:dyDescent="0.6">
      <c r="B104" s="636"/>
      <c r="C104" s="620"/>
      <c r="D104" s="620"/>
      <c r="E104" s="620"/>
      <c r="F104" s="620"/>
      <c r="G104" s="620"/>
      <c r="H104" s="621"/>
    </row>
    <row r="105" spans="1:9" x14ac:dyDescent="0.6">
      <c r="B105" s="665" t="s">
        <v>657</v>
      </c>
      <c r="C105" s="666"/>
      <c r="D105" s="666"/>
      <c r="E105" s="666"/>
      <c r="F105" s="666"/>
      <c r="G105" s="666"/>
      <c r="H105" s="667"/>
    </row>
    <row r="106" spans="1:9" ht="15.9" thickBot="1" x14ac:dyDescent="0.65">
      <c r="B106" s="636"/>
      <c r="C106" s="620"/>
      <c r="D106" s="620"/>
      <c r="E106" s="620"/>
      <c r="F106" s="620"/>
      <c r="G106" s="620"/>
      <c r="H106" s="621"/>
    </row>
    <row r="107" spans="1:9" x14ac:dyDescent="0.6">
      <c r="B107" s="1315" t="s">
        <v>270</v>
      </c>
      <c r="C107" s="1316"/>
      <c r="D107" s="637"/>
      <c r="E107" s="668"/>
      <c r="F107" s="669" t="s">
        <v>658</v>
      </c>
      <c r="G107" s="670" t="s">
        <v>659</v>
      </c>
      <c r="H107" s="671"/>
    </row>
    <row r="108" spans="1:9" x14ac:dyDescent="0.6">
      <c r="B108" s="1317" t="s">
        <v>69</v>
      </c>
      <c r="C108" s="1318"/>
      <c r="D108" s="672"/>
      <c r="E108" s="673"/>
      <c r="F108" s="674"/>
      <c r="G108" s="675">
        <f>ROUND(H103*F108,2)</f>
        <v>0</v>
      </c>
      <c r="H108" s="676"/>
    </row>
    <row r="109" spans="1:9" ht="15.9" thickBot="1" x14ac:dyDescent="0.65">
      <c r="B109" s="677" t="s">
        <v>70</v>
      </c>
      <c r="C109" s="678"/>
      <c r="D109" s="672"/>
      <c r="E109" s="673"/>
      <c r="F109" s="679"/>
      <c r="G109" s="1179">
        <f>ROUND(H103*F109,2)</f>
        <v>0</v>
      </c>
      <c r="H109" s="676"/>
    </row>
    <row r="110" spans="1:9" ht="15.9" thickBot="1" x14ac:dyDescent="0.65">
      <c r="B110" s="1319" t="s">
        <v>640</v>
      </c>
      <c r="C110" s="1320"/>
      <c r="D110" s="1320"/>
      <c r="E110" s="1320"/>
      <c r="F110" s="1320"/>
      <c r="G110" s="1320"/>
      <c r="H110" s="680">
        <f>ROUND(G108+G109,2)</f>
        <v>0</v>
      </c>
    </row>
    <row r="111" spans="1:9" ht="15.9" thickBot="1" x14ac:dyDescent="0.65">
      <c r="B111" s="681"/>
      <c r="C111" s="682"/>
      <c r="D111" s="682"/>
      <c r="E111" s="682"/>
      <c r="F111" s="682"/>
      <c r="G111" s="682"/>
      <c r="H111" s="683"/>
    </row>
    <row r="112" spans="1:9" ht="15.9" thickBot="1" x14ac:dyDescent="0.65">
      <c r="A112" s="580" t="s">
        <v>660</v>
      </c>
      <c r="B112" s="1321"/>
      <c r="C112" s="1322"/>
      <c r="D112" s="1322"/>
      <c r="E112" s="1322"/>
      <c r="F112" s="1322"/>
      <c r="G112" s="1322"/>
      <c r="H112" s="684">
        <f>ROUND(H103+H110,0)</f>
        <v>646227</v>
      </c>
    </row>
    <row r="113" spans="1:10" ht="29.25" customHeight="1" x14ac:dyDescent="0.6">
      <c r="B113" s="1296" t="s">
        <v>629</v>
      </c>
      <c r="C113" s="1297"/>
      <c r="D113" s="1297"/>
      <c r="E113" s="1297"/>
      <c r="F113" s="1297"/>
      <c r="G113" s="1297"/>
      <c r="H113" s="1298"/>
    </row>
    <row r="114" spans="1:10" ht="15.75" customHeight="1" x14ac:dyDescent="0.6">
      <c r="B114" s="582" t="s">
        <v>631</v>
      </c>
      <c r="C114" s="1299" t="str">
        <f>+C58</f>
        <v>MEJORAMIENTO DE LA VIA QUE COMUNICA LA VEREDA EL ENCANTO CON EL CORREGIMIENTO EL SILENCIO, MUNICIPIO DE CAREPA, DEPARTAMENTO DE ANTIOQUIA.</v>
      </c>
      <c r="D114" s="1299"/>
      <c r="E114" s="1299"/>
      <c r="F114" s="1299"/>
      <c r="G114" s="1299"/>
      <c r="H114" s="1300"/>
    </row>
    <row r="115" spans="1:10" x14ac:dyDescent="0.6">
      <c r="B115" s="582" t="s">
        <v>632</v>
      </c>
      <c r="C115" s="1301"/>
      <c r="D115" s="1301"/>
      <c r="E115" s="1301"/>
      <c r="F115" s="1301"/>
      <c r="G115" s="1301"/>
      <c r="H115" s="1302"/>
    </row>
    <row r="116" spans="1:10" ht="15.9" thickBot="1" x14ac:dyDescent="0.65">
      <c r="B116" s="685"/>
      <c r="C116" s="686"/>
      <c r="D116" s="686"/>
      <c r="E116" s="686"/>
      <c r="F116" s="686"/>
      <c r="G116" s="686"/>
      <c r="H116" s="687"/>
    </row>
    <row r="117" spans="1:10" ht="15.9" thickBot="1" x14ac:dyDescent="0.65">
      <c r="B117" s="586" t="s">
        <v>264</v>
      </c>
      <c r="C117" s="1323" t="s">
        <v>115</v>
      </c>
      <c r="D117" s="1324"/>
      <c r="E117" s="1325"/>
      <c r="F117" s="689"/>
      <c r="G117" s="690" t="s">
        <v>386</v>
      </c>
      <c r="H117" s="688" t="s">
        <v>7</v>
      </c>
    </row>
    <row r="118" spans="1:10" s="708" customFormat="1" ht="29.25" customHeight="1" thickBot="1" x14ac:dyDescent="0.6">
      <c r="B118" s="709" t="s">
        <v>633</v>
      </c>
      <c r="C118" s="1308" t="s">
        <v>662</v>
      </c>
      <c r="D118" s="1309"/>
      <c r="E118" s="1310"/>
      <c r="F118" s="710"/>
      <c r="G118" s="1167" t="s">
        <v>22</v>
      </c>
      <c r="H118" s="711">
        <v>1</v>
      </c>
      <c r="I118" s="827"/>
      <c r="J118" s="827"/>
    </row>
    <row r="119" spans="1:10" x14ac:dyDescent="0.6">
      <c r="B119" s="592"/>
      <c r="C119" s="593"/>
      <c r="D119" s="593"/>
      <c r="E119" s="593"/>
      <c r="F119" s="593"/>
      <c r="G119" s="593"/>
      <c r="H119" s="594"/>
    </row>
    <row r="120" spans="1:10" ht="15.9" thickBot="1" x14ac:dyDescent="0.65">
      <c r="B120" s="595" t="s">
        <v>635</v>
      </c>
      <c r="C120" s="596"/>
      <c r="D120" s="596"/>
      <c r="E120" s="596"/>
      <c r="F120" s="596"/>
      <c r="G120" s="596"/>
      <c r="H120" s="597"/>
    </row>
    <row r="121" spans="1:10" x14ac:dyDescent="0.6">
      <c r="B121" s="598" t="s">
        <v>636</v>
      </c>
      <c r="C121" s="599"/>
      <c r="D121" s="599"/>
      <c r="E121" s="600"/>
      <c r="F121" s="601" t="s">
        <v>637</v>
      </c>
      <c r="G121" s="602" t="s">
        <v>638</v>
      </c>
      <c r="H121" s="603" t="s">
        <v>165</v>
      </c>
    </row>
    <row r="122" spans="1:10" x14ac:dyDescent="0.6">
      <c r="A122" s="580" t="s">
        <v>461</v>
      </c>
      <c r="B122" s="604" t="str">
        <f>+IFERROR(VLOOKUP(A122,'equipos y transporte'!$A$4:$E$35,3,FALSE), " ")</f>
        <v>Mezcladora de concreto 1 bulto</v>
      </c>
      <c r="C122" s="605"/>
      <c r="D122" s="605"/>
      <c r="E122" s="605"/>
      <c r="F122" s="813">
        <f>+IFERROR(VLOOKUP(A122,'equipos y transporte'!$A$4:$E$35,5,FALSE), " ")</f>
        <v>50624.999999999993</v>
      </c>
      <c r="G122" s="607">
        <v>6</v>
      </c>
      <c r="H122" s="608">
        <f>IFERROR(F122/G122, " ")</f>
        <v>8437.4999999999982</v>
      </c>
    </row>
    <row r="123" spans="1:10" x14ac:dyDescent="0.6">
      <c r="B123" s="604" t="str">
        <f>+IFERROR(VLOOKUP(A123,'equipos y transporte'!$A$4:$E$35,3,FALSE), " ")</f>
        <v xml:space="preserve"> </v>
      </c>
      <c r="C123" s="605"/>
      <c r="D123" s="605"/>
      <c r="E123" s="605"/>
      <c r="F123" s="813" t="str">
        <f>+IFERROR(VLOOKUP(A123,'equipos y transporte'!$A$4:$E$35,5,FALSE), " ")</f>
        <v xml:space="preserve"> </v>
      </c>
      <c r="G123" s="609"/>
      <c r="H123" s="608" t="str">
        <f t="shared" ref="H123:H125" si="10">IFERROR(F123/G123, " ")</f>
        <v xml:space="preserve"> </v>
      </c>
    </row>
    <row r="124" spans="1:10" x14ac:dyDescent="0.6">
      <c r="B124" s="604" t="str">
        <f>+IFERROR(VLOOKUP(A124,'equipos y transporte'!$A$4:$E$35,3,FALSE), " ")</f>
        <v xml:space="preserve"> </v>
      </c>
      <c r="C124" s="605"/>
      <c r="D124" s="605"/>
      <c r="E124" s="605"/>
      <c r="F124" s="813" t="str">
        <f>+IFERROR(VLOOKUP(A124,'equipos y transporte'!$A$4:$E$35,5,FALSE), " ")</f>
        <v xml:space="preserve"> </v>
      </c>
      <c r="G124" s="609"/>
      <c r="H124" s="608" t="str">
        <f t="shared" si="10"/>
        <v xml:space="preserve"> </v>
      </c>
    </row>
    <row r="125" spans="1:10" x14ac:dyDescent="0.6">
      <c r="B125" s="604" t="str">
        <f>+IFERROR(VLOOKUP(A125,'equipos y transporte'!$A$4:$E$35,3,FALSE), " ")</f>
        <v xml:space="preserve"> </v>
      </c>
      <c r="C125" s="605"/>
      <c r="D125" s="605"/>
      <c r="E125" s="605"/>
      <c r="F125" s="813" t="str">
        <f>+IFERROR(VLOOKUP(A125,'equipos y transporte'!$A$4:$E$35,5,FALSE), " ")</f>
        <v xml:space="preserve"> </v>
      </c>
      <c r="G125" s="611"/>
      <c r="H125" s="608" t="str">
        <f t="shared" si="10"/>
        <v xml:space="preserve"> </v>
      </c>
    </row>
    <row r="126" spans="1:10" ht="15.9" thickBot="1" x14ac:dyDescent="0.65">
      <c r="B126" s="1311" t="s">
        <v>639</v>
      </c>
      <c r="C126" s="1312"/>
      <c r="D126" s="1313"/>
      <c r="E126" s="1314"/>
      <c r="F126" s="613"/>
      <c r="G126" s="1168">
        <v>0.01</v>
      </c>
      <c r="H126" s="614">
        <f>ROUND(H156*G126,2)</f>
        <v>1162.42</v>
      </c>
    </row>
    <row r="127" spans="1:10" ht="15.9" thickBot="1" x14ac:dyDescent="0.65">
      <c r="B127" s="615"/>
      <c r="C127" s="616"/>
      <c r="D127" s="616"/>
      <c r="E127" s="616"/>
      <c r="F127" s="616"/>
      <c r="G127" s="617" t="s">
        <v>640</v>
      </c>
      <c r="H127" s="618">
        <f>ROUND(SUM(H122:H126),2)</f>
        <v>9599.92</v>
      </c>
    </row>
    <row r="128" spans="1:10" x14ac:dyDescent="0.6">
      <c r="B128" s="619"/>
      <c r="C128" s="620"/>
      <c r="D128" s="620"/>
      <c r="E128" s="620"/>
      <c r="F128" s="620"/>
      <c r="G128" s="620"/>
      <c r="H128" s="621"/>
    </row>
    <row r="129" spans="1:8" ht="15.9" thickBot="1" x14ac:dyDescent="0.65">
      <c r="B129" s="622" t="s">
        <v>641</v>
      </c>
      <c r="C129" s="623"/>
      <c r="D129" s="623"/>
      <c r="E129" s="623"/>
      <c r="F129" s="623"/>
      <c r="G129" s="623"/>
      <c r="H129" s="624"/>
    </row>
    <row r="130" spans="1:8" x14ac:dyDescent="0.6">
      <c r="B130" s="598" t="s">
        <v>642</v>
      </c>
      <c r="C130" s="599"/>
      <c r="D130" s="601" t="s">
        <v>386</v>
      </c>
      <c r="E130" s="601" t="s">
        <v>7</v>
      </c>
      <c r="F130" s="601" t="s">
        <v>643</v>
      </c>
      <c r="G130" s="625" t="s">
        <v>177</v>
      </c>
      <c r="H130" s="603" t="s">
        <v>165</v>
      </c>
    </row>
    <row r="131" spans="1:8" x14ac:dyDescent="0.6">
      <c r="A131" s="580" t="s">
        <v>493</v>
      </c>
      <c r="B131" s="626" t="str">
        <f>IFERROR(VLOOKUP(A131,insumos!$A$3:$E$39,3,FALSE), " ")</f>
        <v>Agua</v>
      </c>
      <c r="C131" s="627"/>
      <c r="D131" s="815" t="str">
        <f>IFERROR(VLOOKUP(A131,insumos!$A$3:$E$39,4,FALSE), " ")</f>
        <v>lt</v>
      </c>
      <c r="E131" s="628">
        <v>180</v>
      </c>
      <c r="F131" s="629">
        <v>0.03</v>
      </c>
      <c r="G131" s="814">
        <f>IFERROR(VLOOKUP(A131,insumos!$A$3:$E$39,5,FALSE), " ")</f>
        <v>111.37500000000001</v>
      </c>
      <c r="H131" s="630">
        <f t="shared" ref="H131:H138" si="11">+IFERROR(ROUND(G131*(E131*(1+F131/100)),2), " ")</f>
        <v>20053.509999999998</v>
      </c>
    </row>
    <row r="132" spans="1:8" x14ac:dyDescent="0.6">
      <c r="A132" s="580" t="s">
        <v>498</v>
      </c>
      <c r="B132" s="626" t="str">
        <f>IFERROR(VLOOKUP(A132,insumos!$A$3:$E$39,3,FALSE), " ")</f>
        <v>Arena lavada</v>
      </c>
      <c r="C132" s="627"/>
      <c r="D132" s="815" t="str">
        <f>IFERROR(VLOOKUP(A132,insumos!$A$3:$E$39,4,FALSE), " ")</f>
        <v>m3</v>
      </c>
      <c r="E132" s="628">
        <v>0.48</v>
      </c>
      <c r="F132" s="629">
        <v>0.03</v>
      </c>
      <c r="G132" s="814">
        <f>IFERROR(VLOOKUP(A132,insumos!$A$3:$E$39,5,FALSE), " ")</f>
        <v>80190</v>
      </c>
      <c r="H132" s="630">
        <f t="shared" si="11"/>
        <v>38502.75</v>
      </c>
    </row>
    <row r="133" spans="1:8" x14ac:dyDescent="0.6">
      <c r="A133" s="580" t="s">
        <v>490</v>
      </c>
      <c r="B133" s="626" t="str">
        <f>IFERROR(VLOOKUP(A133,insumos!$A$3:$E$39,3,FALSE), " ")</f>
        <v>Agregado para concreto hidráulico</v>
      </c>
      <c r="C133" s="627"/>
      <c r="D133" s="815" t="str">
        <f>IFERROR(VLOOKUP(A133,insumos!$A$3:$E$39,4,FALSE), " ")</f>
        <v>m3</v>
      </c>
      <c r="E133" s="628">
        <v>0.96</v>
      </c>
      <c r="F133" s="629">
        <v>0.03</v>
      </c>
      <c r="G133" s="814">
        <f>IFERROR(VLOOKUP(A133,insumos!$A$3:$E$39,5,FALSE), " ")</f>
        <v>83939.625</v>
      </c>
      <c r="H133" s="630">
        <f t="shared" si="11"/>
        <v>80606.210000000006</v>
      </c>
    </row>
    <row r="134" spans="1:8" x14ac:dyDescent="0.6">
      <c r="A134" s="632" t="s">
        <v>506</v>
      </c>
      <c r="B134" s="626" t="str">
        <f>IFERROR(VLOOKUP(A134,insumos!$A$3:$E$39,3,FALSE), " ")</f>
        <v>Cemento gris</v>
      </c>
      <c r="C134" s="627"/>
      <c r="D134" s="815" t="str">
        <f>IFERROR(VLOOKUP(A134,insumos!$A$3:$E$39,4,FALSE), " ")</f>
        <v>kg</v>
      </c>
      <c r="E134" s="628">
        <v>300</v>
      </c>
      <c r="F134" s="629">
        <v>0.03</v>
      </c>
      <c r="G134" s="814">
        <f>IFERROR(VLOOKUP(A134,insumos!$A$3:$E$39,5,FALSE), " ")</f>
        <v>835.3125</v>
      </c>
      <c r="H134" s="630">
        <f t="shared" si="11"/>
        <v>250668.93</v>
      </c>
    </row>
    <row r="135" spans="1:8" x14ac:dyDescent="0.6">
      <c r="A135" s="632"/>
      <c r="B135" s="626" t="str">
        <f>IFERROR(VLOOKUP(A135,insumos!$A$3:$E$39,3,FALSE), " ")</f>
        <v xml:space="preserve"> </v>
      </c>
      <c r="C135" s="627"/>
      <c r="D135" s="815" t="str">
        <f>IFERROR(VLOOKUP(A135,insumos!$A$3:$E$39,4,FALSE), " ")</f>
        <v xml:space="preserve"> </v>
      </c>
      <c r="E135" s="628"/>
      <c r="F135" s="629">
        <v>0</v>
      </c>
      <c r="G135" s="814" t="str">
        <f>IFERROR(VLOOKUP(A135,insumos!$A$3:$E$39,5,FALSE), " ")</f>
        <v xml:space="preserve"> </v>
      </c>
      <c r="H135" s="630" t="str">
        <f t="shared" si="11"/>
        <v xml:space="preserve"> </v>
      </c>
    </row>
    <row r="136" spans="1:8" x14ac:dyDescent="0.6">
      <c r="A136" s="632"/>
      <c r="B136" s="626" t="str">
        <f>IFERROR(VLOOKUP(A136,insumos!$A$3:$E$39,3,FALSE), " ")</f>
        <v xml:space="preserve"> </v>
      </c>
      <c r="C136" s="627"/>
      <c r="D136" s="815" t="str">
        <f>IFERROR(VLOOKUP(A136,insumos!$A$3:$E$39,4,FALSE), " ")</f>
        <v xml:space="preserve"> </v>
      </c>
      <c r="E136" s="628"/>
      <c r="F136" s="629"/>
      <c r="G136" s="814" t="str">
        <f>IFERROR(VLOOKUP(A136,insumos!$A$3:$E$39,5,FALSE), " ")</f>
        <v xml:space="preserve"> </v>
      </c>
      <c r="H136" s="630" t="str">
        <f t="shared" si="11"/>
        <v xml:space="preserve"> </v>
      </c>
    </row>
    <row r="137" spans="1:8" x14ac:dyDescent="0.6">
      <c r="B137" s="626" t="str">
        <f>IFERROR(VLOOKUP(A137,insumos!$A$3:$E$39,3,FALSE), " ")</f>
        <v xml:space="preserve"> </v>
      </c>
      <c r="C137" s="627"/>
      <c r="D137" s="815" t="str">
        <f>IFERROR(VLOOKUP(A137,insumos!$A$3:$E$39,4,FALSE), " ")</f>
        <v xml:space="preserve"> </v>
      </c>
      <c r="E137" s="633"/>
      <c r="F137" s="634"/>
      <c r="G137" s="814" t="str">
        <f>IFERROR(VLOOKUP(A137,insumos!$A$3:$E$39,5,FALSE), " ")</f>
        <v xml:space="preserve"> </v>
      </c>
      <c r="H137" s="630" t="str">
        <f t="shared" si="11"/>
        <v xml:space="preserve"> </v>
      </c>
    </row>
    <row r="138" spans="1:8" ht="15.9" thickBot="1" x14ac:dyDescent="0.65">
      <c r="B138" s="626" t="str">
        <f>IFERROR(VLOOKUP(A138,insumos!$A$3:$E$39,3,FALSE), " ")</f>
        <v xml:space="preserve"> </v>
      </c>
      <c r="C138" s="627"/>
      <c r="D138" s="815" t="str">
        <f>IFERROR(VLOOKUP(A138,insumos!$A$3:$E$39,4,FALSE), " ")</f>
        <v xml:space="preserve"> </v>
      </c>
      <c r="E138" s="1173"/>
      <c r="F138" s="1174"/>
      <c r="G138" s="814" t="str">
        <f>IFERROR(VLOOKUP(A138,insumos!$A$3:$E$39,5,FALSE), " ")</f>
        <v xml:space="preserve"> </v>
      </c>
      <c r="H138" s="630" t="str">
        <f t="shared" si="11"/>
        <v xml:space="preserve"> </v>
      </c>
    </row>
    <row r="139" spans="1:8" ht="15.9" thickBot="1" x14ac:dyDescent="0.65">
      <c r="B139" s="615"/>
      <c r="C139" s="616"/>
      <c r="D139" s="616"/>
      <c r="E139" s="616"/>
      <c r="F139" s="616"/>
      <c r="G139" s="617" t="s">
        <v>640</v>
      </c>
      <c r="H139" s="635">
        <f>ROUND(SUM(H131:H138),2)</f>
        <v>389831.4</v>
      </c>
    </row>
    <row r="140" spans="1:8" x14ac:dyDescent="0.6">
      <c r="B140" s="636"/>
      <c r="C140" s="620"/>
      <c r="D140" s="620"/>
      <c r="E140" s="620"/>
      <c r="F140" s="620"/>
      <c r="G140" s="620"/>
      <c r="H140" s="621"/>
    </row>
    <row r="141" spans="1:8" ht="15.9" thickBot="1" x14ac:dyDescent="0.65">
      <c r="B141" s="622" t="s">
        <v>285</v>
      </c>
      <c r="C141" s="623"/>
      <c r="D141" s="623"/>
      <c r="E141" s="623"/>
      <c r="F141" s="623"/>
      <c r="G141" s="623"/>
      <c r="H141" s="624"/>
    </row>
    <row r="142" spans="1:8" x14ac:dyDescent="0.6">
      <c r="B142" s="598" t="s">
        <v>644</v>
      </c>
      <c r="C142" s="637"/>
      <c r="D142" s="638" t="s">
        <v>645</v>
      </c>
      <c r="E142" s="639" t="s">
        <v>646</v>
      </c>
      <c r="F142" s="640" t="s">
        <v>647</v>
      </c>
      <c r="G142" s="641" t="s">
        <v>648</v>
      </c>
      <c r="H142" s="642" t="s">
        <v>165</v>
      </c>
    </row>
    <row r="143" spans="1:8" x14ac:dyDescent="0.6">
      <c r="A143" s="580" t="s">
        <v>484</v>
      </c>
      <c r="B143" s="643" t="str">
        <f>IFERROR(VLOOKUP(A143,'equipos y transporte'!$A$4:$E$35,3,FALSE), " ")</f>
        <v>Transporte de Arena Lavada</v>
      </c>
      <c r="C143" s="605"/>
      <c r="D143" s="610">
        <f>+E132</f>
        <v>0.48</v>
      </c>
      <c r="E143" s="644">
        <f>+cantera</f>
        <v>35</v>
      </c>
      <c r="F143" s="610">
        <f>IFERROR(D143*E143, " ")</f>
        <v>16.8</v>
      </c>
      <c r="G143" s="814">
        <f>IFERROR(VLOOKUP(A143,'equipos y transporte'!$A$4:$E$35,5,FALSE), " ")</f>
        <v>1672.9261363636363</v>
      </c>
      <c r="H143" s="645">
        <f>IFERROR(ROUND(F143*G143,2), " ")</f>
        <v>28105.16</v>
      </c>
    </row>
    <row r="144" spans="1:8" x14ac:dyDescent="0.6">
      <c r="A144" s="580" t="s">
        <v>481</v>
      </c>
      <c r="B144" s="643" t="str">
        <f>IFERROR(VLOOKUP(A144,'equipos y transporte'!$A$4:$E$35,3,FALSE), " ")</f>
        <v>Transporte de Material Triturado</v>
      </c>
      <c r="C144" s="646"/>
      <c r="D144" s="610">
        <f>+E133</f>
        <v>0.96</v>
      </c>
      <c r="E144" s="644">
        <f>+cantera</f>
        <v>35</v>
      </c>
      <c r="F144" s="610">
        <f t="shared" ref="F144:F147" si="12">IFERROR(D144*E144, " ")</f>
        <v>33.6</v>
      </c>
      <c r="G144" s="814">
        <f>IFERROR(VLOOKUP(A144,'equipos y transporte'!$A$4:$E$35,5,FALSE), " ")</f>
        <v>1672.9261363636363</v>
      </c>
      <c r="H144" s="645">
        <f>IFERROR(ROUND(F144*G144,2), " ")</f>
        <v>56210.32</v>
      </c>
    </row>
    <row r="145" spans="1:8" x14ac:dyDescent="0.6">
      <c r="A145" s="580" t="s">
        <v>663</v>
      </c>
      <c r="B145" s="643" t="str">
        <f>IFERROR(VLOOKUP(A145,'equipos y transporte'!$A$4:$E$35,3,FALSE), " ")</f>
        <v>Transporte de cemento</v>
      </c>
      <c r="C145" s="646"/>
      <c r="D145" s="610">
        <f>+E134</f>
        <v>300</v>
      </c>
      <c r="E145" s="644">
        <f>+escombro</f>
        <v>15</v>
      </c>
      <c r="F145" s="610">
        <f t="shared" si="12"/>
        <v>4500</v>
      </c>
      <c r="G145" s="814">
        <f>IFERROR(VLOOKUP(A145,'equipos y transporte'!$A$4:$E$35,5,FALSE), " ")</f>
        <v>1.2375000000000003</v>
      </c>
      <c r="H145" s="645">
        <f>IFERROR(ROUND(F145*G145,2), " ")</f>
        <v>5568.75</v>
      </c>
    </row>
    <row r="146" spans="1:8" x14ac:dyDescent="0.6">
      <c r="B146" s="643" t="str">
        <f>IFERROR(VLOOKUP(A146,'equipos y transporte'!$A$4:$E$35,3,FALSE), " ")</f>
        <v xml:space="preserve"> </v>
      </c>
      <c r="C146" s="646"/>
      <c r="D146" s="610"/>
      <c r="E146" s="644"/>
      <c r="F146" s="610">
        <f t="shared" si="12"/>
        <v>0</v>
      </c>
      <c r="G146" s="814" t="str">
        <f>IFERROR(VLOOKUP(A146,'equipos y transporte'!$A$4:$E$35,5,FALSE), " ")</f>
        <v xml:space="preserve"> </v>
      </c>
      <c r="H146" s="645" t="str">
        <f>IFERROR(ROUND(F146*G146,2), " ")</f>
        <v xml:space="preserve"> </v>
      </c>
    </row>
    <row r="147" spans="1:8" ht="15.9" thickBot="1" x14ac:dyDescent="0.65">
      <c r="B147" s="643" t="str">
        <f>IFERROR(VLOOKUP(A147,'equipos y transporte'!$A$4:$E$35,3,FALSE), " ")</f>
        <v xml:space="preserve"> </v>
      </c>
      <c r="C147" s="1172"/>
      <c r="D147" s="1176"/>
      <c r="E147" s="1177"/>
      <c r="F147" s="1176">
        <f t="shared" si="12"/>
        <v>0</v>
      </c>
      <c r="G147" s="814" t="str">
        <f>IFERROR(VLOOKUP(A147,'equipos y transporte'!$A$4:$E$35,5,FALSE), " ")</f>
        <v xml:space="preserve"> </v>
      </c>
      <c r="H147" s="1178" t="str">
        <f>IFERROR(ROUND(F147*G147,2), " ")</f>
        <v xml:space="preserve"> </v>
      </c>
    </row>
    <row r="148" spans="1:8" ht="15.9" thickBot="1" x14ac:dyDescent="0.65">
      <c r="B148" s="615"/>
      <c r="C148" s="616"/>
      <c r="D148" s="616"/>
      <c r="E148" s="616"/>
      <c r="F148" s="616"/>
      <c r="G148" s="617" t="s">
        <v>640</v>
      </c>
      <c r="H148" s="647">
        <f>SUM(H143:H147)</f>
        <v>89884.23</v>
      </c>
    </row>
    <row r="149" spans="1:8" x14ac:dyDescent="0.6">
      <c r="B149" s="636"/>
      <c r="C149" s="620"/>
      <c r="D149" s="620"/>
      <c r="E149" s="620"/>
      <c r="F149" s="620"/>
      <c r="G149" s="620"/>
      <c r="H149" s="621"/>
    </row>
    <row r="150" spans="1:8" ht="15.9" thickBot="1" x14ac:dyDescent="0.65">
      <c r="B150" s="622" t="s">
        <v>292</v>
      </c>
      <c r="C150" s="623"/>
      <c r="D150" s="623"/>
      <c r="E150" s="623"/>
      <c r="F150" s="623"/>
      <c r="G150" s="623"/>
      <c r="H150" s="624"/>
    </row>
    <row r="151" spans="1:8" ht="31.2" x14ac:dyDescent="0.6">
      <c r="B151" s="648" t="s">
        <v>649</v>
      </c>
      <c r="C151" s="649"/>
      <c r="D151" s="640" t="s">
        <v>650</v>
      </c>
      <c r="E151" s="639" t="s">
        <v>651</v>
      </c>
      <c r="F151" s="638" t="s">
        <v>652</v>
      </c>
      <c r="G151" s="650" t="s">
        <v>638</v>
      </c>
      <c r="H151" s="651" t="s">
        <v>165</v>
      </c>
    </row>
    <row r="152" spans="1:8" x14ac:dyDescent="0.6">
      <c r="A152" s="580" t="s">
        <v>653</v>
      </c>
      <c r="B152" s="652" t="s">
        <v>311</v>
      </c>
      <c r="C152" s="646"/>
      <c r="D152" s="653">
        <f>+ofic</f>
        <v>73666.666666666672</v>
      </c>
      <c r="E152" s="654">
        <f>+$L$57</f>
        <v>1.85</v>
      </c>
      <c r="F152" s="655">
        <f>+IFERROR(D152*E152, " ")</f>
        <v>136283.33333333334</v>
      </c>
      <c r="G152" s="656">
        <f>+$G$67</f>
        <v>6</v>
      </c>
      <c r="H152" s="645">
        <f>IFERROR(ROUND(F152/G152,2),0)</f>
        <v>22713.89</v>
      </c>
    </row>
    <row r="153" spans="1:8" x14ac:dyDescent="0.6">
      <c r="A153" s="580" t="s">
        <v>654</v>
      </c>
      <c r="B153" s="652" t="s">
        <v>655</v>
      </c>
      <c r="C153" s="850">
        <v>7</v>
      </c>
      <c r="D153" s="653">
        <f>+jornal*C153</f>
        <v>303333.33333333337</v>
      </c>
      <c r="E153" s="654">
        <f>+$L$57</f>
        <v>1.85</v>
      </c>
      <c r="F153" s="655">
        <f t="shared" ref="F153:F155" si="13">+IFERROR(D153*E153, " ")</f>
        <v>561166.66666666674</v>
      </c>
      <c r="G153" s="656">
        <f>+$G$67</f>
        <v>6</v>
      </c>
      <c r="H153" s="645">
        <f>IFERROR(ROUND(F153/G153,2),0)</f>
        <v>93527.78</v>
      </c>
    </row>
    <row r="154" spans="1:8" x14ac:dyDescent="0.6">
      <c r="B154" s="652"/>
      <c r="C154" s="646"/>
      <c r="D154" s="653"/>
      <c r="E154" s="657"/>
      <c r="F154" s="655">
        <f t="shared" si="13"/>
        <v>0</v>
      </c>
      <c r="G154" s="658"/>
      <c r="H154" s="645">
        <f t="shared" ref="H154:H155" si="14">IFERROR(ROUND(F154/G154,2),0)</f>
        <v>0</v>
      </c>
    </row>
    <row r="155" spans="1:8" ht="15.9" thickBot="1" x14ac:dyDescent="0.65">
      <c r="B155" s="652"/>
      <c r="C155" s="646"/>
      <c r="D155" s="653"/>
      <c r="E155" s="657"/>
      <c r="F155" s="655">
        <f t="shared" si="13"/>
        <v>0</v>
      </c>
      <c r="G155" s="659"/>
      <c r="H155" s="645">
        <f t="shared" si="14"/>
        <v>0</v>
      </c>
    </row>
    <row r="156" spans="1:8" ht="15.9" thickBot="1" x14ac:dyDescent="0.65">
      <c r="B156" s="615"/>
      <c r="C156" s="616"/>
      <c r="D156" s="616"/>
      <c r="E156" s="616"/>
      <c r="F156" s="616"/>
      <c r="G156" s="617" t="s">
        <v>640</v>
      </c>
      <c r="H156" s="660">
        <f>ROUND(SUM(H152:H155),2)</f>
        <v>116241.67</v>
      </c>
    </row>
    <row r="157" spans="1:8" ht="15.9" thickBot="1" x14ac:dyDescent="0.65">
      <c r="B157" s="636"/>
      <c r="C157" s="620"/>
      <c r="D157" s="620"/>
      <c r="E157" s="620"/>
      <c r="F157" s="620"/>
      <c r="G157" s="620"/>
      <c r="H157" s="621"/>
    </row>
    <row r="158" spans="1:8" ht="15.9" thickBot="1" x14ac:dyDescent="0.65">
      <c r="A158" s="580" t="s">
        <v>660</v>
      </c>
      <c r="B158" s="661"/>
      <c r="C158" s="662"/>
      <c r="D158" s="662"/>
      <c r="E158" s="662"/>
      <c r="F158" s="662"/>
      <c r="G158" s="663" t="s">
        <v>656</v>
      </c>
      <c r="H158" s="664">
        <f>IFERROR(ROUND(H127+H139+H148+H156,0)," " )</f>
        <v>605557</v>
      </c>
    </row>
    <row r="159" spans="1:8" x14ac:dyDescent="0.6">
      <c r="B159" s="636"/>
      <c r="C159" s="620"/>
      <c r="D159" s="620"/>
      <c r="E159" s="620"/>
      <c r="F159" s="620"/>
      <c r="G159" s="620"/>
      <c r="H159" s="621"/>
    </row>
    <row r="160" spans="1:8" x14ac:dyDescent="0.6">
      <c r="B160" s="665" t="s">
        <v>657</v>
      </c>
      <c r="C160" s="666"/>
      <c r="D160" s="666"/>
      <c r="E160" s="666"/>
      <c r="F160" s="666"/>
      <c r="G160" s="666"/>
      <c r="H160" s="667"/>
    </row>
    <row r="161" spans="2:10" ht="15.9" thickBot="1" x14ac:dyDescent="0.65">
      <c r="B161" s="636"/>
      <c r="C161" s="620"/>
      <c r="D161" s="620"/>
      <c r="E161" s="620"/>
      <c r="F161" s="620"/>
      <c r="G161" s="620"/>
      <c r="H161" s="621"/>
    </row>
    <row r="162" spans="2:10" x14ac:dyDescent="0.6">
      <c r="B162" s="1315" t="s">
        <v>270</v>
      </c>
      <c r="C162" s="1316"/>
      <c r="D162" s="637"/>
      <c r="E162" s="668"/>
      <c r="F162" s="669" t="s">
        <v>658</v>
      </c>
      <c r="G162" s="670" t="s">
        <v>659</v>
      </c>
      <c r="H162" s="671"/>
    </row>
    <row r="163" spans="2:10" x14ac:dyDescent="0.6">
      <c r="B163" s="1317" t="s">
        <v>69</v>
      </c>
      <c r="C163" s="1318"/>
      <c r="D163" s="672"/>
      <c r="E163" s="673"/>
      <c r="F163" s="674"/>
      <c r="G163" s="675">
        <f>ROUND(H158*F163,2)</f>
        <v>0</v>
      </c>
      <c r="H163" s="676"/>
    </row>
    <row r="164" spans="2:10" ht="15.9" thickBot="1" x14ac:dyDescent="0.65">
      <c r="B164" s="677" t="s">
        <v>70</v>
      </c>
      <c r="C164" s="678"/>
      <c r="D164" s="672"/>
      <c r="E164" s="673"/>
      <c r="F164" s="679"/>
      <c r="G164" s="1179">
        <f>ROUND(H158*F164,2)</f>
        <v>0</v>
      </c>
      <c r="H164" s="676"/>
    </row>
    <row r="165" spans="2:10" ht="15.9" thickBot="1" x14ac:dyDescent="0.65">
      <c r="B165" s="1319" t="s">
        <v>640</v>
      </c>
      <c r="C165" s="1320"/>
      <c r="D165" s="1320"/>
      <c r="E165" s="1320"/>
      <c r="F165" s="1320"/>
      <c r="G165" s="1320"/>
      <c r="H165" s="680">
        <f>ROUND(G163+G164,2)</f>
        <v>0</v>
      </c>
    </row>
    <row r="166" spans="2:10" ht="15.9" thickBot="1" x14ac:dyDescent="0.65">
      <c r="B166" s="681"/>
      <c r="C166" s="682"/>
      <c r="D166" s="682"/>
      <c r="E166" s="682"/>
      <c r="F166" s="682"/>
      <c r="G166" s="682"/>
      <c r="H166" s="683"/>
    </row>
    <row r="167" spans="2:10" ht="15.9" thickBot="1" x14ac:dyDescent="0.65">
      <c r="B167" s="1321"/>
      <c r="C167" s="1322"/>
      <c r="D167" s="1322"/>
      <c r="E167" s="1322"/>
      <c r="F167" s="1322"/>
      <c r="G167" s="1322"/>
      <c r="H167" s="684">
        <f>ROUND(H158+H165,0)</f>
        <v>605557</v>
      </c>
    </row>
    <row r="168" spans="2:10" x14ac:dyDescent="0.6">
      <c r="B168" s="1296" t="s">
        <v>629</v>
      </c>
      <c r="C168" s="1297"/>
      <c r="D168" s="1297"/>
      <c r="E168" s="1297"/>
      <c r="F168" s="1297"/>
      <c r="G168" s="1297"/>
      <c r="H168" s="1298"/>
    </row>
    <row r="169" spans="2:10" ht="30" customHeight="1" x14ac:dyDescent="0.6">
      <c r="B169" s="582" t="s">
        <v>631</v>
      </c>
      <c r="C169" s="1299" t="str">
        <f>+C114</f>
        <v>MEJORAMIENTO DE LA VIA QUE COMUNICA LA VEREDA EL ENCANTO CON EL CORREGIMIENTO EL SILENCIO, MUNICIPIO DE CAREPA, DEPARTAMENTO DE ANTIOQUIA.</v>
      </c>
      <c r="D169" s="1299"/>
      <c r="E169" s="1299"/>
      <c r="F169" s="1299"/>
      <c r="G169" s="1299"/>
      <c r="H169" s="1300"/>
    </row>
    <row r="170" spans="2:10" x14ac:dyDescent="0.6">
      <c r="B170" s="582" t="s">
        <v>632</v>
      </c>
      <c r="C170" s="1301"/>
      <c r="D170" s="1301"/>
      <c r="E170" s="1301"/>
      <c r="F170" s="1301"/>
      <c r="G170" s="1301"/>
      <c r="H170" s="1302"/>
    </row>
    <row r="171" spans="2:10" ht="15.9" thickBot="1" x14ac:dyDescent="0.65">
      <c r="B171" s="685"/>
      <c r="C171" s="686"/>
      <c r="D171" s="686"/>
      <c r="E171" s="686"/>
      <c r="F171" s="686"/>
      <c r="G171" s="686"/>
      <c r="H171" s="687"/>
    </row>
    <row r="172" spans="2:10" ht="15.9" thickBot="1" x14ac:dyDescent="0.65">
      <c r="B172" s="692" t="s">
        <v>264</v>
      </c>
      <c r="C172" s="1323" t="s">
        <v>115</v>
      </c>
      <c r="D172" s="1324"/>
      <c r="E172" s="1325"/>
      <c r="F172" s="689"/>
      <c r="G172" s="690" t="s">
        <v>386</v>
      </c>
      <c r="H172" s="688" t="s">
        <v>7</v>
      </c>
    </row>
    <row r="173" spans="2:10" s="708" customFormat="1" ht="29.25" customHeight="1" thickBot="1" x14ac:dyDescent="0.6">
      <c r="B173" s="709" t="s">
        <v>633</v>
      </c>
      <c r="C173" s="1308" t="s">
        <v>664</v>
      </c>
      <c r="D173" s="1309"/>
      <c r="E173" s="1310"/>
      <c r="F173" s="710"/>
      <c r="G173" s="1167" t="s">
        <v>22</v>
      </c>
      <c r="H173" s="711">
        <v>1</v>
      </c>
      <c r="I173" s="827"/>
      <c r="J173" s="827"/>
    </row>
    <row r="174" spans="2:10" x14ac:dyDescent="0.6">
      <c r="B174" s="592"/>
      <c r="C174" s="593"/>
      <c r="D174" s="593"/>
      <c r="E174" s="593"/>
      <c r="F174" s="593"/>
      <c r="G174" s="593"/>
      <c r="H174" s="594"/>
    </row>
    <row r="175" spans="2:10" ht="15.9" thickBot="1" x14ac:dyDescent="0.65">
      <c r="B175" s="595" t="s">
        <v>635</v>
      </c>
      <c r="C175" s="596"/>
      <c r="D175" s="596"/>
      <c r="E175" s="596"/>
      <c r="F175" s="596"/>
      <c r="G175" s="596"/>
      <c r="H175" s="597"/>
    </row>
    <row r="176" spans="2:10" x14ac:dyDescent="0.6">
      <c r="B176" s="598" t="s">
        <v>636</v>
      </c>
      <c r="C176" s="599"/>
      <c r="D176" s="599"/>
      <c r="E176" s="600"/>
      <c r="F176" s="601" t="s">
        <v>637</v>
      </c>
      <c r="G176" s="602" t="s">
        <v>638</v>
      </c>
      <c r="H176" s="603" t="s">
        <v>165</v>
      </c>
    </row>
    <row r="177" spans="1:8" x14ac:dyDescent="0.6">
      <c r="A177" s="580" t="s">
        <v>461</v>
      </c>
      <c r="B177" s="604" t="str">
        <f>+IFERROR(VLOOKUP(A177,'equipos y transporte'!$A$4:$E$35,3,FALSE), " ")</f>
        <v>Mezcladora de concreto 1 bulto</v>
      </c>
      <c r="C177" s="605"/>
      <c r="D177" s="605"/>
      <c r="E177" s="605"/>
      <c r="F177" s="813">
        <f>+IFERROR(VLOOKUP(A177,'equipos y transporte'!$A$4:$E$35,5,FALSE), " ")</f>
        <v>50624.999999999993</v>
      </c>
      <c r="G177" s="607">
        <v>6</v>
      </c>
      <c r="H177" s="608">
        <f>IFERROR(F177/G177, " ")</f>
        <v>8437.4999999999982</v>
      </c>
    </row>
    <row r="178" spans="1:8" x14ac:dyDescent="0.6">
      <c r="B178" s="604" t="str">
        <f>+IFERROR(VLOOKUP(A178,'equipos y transporte'!$A$4:$E$35,3,FALSE), " ")</f>
        <v xml:space="preserve"> </v>
      </c>
      <c r="C178" s="605"/>
      <c r="D178" s="605"/>
      <c r="E178" s="605"/>
      <c r="F178" s="813" t="str">
        <f>+IFERROR(VLOOKUP(A178,'equipos y transporte'!$A$4:$E$35,5,FALSE), " ")</f>
        <v xml:space="preserve"> </v>
      </c>
      <c r="G178" s="609"/>
      <c r="H178" s="608" t="str">
        <f t="shared" ref="H178:H180" si="15">IFERROR(F178/G178, " ")</f>
        <v xml:space="preserve"> </v>
      </c>
    </row>
    <row r="179" spans="1:8" x14ac:dyDescent="0.6">
      <c r="B179" s="604" t="str">
        <f>+IFERROR(VLOOKUP(A179,'equipos y transporte'!$A$4:$E$35,3,FALSE), " ")</f>
        <v xml:space="preserve"> </v>
      </c>
      <c r="C179" s="605"/>
      <c r="D179" s="605"/>
      <c r="E179" s="605"/>
      <c r="F179" s="813" t="str">
        <f>+IFERROR(VLOOKUP(A179,'equipos y transporte'!$A$4:$E$35,5,FALSE), " ")</f>
        <v xml:space="preserve"> </v>
      </c>
      <c r="G179" s="609"/>
      <c r="H179" s="608" t="str">
        <f t="shared" si="15"/>
        <v xml:space="preserve"> </v>
      </c>
    </row>
    <row r="180" spans="1:8" x14ac:dyDescent="0.6">
      <c r="B180" s="604" t="str">
        <f>+IFERROR(VLOOKUP(A180,'equipos y transporte'!$A$4:$E$35,3,FALSE), " ")</f>
        <v xml:space="preserve"> </v>
      </c>
      <c r="C180" s="605"/>
      <c r="D180" s="605"/>
      <c r="E180" s="605"/>
      <c r="F180" s="813" t="str">
        <f>+IFERROR(VLOOKUP(A180,'equipos y transporte'!$A$4:$E$35,5,FALSE), " ")</f>
        <v xml:space="preserve"> </v>
      </c>
      <c r="G180" s="611"/>
      <c r="H180" s="608" t="str">
        <f t="shared" si="15"/>
        <v xml:space="preserve"> </v>
      </c>
    </row>
    <row r="181" spans="1:8" ht="15.9" thickBot="1" x14ac:dyDescent="0.65">
      <c r="B181" s="1311" t="s">
        <v>639</v>
      </c>
      <c r="C181" s="1312"/>
      <c r="D181" s="1313"/>
      <c r="E181" s="1314"/>
      <c r="F181" s="613"/>
      <c r="G181" s="1168">
        <v>0.01</v>
      </c>
      <c r="H181" s="614">
        <f>ROUND(H211*G181,2)</f>
        <v>1162.42</v>
      </c>
    </row>
    <row r="182" spans="1:8" ht="15.9" thickBot="1" x14ac:dyDescent="0.65">
      <c r="B182" s="615"/>
      <c r="C182" s="616"/>
      <c r="D182" s="616"/>
      <c r="E182" s="616"/>
      <c r="F182" s="616"/>
      <c r="G182" s="617" t="s">
        <v>640</v>
      </c>
      <c r="H182" s="618">
        <f>ROUND(SUM(H177:H181),2)</f>
        <v>9599.92</v>
      </c>
    </row>
    <row r="183" spans="1:8" x14ac:dyDescent="0.6">
      <c r="B183" s="619"/>
      <c r="C183" s="620"/>
      <c r="D183" s="620"/>
      <c r="E183" s="620"/>
      <c r="F183" s="620"/>
      <c r="G183" s="620"/>
      <c r="H183" s="621"/>
    </row>
    <row r="184" spans="1:8" ht="15.9" thickBot="1" x14ac:dyDescent="0.65">
      <c r="B184" s="622" t="s">
        <v>641</v>
      </c>
      <c r="C184" s="623"/>
      <c r="D184" s="623"/>
      <c r="E184" s="623"/>
      <c r="F184" s="623"/>
      <c r="G184" s="623"/>
      <c r="H184" s="624"/>
    </row>
    <row r="185" spans="1:8" x14ac:dyDescent="0.6">
      <c r="B185" s="598" t="s">
        <v>642</v>
      </c>
      <c r="C185" s="599"/>
      <c r="D185" s="601" t="s">
        <v>386</v>
      </c>
      <c r="E185" s="601" t="s">
        <v>7</v>
      </c>
      <c r="F185" s="601" t="s">
        <v>643</v>
      </c>
      <c r="G185" s="625" t="s">
        <v>177</v>
      </c>
      <c r="H185" s="603" t="s">
        <v>165</v>
      </c>
    </row>
    <row r="186" spans="1:8" x14ac:dyDescent="0.6">
      <c r="A186" s="580" t="s">
        <v>493</v>
      </c>
      <c r="B186" s="626" t="str">
        <f>IFERROR(VLOOKUP(A186,insumos!$A$3:$E$39,3,FALSE), " ")</f>
        <v>Agua</v>
      </c>
      <c r="C186" s="627"/>
      <c r="D186" s="815" t="str">
        <f>IFERROR(VLOOKUP(A186,insumos!$A$3:$E$39,4,FALSE), " ")</f>
        <v>lt</v>
      </c>
      <c r="E186" s="628">
        <v>185</v>
      </c>
      <c r="F186" s="629">
        <v>0.03</v>
      </c>
      <c r="G186" s="814">
        <f>IFERROR(VLOOKUP(A186,insumos!$A$3:$E$39,5,FALSE), " ")</f>
        <v>111.37500000000001</v>
      </c>
      <c r="H186" s="630">
        <f t="shared" ref="H186:H192" si="16">+IFERROR(ROUND(G186*(E186*(1+F186/100)),2), " ")</f>
        <v>20610.560000000001</v>
      </c>
    </row>
    <row r="187" spans="1:8" x14ac:dyDescent="0.6">
      <c r="A187" s="580" t="s">
        <v>498</v>
      </c>
      <c r="B187" s="626" t="str">
        <f>IFERROR(VLOOKUP(A187,insumos!$A$3:$E$39,3,FALSE), " ")</f>
        <v>Arena lavada</v>
      </c>
      <c r="C187" s="627"/>
      <c r="D187" s="815" t="str">
        <f>IFERROR(VLOOKUP(A187,insumos!$A$3:$E$39,4,FALSE), " ")</f>
        <v>m3</v>
      </c>
      <c r="E187" s="628">
        <v>0.63</v>
      </c>
      <c r="F187" s="629">
        <v>0.03</v>
      </c>
      <c r="G187" s="814">
        <f>IFERROR(VLOOKUP(A187,insumos!$A$3:$E$39,5,FALSE), " ")</f>
        <v>80190</v>
      </c>
      <c r="H187" s="630">
        <f t="shared" si="16"/>
        <v>50534.86</v>
      </c>
    </row>
    <row r="188" spans="1:8" x14ac:dyDescent="0.6">
      <c r="A188" s="580" t="s">
        <v>490</v>
      </c>
      <c r="B188" s="626" t="str">
        <f>IFERROR(VLOOKUP(A188,insumos!$A$3:$E$39,3,FALSE), " ")</f>
        <v>Agregado para concreto hidráulico</v>
      </c>
      <c r="C188" s="627"/>
      <c r="D188" s="815" t="str">
        <f>IFERROR(VLOOKUP(A188,insumos!$A$3:$E$39,4,FALSE), " ")</f>
        <v>m3</v>
      </c>
      <c r="E188" s="628">
        <v>0.84</v>
      </c>
      <c r="F188" s="629">
        <v>0.03</v>
      </c>
      <c r="G188" s="814">
        <f>IFERROR(VLOOKUP(A188,insumos!$A$3:$E$39,5,FALSE), " ")</f>
        <v>83939.625</v>
      </c>
      <c r="H188" s="630">
        <f t="shared" si="16"/>
        <v>70530.44</v>
      </c>
    </row>
    <row r="189" spans="1:8" x14ac:dyDescent="0.6">
      <c r="A189" s="632" t="s">
        <v>506</v>
      </c>
      <c r="B189" s="626" t="str">
        <f>IFERROR(VLOOKUP(A189,insumos!$A$3:$E$39,3,FALSE), " ")</f>
        <v>Cemento gris</v>
      </c>
      <c r="C189" s="627"/>
      <c r="D189" s="815" t="str">
        <f>IFERROR(VLOOKUP(A189,insumos!$A$3:$E$39,4,FALSE), " ")</f>
        <v>kg</v>
      </c>
      <c r="E189" s="628">
        <v>260</v>
      </c>
      <c r="F189" s="629">
        <v>0.03</v>
      </c>
      <c r="G189" s="814">
        <f>IFERROR(VLOOKUP(A189,insumos!$A$3:$E$39,5,FALSE), " ")</f>
        <v>835.3125</v>
      </c>
      <c r="H189" s="630">
        <f t="shared" si="16"/>
        <v>217246.4</v>
      </c>
    </row>
    <row r="190" spans="1:8" x14ac:dyDescent="0.6">
      <c r="A190" s="632"/>
      <c r="B190" s="626" t="str">
        <f>IFERROR(VLOOKUP(A190,insumos!$A$3:$E$39,3,FALSE), " ")</f>
        <v xml:space="preserve"> </v>
      </c>
      <c r="C190" s="627"/>
      <c r="D190" s="815" t="str">
        <f>IFERROR(VLOOKUP(A190,insumos!$A$3:$E$39,4,FALSE), " ")</f>
        <v xml:space="preserve"> </v>
      </c>
      <c r="E190" s="628"/>
      <c r="F190" s="629"/>
      <c r="G190" s="814" t="str">
        <f>IFERROR(VLOOKUP(A190,insumos!$A$3:$E$39,5,FALSE), " ")</f>
        <v xml:space="preserve"> </v>
      </c>
      <c r="H190" s="630" t="str">
        <f t="shared" si="16"/>
        <v xml:space="preserve"> </v>
      </c>
    </row>
    <row r="191" spans="1:8" x14ac:dyDescent="0.6">
      <c r="A191" s="632"/>
      <c r="B191" s="626" t="str">
        <f>IFERROR(VLOOKUP(A191,insumos!$A$3:$E$39,3,FALSE), " ")</f>
        <v xml:space="preserve"> </v>
      </c>
      <c r="C191" s="627"/>
      <c r="D191" s="815" t="str">
        <f>IFERROR(VLOOKUP(A191,insumos!$A$3:$E$39,4,FALSE), " ")</f>
        <v xml:space="preserve"> </v>
      </c>
      <c r="E191" s="628"/>
      <c r="F191" s="629"/>
      <c r="G191" s="814" t="str">
        <f>IFERROR(VLOOKUP(A191,insumos!$A$3:$E$39,5,FALSE), " ")</f>
        <v xml:space="preserve"> </v>
      </c>
      <c r="H191" s="630" t="str">
        <f t="shared" si="16"/>
        <v xml:space="preserve"> </v>
      </c>
    </row>
    <row r="192" spans="1:8" x14ac:dyDescent="0.6">
      <c r="B192" s="626" t="str">
        <f>IFERROR(VLOOKUP(A192,insumos!$A$3:$E$39,3,FALSE), " ")</f>
        <v xml:space="preserve"> </v>
      </c>
      <c r="C192" s="627"/>
      <c r="D192" s="815" t="str">
        <f>IFERROR(VLOOKUP(A192,insumos!$A$3:$E$39,4,FALSE), " ")</f>
        <v xml:space="preserve"> </v>
      </c>
      <c r="E192" s="633"/>
      <c r="F192" s="634"/>
      <c r="G192" s="814" t="str">
        <f>IFERROR(VLOOKUP(A192,insumos!$A$3:$E$39,5,FALSE), " ")</f>
        <v xml:space="preserve"> </v>
      </c>
      <c r="H192" s="630" t="str">
        <f t="shared" si="16"/>
        <v xml:space="preserve"> </v>
      </c>
    </row>
    <row r="193" spans="1:8" ht="15.9" thickBot="1" x14ac:dyDescent="0.65">
      <c r="B193" s="626" t="str">
        <f>IFERROR(VLOOKUP(A193,insumos!$A$3:$E$39,3,FALSE), " ")</f>
        <v xml:space="preserve"> </v>
      </c>
      <c r="C193" s="627"/>
      <c r="D193" s="815" t="str">
        <f>IFERROR(VLOOKUP(A193,insumos!$A$3:$E$39,4,FALSE), " ")</f>
        <v xml:space="preserve"> </v>
      </c>
      <c r="E193" s="1173"/>
      <c r="F193" s="1174"/>
      <c r="G193" s="814" t="str">
        <f>IFERROR(VLOOKUP(A193,insumos!$A$3:$E$39,5,FALSE), " ")</f>
        <v xml:space="preserve"> </v>
      </c>
      <c r="H193" s="1175"/>
    </row>
    <row r="194" spans="1:8" ht="15.9" thickBot="1" x14ac:dyDescent="0.65">
      <c r="B194" s="615"/>
      <c r="C194" s="616"/>
      <c r="D194" s="616"/>
      <c r="E194" s="616"/>
      <c r="F194" s="616"/>
      <c r="G194" s="617" t="s">
        <v>640</v>
      </c>
      <c r="H194" s="635">
        <f>ROUND(SUM(H186:H193),2)</f>
        <v>358922.26</v>
      </c>
    </row>
    <row r="195" spans="1:8" x14ac:dyDescent="0.6">
      <c r="B195" s="636"/>
      <c r="C195" s="620"/>
      <c r="D195" s="620"/>
      <c r="E195" s="620"/>
      <c r="F195" s="620"/>
      <c r="G195" s="620"/>
      <c r="H195" s="621"/>
    </row>
    <row r="196" spans="1:8" ht="15.9" thickBot="1" x14ac:dyDescent="0.65">
      <c r="B196" s="622" t="s">
        <v>285</v>
      </c>
      <c r="C196" s="623"/>
      <c r="D196" s="623"/>
      <c r="E196" s="623"/>
      <c r="F196" s="623"/>
      <c r="G196" s="623"/>
      <c r="H196" s="624"/>
    </row>
    <row r="197" spans="1:8" x14ac:dyDescent="0.6">
      <c r="B197" s="598" t="s">
        <v>644</v>
      </c>
      <c r="C197" s="637"/>
      <c r="D197" s="638" t="s">
        <v>645</v>
      </c>
      <c r="E197" s="639" t="s">
        <v>646</v>
      </c>
      <c r="F197" s="640" t="s">
        <v>647</v>
      </c>
      <c r="G197" s="641" t="s">
        <v>648</v>
      </c>
      <c r="H197" s="642" t="s">
        <v>165</v>
      </c>
    </row>
    <row r="198" spans="1:8" x14ac:dyDescent="0.6">
      <c r="A198" s="580" t="s">
        <v>484</v>
      </c>
      <c r="B198" s="643" t="str">
        <f>IFERROR(VLOOKUP(A198,'equipos y transporte'!$A$4:$E$35,3,FALSE), " ")</f>
        <v>Transporte de Arena Lavada</v>
      </c>
      <c r="C198" s="605"/>
      <c r="D198" s="610">
        <f>+E187</f>
        <v>0.63</v>
      </c>
      <c r="E198" s="644">
        <f>+cantera</f>
        <v>35</v>
      </c>
      <c r="F198" s="610">
        <f>IFERROR(D198*E198, " ")</f>
        <v>22.05</v>
      </c>
      <c r="G198" s="814">
        <f>IFERROR(VLOOKUP(A198,'equipos y transporte'!$A$4:$E$35,5,FALSE), " ")</f>
        <v>1672.9261363636363</v>
      </c>
      <c r="H198" s="645">
        <f>IFERROR(ROUND(F198*G198,2), " ")</f>
        <v>36888.019999999997</v>
      </c>
    </row>
    <row r="199" spans="1:8" x14ac:dyDescent="0.6">
      <c r="A199" s="580" t="s">
        <v>481</v>
      </c>
      <c r="B199" s="643" t="str">
        <f>IFERROR(VLOOKUP(A199,'equipos y transporte'!$A$4:$E$35,3,FALSE), " ")</f>
        <v>Transporte de Material Triturado</v>
      </c>
      <c r="C199" s="646"/>
      <c r="D199" s="610">
        <f>+E188</f>
        <v>0.84</v>
      </c>
      <c r="E199" s="644">
        <f>+cantera</f>
        <v>35</v>
      </c>
      <c r="F199" s="610">
        <f t="shared" ref="F199:F202" si="17">IFERROR(D199*E199, " ")</f>
        <v>29.4</v>
      </c>
      <c r="G199" s="814">
        <f>IFERROR(VLOOKUP(A199,'equipos y transporte'!$A$4:$E$35,5,FALSE), " ")</f>
        <v>1672.9261363636363</v>
      </c>
      <c r="H199" s="645">
        <f>IFERROR(ROUND(F199*G199,2), " ")</f>
        <v>49184.03</v>
      </c>
    </row>
    <row r="200" spans="1:8" x14ac:dyDescent="0.6">
      <c r="A200" s="580" t="s">
        <v>663</v>
      </c>
      <c r="B200" s="643" t="str">
        <f>IFERROR(VLOOKUP(A200,'equipos y transporte'!$A$4:$E$35,3,FALSE), " ")</f>
        <v>Transporte de cemento</v>
      </c>
      <c r="C200" s="646"/>
      <c r="D200" s="610">
        <f>+E186</f>
        <v>185</v>
      </c>
      <c r="E200" s="644">
        <f>+escombro</f>
        <v>15</v>
      </c>
      <c r="F200" s="610">
        <f t="shared" si="17"/>
        <v>2775</v>
      </c>
      <c r="G200" s="814">
        <f>IFERROR(VLOOKUP(A200,'equipos y transporte'!$A$4:$E$35,5,FALSE), " ")</f>
        <v>1.2375000000000003</v>
      </c>
      <c r="H200" s="645">
        <f>IFERROR(ROUND(F200*G200,2), " ")</f>
        <v>3434.06</v>
      </c>
    </row>
    <row r="201" spans="1:8" x14ac:dyDescent="0.6">
      <c r="B201" s="643" t="str">
        <f>IFERROR(VLOOKUP(A201,'equipos y transporte'!$A$4:$E$35,3,FALSE), " ")</f>
        <v xml:space="preserve"> </v>
      </c>
      <c r="C201" s="646"/>
      <c r="D201" s="610"/>
      <c r="E201" s="644"/>
      <c r="F201" s="610">
        <f t="shared" si="17"/>
        <v>0</v>
      </c>
      <c r="G201" s="814" t="str">
        <f>IFERROR(VLOOKUP(A201,'equipos y transporte'!$A$4:$E$35,5,FALSE), " ")</f>
        <v xml:space="preserve"> </v>
      </c>
      <c r="H201" s="645" t="str">
        <f t="shared" ref="H201:H202" si="18">IFERROR(ROUND(F201*G201,2), " ")</f>
        <v xml:space="preserve"> </v>
      </c>
    </row>
    <row r="202" spans="1:8" ht="15.9" thickBot="1" x14ac:dyDescent="0.65">
      <c r="B202" s="643" t="str">
        <f>IFERROR(VLOOKUP(A202,'equipos y transporte'!$A$4:$E$35,3,FALSE), " ")</f>
        <v xml:space="preserve"> </v>
      </c>
      <c r="C202" s="1172"/>
      <c r="D202" s="1176"/>
      <c r="E202" s="1177"/>
      <c r="F202" s="1176">
        <f t="shared" si="17"/>
        <v>0</v>
      </c>
      <c r="G202" s="814" t="str">
        <f>IFERROR(VLOOKUP(A202,'equipos y transporte'!$A$4:$E$35,5,FALSE), " ")</f>
        <v xml:space="preserve"> </v>
      </c>
      <c r="H202" s="645" t="str">
        <f t="shared" si="18"/>
        <v xml:space="preserve"> </v>
      </c>
    </row>
    <row r="203" spans="1:8" ht="15.9" thickBot="1" x14ac:dyDescent="0.65">
      <c r="B203" s="615"/>
      <c r="C203" s="616"/>
      <c r="D203" s="616"/>
      <c r="E203" s="616"/>
      <c r="F203" s="616"/>
      <c r="G203" s="617" t="s">
        <v>640</v>
      </c>
      <c r="H203" s="647">
        <f>SUM(H198:H202)</f>
        <v>89506.109999999986</v>
      </c>
    </row>
    <row r="204" spans="1:8" x14ac:dyDescent="0.6">
      <c r="B204" s="636"/>
      <c r="C204" s="620"/>
      <c r="D204" s="620"/>
      <c r="E204" s="620"/>
      <c r="F204" s="620"/>
      <c r="G204" s="620"/>
      <c r="H204" s="621"/>
    </row>
    <row r="205" spans="1:8" ht="15.9" thickBot="1" x14ac:dyDescent="0.65">
      <c r="B205" s="622" t="s">
        <v>292</v>
      </c>
      <c r="C205" s="623"/>
      <c r="D205" s="623"/>
      <c r="E205" s="623"/>
      <c r="F205" s="623"/>
      <c r="G205" s="623"/>
      <c r="H205" s="624"/>
    </row>
    <row r="206" spans="1:8" ht="31.2" x14ac:dyDescent="0.6">
      <c r="B206" s="648" t="s">
        <v>649</v>
      </c>
      <c r="C206" s="649"/>
      <c r="D206" s="640" t="s">
        <v>650</v>
      </c>
      <c r="E206" s="639" t="s">
        <v>651</v>
      </c>
      <c r="F206" s="638" t="s">
        <v>652</v>
      </c>
      <c r="G206" s="650" t="s">
        <v>638</v>
      </c>
      <c r="H206" s="651" t="s">
        <v>165</v>
      </c>
    </row>
    <row r="207" spans="1:8" x14ac:dyDescent="0.6">
      <c r="A207" s="580" t="s">
        <v>653</v>
      </c>
      <c r="B207" s="652" t="s">
        <v>311</v>
      </c>
      <c r="C207" s="646"/>
      <c r="D207" s="653">
        <f>+ofic</f>
        <v>73666.666666666672</v>
      </c>
      <c r="E207" s="654">
        <f>+$L$57</f>
        <v>1.85</v>
      </c>
      <c r="F207" s="655">
        <f>+IFERROR(D207*E207, " ")</f>
        <v>136283.33333333334</v>
      </c>
      <c r="G207" s="656">
        <f>+$G$67</f>
        <v>6</v>
      </c>
      <c r="H207" s="645">
        <f>IFERROR(ROUND(F207/G207,2),0)</f>
        <v>22713.89</v>
      </c>
    </row>
    <row r="208" spans="1:8" x14ac:dyDescent="0.6">
      <c r="A208" s="580" t="s">
        <v>654</v>
      </c>
      <c r="B208" s="652" t="s">
        <v>655</v>
      </c>
      <c r="C208" s="850">
        <v>7</v>
      </c>
      <c r="D208" s="653">
        <f>+jornal*C208</f>
        <v>303333.33333333337</v>
      </c>
      <c r="E208" s="654">
        <f>+$L$57</f>
        <v>1.85</v>
      </c>
      <c r="F208" s="655">
        <f t="shared" ref="F208:F210" si="19">+IFERROR(D208*E208, " ")</f>
        <v>561166.66666666674</v>
      </c>
      <c r="G208" s="656">
        <f>+$G$67</f>
        <v>6</v>
      </c>
      <c r="H208" s="645">
        <f>IFERROR(ROUND(F208/G208,2),0)</f>
        <v>93527.78</v>
      </c>
    </row>
    <row r="209" spans="1:8" x14ac:dyDescent="0.6">
      <c r="B209" s="652"/>
      <c r="C209" s="646"/>
      <c r="D209" s="653"/>
      <c r="E209" s="657"/>
      <c r="F209" s="655">
        <f t="shared" si="19"/>
        <v>0</v>
      </c>
      <c r="G209" s="658"/>
      <c r="H209" s="645">
        <f t="shared" ref="H209:H210" si="20">IFERROR(ROUND(F209/G209,2),0)</f>
        <v>0</v>
      </c>
    </row>
    <row r="210" spans="1:8" ht="15.9" thickBot="1" x14ac:dyDescent="0.65">
      <c r="B210" s="652"/>
      <c r="C210" s="646"/>
      <c r="D210" s="653"/>
      <c r="E210" s="657"/>
      <c r="F210" s="655">
        <f t="shared" si="19"/>
        <v>0</v>
      </c>
      <c r="G210" s="659"/>
      <c r="H210" s="645">
        <f t="shared" si="20"/>
        <v>0</v>
      </c>
    </row>
    <row r="211" spans="1:8" ht="15.9" thickBot="1" x14ac:dyDescent="0.65">
      <c r="B211" s="615"/>
      <c r="C211" s="616"/>
      <c r="D211" s="616"/>
      <c r="E211" s="616"/>
      <c r="F211" s="616"/>
      <c r="G211" s="617" t="s">
        <v>640</v>
      </c>
      <c r="H211" s="660">
        <f>ROUND(SUM(H207:H210),2)</f>
        <v>116241.67</v>
      </c>
    </row>
    <row r="212" spans="1:8" ht="15.9" thickBot="1" x14ac:dyDescent="0.65">
      <c r="B212" s="636"/>
      <c r="C212" s="620"/>
      <c r="D212" s="620"/>
      <c r="E212" s="620"/>
      <c r="F212" s="620"/>
      <c r="G212" s="620"/>
      <c r="H212" s="621"/>
    </row>
    <row r="213" spans="1:8" ht="15.9" thickBot="1" x14ac:dyDescent="0.65">
      <c r="B213" s="661"/>
      <c r="C213" s="662"/>
      <c r="D213" s="662"/>
      <c r="E213" s="662"/>
      <c r="F213" s="662"/>
      <c r="G213" s="663" t="s">
        <v>656</v>
      </c>
      <c r="H213" s="664">
        <f>IFERROR(ROUND(H182+H194+H203+H211,0)," " )</f>
        <v>574270</v>
      </c>
    </row>
    <row r="214" spans="1:8" x14ac:dyDescent="0.6">
      <c r="B214" s="636"/>
      <c r="C214" s="620"/>
      <c r="D214" s="620"/>
      <c r="E214" s="620"/>
      <c r="F214" s="620"/>
      <c r="G214" s="620"/>
      <c r="H214" s="621"/>
    </row>
    <row r="215" spans="1:8" x14ac:dyDescent="0.6">
      <c r="B215" s="665" t="s">
        <v>657</v>
      </c>
      <c r="C215" s="666"/>
      <c r="D215" s="666"/>
      <c r="E215" s="666"/>
      <c r="F215" s="666"/>
      <c r="G215" s="666"/>
      <c r="H215" s="667"/>
    </row>
    <row r="216" spans="1:8" ht="15.9" thickBot="1" x14ac:dyDescent="0.65">
      <c r="B216" s="636"/>
      <c r="C216" s="620"/>
      <c r="D216" s="620"/>
      <c r="E216" s="620"/>
      <c r="F216" s="620"/>
      <c r="G216" s="620"/>
      <c r="H216" s="621"/>
    </row>
    <row r="217" spans="1:8" x14ac:dyDescent="0.6">
      <c r="B217" s="1315" t="s">
        <v>270</v>
      </c>
      <c r="C217" s="1316"/>
      <c r="D217" s="637"/>
      <c r="E217" s="668"/>
      <c r="F217" s="669" t="s">
        <v>658</v>
      </c>
      <c r="G217" s="670" t="s">
        <v>659</v>
      </c>
      <c r="H217" s="671"/>
    </row>
    <row r="218" spans="1:8" x14ac:dyDescent="0.6">
      <c r="B218" s="1317" t="s">
        <v>69</v>
      </c>
      <c r="C218" s="1318"/>
      <c r="D218" s="672"/>
      <c r="E218" s="673"/>
      <c r="F218" s="674"/>
      <c r="G218" s="675">
        <f>ROUND(H213*F218,2)</f>
        <v>0</v>
      </c>
      <c r="H218" s="676"/>
    </row>
    <row r="219" spans="1:8" ht="15.9" thickBot="1" x14ac:dyDescent="0.65">
      <c r="B219" s="677" t="s">
        <v>70</v>
      </c>
      <c r="C219" s="678"/>
      <c r="D219" s="672"/>
      <c r="E219" s="673"/>
      <c r="F219" s="679"/>
      <c r="G219" s="1179">
        <f>ROUND(H213*F219,2)</f>
        <v>0</v>
      </c>
      <c r="H219" s="676"/>
    </row>
    <row r="220" spans="1:8" ht="15.9" thickBot="1" x14ac:dyDescent="0.65">
      <c r="B220" s="1319" t="s">
        <v>640</v>
      </c>
      <c r="C220" s="1320"/>
      <c r="D220" s="1320"/>
      <c r="E220" s="1320"/>
      <c r="F220" s="1320"/>
      <c r="G220" s="1320"/>
      <c r="H220" s="680">
        <f>ROUND(G218+G219,2)</f>
        <v>0</v>
      </c>
    </row>
    <row r="221" spans="1:8" ht="15.9" thickBot="1" x14ac:dyDescent="0.65">
      <c r="B221" s="681"/>
      <c r="C221" s="682"/>
      <c r="D221" s="682"/>
      <c r="E221" s="682"/>
      <c r="F221" s="682"/>
      <c r="G221" s="682"/>
      <c r="H221" s="683"/>
    </row>
    <row r="222" spans="1:8" ht="15.9" thickBot="1" x14ac:dyDescent="0.65">
      <c r="A222" s="580" t="s">
        <v>660</v>
      </c>
      <c r="B222" s="1321"/>
      <c r="C222" s="1322"/>
      <c r="D222" s="1322"/>
      <c r="E222" s="1322"/>
      <c r="F222" s="1322"/>
      <c r="G222" s="1322"/>
      <c r="H222" s="684">
        <f>ROUND(H213+H220,0)</f>
        <v>574270</v>
      </c>
    </row>
    <row r="223" spans="1:8" x14ac:dyDescent="0.6">
      <c r="B223" s="1296" t="s">
        <v>629</v>
      </c>
      <c r="C223" s="1297"/>
      <c r="D223" s="1297"/>
      <c r="E223" s="1297"/>
      <c r="F223" s="1297"/>
      <c r="G223" s="1297"/>
      <c r="H223" s="1298"/>
    </row>
    <row r="224" spans="1:8" ht="30" customHeight="1" x14ac:dyDescent="0.6">
      <c r="B224" s="582" t="s">
        <v>631</v>
      </c>
      <c r="C224" s="1299" t="str">
        <f>+C114</f>
        <v>MEJORAMIENTO DE LA VIA QUE COMUNICA LA VEREDA EL ENCANTO CON EL CORREGIMIENTO EL SILENCIO, MUNICIPIO DE CAREPA, DEPARTAMENTO DE ANTIOQUIA.</v>
      </c>
      <c r="D224" s="1299"/>
      <c r="E224" s="1299"/>
      <c r="F224" s="1299"/>
      <c r="G224" s="1299"/>
      <c r="H224" s="1300"/>
    </row>
    <row r="225" spans="1:10" x14ac:dyDescent="0.6">
      <c r="B225" s="582" t="s">
        <v>632</v>
      </c>
      <c r="C225" s="1301"/>
      <c r="D225" s="1301"/>
      <c r="E225" s="1301"/>
      <c r="F225" s="1301"/>
      <c r="G225" s="1301"/>
      <c r="H225" s="1302"/>
    </row>
    <row r="226" spans="1:10" ht="15.9" thickBot="1" x14ac:dyDescent="0.65">
      <c r="B226" s="685"/>
      <c r="C226" s="686"/>
      <c r="D226" s="686"/>
      <c r="E226" s="686"/>
      <c r="F226" s="686"/>
      <c r="G226" s="686"/>
      <c r="H226" s="687"/>
    </row>
    <row r="227" spans="1:10" ht="15.9" thickBot="1" x14ac:dyDescent="0.65">
      <c r="B227" s="688" t="s">
        <v>264</v>
      </c>
      <c r="C227" s="1323" t="s">
        <v>115</v>
      </c>
      <c r="D227" s="1324"/>
      <c r="E227" s="1325"/>
      <c r="F227" s="689"/>
      <c r="G227" s="690" t="s">
        <v>386</v>
      </c>
      <c r="H227" s="688" t="s">
        <v>7</v>
      </c>
    </row>
    <row r="228" spans="1:10" s="708" customFormat="1" ht="29.25" customHeight="1" thickBot="1" x14ac:dyDescent="0.6">
      <c r="B228" s="709" t="s">
        <v>633</v>
      </c>
      <c r="C228" s="1308" t="s">
        <v>665</v>
      </c>
      <c r="D228" s="1309"/>
      <c r="E228" s="1310"/>
      <c r="F228" s="710"/>
      <c r="G228" s="1167" t="s">
        <v>22</v>
      </c>
      <c r="H228" s="711">
        <v>1</v>
      </c>
      <c r="I228" s="827"/>
      <c r="J228" s="827"/>
    </row>
    <row r="229" spans="1:10" x14ac:dyDescent="0.6">
      <c r="B229" s="592"/>
      <c r="C229" s="593"/>
      <c r="D229" s="593"/>
      <c r="E229" s="593"/>
      <c r="F229" s="593"/>
      <c r="G229" s="593"/>
      <c r="H229" s="594"/>
    </row>
    <row r="230" spans="1:10" ht="15.9" thickBot="1" x14ac:dyDescent="0.65">
      <c r="B230" s="595" t="s">
        <v>635</v>
      </c>
      <c r="C230" s="596"/>
      <c r="D230" s="596"/>
      <c r="E230" s="596"/>
      <c r="F230" s="596"/>
      <c r="G230" s="596"/>
      <c r="H230" s="597"/>
    </row>
    <row r="231" spans="1:10" x14ac:dyDescent="0.6">
      <c r="B231" s="598" t="s">
        <v>636</v>
      </c>
      <c r="C231" s="599"/>
      <c r="D231" s="599"/>
      <c r="E231" s="600"/>
      <c r="F231" s="601" t="s">
        <v>637</v>
      </c>
      <c r="G231" s="602" t="s">
        <v>638</v>
      </c>
      <c r="H231" s="603" t="s">
        <v>165</v>
      </c>
    </row>
    <row r="232" spans="1:10" x14ac:dyDescent="0.6">
      <c r="A232" s="580" t="s">
        <v>461</v>
      </c>
      <c r="B232" s="604" t="str">
        <f>+IFERROR(VLOOKUP(A232,'equipos y transporte'!$A$4:$E$35,3,FALSE), " ")</f>
        <v>Mezcladora de concreto 1 bulto</v>
      </c>
      <c r="C232" s="605"/>
      <c r="D232" s="605"/>
      <c r="E232" s="605"/>
      <c r="F232" s="813">
        <f>+IFERROR(VLOOKUP(A232,'equipos y transporte'!$A$4:$E$35,5,FALSE), " ")</f>
        <v>50624.999999999993</v>
      </c>
      <c r="G232" s="607">
        <v>6</v>
      </c>
      <c r="H232" s="608">
        <f>IFERROR(F232/G232, " ")</f>
        <v>8437.4999999999982</v>
      </c>
    </row>
    <row r="233" spans="1:10" x14ac:dyDescent="0.6">
      <c r="B233" s="604" t="str">
        <f>+IFERROR(VLOOKUP(A233,'equipos y transporte'!$A$4:$E$35,3,FALSE), " ")</f>
        <v xml:space="preserve"> </v>
      </c>
      <c r="C233" s="605"/>
      <c r="D233" s="605"/>
      <c r="E233" s="605"/>
      <c r="F233" s="813" t="str">
        <f>+IFERROR(VLOOKUP(A233,'equipos y transporte'!$A$4:$E$35,5,FALSE), " ")</f>
        <v xml:space="preserve"> </v>
      </c>
      <c r="G233" s="609"/>
      <c r="H233" s="608" t="str">
        <f>IFERROR(F233/#REF!, " ")</f>
        <v xml:space="preserve"> </v>
      </c>
    </row>
    <row r="234" spans="1:10" x14ac:dyDescent="0.6">
      <c r="B234" s="604" t="str">
        <f>+IFERROR(VLOOKUP(A234,'equipos y transporte'!$A$4:$E$35,3,FALSE), " ")</f>
        <v xml:space="preserve"> </v>
      </c>
      <c r="C234" s="605"/>
      <c r="D234" s="605"/>
      <c r="E234" s="605"/>
      <c r="F234" s="813" t="str">
        <f>+IFERROR(VLOOKUP(A234,'equipos y transporte'!$A$4:$E$35,5,FALSE), " ")</f>
        <v xml:space="preserve"> </v>
      </c>
      <c r="G234" s="609"/>
      <c r="H234" s="608"/>
    </row>
    <row r="235" spans="1:10" x14ac:dyDescent="0.6">
      <c r="B235" s="604" t="str">
        <f>+IFERROR(VLOOKUP(A235,'equipos y transporte'!$A$4:$E$35,3,FALSE), " ")</f>
        <v xml:space="preserve"> </v>
      </c>
      <c r="C235" s="605"/>
      <c r="D235" s="605"/>
      <c r="E235" s="605"/>
      <c r="F235" s="813" t="str">
        <f>+IFERROR(VLOOKUP(A235,'equipos y transporte'!$A$4:$E$35,5,FALSE), " ")</f>
        <v xml:space="preserve"> </v>
      </c>
      <c r="G235" s="611"/>
      <c r="H235" s="612"/>
    </row>
    <row r="236" spans="1:10" ht="15.9" thickBot="1" x14ac:dyDescent="0.65">
      <c r="B236" s="1311" t="s">
        <v>639</v>
      </c>
      <c r="C236" s="1312"/>
      <c r="D236" s="1313"/>
      <c r="E236" s="1314"/>
      <c r="F236" s="613"/>
      <c r="G236" s="1168">
        <v>0.01</v>
      </c>
      <c r="H236" s="614">
        <f>ROUND(H266*G236,2)</f>
        <v>1162.42</v>
      </c>
    </row>
    <row r="237" spans="1:10" ht="15.9" thickBot="1" x14ac:dyDescent="0.65">
      <c r="B237" s="615"/>
      <c r="C237" s="616"/>
      <c r="D237" s="616"/>
      <c r="E237" s="616"/>
      <c r="F237" s="616"/>
      <c r="G237" s="617" t="s">
        <v>640</v>
      </c>
      <c r="H237" s="618">
        <f>ROUND(SUM(H232:H236),2)</f>
        <v>9599.92</v>
      </c>
    </row>
    <row r="238" spans="1:10" x14ac:dyDescent="0.6">
      <c r="B238" s="619"/>
      <c r="C238" s="620"/>
      <c r="D238" s="620"/>
      <c r="E238" s="620"/>
      <c r="F238" s="620"/>
      <c r="G238" s="620"/>
      <c r="H238" s="621"/>
    </row>
    <row r="239" spans="1:10" ht="15.9" thickBot="1" x14ac:dyDescent="0.65">
      <c r="B239" s="622" t="s">
        <v>641</v>
      </c>
      <c r="C239" s="623"/>
      <c r="D239" s="623"/>
      <c r="E239" s="623"/>
      <c r="F239" s="623"/>
      <c r="G239" s="623"/>
      <c r="H239" s="624"/>
    </row>
    <row r="240" spans="1:10" x14ac:dyDescent="0.6">
      <c r="B240" s="598" t="s">
        <v>642</v>
      </c>
      <c r="C240" s="599"/>
      <c r="D240" s="601" t="s">
        <v>386</v>
      </c>
      <c r="E240" s="601" t="s">
        <v>7</v>
      </c>
      <c r="F240" s="601" t="s">
        <v>643</v>
      </c>
      <c r="G240" s="625" t="s">
        <v>177</v>
      </c>
      <c r="H240" s="603" t="s">
        <v>165</v>
      </c>
    </row>
    <row r="241" spans="1:8" x14ac:dyDescent="0.6">
      <c r="A241" s="580" t="s">
        <v>493</v>
      </c>
      <c r="B241" s="626" t="str">
        <f>IFERROR(VLOOKUP(A241,insumos!$A$3:$E$39,3,FALSE), " ")</f>
        <v>Agua</v>
      </c>
      <c r="C241" s="627"/>
      <c r="D241" s="815" t="str">
        <f>IFERROR(VLOOKUP(A241,insumos!$A$3:$E$39,4,FALSE), " ")</f>
        <v>lt</v>
      </c>
      <c r="E241" s="628">
        <v>145</v>
      </c>
      <c r="F241" s="629">
        <v>0.03</v>
      </c>
      <c r="G241" s="814">
        <f>IFERROR(VLOOKUP(A241,insumos!$A$3:$E$39,5,FALSE), " ")</f>
        <v>111.37500000000001</v>
      </c>
      <c r="H241" s="630">
        <f t="shared" ref="H241:H247" si="21">+IFERROR(ROUND(G241*(E241*(1+F241/100)),2), " ")</f>
        <v>16154.22</v>
      </c>
    </row>
    <row r="242" spans="1:8" x14ac:dyDescent="0.6">
      <c r="A242" s="580" t="s">
        <v>498</v>
      </c>
      <c r="B242" s="626" t="str">
        <f>IFERROR(VLOOKUP(A242,insumos!$A$3:$E$39,3,FALSE), " ")</f>
        <v>Arena lavada</v>
      </c>
      <c r="C242" s="627"/>
      <c r="D242" s="815" t="str">
        <f>IFERROR(VLOOKUP(A242,insumos!$A$3:$E$39,4,FALSE), " ")</f>
        <v>m3</v>
      </c>
      <c r="E242" s="628">
        <v>0.55500000000000005</v>
      </c>
      <c r="F242" s="629">
        <v>0.03</v>
      </c>
      <c r="G242" s="814">
        <f>IFERROR(VLOOKUP(A242,insumos!$A$3:$E$39,5,FALSE), " ")</f>
        <v>80190</v>
      </c>
      <c r="H242" s="630">
        <f t="shared" si="21"/>
        <v>44518.8</v>
      </c>
    </row>
    <row r="243" spans="1:8" x14ac:dyDescent="0.6">
      <c r="A243" s="580" t="s">
        <v>490</v>
      </c>
      <c r="B243" s="626" t="str">
        <f>IFERROR(VLOOKUP(A243,insumos!$A$3:$E$39,3,FALSE), " ")</f>
        <v>Agregado para concreto hidráulico</v>
      </c>
      <c r="C243" s="627"/>
      <c r="D243" s="815" t="str">
        <f>IFERROR(VLOOKUP(A243,insumos!$A$3:$E$39,4,FALSE), " ")</f>
        <v>m3</v>
      </c>
      <c r="E243" s="628">
        <v>0.99</v>
      </c>
      <c r="F243" s="629">
        <v>0.03</v>
      </c>
      <c r="G243" s="814">
        <f>IFERROR(VLOOKUP(A243,insumos!$A$3:$E$39,5,FALSE), " ")</f>
        <v>83939.625</v>
      </c>
      <c r="H243" s="630">
        <f t="shared" si="21"/>
        <v>83125.16</v>
      </c>
    </row>
    <row r="244" spans="1:8" x14ac:dyDescent="0.6">
      <c r="A244" s="632" t="s">
        <v>506</v>
      </c>
      <c r="B244" s="626" t="str">
        <f>IFERROR(VLOOKUP(A244,insumos!$A$3:$E$39,3,FALSE), " ")</f>
        <v>Cemento gris</v>
      </c>
      <c r="C244" s="627"/>
      <c r="D244" s="815" t="str">
        <f>IFERROR(VLOOKUP(A244,insumos!$A$3:$E$39,4,FALSE), " ")</f>
        <v>kg</v>
      </c>
      <c r="E244" s="628">
        <v>175</v>
      </c>
      <c r="F244" s="629">
        <v>0.03</v>
      </c>
      <c r="G244" s="814">
        <f>IFERROR(VLOOKUP(A244,insumos!$A$3:$E$39,5,FALSE), " ")</f>
        <v>835.3125</v>
      </c>
      <c r="H244" s="630">
        <f t="shared" si="21"/>
        <v>146223.54</v>
      </c>
    </row>
    <row r="245" spans="1:8" x14ac:dyDescent="0.6">
      <c r="A245" s="632"/>
      <c r="B245" s="626" t="str">
        <f>IFERROR(VLOOKUP(A245,insumos!$A$3:$E$39,3,FALSE), " ")</f>
        <v xml:space="preserve"> </v>
      </c>
      <c r="C245" s="627"/>
      <c r="D245" s="815" t="str">
        <f>IFERROR(VLOOKUP(A245,insumos!$A$3:$E$39,4,FALSE), " ")</f>
        <v xml:space="preserve"> </v>
      </c>
      <c r="E245" s="628"/>
      <c r="F245" s="629"/>
      <c r="G245" s="814" t="str">
        <f>IFERROR(VLOOKUP(A245,insumos!$A$3:$E$39,5,FALSE), " ")</f>
        <v xml:space="preserve"> </v>
      </c>
      <c r="H245" s="630" t="str">
        <f t="shared" si="21"/>
        <v xml:space="preserve"> </v>
      </c>
    </row>
    <row r="246" spans="1:8" x14ac:dyDescent="0.6">
      <c r="A246" s="632"/>
      <c r="B246" s="626" t="str">
        <f>IFERROR(VLOOKUP(A246,insumos!$A$3:$E$39,3,FALSE), " ")</f>
        <v xml:space="preserve"> </v>
      </c>
      <c r="C246" s="627"/>
      <c r="D246" s="815" t="str">
        <f>IFERROR(VLOOKUP(A246,insumos!$A$3:$E$39,4,FALSE), " ")</f>
        <v xml:space="preserve"> </v>
      </c>
      <c r="E246" s="628"/>
      <c r="F246" s="629"/>
      <c r="G246" s="814" t="str">
        <f>IFERROR(VLOOKUP(A246,insumos!$A$3:$E$39,5,FALSE), " ")</f>
        <v xml:space="preserve"> </v>
      </c>
      <c r="H246" s="630" t="str">
        <f t="shared" si="21"/>
        <v xml:space="preserve"> </v>
      </c>
    </row>
    <row r="247" spans="1:8" x14ac:dyDescent="0.6">
      <c r="B247" s="626" t="str">
        <f>IFERROR(VLOOKUP(A247,insumos!$A$3:$E$39,3,FALSE), " ")</f>
        <v xml:space="preserve"> </v>
      </c>
      <c r="C247" s="627"/>
      <c r="D247" s="815" t="str">
        <f>IFERROR(VLOOKUP(A247,insumos!$A$3:$E$39,4,FALSE), " ")</f>
        <v xml:space="preserve"> </v>
      </c>
      <c r="E247" s="633"/>
      <c r="F247" s="634"/>
      <c r="G247" s="814" t="str">
        <f>IFERROR(VLOOKUP(A247,insumos!$A$3:$E$39,5,FALSE), " ")</f>
        <v xml:space="preserve"> </v>
      </c>
      <c r="H247" s="630" t="str">
        <f t="shared" si="21"/>
        <v xml:space="preserve"> </v>
      </c>
    </row>
    <row r="248" spans="1:8" ht="15.9" thickBot="1" x14ac:dyDescent="0.65">
      <c r="B248" s="626" t="str">
        <f>IFERROR(VLOOKUP(A248,insumos!$A$3:$E$39,3,FALSE), " ")</f>
        <v xml:space="preserve"> </v>
      </c>
      <c r="C248" s="627"/>
      <c r="D248" s="815" t="str">
        <f>IFERROR(VLOOKUP(A248,insumos!$A$3:$E$39,4,FALSE), " ")</f>
        <v xml:space="preserve"> </v>
      </c>
      <c r="E248" s="1173"/>
      <c r="F248" s="1174"/>
      <c r="G248" s="814" t="str">
        <f>IFERROR(VLOOKUP(A248,insumos!$A$3:$E$39,5,FALSE), " ")</f>
        <v xml:space="preserve"> </v>
      </c>
      <c r="H248" s="1175"/>
    </row>
    <row r="249" spans="1:8" ht="15.9" thickBot="1" x14ac:dyDescent="0.65">
      <c r="B249" s="615"/>
      <c r="C249" s="616"/>
      <c r="D249" s="616"/>
      <c r="E249" s="616"/>
      <c r="F249" s="616"/>
      <c r="G249" s="617" t="s">
        <v>640</v>
      </c>
      <c r="H249" s="635">
        <f>ROUND(SUM(H241:H248),2)</f>
        <v>290021.71999999997</v>
      </c>
    </row>
    <row r="250" spans="1:8" x14ac:dyDescent="0.6">
      <c r="B250" s="636"/>
      <c r="C250" s="620"/>
      <c r="D250" s="620"/>
      <c r="E250" s="620"/>
      <c r="F250" s="620"/>
      <c r="G250" s="620"/>
      <c r="H250" s="621"/>
    </row>
    <row r="251" spans="1:8" ht="15.9" thickBot="1" x14ac:dyDescent="0.65">
      <c r="B251" s="622" t="s">
        <v>285</v>
      </c>
      <c r="C251" s="623"/>
      <c r="D251" s="623"/>
      <c r="E251" s="623"/>
      <c r="F251" s="623"/>
      <c r="G251" s="623"/>
      <c r="H251" s="624"/>
    </row>
    <row r="252" spans="1:8" x14ac:dyDescent="0.6">
      <c r="B252" s="598" t="s">
        <v>644</v>
      </c>
      <c r="C252" s="637"/>
      <c r="D252" s="638" t="s">
        <v>645</v>
      </c>
      <c r="E252" s="639" t="s">
        <v>646</v>
      </c>
      <c r="F252" s="640" t="s">
        <v>647</v>
      </c>
      <c r="G252" s="641" t="s">
        <v>648</v>
      </c>
      <c r="H252" s="642" t="s">
        <v>165</v>
      </c>
    </row>
    <row r="253" spans="1:8" x14ac:dyDescent="0.6">
      <c r="A253" s="580" t="s">
        <v>484</v>
      </c>
      <c r="B253" s="643" t="str">
        <f>IFERROR(VLOOKUP(A253,'equipos y transporte'!$A$4:$E$35,3,FALSE), " ")</f>
        <v>Transporte de Arena Lavada</v>
      </c>
      <c r="C253" s="605"/>
      <c r="D253" s="610">
        <f>+E242</f>
        <v>0.55500000000000005</v>
      </c>
      <c r="E253" s="644">
        <f>+cantera</f>
        <v>35</v>
      </c>
      <c r="F253" s="610">
        <f>IFERROR(D253*E253, " ")</f>
        <v>19.425000000000001</v>
      </c>
      <c r="G253" s="814">
        <f>IFERROR(VLOOKUP(A253,'equipos y transporte'!$A$4:$E$35,5,FALSE), " ")</f>
        <v>1672.9261363636363</v>
      </c>
      <c r="H253" s="645">
        <f>IFERROR(ROUND(F253*G253,2), " ")</f>
        <v>32496.59</v>
      </c>
    </row>
    <row r="254" spans="1:8" x14ac:dyDescent="0.6">
      <c r="A254" s="580" t="s">
        <v>481</v>
      </c>
      <c r="B254" s="643" t="str">
        <f>IFERROR(VLOOKUP(A254,'equipos y transporte'!$A$4:$E$35,3,FALSE), " ")</f>
        <v>Transporte de Material Triturado</v>
      </c>
      <c r="C254" s="646"/>
      <c r="D254" s="610">
        <f>+E243</f>
        <v>0.99</v>
      </c>
      <c r="E254" s="644">
        <f>+cantera</f>
        <v>35</v>
      </c>
      <c r="F254" s="610">
        <f t="shared" ref="F254:F257" si="22">IFERROR(D254*E254, " ")</f>
        <v>34.65</v>
      </c>
      <c r="G254" s="814">
        <f>IFERROR(VLOOKUP(A254,'equipos y transporte'!$A$4:$E$35,5,FALSE), " ")</f>
        <v>1672.9261363636363</v>
      </c>
      <c r="H254" s="645">
        <f>IFERROR(ROUND(F254*G254,2), " ")</f>
        <v>57966.89</v>
      </c>
    </row>
    <row r="255" spans="1:8" x14ac:dyDescent="0.6">
      <c r="A255" s="580" t="s">
        <v>663</v>
      </c>
      <c r="B255" s="643" t="str">
        <f>IFERROR(VLOOKUP(A255,'equipos y transporte'!$A$4:$E$35,3,FALSE), " ")</f>
        <v>Transporte de cemento</v>
      </c>
      <c r="C255" s="646"/>
      <c r="D255" s="610">
        <f>+E244</f>
        <v>175</v>
      </c>
      <c r="E255" s="644">
        <f>+escombro</f>
        <v>15</v>
      </c>
      <c r="F255" s="610">
        <f t="shared" si="22"/>
        <v>2625</v>
      </c>
      <c r="G255" s="814">
        <f>IFERROR(VLOOKUP(A255,'equipos y transporte'!$A$4:$E$35,5,FALSE), " ")</f>
        <v>1.2375000000000003</v>
      </c>
      <c r="H255" s="645">
        <f>IFERROR(ROUND(F255*G255,2), " ")</f>
        <v>3248.44</v>
      </c>
    </row>
    <row r="256" spans="1:8" x14ac:dyDescent="0.6">
      <c r="B256" s="643" t="str">
        <f>IFERROR(VLOOKUP(A256,'equipos y transporte'!$A$4:$E$35,3,FALSE), " ")</f>
        <v xml:space="preserve"> </v>
      </c>
      <c r="C256" s="646"/>
      <c r="D256" s="610"/>
      <c r="E256" s="644"/>
      <c r="F256" s="610">
        <f t="shared" si="22"/>
        <v>0</v>
      </c>
      <c r="G256" s="814" t="str">
        <f>IFERROR(VLOOKUP(A256,'equipos y transporte'!$A$4:$E$35,5,FALSE), " ")</f>
        <v xml:space="preserve"> </v>
      </c>
      <c r="H256" s="645" t="str">
        <f>IFERROR(ROUND(F256*G256,2), " ")</f>
        <v xml:space="preserve"> </v>
      </c>
    </row>
    <row r="257" spans="1:8" ht="15.9" thickBot="1" x14ac:dyDescent="0.65">
      <c r="B257" s="643" t="str">
        <f>IFERROR(VLOOKUP(A257,'equipos y transporte'!$A$4:$E$35,3,FALSE), " ")</f>
        <v xml:space="preserve"> </v>
      </c>
      <c r="C257" s="1172"/>
      <c r="D257" s="1176"/>
      <c r="E257" s="1177"/>
      <c r="F257" s="1176">
        <f t="shared" si="22"/>
        <v>0</v>
      </c>
      <c r="G257" s="814" t="str">
        <f>IFERROR(VLOOKUP(A257,'equipos y transporte'!$A$4:$E$35,5,FALSE), " ")</f>
        <v xml:space="preserve"> </v>
      </c>
      <c r="H257" s="1178" t="str">
        <f>IFERROR(ROUND(F257*G257,2), " ")</f>
        <v xml:space="preserve"> </v>
      </c>
    </row>
    <row r="258" spans="1:8" ht="15.9" thickBot="1" x14ac:dyDescent="0.65">
      <c r="B258" s="615"/>
      <c r="C258" s="616"/>
      <c r="D258" s="616"/>
      <c r="E258" s="616"/>
      <c r="F258" s="616"/>
      <c r="G258" s="617" t="s">
        <v>640</v>
      </c>
      <c r="H258" s="647">
        <f>SUM(H253:H257)</f>
        <v>93711.92</v>
      </c>
    </row>
    <row r="259" spans="1:8" x14ac:dyDescent="0.6">
      <c r="B259" s="636"/>
      <c r="C259" s="620"/>
      <c r="D259" s="620"/>
      <c r="E259" s="620"/>
      <c r="F259" s="620"/>
      <c r="G259" s="620"/>
      <c r="H259" s="621"/>
    </row>
    <row r="260" spans="1:8" ht="15.9" thickBot="1" x14ac:dyDescent="0.65">
      <c r="B260" s="622" t="s">
        <v>292</v>
      </c>
      <c r="C260" s="623"/>
      <c r="D260" s="623"/>
      <c r="E260" s="623"/>
      <c r="F260" s="623"/>
      <c r="G260" s="623"/>
      <c r="H260" s="624"/>
    </row>
    <row r="261" spans="1:8" ht="31.2" x14ac:dyDescent="0.6">
      <c r="B261" s="648" t="s">
        <v>649</v>
      </c>
      <c r="C261" s="649"/>
      <c r="D261" s="640" t="s">
        <v>650</v>
      </c>
      <c r="E261" s="639" t="s">
        <v>651</v>
      </c>
      <c r="F261" s="638" t="s">
        <v>652</v>
      </c>
      <c r="G261" s="650" t="s">
        <v>638</v>
      </c>
      <c r="H261" s="651" t="s">
        <v>165</v>
      </c>
    </row>
    <row r="262" spans="1:8" x14ac:dyDescent="0.6">
      <c r="A262" s="580" t="s">
        <v>653</v>
      </c>
      <c r="B262" s="652" t="s">
        <v>311</v>
      </c>
      <c r="C262" s="646"/>
      <c r="D262" s="653">
        <f>+ofic</f>
        <v>73666.666666666672</v>
      </c>
      <c r="E262" s="654">
        <f>+$L$57</f>
        <v>1.85</v>
      </c>
      <c r="F262" s="655">
        <f>+IFERROR(D262*E262, " ")</f>
        <v>136283.33333333334</v>
      </c>
      <c r="G262" s="656">
        <f>+$G$67</f>
        <v>6</v>
      </c>
      <c r="H262" s="645">
        <f>IFERROR(ROUND(F262/G262,2),0)</f>
        <v>22713.89</v>
      </c>
    </row>
    <row r="263" spans="1:8" x14ac:dyDescent="0.6">
      <c r="A263" s="580" t="s">
        <v>654</v>
      </c>
      <c r="B263" s="652" t="s">
        <v>655</v>
      </c>
      <c r="C263" s="850">
        <v>7</v>
      </c>
      <c r="D263" s="653">
        <f>+jornal*C263</f>
        <v>303333.33333333337</v>
      </c>
      <c r="E263" s="654">
        <f>+$L$57</f>
        <v>1.85</v>
      </c>
      <c r="F263" s="655">
        <f t="shared" ref="F263:F265" si="23">+IFERROR(D263*E263, " ")</f>
        <v>561166.66666666674</v>
      </c>
      <c r="G263" s="656">
        <f>+$G$67</f>
        <v>6</v>
      </c>
      <c r="H263" s="645">
        <f>IFERROR(ROUND(F263/G263,2),0)</f>
        <v>93527.78</v>
      </c>
    </row>
    <row r="264" spans="1:8" x14ac:dyDescent="0.6">
      <c r="B264" s="652"/>
      <c r="C264" s="646"/>
      <c r="D264" s="653"/>
      <c r="E264" s="657"/>
      <c r="F264" s="655">
        <f t="shared" si="23"/>
        <v>0</v>
      </c>
      <c r="G264" s="658"/>
      <c r="H264" s="645">
        <f t="shared" ref="H264:H265" si="24">IFERROR(ROUND(F264/G264,2),0)</f>
        <v>0</v>
      </c>
    </row>
    <row r="265" spans="1:8" ht="15.9" thickBot="1" x14ac:dyDescent="0.65">
      <c r="B265" s="652"/>
      <c r="C265" s="646"/>
      <c r="D265" s="653"/>
      <c r="E265" s="657"/>
      <c r="F265" s="655">
        <f t="shared" si="23"/>
        <v>0</v>
      </c>
      <c r="G265" s="659"/>
      <c r="H265" s="645">
        <f t="shared" si="24"/>
        <v>0</v>
      </c>
    </row>
    <row r="266" spans="1:8" ht="15.9" thickBot="1" x14ac:dyDescent="0.65">
      <c r="B266" s="615"/>
      <c r="C266" s="616"/>
      <c r="D266" s="616"/>
      <c r="E266" s="616"/>
      <c r="F266" s="616"/>
      <c r="G266" s="617" t="s">
        <v>640</v>
      </c>
      <c r="H266" s="660">
        <f>ROUND(SUM(H262:H265),2)</f>
        <v>116241.67</v>
      </c>
    </row>
    <row r="267" spans="1:8" ht="15.9" thickBot="1" x14ac:dyDescent="0.65">
      <c r="B267" s="636"/>
      <c r="C267" s="620"/>
      <c r="D267" s="620"/>
      <c r="E267" s="620"/>
      <c r="F267" s="620"/>
      <c r="G267" s="620"/>
      <c r="H267" s="621"/>
    </row>
    <row r="268" spans="1:8" ht="15.9" thickBot="1" x14ac:dyDescent="0.65">
      <c r="B268" s="661"/>
      <c r="C268" s="662"/>
      <c r="D268" s="662"/>
      <c r="E268" s="662"/>
      <c r="F268" s="662"/>
      <c r="G268" s="663" t="s">
        <v>656</v>
      </c>
      <c r="H268" s="664">
        <f>IFERROR(ROUND(H237+H249+H258+H266,0)," " )</f>
        <v>509575</v>
      </c>
    </row>
    <row r="269" spans="1:8" x14ac:dyDescent="0.6">
      <c r="B269" s="636"/>
      <c r="C269" s="620"/>
      <c r="D269" s="620"/>
      <c r="E269" s="620"/>
      <c r="F269" s="620"/>
      <c r="G269" s="620"/>
      <c r="H269" s="621"/>
    </row>
    <row r="270" spans="1:8" x14ac:dyDescent="0.6">
      <c r="B270" s="665" t="s">
        <v>657</v>
      </c>
      <c r="C270" s="666"/>
      <c r="D270" s="666"/>
      <c r="E270" s="666"/>
      <c r="F270" s="666"/>
      <c r="G270" s="666"/>
      <c r="H270" s="667"/>
    </row>
    <row r="271" spans="1:8" ht="15.9" thickBot="1" x14ac:dyDescent="0.65">
      <c r="B271" s="636"/>
      <c r="C271" s="620"/>
      <c r="D271" s="620"/>
      <c r="E271" s="620"/>
      <c r="F271" s="620"/>
      <c r="G271" s="620"/>
      <c r="H271" s="621"/>
    </row>
    <row r="272" spans="1:8" x14ac:dyDescent="0.6">
      <c r="B272" s="1315" t="s">
        <v>270</v>
      </c>
      <c r="C272" s="1316"/>
      <c r="D272" s="637"/>
      <c r="E272" s="668"/>
      <c r="F272" s="669" t="s">
        <v>658</v>
      </c>
      <c r="G272" s="670" t="s">
        <v>659</v>
      </c>
      <c r="H272" s="671"/>
    </row>
    <row r="273" spans="1:12" x14ac:dyDescent="0.6">
      <c r="B273" s="1317" t="s">
        <v>69</v>
      </c>
      <c r="C273" s="1318"/>
      <c r="D273" s="672"/>
      <c r="E273" s="673"/>
      <c r="F273" s="674">
        <v>0</v>
      </c>
      <c r="G273" s="675">
        <f>ROUND(H268*F273,2)</f>
        <v>0</v>
      </c>
      <c r="H273" s="676"/>
    </row>
    <row r="274" spans="1:12" ht="15.9" thickBot="1" x14ac:dyDescent="0.65">
      <c r="B274" s="677" t="s">
        <v>70</v>
      </c>
      <c r="C274" s="678"/>
      <c r="D274" s="672"/>
      <c r="E274" s="673"/>
      <c r="F274" s="679">
        <v>0</v>
      </c>
      <c r="G274" s="1179">
        <f>ROUND(H268*F274,2)</f>
        <v>0</v>
      </c>
      <c r="H274" s="676"/>
    </row>
    <row r="275" spans="1:12" ht="15.9" thickBot="1" x14ac:dyDescent="0.65">
      <c r="B275" s="1319" t="s">
        <v>640</v>
      </c>
      <c r="C275" s="1320"/>
      <c r="D275" s="1320"/>
      <c r="E275" s="1320"/>
      <c r="F275" s="1320"/>
      <c r="G275" s="1320"/>
      <c r="H275" s="680">
        <f>ROUND(G273+G274,2)</f>
        <v>0</v>
      </c>
    </row>
    <row r="276" spans="1:12" ht="15.9" thickBot="1" x14ac:dyDescent="0.65">
      <c r="B276" s="681"/>
      <c r="C276" s="682"/>
      <c r="D276" s="682"/>
      <c r="E276" s="682"/>
      <c r="F276" s="682"/>
      <c r="G276" s="682"/>
      <c r="H276" s="683"/>
    </row>
    <row r="277" spans="1:12" ht="15.9" thickBot="1" x14ac:dyDescent="0.65">
      <c r="A277" s="580" t="s">
        <v>660</v>
      </c>
      <c r="B277" s="1321"/>
      <c r="C277" s="1322"/>
      <c r="D277" s="1322"/>
      <c r="E277" s="1322"/>
      <c r="F277" s="1322"/>
      <c r="G277" s="1322"/>
      <c r="H277" s="684">
        <f>ROUND(H268+H275,0)</f>
        <v>509575</v>
      </c>
    </row>
    <row r="278" spans="1:12" x14ac:dyDescent="0.6">
      <c r="B278" s="1296" t="s">
        <v>629</v>
      </c>
      <c r="C278" s="1297"/>
      <c r="D278" s="1297"/>
      <c r="E278" s="1297"/>
      <c r="F278" s="1297"/>
      <c r="G278" s="1297"/>
      <c r="H278" s="1298"/>
      <c r="K278" s="581" t="s">
        <v>630</v>
      </c>
      <c r="L278" s="581">
        <v>1.85</v>
      </c>
    </row>
    <row r="279" spans="1:12" ht="30.75" customHeight="1" x14ac:dyDescent="0.6">
      <c r="B279" s="582" t="s">
        <v>631</v>
      </c>
      <c r="C279" s="1299" t="str">
        <f>+C224</f>
        <v>MEJORAMIENTO DE LA VIA QUE COMUNICA LA VEREDA EL ENCANTO CON EL CORREGIMIENTO EL SILENCIO, MUNICIPIO DE CAREPA, DEPARTAMENTO DE ANTIOQUIA.</v>
      </c>
      <c r="D279" s="1299"/>
      <c r="E279" s="1299"/>
      <c r="F279" s="1299"/>
      <c r="G279" s="1299"/>
      <c r="H279" s="1300"/>
    </row>
    <row r="280" spans="1:12" x14ac:dyDescent="0.6">
      <c r="B280" s="582" t="s">
        <v>632</v>
      </c>
      <c r="C280" s="1301"/>
      <c r="D280" s="1301"/>
      <c r="E280" s="1301"/>
      <c r="F280" s="1301"/>
      <c r="G280" s="1301"/>
      <c r="H280" s="1302"/>
    </row>
    <row r="281" spans="1:12" ht="15.9" thickBot="1" x14ac:dyDescent="0.65">
      <c r="B281" s="583"/>
      <c r="C281" s="584"/>
      <c r="D281" s="584"/>
      <c r="E281" s="584"/>
      <c r="F281" s="584"/>
      <c r="G281" s="584"/>
      <c r="H281" s="585"/>
    </row>
    <row r="282" spans="1:12" ht="15.9" thickBot="1" x14ac:dyDescent="0.65">
      <c r="B282" s="692" t="s">
        <v>264</v>
      </c>
      <c r="C282" s="1303" t="s">
        <v>115</v>
      </c>
      <c r="D282" s="1304"/>
      <c r="E282" s="1305"/>
      <c r="F282" s="587"/>
      <c r="G282" s="588" t="s">
        <v>386</v>
      </c>
      <c r="H282" s="586" t="s">
        <v>7</v>
      </c>
    </row>
    <row r="283" spans="1:12" ht="15.9" hidden="1" thickBot="1" x14ac:dyDescent="0.65">
      <c r="B283" s="586" t="s">
        <v>264</v>
      </c>
      <c r="C283" s="1306" t="s">
        <v>115</v>
      </c>
      <c r="D283" s="1307"/>
      <c r="E283" s="589"/>
      <c r="F283" s="590"/>
      <c r="G283" s="591" t="s">
        <v>386</v>
      </c>
      <c r="H283" s="586" t="s">
        <v>7</v>
      </c>
    </row>
    <row r="284" spans="1:12" s="708" customFormat="1" ht="29.25" customHeight="1" thickBot="1" x14ac:dyDescent="0.6">
      <c r="A284" s="708">
        <v>0</v>
      </c>
      <c r="B284" s="709" t="s">
        <v>633</v>
      </c>
      <c r="C284" s="1308" t="s">
        <v>666</v>
      </c>
      <c r="D284" s="1309"/>
      <c r="E284" s="1310"/>
      <c r="F284" s="710"/>
      <c r="G284" s="1167" t="s">
        <v>22</v>
      </c>
      <c r="H284" s="711">
        <v>1</v>
      </c>
      <c r="I284" s="827"/>
      <c r="J284" s="827"/>
    </row>
    <row r="285" spans="1:12" ht="9" customHeight="1" x14ac:dyDescent="0.6">
      <c r="B285" s="592"/>
      <c r="C285" s="593"/>
      <c r="D285" s="593"/>
      <c r="E285" s="593"/>
      <c r="F285" s="593"/>
      <c r="G285" s="593"/>
      <c r="H285" s="594"/>
    </row>
    <row r="286" spans="1:12" ht="17.25" customHeight="1" thickBot="1" x14ac:dyDescent="0.65">
      <c r="B286" s="595" t="s">
        <v>635</v>
      </c>
      <c r="C286" s="596"/>
      <c r="D286" s="596"/>
      <c r="E286" s="596"/>
      <c r="F286" s="596"/>
      <c r="G286" s="596"/>
      <c r="H286" s="597"/>
    </row>
    <row r="287" spans="1:12" x14ac:dyDescent="0.6">
      <c r="B287" s="598" t="s">
        <v>636</v>
      </c>
      <c r="C287" s="599"/>
      <c r="D287" s="599"/>
      <c r="E287" s="600"/>
      <c r="F287" s="601" t="s">
        <v>637</v>
      </c>
      <c r="G287" s="602" t="s">
        <v>638</v>
      </c>
      <c r="H287" s="603" t="s">
        <v>165</v>
      </c>
    </row>
    <row r="288" spans="1:12" x14ac:dyDescent="0.6">
      <c r="A288" s="580" t="s">
        <v>461</v>
      </c>
      <c r="B288" s="604" t="str">
        <f>+IFERROR(VLOOKUP(A288,'equipos y transporte'!$A$4:$E$35,3,FALSE), " ")</f>
        <v>Mezcladora de concreto 1 bulto</v>
      </c>
      <c r="C288" s="605"/>
      <c r="D288" s="605"/>
      <c r="E288" s="605"/>
      <c r="F288" s="813">
        <f>+IFERROR(VLOOKUP(A288,'equipos y transporte'!$A$4:$E$35,5,FALSE), " ")</f>
        <v>50624.999999999993</v>
      </c>
      <c r="G288" s="607">
        <v>6</v>
      </c>
      <c r="H288" s="608">
        <f>IFERROR(F288/G288, " ")</f>
        <v>8437.4999999999982</v>
      </c>
    </row>
    <row r="289" spans="1:8" x14ac:dyDescent="0.6">
      <c r="B289" s="604" t="str">
        <f>+IFERROR(VLOOKUP(A289,'equipos y transporte'!$A$4:$E$35,3,FALSE), " ")</f>
        <v xml:space="preserve"> </v>
      </c>
      <c r="C289" s="605"/>
      <c r="D289" s="605"/>
      <c r="E289" s="605"/>
      <c r="F289" s="813" t="str">
        <f>+IFERROR(VLOOKUP(A289,'equipos y transporte'!$A$4:$E$35,5,FALSE), " ")</f>
        <v xml:space="preserve"> </v>
      </c>
      <c r="G289" s="609"/>
      <c r="H289" s="608" t="str">
        <f>IFERROR(F289/#REF!, " ")</f>
        <v xml:space="preserve"> </v>
      </c>
    </row>
    <row r="290" spans="1:8" x14ac:dyDescent="0.6">
      <c r="B290" s="604" t="str">
        <f>+IFERROR(VLOOKUP(A290,'equipos y transporte'!$A$4:$E$35,3,FALSE), " ")</f>
        <v xml:space="preserve"> </v>
      </c>
      <c r="C290" s="605"/>
      <c r="D290" s="605"/>
      <c r="E290" s="605"/>
      <c r="F290" s="813" t="str">
        <f>+IFERROR(VLOOKUP(A290,'equipos y transporte'!$A$4:$E$35,5,FALSE), " ")</f>
        <v xml:space="preserve"> </v>
      </c>
      <c r="G290" s="609"/>
      <c r="H290" s="608"/>
    </row>
    <row r="291" spans="1:8" x14ac:dyDescent="0.6">
      <c r="B291" s="604" t="str">
        <f>+IFERROR(VLOOKUP(A291,'equipos y transporte'!$A$4:$E$35,3,FALSE), " ")</f>
        <v xml:space="preserve"> </v>
      </c>
      <c r="C291" s="605"/>
      <c r="D291" s="605"/>
      <c r="E291" s="605"/>
      <c r="F291" s="813" t="str">
        <f>+IFERROR(VLOOKUP(A291,'equipos y transporte'!$A$4:$E$35,5,FALSE), " ")</f>
        <v xml:space="preserve"> </v>
      </c>
      <c r="G291" s="611"/>
      <c r="H291" s="612"/>
    </row>
    <row r="292" spans="1:8" ht="15.9" thickBot="1" x14ac:dyDescent="0.65">
      <c r="B292" s="1311" t="s">
        <v>639</v>
      </c>
      <c r="C292" s="1312"/>
      <c r="D292" s="1313"/>
      <c r="E292" s="1314"/>
      <c r="F292" s="613"/>
      <c r="G292" s="1168">
        <v>0.01</v>
      </c>
      <c r="H292" s="614">
        <f>ROUND(H322*G292,2)</f>
        <v>1162.42</v>
      </c>
    </row>
    <row r="293" spans="1:8" ht="15.9" thickBot="1" x14ac:dyDescent="0.65">
      <c r="B293" s="615"/>
      <c r="C293" s="616"/>
      <c r="D293" s="616"/>
      <c r="E293" s="616"/>
      <c r="F293" s="616"/>
      <c r="G293" s="617" t="s">
        <v>640</v>
      </c>
      <c r="H293" s="618">
        <f>ROUND(SUM(H288:H292),2)</f>
        <v>9599.92</v>
      </c>
    </row>
    <row r="294" spans="1:8" x14ac:dyDescent="0.6">
      <c r="B294" s="619"/>
      <c r="C294" s="620"/>
      <c r="D294" s="620"/>
      <c r="E294" s="620"/>
      <c r="F294" s="620"/>
      <c r="G294" s="620"/>
      <c r="H294" s="621"/>
    </row>
    <row r="295" spans="1:8" ht="15.9" thickBot="1" x14ac:dyDescent="0.65">
      <c r="B295" s="622" t="s">
        <v>641</v>
      </c>
      <c r="C295" s="623"/>
      <c r="D295" s="623"/>
      <c r="E295" s="623"/>
      <c r="F295" s="623"/>
      <c r="G295" s="623"/>
      <c r="H295" s="624"/>
    </row>
    <row r="296" spans="1:8" x14ac:dyDescent="0.6">
      <c r="B296" s="598" t="s">
        <v>642</v>
      </c>
      <c r="C296" s="599"/>
      <c r="D296" s="601" t="s">
        <v>386</v>
      </c>
      <c r="E296" s="601" t="s">
        <v>7</v>
      </c>
      <c r="F296" s="601" t="s">
        <v>643</v>
      </c>
      <c r="G296" s="625" t="s">
        <v>177</v>
      </c>
      <c r="H296" s="603" t="s">
        <v>165</v>
      </c>
    </row>
    <row r="297" spans="1:8" x14ac:dyDescent="0.6">
      <c r="A297" s="580" t="s">
        <v>493</v>
      </c>
      <c r="B297" s="626" t="str">
        <f>IFERROR(VLOOKUP(A297,insumos!$A$3:$E$39,3,FALSE), " ")</f>
        <v>Agua</v>
      </c>
      <c r="C297" s="627"/>
      <c r="D297" s="815" t="str">
        <f>IFERROR(VLOOKUP(A297,insumos!$A$3:$E$39,4,FALSE), " ")</f>
        <v>lt</v>
      </c>
      <c r="E297" s="707">
        <v>210</v>
      </c>
      <c r="F297" s="629">
        <v>0.03</v>
      </c>
      <c r="G297" s="814">
        <f>IFERROR(VLOOKUP(A297,insumos!$A$3:$E$39,5,FALSE), " ")</f>
        <v>111.37500000000001</v>
      </c>
      <c r="H297" s="630">
        <f t="shared" ref="H297:H303" si="25">+IFERROR(ROUND(G297*(E297*(1+F297/100)),2), " ")</f>
        <v>23395.77</v>
      </c>
    </row>
    <row r="298" spans="1:8" x14ac:dyDescent="0.6">
      <c r="A298" s="580" t="s">
        <v>498</v>
      </c>
      <c r="B298" s="626" t="str">
        <f>IFERROR(VLOOKUP(A298,insumos!$A$3:$E$39,3,FALSE), " ")</f>
        <v>Arena lavada</v>
      </c>
      <c r="C298" s="627"/>
      <c r="D298" s="815" t="str">
        <f>IFERROR(VLOOKUP(A298,insumos!$A$3:$E$39,4,FALSE), " ")</f>
        <v>m3</v>
      </c>
      <c r="E298" s="707">
        <v>0.44</v>
      </c>
      <c r="F298" s="629">
        <v>0.03</v>
      </c>
      <c r="G298" s="814">
        <f>IFERROR(VLOOKUP(A298,insumos!$A$3:$E$39,5,FALSE), " ")</f>
        <v>80190</v>
      </c>
      <c r="H298" s="630">
        <f t="shared" si="25"/>
        <v>35294.19</v>
      </c>
    </row>
    <row r="299" spans="1:8" x14ac:dyDescent="0.6">
      <c r="A299" s="631" t="s">
        <v>490</v>
      </c>
      <c r="B299" s="626" t="str">
        <f>IFERROR(VLOOKUP(A299,insumos!$A$3:$E$39,3,FALSE), " ")</f>
        <v>Agregado para concreto hidráulico</v>
      </c>
      <c r="C299" s="627"/>
      <c r="D299" s="815" t="str">
        <f>IFERROR(VLOOKUP(A299,insumos!$A$3:$E$39,4,FALSE), " ")</f>
        <v>m3</v>
      </c>
      <c r="E299" s="707">
        <v>0.63400000000000001</v>
      </c>
      <c r="F299" s="629">
        <v>0.03</v>
      </c>
      <c r="G299" s="814">
        <f>IFERROR(VLOOKUP(A299,insumos!$A$3:$E$39,5,FALSE), " ")</f>
        <v>83939.625</v>
      </c>
      <c r="H299" s="630">
        <f t="shared" si="25"/>
        <v>53233.69</v>
      </c>
    </row>
    <row r="300" spans="1:8" x14ac:dyDescent="0.6">
      <c r="A300" s="632" t="s">
        <v>506</v>
      </c>
      <c r="B300" s="626" t="str">
        <f>IFERROR(VLOOKUP(A300,insumos!$A$3:$E$39,3,FALSE), " ")</f>
        <v>Cemento gris</v>
      </c>
      <c r="C300" s="627"/>
      <c r="D300" s="815" t="str">
        <f>IFERROR(VLOOKUP(A300,insumos!$A$3:$E$39,4,FALSE), " ")</f>
        <v>kg</v>
      </c>
      <c r="E300" s="707">
        <v>467</v>
      </c>
      <c r="F300" s="629">
        <v>0.03</v>
      </c>
      <c r="G300" s="814">
        <f>IFERROR(VLOOKUP(A300,insumos!$A$3:$E$39,5,FALSE), " ")</f>
        <v>835.3125</v>
      </c>
      <c r="H300" s="630">
        <f t="shared" si="25"/>
        <v>390207.96</v>
      </c>
    </row>
    <row r="301" spans="1:8" x14ac:dyDescent="0.6">
      <c r="A301" s="632"/>
      <c r="B301" s="626" t="str">
        <f>IFERROR(VLOOKUP(A301,insumos!$A$3:$E$39,3,FALSE), " ")</f>
        <v xml:space="preserve"> </v>
      </c>
      <c r="C301" s="627"/>
      <c r="D301" s="815" t="str">
        <f>IFERROR(VLOOKUP(A301,insumos!$A$3:$E$39,4,FALSE), " ")</f>
        <v xml:space="preserve"> </v>
      </c>
      <c r="E301" s="628"/>
      <c r="F301" s="629"/>
      <c r="G301" s="814" t="str">
        <f>IFERROR(VLOOKUP(A301,insumos!$A$3:$E$39,5,FALSE), " ")</f>
        <v xml:space="preserve"> </v>
      </c>
      <c r="H301" s="630" t="str">
        <f t="shared" si="25"/>
        <v xml:space="preserve"> </v>
      </c>
    </row>
    <row r="302" spans="1:8" x14ac:dyDescent="0.6">
      <c r="A302" s="632"/>
      <c r="B302" s="626" t="str">
        <f>IFERROR(VLOOKUP(A302,insumos!$A$3:$E$39,3,FALSE), " ")</f>
        <v xml:space="preserve"> </v>
      </c>
      <c r="C302" s="627"/>
      <c r="D302" s="815" t="str">
        <f>IFERROR(VLOOKUP(A302,insumos!$A$3:$E$39,4,FALSE), " ")</f>
        <v xml:space="preserve"> </v>
      </c>
      <c r="E302" s="707"/>
      <c r="F302" s="629"/>
      <c r="G302" s="814" t="str">
        <f>IFERROR(VLOOKUP(A302,insumos!$A$3:$E$39,5,FALSE), " ")</f>
        <v xml:space="preserve"> </v>
      </c>
      <c r="H302" s="630" t="str">
        <f t="shared" si="25"/>
        <v xml:space="preserve"> </v>
      </c>
    </row>
    <row r="303" spans="1:8" x14ac:dyDescent="0.6">
      <c r="B303" s="626" t="str">
        <f>IFERROR(VLOOKUP(A303,insumos!$A$3:$E$39,3,FALSE), " ")</f>
        <v xml:space="preserve"> </v>
      </c>
      <c r="C303" s="627"/>
      <c r="D303" s="815" t="str">
        <f>IFERROR(VLOOKUP(A303,insumos!$A$3:$E$39,4,FALSE), " ")</f>
        <v xml:space="preserve"> </v>
      </c>
      <c r="E303" s="633"/>
      <c r="F303" s="634"/>
      <c r="G303" s="814" t="str">
        <f>IFERROR(VLOOKUP(A303,insumos!$A$3:$E$39,5,FALSE), " ")</f>
        <v xml:space="preserve"> </v>
      </c>
      <c r="H303" s="630" t="str">
        <f t="shared" si="25"/>
        <v xml:space="preserve"> </v>
      </c>
    </row>
    <row r="304" spans="1:8" ht="15.9" thickBot="1" x14ac:dyDescent="0.65">
      <c r="B304" s="626" t="str">
        <f>IFERROR(VLOOKUP(A304,insumos!$A$3:$E$39,3,FALSE), " ")</f>
        <v xml:space="preserve"> </v>
      </c>
      <c r="C304" s="627"/>
      <c r="D304" s="815" t="str">
        <f>IFERROR(VLOOKUP(A304,insumos!$A$3:$E$39,4,FALSE), " ")</f>
        <v xml:space="preserve"> </v>
      </c>
      <c r="E304" s="1173"/>
      <c r="F304" s="1174"/>
      <c r="G304" s="814" t="str">
        <f>IFERROR(VLOOKUP(A304,insumos!$A$3:$E$39,5,FALSE), " ")</f>
        <v xml:space="preserve"> </v>
      </c>
      <c r="H304" s="1175"/>
    </row>
    <row r="305" spans="1:9" ht="15.9" thickBot="1" x14ac:dyDescent="0.65">
      <c r="B305" s="615"/>
      <c r="C305" s="616"/>
      <c r="D305" s="616"/>
      <c r="E305" s="616"/>
      <c r="F305" s="616"/>
      <c r="G305" s="617" t="s">
        <v>640</v>
      </c>
      <c r="H305" s="635">
        <f>ROUND(SUM(H297:H304),2)</f>
        <v>502131.61</v>
      </c>
    </row>
    <row r="306" spans="1:9" x14ac:dyDescent="0.6">
      <c r="B306" s="636"/>
      <c r="C306" s="620"/>
      <c r="D306" s="620"/>
      <c r="E306" s="620"/>
      <c r="F306" s="620"/>
      <c r="G306" s="620"/>
      <c r="H306" s="621"/>
    </row>
    <row r="307" spans="1:9" ht="15.9" thickBot="1" x14ac:dyDescent="0.65">
      <c r="B307" s="622" t="s">
        <v>285</v>
      </c>
      <c r="C307" s="623"/>
      <c r="D307" s="623"/>
      <c r="E307" s="623"/>
      <c r="F307" s="623"/>
      <c r="G307" s="623"/>
      <c r="H307" s="624"/>
    </row>
    <row r="308" spans="1:9" x14ac:dyDescent="0.6">
      <c r="B308" s="598" t="s">
        <v>644</v>
      </c>
      <c r="C308" s="637"/>
      <c r="D308" s="638" t="s">
        <v>645</v>
      </c>
      <c r="E308" s="639" t="s">
        <v>646</v>
      </c>
      <c r="F308" s="640" t="s">
        <v>647</v>
      </c>
      <c r="G308" s="641" t="s">
        <v>648</v>
      </c>
      <c r="H308" s="642" t="s">
        <v>165</v>
      </c>
    </row>
    <row r="309" spans="1:9" x14ac:dyDescent="0.6">
      <c r="A309" s="580" t="s">
        <v>484</v>
      </c>
      <c r="B309" s="643" t="str">
        <f>IFERROR(VLOOKUP(A309,'equipos y transporte'!$A$4:$E$35,3,FALSE), " ")</f>
        <v>Transporte de Arena Lavada</v>
      </c>
      <c r="C309" s="605"/>
      <c r="D309" s="610">
        <f>+E298</f>
        <v>0.44</v>
      </c>
      <c r="E309" s="644">
        <f>+cantera</f>
        <v>35</v>
      </c>
      <c r="F309" s="610">
        <f>IFERROR(D309*E309, " ")</f>
        <v>15.4</v>
      </c>
      <c r="G309" s="814">
        <f>IFERROR(VLOOKUP(A309,'equipos y transporte'!$A$4:$E$35,5,FALSE), " ")</f>
        <v>1672.9261363636363</v>
      </c>
      <c r="H309" s="645">
        <f>IFERROR(ROUND(F309*G309,2), " ")</f>
        <v>25763.06</v>
      </c>
    </row>
    <row r="310" spans="1:9" x14ac:dyDescent="0.6">
      <c r="A310" s="580" t="s">
        <v>481</v>
      </c>
      <c r="B310" s="643" t="str">
        <f>IFERROR(VLOOKUP(A310,'equipos y transporte'!$A$4:$E$35,3,FALSE), " ")</f>
        <v>Transporte de Material Triturado</v>
      </c>
      <c r="C310" s="646"/>
      <c r="D310" s="610">
        <f>+E299</f>
        <v>0.63400000000000001</v>
      </c>
      <c r="E310" s="644">
        <f>+cantera</f>
        <v>35</v>
      </c>
      <c r="F310" s="610">
        <f t="shared" ref="F310:F313" si="26">IFERROR(D310*E310, " ")</f>
        <v>22.19</v>
      </c>
      <c r="G310" s="814">
        <f>IFERROR(VLOOKUP(A310,'equipos y transporte'!$A$4:$E$35,5,FALSE), " ")</f>
        <v>1672.9261363636363</v>
      </c>
      <c r="H310" s="645">
        <f>IFERROR(ROUND(F310*G310,2), " ")</f>
        <v>37122.230000000003</v>
      </c>
    </row>
    <row r="311" spans="1:9" x14ac:dyDescent="0.6">
      <c r="A311" s="580" t="s">
        <v>663</v>
      </c>
      <c r="B311" s="643" t="str">
        <f>IFERROR(VLOOKUP(A311,'equipos y transporte'!$A$4:$E$35,3,FALSE), " ")</f>
        <v>Transporte de cemento</v>
      </c>
      <c r="C311" s="646"/>
      <c r="D311" s="610">
        <f>+E300</f>
        <v>467</v>
      </c>
      <c r="E311" s="644">
        <f>+escombro</f>
        <v>15</v>
      </c>
      <c r="F311" s="610">
        <f t="shared" si="26"/>
        <v>7005</v>
      </c>
      <c r="G311" s="814">
        <f>IFERROR(VLOOKUP(A311,'equipos y transporte'!$A$4:$E$35,5,FALSE), " ")</f>
        <v>1.2375000000000003</v>
      </c>
      <c r="H311" s="645">
        <f>IFERROR(ROUND(F311*G311,2), " ")</f>
        <v>8668.69</v>
      </c>
    </row>
    <row r="312" spans="1:9" x14ac:dyDescent="0.6">
      <c r="B312" s="643" t="str">
        <f>IFERROR(VLOOKUP(A312,'equipos y transporte'!$A$4:$E$35,3,FALSE), " ")</f>
        <v xml:space="preserve"> </v>
      </c>
      <c r="C312" s="646"/>
      <c r="D312" s="610"/>
      <c r="E312" s="644"/>
      <c r="F312" s="610">
        <f t="shared" si="26"/>
        <v>0</v>
      </c>
      <c r="G312" s="814" t="str">
        <f>IFERROR(VLOOKUP(A312,'equipos y transporte'!$A$4:$E$35,5,FALSE), " ")</f>
        <v xml:space="preserve"> </v>
      </c>
      <c r="H312" s="645" t="str">
        <f>IFERROR(ROUND(F312*G312,2), " ")</f>
        <v xml:space="preserve"> </v>
      </c>
    </row>
    <row r="313" spans="1:9" ht="15.9" thickBot="1" x14ac:dyDescent="0.65">
      <c r="B313" s="643" t="str">
        <f>IFERROR(VLOOKUP(A313,'equipos y transporte'!$A$4:$E$35,3,FALSE), " ")</f>
        <v xml:space="preserve"> </v>
      </c>
      <c r="C313" s="1172"/>
      <c r="D313" s="1176"/>
      <c r="E313" s="1177"/>
      <c r="F313" s="1176">
        <f t="shared" si="26"/>
        <v>0</v>
      </c>
      <c r="G313" s="814" t="str">
        <f>IFERROR(VLOOKUP(A313,'equipos y transporte'!$A$4:$E$35,5,FALSE), " ")</f>
        <v xml:space="preserve"> </v>
      </c>
      <c r="H313" s="1178" t="str">
        <f>IFERROR(ROUND(F313*G313,2), " ")</f>
        <v xml:space="preserve"> </v>
      </c>
    </row>
    <row r="314" spans="1:9" ht="15.9" thickBot="1" x14ac:dyDescent="0.65">
      <c r="B314" s="615"/>
      <c r="C314" s="616"/>
      <c r="D314" s="616"/>
      <c r="E314" s="616"/>
      <c r="F314" s="616"/>
      <c r="G314" s="617" t="s">
        <v>640</v>
      </c>
      <c r="H314" s="647">
        <f>SUM(H309:H313)</f>
        <v>71553.98000000001</v>
      </c>
    </row>
    <row r="315" spans="1:9" x14ac:dyDescent="0.6">
      <c r="B315" s="636"/>
      <c r="C315" s="620"/>
      <c r="D315" s="620"/>
      <c r="E315" s="620"/>
      <c r="F315" s="620"/>
      <c r="G315" s="620"/>
      <c r="H315" s="621"/>
    </row>
    <row r="316" spans="1:9" ht="15.9" thickBot="1" x14ac:dyDescent="0.65">
      <c r="B316" s="622" t="s">
        <v>292</v>
      </c>
      <c r="C316" s="623"/>
      <c r="D316" s="623"/>
      <c r="E316" s="623"/>
      <c r="F316" s="623"/>
      <c r="G316" s="623"/>
      <c r="H316" s="624"/>
    </row>
    <row r="317" spans="1:9" ht="31.2" x14ac:dyDescent="0.6">
      <c r="B317" s="648" t="s">
        <v>649</v>
      </c>
      <c r="C317" s="649"/>
      <c r="D317" s="640" t="s">
        <v>650</v>
      </c>
      <c r="E317" s="639" t="s">
        <v>651</v>
      </c>
      <c r="F317" s="638" t="s">
        <v>652</v>
      </c>
      <c r="G317" s="650" t="s">
        <v>638</v>
      </c>
      <c r="H317" s="651" t="s">
        <v>165</v>
      </c>
    </row>
    <row r="318" spans="1:9" x14ac:dyDescent="0.6">
      <c r="A318" s="580" t="s">
        <v>653</v>
      </c>
      <c r="B318" s="652" t="s">
        <v>311</v>
      </c>
      <c r="C318" s="646"/>
      <c r="D318" s="653">
        <f>+ofic</f>
        <v>73666.666666666672</v>
      </c>
      <c r="E318" s="654">
        <f>+$L$57</f>
        <v>1.85</v>
      </c>
      <c r="F318" s="655">
        <f>+IFERROR(D318*E318, " ")</f>
        <v>136283.33333333334</v>
      </c>
      <c r="G318" s="656">
        <v>6</v>
      </c>
      <c r="H318" s="645">
        <f>IFERROR(ROUND(F318/G318,2),0)</f>
        <v>22713.89</v>
      </c>
      <c r="I318" s="826"/>
    </row>
    <row r="319" spans="1:9" x14ac:dyDescent="0.6">
      <c r="A319" s="580" t="s">
        <v>654</v>
      </c>
      <c r="B319" s="652" t="s">
        <v>655</v>
      </c>
      <c r="C319" s="850">
        <v>7</v>
      </c>
      <c r="D319" s="653">
        <f>+jornal*7</f>
        <v>303333.33333333337</v>
      </c>
      <c r="E319" s="654">
        <f>+$L$57</f>
        <v>1.85</v>
      </c>
      <c r="F319" s="655">
        <f t="shared" ref="F319:F321" si="27">+IFERROR(D319*E319, " ")</f>
        <v>561166.66666666674</v>
      </c>
      <c r="G319" s="656">
        <v>6</v>
      </c>
      <c r="H319" s="645">
        <f>IFERROR(ROUND(F319/G319,2),0)</f>
        <v>93527.78</v>
      </c>
    </row>
    <row r="320" spans="1:9" x14ac:dyDescent="0.6">
      <c r="B320" s="652"/>
      <c r="C320" s="646"/>
      <c r="D320" s="653"/>
      <c r="E320" s="657"/>
      <c r="F320" s="655">
        <f t="shared" si="27"/>
        <v>0</v>
      </c>
      <c r="G320" s="658"/>
      <c r="H320" s="645">
        <f t="shared" ref="H320:H321" si="28">IFERROR(ROUND(F320/G320,2),0)</f>
        <v>0</v>
      </c>
    </row>
    <row r="321" spans="1:12" ht="15.9" thickBot="1" x14ac:dyDescent="0.65">
      <c r="B321" s="652"/>
      <c r="C321" s="646"/>
      <c r="D321" s="653"/>
      <c r="E321" s="657"/>
      <c r="F321" s="655">
        <f t="shared" si="27"/>
        <v>0</v>
      </c>
      <c r="G321" s="659"/>
      <c r="H321" s="645">
        <f t="shared" si="28"/>
        <v>0</v>
      </c>
    </row>
    <row r="322" spans="1:12" ht="15.9" thickBot="1" x14ac:dyDescent="0.65">
      <c r="B322" s="615"/>
      <c r="C322" s="616"/>
      <c r="D322" s="616"/>
      <c r="E322" s="616"/>
      <c r="F322" s="616"/>
      <c r="G322" s="617" t="s">
        <v>640</v>
      </c>
      <c r="H322" s="660">
        <f>ROUND(SUM(H318:H321),2)</f>
        <v>116241.67</v>
      </c>
    </row>
    <row r="323" spans="1:12" ht="15.9" thickBot="1" x14ac:dyDescent="0.65">
      <c r="B323" s="636"/>
      <c r="C323" s="620"/>
      <c r="D323" s="620"/>
      <c r="E323" s="620"/>
      <c r="F323" s="620"/>
      <c r="G323" s="620"/>
      <c r="H323" s="621"/>
    </row>
    <row r="324" spans="1:12" ht="15.9" thickBot="1" x14ac:dyDescent="0.65">
      <c r="B324" s="661"/>
      <c r="C324" s="662"/>
      <c r="D324" s="662"/>
      <c r="E324" s="662"/>
      <c r="F324" s="662"/>
      <c r="G324" s="663" t="s">
        <v>656</v>
      </c>
      <c r="H324" s="664">
        <f>IFERROR(ROUND(H293+H305+H314+H322,0)," " )</f>
        <v>699527</v>
      </c>
    </row>
    <row r="325" spans="1:12" x14ac:dyDescent="0.6">
      <c r="B325" s="636"/>
      <c r="C325" s="620"/>
      <c r="D325" s="620"/>
      <c r="E325" s="620"/>
      <c r="F325" s="620"/>
      <c r="G325" s="620"/>
      <c r="H325" s="621"/>
    </row>
    <row r="326" spans="1:12" x14ac:dyDescent="0.6">
      <c r="B326" s="665" t="s">
        <v>657</v>
      </c>
      <c r="C326" s="666"/>
      <c r="D326" s="666"/>
      <c r="E326" s="666"/>
      <c r="F326" s="666"/>
      <c r="G326" s="666"/>
      <c r="H326" s="667"/>
    </row>
    <row r="327" spans="1:12" ht="15.9" thickBot="1" x14ac:dyDescent="0.65">
      <c r="B327" s="636"/>
      <c r="C327" s="620"/>
      <c r="D327" s="620"/>
      <c r="E327" s="620"/>
      <c r="F327" s="620"/>
      <c r="G327" s="620"/>
      <c r="H327" s="621"/>
    </row>
    <row r="328" spans="1:12" x14ac:dyDescent="0.6">
      <c r="B328" s="1315" t="s">
        <v>270</v>
      </c>
      <c r="C328" s="1316"/>
      <c r="D328" s="637"/>
      <c r="E328" s="668"/>
      <c r="F328" s="669" t="s">
        <v>658</v>
      </c>
      <c r="G328" s="670" t="s">
        <v>659</v>
      </c>
      <c r="H328" s="671"/>
    </row>
    <row r="329" spans="1:12" x14ac:dyDescent="0.6">
      <c r="B329" s="1317" t="s">
        <v>69</v>
      </c>
      <c r="C329" s="1318"/>
      <c r="D329" s="672"/>
      <c r="E329" s="673"/>
      <c r="F329" s="674"/>
      <c r="G329" s="675">
        <f>ROUND(H324*F329,2)</f>
        <v>0</v>
      </c>
      <c r="H329" s="676"/>
    </row>
    <row r="330" spans="1:12" ht="15.9" thickBot="1" x14ac:dyDescent="0.65">
      <c r="B330" s="677" t="s">
        <v>70</v>
      </c>
      <c r="C330" s="678"/>
      <c r="D330" s="672"/>
      <c r="E330" s="673"/>
      <c r="F330" s="679"/>
      <c r="G330" s="1179">
        <f>ROUND(H324*F330,2)</f>
        <v>0</v>
      </c>
      <c r="H330" s="676"/>
    </row>
    <row r="331" spans="1:12" ht="15.9" thickBot="1" x14ac:dyDescent="0.65">
      <c r="B331" s="1319" t="s">
        <v>640</v>
      </c>
      <c r="C331" s="1320"/>
      <c r="D331" s="1320"/>
      <c r="E331" s="1320"/>
      <c r="F331" s="1320"/>
      <c r="G331" s="1320"/>
      <c r="H331" s="680">
        <f>ROUND(G329+G330,2)</f>
        <v>0</v>
      </c>
    </row>
    <row r="332" spans="1:12" ht="15.9" thickBot="1" x14ac:dyDescent="0.65">
      <c r="B332" s="681"/>
      <c r="C332" s="682"/>
      <c r="D332" s="682"/>
      <c r="E332" s="682"/>
      <c r="F332" s="682"/>
      <c r="G332" s="682"/>
      <c r="H332" s="683"/>
    </row>
    <row r="333" spans="1:12" ht="15.9" thickBot="1" x14ac:dyDescent="0.65">
      <c r="A333" s="580" t="s">
        <v>660</v>
      </c>
      <c r="B333" s="1321"/>
      <c r="C333" s="1322"/>
      <c r="D333" s="1322"/>
      <c r="E333" s="1322"/>
      <c r="F333" s="1322"/>
      <c r="G333" s="1322"/>
      <c r="H333" s="684">
        <f>ROUND(H324+H331,0)</f>
        <v>699527</v>
      </c>
    </row>
    <row r="334" spans="1:12" x14ac:dyDescent="0.6">
      <c r="B334" s="1296" t="s">
        <v>629</v>
      </c>
      <c r="C334" s="1297"/>
      <c r="D334" s="1297"/>
      <c r="E334" s="1297"/>
      <c r="F334" s="1297"/>
      <c r="G334" s="1297"/>
      <c r="H334" s="1298"/>
      <c r="K334" s="581" t="s">
        <v>630</v>
      </c>
      <c r="L334" s="581">
        <v>1.85</v>
      </c>
    </row>
    <row r="335" spans="1:12" ht="30.75" customHeight="1" x14ac:dyDescent="0.6">
      <c r="B335" s="582" t="s">
        <v>631</v>
      </c>
      <c r="C335" s="1299" t="str">
        <f>+C279</f>
        <v>MEJORAMIENTO DE LA VIA QUE COMUNICA LA VEREDA EL ENCANTO CON EL CORREGIMIENTO EL SILENCIO, MUNICIPIO DE CAREPA, DEPARTAMENTO DE ANTIOQUIA.</v>
      </c>
      <c r="D335" s="1299"/>
      <c r="E335" s="1299"/>
      <c r="F335" s="1299"/>
      <c r="G335" s="1299"/>
      <c r="H335" s="1300"/>
    </row>
    <row r="336" spans="1:12" x14ac:dyDescent="0.6">
      <c r="B336" s="582" t="s">
        <v>632</v>
      </c>
      <c r="C336" s="1301"/>
      <c r="D336" s="1301"/>
      <c r="E336" s="1301"/>
      <c r="F336" s="1301"/>
      <c r="G336" s="1301"/>
      <c r="H336" s="1302"/>
    </row>
    <row r="337" spans="1:10" ht="15.9" thickBot="1" x14ac:dyDescent="0.65">
      <c r="B337" s="583"/>
      <c r="C337" s="584"/>
      <c r="D337" s="584"/>
      <c r="E337" s="584"/>
      <c r="F337" s="584"/>
      <c r="G337" s="584"/>
      <c r="H337" s="585"/>
    </row>
    <row r="338" spans="1:10" ht="15.9" thickBot="1" x14ac:dyDescent="0.65">
      <c r="B338" s="586" t="s">
        <v>264</v>
      </c>
      <c r="C338" s="1303" t="s">
        <v>115</v>
      </c>
      <c r="D338" s="1304"/>
      <c r="E338" s="1305"/>
      <c r="F338" s="587"/>
      <c r="G338" s="588" t="s">
        <v>386</v>
      </c>
      <c r="H338" s="586" t="s">
        <v>7</v>
      </c>
    </row>
    <row r="339" spans="1:10" ht="15.9" hidden="1" thickBot="1" x14ac:dyDescent="0.65">
      <c r="B339" s="586" t="s">
        <v>264</v>
      </c>
      <c r="C339" s="1306" t="s">
        <v>115</v>
      </c>
      <c r="D339" s="1307"/>
      <c r="E339" s="589"/>
      <c r="F339" s="590"/>
      <c r="G339" s="591" t="s">
        <v>386</v>
      </c>
      <c r="H339" s="586" t="s">
        <v>7</v>
      </c>
    </row>
    <row r="340" spans="1:10" s="708" customFormat="1" ht="41.25" customHeight="1" thickBot="1" x14ac:dyDescent="0.6">
      <c r="A340" s="708">
        <v>0</v>
      </c>
      <c r="B340" s="709" t="s">
        <v>633</v>
      </c>
      <c r="C340" s="1326" t="s">
        <v>667</v>
      </c>
      <c r="D340" s="1327"/>
      <c r="E340" s="1328"/>
      <c r="F340" s="710"/>
      <c r="G340" s="1167" t="s">
        <v>22</v>
      </c>
      <c r="H340" s="711">
        <v>1</v>
      </c>
      <c r="I340" s="827"/>
      <c r="J340" s="827"/>
    </row>
    <row r="341" spans="1:10" ht="9" customHeight="1" x14ac:dyDescent="0.6">
      <c r="B341" s="592"/>
      <c r="C341" s="593"/>
      <c r="D341" s="593"/>
      <c r="E341" s="593"/>
      <c r="F341" s="593"/>
      <c r="G341" s="593"/>
      <c r="H341" s="594"/>
    </row>
    <row r="342" spans="1:10" ht="17.25" customHeight="1" thickBot="1" x14ac:dyDescent="0.65">
      <c r="B342" s="595" t="s">
        <v>635</v>
      </c>
      <c r="C342" s="596"/>
      <c r="D342" s="596"/>
      <c r="E342" s="596"/>
      <c r="F342" s="596"/>
      <c r="G342" s="596"/>
      <c r="H342" s="597"/>
    </row>
    <row r="343" spans="1:10" x14ac:dyDescent="0.6">
      <c r="B343" s="598" t="s">
        <v>636</v>
      </c>
      <c r="C343" s="599"/>
      <c r="D343" s="599"/>
      <c r="E343" s="600"/>
      <c r="F343" s="601" t="s">
        <v>637</v>
      </c>
      <c r="G343" s="602" t="s">
        <v>638</v>
      </c>
      <c r="H343" s="603" t="s">
        <v>165</v>
      </c>
    </row>
    <row r="344" spans="1:10" x14ac:dyDescent="0.6">
      <c r="A344" s="580" t="s">
        <v>461</v>
      </c>
      <c r="B344" s="604" t="str">
        <f>+IFERROR(VLOOKUP(A344,'equipos y transporte'!$A$4:$E$35,3,FALSE), " ")</f>
        <v>Mezcladora de concreto 1 bulto</v>
      </c>
      <c r="C344" s="605"/>
      <c r="D344" s="605"/>
      <c r="E344" s="605"/>
      <c r="F344" s="813">
        <f>+IFERROR(VLOOKUP(A344,'equipos y transporte'!$A$4:$E$35,5,FALSE), " ")</f>
        <v>50624.999999999993</v>
      </c>
      <c r="G344" s="703">
        <v>0.5</v>
      </c>
      <c r="H344" s="705">
        <f>+F344*G344</f>
        <v>25312.499999999996</v>
      </c>
    </row>
    <row r="345" spans="1:10" x14ac:dyDescent="0.6">
      <c r="B345" s="604" t="s">
        <v>321</v>
      </c>
      <c r="C345" s="605"/>
      <c r="D345" s="605"/>
      <c r="E345" s="605"/>
      <c r="F345" s="706">
        <f>+'equipos y transporte'!E24</f>
        <v>9103.5</v>
      </c>
      <c r="G345" s="704">
        <v>0.5</v>
      </c>
      <c r="H345" s="705">
        <f>+F345*G345</f>
        <v>4551.75</v>
      </c>
    </row>
    <row r="346" spans="1:10" x14ac:dyDescent="0.6">
      <c r="B346" s="604"/>
      <c r="C346" s="605"/>
      <c r="D346" s="605"/>
      <c r="E346" s="605"/>
      <c r="F346" s="606"/>
      <c r="G346" s="609"/>
      <c r="H346" s="608"/>
    </row>
    <row r="347" spans="1:10" x14ac:dyDescent="0.6">
      <c r="B347" s="604"/>
      <c r="C347" s="605"/>
      <c r="D347" s="605"/>
      <c r="E347" s="605"/>
      <c r="F347" s="610"/>
      <c r="G347" s="611"/>
      <c r="H347" s="612"/>
    </row>
    <row r="348" spans="1:10" ht="15.9" thickBot="1" x14ac:dyDescent="0.65">
      <c r="B348" s="1311" t="s">
        <v>639</v>
      </c>
      <c r="C348" s="1312"/>
      <c r="D348" s="1313"/>
      <c r="E348" s="1314"/>
      <c r="F348" s="613"/>
      <c r="G348" s="1168">
        <v>0.05</v>
      </c>
      <c r="H348" s="614">
        <f>ROUND(H378*G348,2)</f>
        <v>5812.08</v>
      </c>
    </row>
    <row r="349" spans="1:10" ht="15.9" thickBot="1" x14ac:dyDescent="0.65">
      <c r="B349" s="615"/>
      <c r="C349" s="616"/>
      <c r="D349" s="616"/>
      <c r="E349" s="616"/>
      <c r="F349" s="616"/>
      <c r="G349" s="617" t="s">
        <v>640</v>
      </c>
      <c r="H349" s="618">
        <f>ROUND(SUM(H344:H348),2)</f>
        <v>35676.33</v>
      </c>
    </row>
    <row r="350" spans="1:10" x14ac:dyDescent="0.6">
      <c r="B350" s="619"/>
      <c r="C350" s="620"/>
      <c r="D350" s="620"/>
      <c r="E350" s="620"/>
      <c r="F350" s="620"/>
      <c r="G350" s="620"/>
      <c r="H350" s="621"/>
    </row>
    <row r="351" spans="1:10" ht="15.9" thickBot="1" x14ac:dyDescent="0.65">
      <c r="B351" s="622" t="s">
        <v>641</v>
      </c>
      <c r="C351" s="623"/>
      <c r="D351" s="623"/>
      <c r="E351" s="623"/>
      <c r="F351" s="623"/>
      <c r="G351" s="623"/>
      <c r="H351" s="624"/>
    </row>
    <row r="352" spans="1:10" x14ac:dyDescent="0.6">
      <c r="B352" s="598" t="s">
        <v>642</v>
      </c>
      <c r="C352" s="599"/>
      <c r="D352" s="601" t="s">
        <v>386</v>
      </c>
      <c r="E352" s="601" t="s">
        <v>7</v>
      </c>
      <c r="F352" s="601" t="s">
        <v>643</v>
      </c>
      <c r="G352" s="625" t="s">
        <v>177</v>
      </c>
      <c r="H352" s="603" t="s">
        <v>165</v>
      </c>
    </row>
    <row r="353" spans="1:8" x14ac:dyDescent="0.6">
      <c r="A353" s="580" t="s">
        <v>493</v>
      </c>
      <c r="B353" s="626" t="str">
        <f>IFERROR(VLOOKUP(A353,insumos!$A$3:$E$39,3,FALSE), " ")</f>
        <v>Agua</v>
      </c>
      <c r="C353" s="627"/>
      <c r="D353" s="815" t="str">
        <f>IFERROR(VLOOKUP(A353,insumos!$A$3:$E$39,4,FALSE), " ")</f>
        <v>lt</v>
      </c>
      <c r="E353" s="707">
        <v>102</v>
      </c>
      <c r="F353" s="629">
        <v>0.03</v>
      </c>
      <c r="G353" s="814">
        <f>IFERROR(VLOOKUP(A353,insumos!$A$3:$E$39,5,FALSE), " ")</f>
        <v>111.37500000000001</v>
      </c>
      <c r="H353" s="705">
        <f t="shared" ref="H353:H359" si="29">+IFERROR(ROUND(G353*(E353*(1+F353/100)),2), " ")</f>
        <v>11363.66</v>
      </c>
    </row>
    <row r="354" spans="1:8" x14ac:dyDescent="0.6">
      <c r="A354" s="580" t="s">
        <v>498</v>
      </c>
      <c r="B354" s="626" t="str">
        <f>IFERROR(VLOOKUP(A354,insumos!$A$3:$E$39,3,FALSE), " ")</f>
        <v>Arena lavada</v>
      </c>
      <c r="C354" s="627"/>
      <c r="D354" s="815" t="str">
        <f>IFERROR(VLOOKUP(A354,insumos!$A$3:$E$39,4,FALSE), " ")</f>
        <v>m3</v>
      </c>
      <c r="E354" s="707">
        <v>0.33600000000000002</v>
      </c>
      <c r="F354" s="629">
        <v>0.03</v>
      </c>
      <c r="G354" s="814">
        <f>IFERROR(VLOOKUP(A354,insumos!$A$3:$E$39,5,FALSE), " ")</f>
        <v>80190</v>
      </c>
      <c r="H354" s="705">
        <f t="shared" si="29"/>
        <v>26951.919999999998</v>
      </c>
    </row>
    <row r="355" spans="1:8" x14ac:dyDescent="0.6">
      <c r="A355" s="631" t="s">
        <v>490</v>
      </c>
      <c r="B355" s="626" t="str">
        <f>IFERROR(VLOOKUP(A355,insumos!$A$3:$E$39,3,FALSE), " ")</f>
        <v>Agregado para concreto hidráulico</v>
      </c>
      <c r="C355" s="627"/>
      <c r="D355" s="815" t="str">
        <f>IFERROR(VLOOKUP(A355,insumos!$A$3:$E$39,4,FALSE), " ")</f>
        <v>m3</v>
      </c>
      <c r="E355" s="707">
        <v>0.51600000000000001</v>
      </c>
      <c r="F355" s="629">
        <v>0.03</v>
      </c>
      <c r="G355" s="814">
        <f>IFERROR(VLOOKUP(A355,insumos!$A$3:$E$39,5,FALSE), " ")</f>
        <v>83939.625</v>
      </c>
      <c r="H355" s="705">
        <f t="shared" si="29"/>
        <v>43325.84</v>
      </c>
    </row>
    <row r="356" spans="1:8" x14ac:dyDescent="0.6">
      <c r="A356" s="632" t="s">
        <v>506</v>
      </c>
      <c r="B356" s="626" t="str">
        <f>IFERROR(VLOOKUP(A356,insumos!$A$3:$E$39,3,FALSE), " ")</f>
        <v>Cemento gris</v>
      </c>
      <c r="C356" s="627"/>
      <c r="D356" s="815" t="str">
        <f>IFERROR(VLOOKUP(A356,insumos!$A$3:$E$39,4,FALSE), " ")</f>
        <v>kg</v>
      </c>
      <c r="E356" s="707">
        <v>210</v>
      </c>
      <c r="F356" s="629">
        <v>0.03</v>
      </c>
      <c r="G356" s="814">
        <f>IFERROR(VLOOKUP(A356,insumos!$A$3:$E$39,5,FALSE), " ")</f>
        <v>835.3125</v>
      </c>
      <c r="H356" s="705">
        <f t="shared" si="29"/>
        <v>175468.25</v>
      </c>
    </row>
    <row r="357" spans="1:8" x14ac:dyDescent="0.6">
      <c r="A357" s="546" t="s">
        <v>539</v>
      </c>
      <c r="B357" s="626" t="str">
        <f>IFERROR(VLOOKUP(A357,insumos!$A$3:$E$39,3,FALSE), " ")</f>
        <v>Piedra para concreto ciclópeo (rajón o canto rodado)</v>
      </c>
      <c r="C357" s="627"/>
      <c r="D357" s="815" t="str">
        <f>IFERROR(VLOOKUP(A357,insumos!$A$3:$E$39,4,FALSE), " ")</f>
        <v>m3</v>
      </c>
      <c r="E357" s="707">
        <v>0.4</v>
      </c>
      <c r="F357" s="629">
        <v>0.03</v>
      </c>
      <c r="G357" s="814">
        <f>IFERROR(VLOOKUP(A357,insumos!$A$3:$E$39,5,FALSE), " ")</f>
        <v>67561.886954972651</v>
      </c>
      <c r="H357" s="705">
        <f t="shared" si="29"/>
        <v>27032.86</v>
      </c>
    </row>
    <row r="358" spans="1:8" x14ac:dyDescent="0.6">
      <c r="A358" s="632"/>
      <c r="B358" s="626" t="str">
        <f>IFERROR(VLOOKUP(A358,insumos!$A$3:$E$39,3,FALSE), " ")</f>
        <v xml:space="preserve"> </v>
      </c>
      <c r="C358" s="627"/>
      <c r="D358" s="815" t="str">
        <f>IFERROR(VLOOKUP(A358,insumos!$A$3:$E$39,4,FALSE), " ")</f>
        <v xml:space="preserve"> </v>
      </c>
      <c r="E358" s="628"/>
      <c r="F358" s="629"/>
      <c r="G358" s="814" t="str">
        <f>IFERROR(VLOOKUP(A358,insumos!$A$3:$E$39,5,FALSE), " ")</f>
        <v xml:space="preserve"> </v>
      </c>
      <c r="H358" s="705" t="str">
        <f t="shared" si="29"/>
        <v xml:space="preserve"> </v>
      </c>
    </row>
    <row r="359" spans="1:8" x14ac:dyDescent="0.6">
      <c r="B359" s="626" t="str">
        <f>IFERROR(VLOOKUP(A359,insumos!$A$3:$E$39,3,FALSE), " ")</f>
        <v xml:space="preserve"> </v>
      </c>
      <c r="C359" s="627"/>
      <c r="D359" s="815" t="str">
        <f>IFERROR(VLOOKUP(A359,insumos!$A$3:$E$39,4,FALSE), " ")</f>
        <v xml:space="preserve"> </v>
      </c>
      <c r="E359" s="633"/>
      <c r="F359" s="634"/>
      <c r="G359" s="814" t="str">
        <f>IFERROR(VLOOKUP(A359,insumos!$A$3:$E$39,5,FALSE), " ")</f>
        <v xml:space="preserve"> </v>
      </c>
      <c r="H359" s="630" t="str">
        <f t="shared" si="29"/>
        <v xml:space="preserve"> </v>
      </c>
    </row>
    <row r="360" spans="1:8" ht="15.9" thickBot="1" x14ac:dyDescent="0.65">
      <c r="B360" s="626" t="str">
        <f>IFERROR(VLOOKUP(A360,insumos!$A$3:$E$39,3,FALSE), " ")</f>
        <v xml:space="preserve"> </v>
      </c>
      <c r="C360" s="627"/>
      <c r="D360" s="815" t="str">
        <f>IFERROR(VLOOKUP(A360,insumos!$A$3:$E$39,4,FALSE), " ")</f>
        <v xml:space="preserve"> </v>
      </c>
      <c r="E360" s="1173"/>
      <c r="F360" s="1174"/>
      <c r="G360" s="814" t="str">
        <f>IFERROR(VLOOKUP(A360,insumos!$A$3:$E$39,5,FALSE), " ")</f>
        <v xml:space="preserve"> </v>
      </c>
      <c r="H360" s="1175"/>
    </row>
    <row r="361" spans="1:8" ht="15.9" thickBot="1" x14ac:dyDescent="0.65">
      <c r="B361" s="615"/>
      <c r="C361" s="616"/>
      <c r="D361" s="616"/>
      <c r="E361" s="616"/>
      <c r="F361" s="616"/>
      <c r="G361" s="617" t="s">
        <v>640</v>
      </c>
      <c r="H361" s="635">
        <f>ROUND(SUM(H353:H360),2)</f>
        <v>284142.53000000003</v>
      </c>
    </row>
    <row r="362" spans="1:8" x14ac:dyDescent="0.6">
      <c r="B362" s="636"/>
      <c r="C362" s="620"/>
      <c r="D362" s="620"/>
      <c r="E362" s="620"/>
      <c r="F362" s="620"/>
      <c r="G362" s="620"/>
      <c r="H362" s="621"/>
    </row>
    <row r="363" spans="1:8" ht="15.9" thickBot="1" x14ac:dyDescent="0.65">
      <c r="B363" s="622" t="s">
        <v>285</v>
      </c>
      <c r="C363" s="623"/>
      <c r="D363" s="623"/>
      <c r="E363" s="623"/>
      <c r="F363" s="623"/>
      <c r="G363" s="623"/>
      <c r="H363" s="624"/>
    </row>
    <row r="364" spans="1:8" x14ac:dyDescent="0.6">
      <c r="B364" s="598" t="s">
        <v>644</v>
      </c>
      <c r="C364" s="637"/>
      <c r="D364" s="638" t="s">
        <v>645</v>
      </c>
      <c r="E364" s="639" t="s">
        <v>646</v>
      </c>
      <c r="F364" s="640" t="s">
        <v>647</v>
      </c>
      <c r="G364" s="641" t="s">
        <v>648</v>
      </c>
      <c r="H364" s="642" t="s">
        <v>165</v>
      </c>
    </row>
    <row r="365" spans="1:8" x14ac:dyDescent="0.6">
      <c r="A365" s="580" t="s">
        <v>484</v>
      </c>
      <c r="B365" s="643" t="str">
        <f>IFERROR(VLOOKUP(A365,'equipos y transporte'!$A$4:$E$35,3,FALSE), " ")</f>
        <v>Transporte de Arena Lavada</v>
      </c>
      <c r="C365" s="605"/>
      <c r="D365" s="610">
        <f>+E354</f>
        <v>0.33600000000000002</v>
      </c>
      <c r="E365" s="644">
        <f>+cantera</f>
        <v>35</v>
      </c>
      <c r="F365" s="610">
        <f>IFERROR(D365*E365, " ")</f>
        <v>11.760000000000002</v>
      </c>
      <c r="G365" s="814">
        <f>IFERROR(VLOOKUP(A365,'equipos y transporte'!$A$4:$E$35,5,FALSE), " ")</f>
        <v>1672.9261363636363</v>
      </c>
      <c r="H365" s="645">
        <f>IFERROR(ROUND(F365*G365,2), " ")</f>
        <v>19673.61</v>
      </c>
    </row>
    <row r="366" spans="1:8" x14ac:dyDescent="0.6">
      <c r="A366" s="580" t="s">
        <v>481</v>
      </c>
      <c r="B366" s="643" t="str">
        <f>IFERROR(VLOOKUP(A366,'equipos y transporte'!$A$4:$E$35,3,FALSE), " ")</f>
        <v>Transporte de Material Triturado</v>
      </c>
      <c r="C366" s="646"/>
      <c r="D366" s="610">
        <f>+E355</f>
        <v>0.51600000000000001</v>
      </c>
      <c r="E366" s="644">
        <f>+cantera</f>
        <v>35</v>
      </c>
      <c r="F366" s="610">
        <f t="shared" ref="F366:F369" si="30">IFERROR(D366*E366, " ")</f>
        <v>18.060000000000002</v>
      </c>
      <c r="G366" s="814">
        <f>IFERROR(VLOOKUP(A366,'equipos y transporte'!$A$4:$E$35,5,FALSE), " ")</f>
        <v>1672.9261363636363</v>
      </c>
      <c r="H366" s="645">
        <f>IFERROR(ROUND(F366*G366,2), " ")</f>
        <v>30213.05</v>
      </c>
    </row>
    <row r="367" spans="1:8" ht="15.75" customHeight="1" x14ac:dyDescent="0.6">
      <c r="A367" s="580" t="s">
        <v>479</v>
      </c>
      <c r="B367" s="643" t="str">
        <f>IFERROR(VLOOKUP(A367,'equipos y transporte'!$A$4:$E$35,3,FALSE), " ")</f>
        <v>Transporte de Material Petreo</v>
      </c>
      <c r="C367" s="824"/>
      <c r="D367" s="610">
        <f>+E357</f>
        <v>0.4</v>
      </c>
      <c r="E367" s="644">
        <f>+cantera</f>
        <v>35</v>
      </c>
      <c r="F367" s="610">
        <f t="shared" si="30"/>
        <v>14</v>
      </c>
      <c r="G367" s="814">
        <f>IFERROR(VLOOKUP(A367,'equipos y transporte'!$A$4:$E$35,5,FALSE), " ")</f>
        <v>1672.9261363636363</v>
      </c>
      <c r="H367" s="645">
        <f>IFERROR(ROUND(F367*G367,2), " ")</f>
        <v>23420.97</v>
      </c>
    </row>
    <row r="368" spans="1:8" x14ac:dyDescent="0.6">
      <c r="A368" s="580" t="s">
        <v>663</v>
      </c>
      <c r="B368" s="643" t="str">
        <f>IFERROR(VLOOKUP(A368,'equipos y transporte'!$A$4:$E$35,3,FALSE), " ")</f>
        <v>Transporte de cemento</v>
      </c>
      <c r="C368" s="646"/>
      <c r="D368" s="610">
        <f>+E356</f>
        <v>210</v>
      </c>
      <c r="E368" s="644">
        <f>+escombro</f>
        <v>15</v>
      </c>
      <c r="F368" s="610">
        <f t="shared" si="30"/>
        <v>3150</v>
      </c>
      <c r="G368" s="814">
        <f>IFERROR(VLOOKUP(A368,'equipos y transporte'!$A$4:$E$35,5,FALSE), " ")</f>
        <v>1.2375000000000003</v>
      </c>
      <c r="H368" s="645">
        <f>IFERROR(ROUND(F368*G368,2), " ")</f>
        <v>3898.13</v>
      </c>
    </row>
    <row r="369" spans="1:9" ht="15.9" thickBot="1" x14ac:dyDescent="0.65">
      <c r="B369" s="643" t="str">
        <f>IFERROR(VLOOKUP(A369,'equipos y transporte'!$A$4:$E$35,3,FALSE), " ")</f>
        <v xml:space="preserve"> </v>
      </c>
      <c r="C369" s="1172"/>
      <c r="D369" s="1176"/>
      <c r="E369" s="1177"/>
      <c r="F369" s="1176">
        <f t="shared" si="30"/>
        <v>0</v>
      </c>
      <c r="G369" s="814" t="str">
        <f>IFERROR(VLOOKUP(A369,'equipos y transporte'!$A$4:$E$35,5,FALSE), " ")</f>
        <v xml:space="preserve"> </v>
      </c>
      <c r="H369" s="1178" t="str">
        <f>IFERROR(ROUND(F369*G369,2), " ")</f>
        <v xml:space="preserve"> </v>
      </c>
    </row>
    <row r="370" spans="1:9" ht="15.9" thickBot="1" x14ac:dyDescent="0.65">
      <c r="B370" s="615"/>
      <c r="C370" s="616"/>
      <c r="D370" s="616"/>
      <c r="E370" s="616"/>
      <c r="F370" s="616"/>
      <c r="G370" s="617" t="s">
        <v>640</v>
      </c>
      <c r="H370" s="647">
        <f>SUM(H365:H369)</f>
        <v>77205.760000000009</v>
      </c>
    </row>
    <row r="371" spans="1:9" x14ac:dyDescent="0.6">
      <c r="B371" s="636"/>
      <c r="C371" s="620"/>
      <c r="D371" s="620"/>
      <c r="E371" s="620"/>
      <c r="F371" s="620"/>
      <c r="G371" s="620"/>
      <c r="H371" s="621"/>
    </row>
    <row r="372" spans="1:9" ht="15.9" thickBot="1" x14ac:dyDescent="0.65">
      <c r="B372" s="622" t="s">
        <v>292</v>
      </c>
      <c r="C372" s="623"/>
      <c r="D372" s="623"/>
      <c r="E372" s="623"/>
      <c r="F372" s="623"/>
      <c r="G372" s="623"/>
      <c r="H372" s="624"/>
    </row>
    <row r="373" spans="1:9" ht="31.2" x14ac:dyDescent="0.6">
      <c r="B373" s="648" t="s">
        <v>649</v>
      </c>
      <c r="C373" s="649"/>
      <c r="D373" s="640" t="s">
        <v>650</v>
      </c>
      <c r="E373" s="639" t="s">
        <v>651</v>
      </c>
      <c r="F373" s="638" t="s">
        <v>652</v>
      </c>
      <c r="G373" s="650" t="s">
        <v>638</v>
      </c>
      <c r="H373" s="651" t="s">
        <v>165</v>
      </c>
    </row>
    <row r="374" spans="1:9" x14ac:dyDescent="0.6">
      <c r="A374" s="580" t="s">
        <v>653</v>
      </c>
      <c r="B374" s="652" t="s">
        <v>311</v>
      </c>
      <c r="C374" s="646"/>
      <c r="D374" s="653">
        <f>+ofic</f>
        <v>73666.666666666672</v>
      </c>
      <c r="E374" s="654">
        <f>+$L$57</f>
        <v>1.85</v>
      </c>
      <c r="F374" s="655">
        <f>+IFERROR(D374*E374, " ")</f>
        <v>136283.33333333334</v>
      </c>
      <c r="G374" s="656">
        <f>+$G$67</f>
        <v>6</v>
      </c>
      <c r="H374" s="645">
        <f>IFERROR(ROUND(F374/G374,2),0)</f>
        <v>22713.89</v>
      </c>
      <c r="I374" s="826"/>
    </row>
    <row r="375" spans="1:9" x14ac:dyDescent="0.6">
      <c r="A375" s="580" t="s">
        <v>654</v>
      </c>
      <c r="B375" s="652" t="s">
        <v>655</v>
      </c>
      <c r="C375" s="850">
        <v>7</v>
      </c>
      <c r="D375" s="653">
        <f>+jornal*C375</f>
        <v>303333.33333333337</v>
      </c>
      <c r="E375" s="654">
        <f>+$L$57</f>
        <v>1.85</v>
      </c>
      <c r="F375" s="655">
        <f t="shared" ref="F375:F377" si="31">+IFERROR(D375*E375, " ")</f>
        <v>561166.66666666674</v>
      </c>
      <c r="G375" s="656">
        <f>+$G$67</f>
        <v>6</v>
      </c>
      <c r="H375" s="645">
        <f>IFERROR(ROUND(F375/G375,2),0)</f>
        <v>93527.78</v>
      </c>
    </row>
    <row r="376" spans="1:9" x14ac:dyDescent="0.6">
      <c r="B376" s="652"/>
      <c r="C376" s="646"/>
      <c r="D376" s="653"/>
      <c r="E376" s="657"/>
      <c r="F376" s="655">
        <f t="shared" si="31"/>
        <v>0</v>
      </c>
      <c r="G376" s="658"/>
      <c r="H376" s="645">
        <f t="shared" ref="H376:H377" si="32">IFERROR(ROUND(F376/G376,2),0)</f>
        <v>0</v>
      </c>
    </row>
    <row r="377" spans="1:9" ht="15.9" thickBot="1" x14ac:dyDescent="0.65">
      <c r="B377" s="652"/>
      <c r="C377" s="646"/>
      <c r="D377" s="653"/>
      <c r="E377" s="657"/>
      <c r="F377" s="655">
        <f t="shared" si="31"/>
        <v>0</v>
      </c>
      <c r="G377" s="659"/>
      <c r="H377" s="645">
        <f t="shared" si="32"/>
        <v>0</v>
      </c>
    </row>
    <row r="378" spans="1:9" ht="15.9" thickBot="1" x14ac:dyDescent="0.65">
      <c r="B378" s="615"/>
      <c r="C378" s="616"/>
      <c r="D378" s="616"/>
      <c r="E378" s="616"/>
      <c r="F378" s="616"/>
      <c r="G378" s="617" t="s">
        <v>640</v>
      </c>
      <c r="H378" s="660">
        <f>ROUND(SUM(H374:H377),2)</f>
        <v>116241.67</v>
      </c>
    </row>
    <row r="379" spans="1:9" ht="15.9" thickBot="1" x14ac:dyDescent="0.65">
      <c r="B379" s="636"/>
      <c r="C379" s="620"/>
      <c r="D379" s="620"/>
      <c r="E379" s="620"/>
      <c r="F379" s="620"/>
      <c r="G379" s="620"/>
      <c r="H379" s="621"/>
    </row>
    <row r="380" spans="1:9" ht="15.9" thickBot="1" x14ac:dyDescent="0.65">
      <c r="B380" s="661"/>
      <c r="C380" s="662"/>
      <c r="D380" s="662"/>
      <c r="E380" s="662"/>
      <c r="F380" s="662"/>
      <c r="G380" s="663" t="s">
        <v>656</v>
      </c>
      <c r="H380" s="664">
        <f>IFERROR(ROUND(H349+H361+H370+H378,0)," " )</f>
        <v>513266</v>
      </c>
    </row>
    <row r="381" spans="1:9" x14ac:dyDescent="0.6">
      <c r="B381" s="636"/>
      <c r="C381" s="620"/>
      <c r="D381" s="620"/>
      <c r="E381" s="620"/>
      <c r="F381" s="620"/>
      <c r="G381" s="620"/>
      <c r="H381" s="621"/>
    </row>
    <row r="382" spans="1:9" x14ac:dyDescent="0.6">
      <c r="B382" s="665" t="s">
        <v>657</v>
      </c>
      <c r="C382" s="666"/>
      <c r="D382" s="666"/>
      <c r="E382" s="666"/>
      <c r="F382" s="666"/>
      <c r="G382" s="666"/>
      <c r="H382" s="667"/>
    </row>
    <row r="383" spans="1:9" ht="15.9" thickBot="1" x14ac:dyDescent="0.65">
      <c r="B383" s="636"/>
      <c r="C383" s="620"/>
      <c r="D383" s="620"/>
      <c r="E383" s="620"/>
      <c r="F383" s="620"/>
      <c r="G383" s="620"/>
      <c r="H383" s="621"/>
    </row>
    <row r="384" spans="1:9" x14ac:dyDescent="0.6">
      <c r="B384" s="1315" t="s">
        <v>270</v>
      </c>
      <c r="C384" s="1316"/>
      <c r="D384" s="637"/>
      <c r="E384" s="668"/>
      <c r="F384" s="669" t="s">
        <v>658</v>
      </c>
      <c r="G384" s="670" t="s">
        <v>659</v>
      </c>
      <c r="H384" s="671"/>
    </row>
    <row r="385" spans="1:10" x14ac:dyDescent="0.6">
      <c r="B385" s="1317" t="s">
        <v>69</v>
      </c>
      <c r="C385" s="1318"/>
      <c r="D385" s="672"/>
      <c r="E385" s="673"/>
      <c r="F385" s="674"/>
      <c r="G385" s="675">
        <f>ROUND(H380*F385,2)</f>
        <v>0</v>
      </c>
      <c r="H385" s="676"/>
    </row>
    <row r="386" spans="1:10" ht="15.9" thickBot="1" x14ac:dyDescent="0.65">
      <c r="B386" s="677" t="s">
        <v>70</v>
      </c>
      <c r="C386" s="678"/>
      <c r="D386" s="672"/>
      <c r="E386" s="673"/>
      <c r="F386" s="679"/>
      <c r="G386" s="1179">
        <f>ROUND(H380*F386,2)</f>
        <v>0</v>
      </c>
      <c r="H386" s="676"/>
    </row>
    <row r="387" spans="1:10" ht="15.9" thickBot="1" x14ac:dyDescent="0.65">
      <c r="B387" s="1319" t="s">
        <v>640</v>
      </c>
      <c r="C387" s="1320"/>
      <c r="D387" s="1320"/>
      <c r="E387" s="1320"/>
      <c r="F387" s="1320"/>
      <c r="G387" s="1320"/>
      <c r="H387" s="680">
        <f>ROUND(G385+G386,2)</f>
        <v>0</v>
      </c>
    </row>
    <row r="388" spans="1:10" ht="15.9" thickBot="1" x14ac:dyDescent="0.65">
      <c r="B388" s="681"/>
      <c r="C388" s="682"/>
      <c r="D388" s="682"/>
      <c r="E388" s="682"/>
      <c r="F388" s="682"/>
      <c r="G388" s="682"/>
      <c r="H388" s="683"/>
    </row>
    <row r="389" spans="1:10" ht="15.9" thickBot="1" x14ac:dyDescent="0.65">
      <c r="A389" s="580" t="s">
        <v>660</v>
      </c>
      <c r="B389" s="1321"/>
      <c r="C389" s="1322"/>
      <c r="D389" s="1322"/>
      <c r="E389" s="1322"/>
      <c r="F389" s="1322"/>
      <c r="G389" s="1322"/>
      <c r="H389" s="684">
        <f>ROUND(H380+H387,0)</f>
        <v>513266</v>
      </c>
    </row>
    <row r="390" spans="1:10" x14ac:dyDescent="0.6">
      <c r="B390" s="1296" t="s">
        <v>629</v>
      </c>
      <c r="C390" s="1297"/>
      <c r="D390" s="1297"/>
      <c r="E390" s="1297"/>
      <c r="F390" s="1297"/>
      <c r="G390" s="1297"/>
      <c r="H390" s="1298"/>
    </row>
    <row r="391" spans="1:10" ht="15.75" customHeight="1" x14ac:dyDescent="0.6">
      <c r="B391" s="582" t="s">
        <v>631</v>
      </c>
      <c r="C391" s="1299" t="str">
        <f>+C335</f>
        <v>MEJORAMIENTO DE LA VIA QUE COMUNICA LA VEREDA EL ENCANTO CON EL CORREGIMIENTO EL SILENCIO, MUNICIPIO DE CAREPA, DEPARTAMENTO DE ANTIOQUIA.</v>
      </c>
      <c r="D391" s="1299"/>
      <c r="E391" s="1299"/>
      <c r="F391" s="1299"/>
      <c r="G391" s="1299"/>
      <c r="H391" s="1300"/>
    </row>
    <row r="392" spans="1:10" x14ac:dyDescent="0.6">
      <c r="B392" s="582" t="s">
        <v>632</v>
      </c>
      <c r="C392" s="1301"/>
      <c r="D392" s="1301"/>
      <c r="E392" s="1301"/>
      <c r="F392" s="1301"/>
      <c r="G392" s="1301"/>
      <c r="H392" s="1302"/>
    </row>
    <row r="393" spans="1:10" ht="15.9" thickBot="1" x14ac:dyDescent="0.65">
      <c r="B393" s="685"/>
      <c r="C393" s="686"/>
      <c r="D393" s="686"/>
      <c r="E393" s="686"/>
      <c r="F393" s="686"/>
      <c r="G393" s="686"/>
      <c r="H393" s="687"/>
    </row>
    <row r="394" spans="1:10" ht="15.9" thickBot="1" x14ac:dyDescent="0.65">
      <c r="B394" s="688" t="s">
        <v>264</v>
      </c>
      <c r="C394" s="1323" t="s">
        <v>115</v>
      </c>
      <c r="D394" s="1324"/>
      <c r="E394" s="1325"/>
      <c r="F394" s="689"/>
      <c r="G394" s="690" t="s">
        <v>386</v>
      </c>
      <c r="H394" s="688" t="s">
        <v>7</v>
      </c>
    </row>
    <row r="395" spans="1:10" s="708" customFormat="1" ht="29.25" customHeight="1" thickBot="1" x14ac:dyDescent="0.6">
      <c r="B395" s="709" t="s">
        <v>633</v>
      </c>
      <c r="C395" s="1308" t="s">
        <v>668</v>
      </c>
      <c r="D395" s="1309"/>
      <c r="E395" s="1310"/>
      <c r="F395" s="710"/>
      <c r="G395" s="1167" t="s">
        <v>22</v>
      </c>
      <c r="H395" s="711">
        <v>1</v>
      </c>
      <c r="I395" s="827"/>
      <c r="J395" s="827"/>
    </row>
    <row r="396" spans="1:10" x14ac:dyDescent="0.6">
      <c r="B396" s="592"/>
      <c r="C396" s="593"/>
      <c r="D396" s="593"/>
      <c r="E396" s="593"/>
      <c r="F396" s="593"/>
      <c r="G396" s="593"/>
      <c r="H396" s="594"/>
    </row>
    <row r="397" spans="1:10" ht="15.9" thickBot="1" x14ac:dyDescent="0.65">
      <c r="B397" s="595" t="s">
        <v>635</v>
      </c>
      <c r="C397" s="596"/>
      <c r="D397" s="596"/>
      <c r="E397" s="596"/>
      <c r="F397" s="596"/>
      <c r="G397" s="596"/>
      <c r="H397" s="597"/>
    </row>
    <row r="398" spans="1:10" x14ac:dyDescent="0.6">
      <c r="B398" s="598" t="s">
        <v>636</v>
      </c>
      <c r="C398" s="599"/>
      <c r="D398" s="599"/>
      <c r="E398" s="600"/>
      <c r="F398" s="601" t="s">
        <v>637</v>
      </c>
      <c r="G398" s="602" t="s">
        <v>638</v>
      </c>
      <c r="H398" s="603" t="s">
        <v>165</v>
      </c>
    </row>
    <row r="399" spans="1:10" x14ac:dyDescent="0.6">
      <c r="B399" s="604" t="str">
        <f>+IFERROR(VLOOKUP(A399,'equipos y transporte'!$A$4:$E$35,3,FALSE), " ")</f>
        <v xml:space="preserve"> </v>
      </c>
      <c r="C399" s="605"/>
      <c r="D399" s="605"/>
      <c r="E399" s="605"/>
      <c r="F399" s="813" t="str">
        <f>+IFERROR(VLOOKUP(A399,'equipos y transporte'!$A$4:$E$35,5,FALSE), " ")</f>
        <v xml:space="preserve"> </v>
      </c>
      <c r="G399" s="607"/>
      <c r="H399" s="608" t="str">
        <f>IFERROR(F399/G399, " ")</f>
        <v xml:space="preserve"> </v>
      </c>
    </row>
    <row r="400" spans="1:10" x14ac:dyDescent="0.6">
      <c r="B400" s="604" t="str">
        <f>+IFERROR(VLOOKUP(A400,'equipos y transporte'!$A$4:$E$35,3,FALSE), " ")</f>
        <v xml:space="preserve"> </v>
      </c>
      <c r="C400" s="605"/>
      <c r="D400" s="605"/>
      <c r="E400" s="605"/>
      <c r="F400" s="813" t="str">
        <f>+IFERROR(VLOOKUP(A400,'equipos y transporte'!$A$4:$E$35,5,FALSE), " ")</f>
        <v xml:space="preserve"> </v>
      </c>
      <c r="G400" s="609"/>
      <c r="H400" s="608" t="str">
        <f>IFERROR(F400/#REF!, " ")</f>
        <v xml:space="preserve"> </v>
      </c>
    </row>
    <row r="401" spans="1:8" x14ac:dyDescent="0.6">
      <c r="B401" s="604" t="str">
        <f>+IFERROR(VLOOKUP(A401,'equipos y transporte'!$A$4:$E$35,3,FALSE), " ")</f>
        <v xml:space="preserve"> </v>
      </c>
      <c r="C401" s="605"/>
      <c r="D401" s="605"/>
      <c r="E401" s="605"/>
      <c r="F401" s="813" t="str">
        <f>+IFERROR(VLOOKUP(A401,'equipos y transporte'!$A$4:$E$35,5,FALSE), " ")</f>
        <v xml:space="preserve"> </v>
      </c>
      <c r="G401" s="609"/>
      <c r="H401" s="608"/>
    </row>
    <row r="402" spans="1:8" x14ac:dyDescent="0.6">
      <c r="B402" s="604" t="str">
        <f>+IFERROR(VLOOKUP(A402,'equipos y transporte'!$A$4:$E$35,3,FALSE), " ")</f>
        <v xml:space="preserve"> </v>
      </c>
      <c r="C402" s="605"/>
      <c r="D402" s="605"/>
      <c r="E402" s="605"/>
      <c r="F402" s="813" t="str">
        <f>+IFERROR(VLOOKUP(A402,'equipos y transporte'!$A$4:$E$35,5,FALSE), " ")</f>
        <v xml:space="preserve"> </v>
      </c>
      <c r="G402" s="611"/>
      <c r="H402" s="612"/>
    </row>
    <row r="403" spans="1:8" ht="15.9" thickBot="1" x14ac:dyDescent="0.65">
      <c r="B403" s="1311" t="s">
        <v>639</v>
      </c>
      <c r="C403" s="1312"/>
      <c r="D403" s="1313"/>
      <c r="E403" s="1314"/>
      <c r="F403" s="613"/>
      <c r="G403" s="1168">
        <v>0.01</v>
      </c>
      <c r="H403" s="614">
        <f>ROUND(H433*G403,2)</f>
        <v>289.41000000000003</v>
      </c>
    </row>
    <row r="404" spans="1:8" ht="15.9" thickBot="1" x14ac:dyDescent="0.65">
      <c r="B404" s="615"/>
      <c r="C404" s="616"/>
      <c r="D404" s="616"/>
      <c r="E404" s="616"/>
      <c r="F404" s="616"/>
      <c r="G404" s="617" t="s">
        <v>640</v>
      </c>
      <c r="H404" s="618">
        <f>ROUND(SUM(H399:H403),2)</f>
        <v>289.41000000000003</v>
      </c>
    </row>
    <row r="405" spans="1:8" x14ac:dyDescent="0.6">
      <c r="B405" s="619"/>
      <c r="C405" s="620"/>
      <c r="D405" s="620"/>
      <c r="E405" s="620"/>
      <c r="F405" s="620"/>
      <c r="G405" s="620"/>
      <c r="H405" s="621"/>
    </row>
    <row r="406" spans="1:8" ht="15.9" thickBot="1" x14ac:dyDescent="0.65">
      <c r="B406" s="622" t="s">
        <v>641</v>
      </c>
      <c r="C406" s="623"/>
      <c r="D406" s="623"/>
      <c r="E406" s="623"/>
      <c r="F406" s="623"/>
      <c r="G406" s="623"/>
      <c r="H406" s="624"/>
    </row>
    <row r="407" spans="1:8" x14ac:dyDescent="0.6">
      <c r="B407" s="598" t="s">
        <v>642</v>
      </c>
      <c r="C407" s="599"/>
      <c r="D407" s="601" t="s">
        <v>386</v>
      </c>
      <c r="E407" s="601" t="s">
        <v>7</v>
      </c>
      <c r="F407" s="601" t="s">
        <v>643</v>
      </c>
      <c r="G407" s="625" t="s">
        <v>177</v>
      </c>
      <c r="H407" s="603" t="s">
        <v>165</v>
      </c>
    </row>
    <row r="408" spans="1:8" x14ac:dyDescent="0.6">
      <c r="A408" s="580" t="s">
        <v>493</v>
      </c>
      <c r="B408" s="626" t="str">
        <f>IFERROR(VLOOKUP(A408,insumos!$A$3:$E$39,3,FALSE), " ")</f>
        <v>Agua</v>
      </c>
      <c r="C408" s="627"/>
      <c r="D408" s="815" t="str">
        <f>IFERROR(VLOOKUP(A408,insumos!$A$3:$E$39,4,FALSE), " ")</f>
        <v>lt</v>
      </c>
      <c r="E408" s="628">
        <v>250</v>
      </c>
      <c r="F408" s="629">
        <v>0.03</v>
      </c>
      <c r="G408" s="814">
        <f>IFERROR(VLOOKUP(A408,insumos!$A$3:$E$39,5,FALSE), " ")</f>
        <v>111.37500000000001</v>
      </c>
      <c r="H408" s="630">
        <f t="shared" ref="H408:H414" si="33">+IFERROR(ROUND(G408*(E408*(1+F408/100)),2), " ")</f>
        <v>27852.1</v>
      </c>
    </row>
    <row r="409" spans="1:8" x14ac:dyDescent="0.6">
      <c r="A409" s="580" t="s">
        <v>498</v>
      </c>
      <c r="B409" s="626" t="str">
        <f>IFERROR(VLOOKUP(A409,insumos!$A$3:$E$39,3,FALSE), " ")</f>
        <v>Arena lavada</v>
      </c>
      <c r="C409" s="627"/>
      <c r="D409" s="815" t="str">
        <f>IFERROR(VLOOKUP(A409,insumos!$A$3:$E$39,4,FALSE), " ")</f>
        <v>m3</v>
      </c>
      <c r="E409" s="628">
        <v>0.97</v>
      </c>
      <c r="F409" s="629">
        <v>0.03</v>
      </c>
      <c r="G409" s="814">
        <f>IFERROR(VLOOKUP(A409,insumos!$A$3:$E$39,5,FALSE), " ")</f>
        <v>80190</v>
      </c>
      <c r="H409" s="630">
        <f t="shared" si="33"/>
        <v>77807.64</v>
      </c>
    </row>
    <row r="410" spans="1:8" x14ac:dyDescent="0.6">
      <c r="A410" s="632" t="s">
        <v>506</v>
      </c>
      <c r="B410" s="626" t="str">
        <f>IFERROR(VLOOKUP(A410,insumos!$A$3:$E$39,3,FALSE), " ")</f>
        <v>Cemento gris</v>
      </c>
      <c r="C410" s="627"/>
      <c r="D410" s="815" t="str">
        <f>IFERROR(VLOOKUP(A410,insumos!$A$3:$E$39,4,FALSE), " ")</f>
        <v>kg</v>
      </c>
      <c r="E410" s="628">
        <v>510</v>
      </c>
      <c r="F410" s="629">
        <v>0.03</v>
      </c>
      <c r="G410" s="814">
        <f>IFERROR(VLOOKUP(A410,insumos!$A$3:$E$39,5,FALSE), " ")</f>
        <v>835.3125</v>
      </c>
      <c r="H410" s="630">
        <f t="shared" si="33"/>
        <v>426137.18</v>
      </c>
    </row>
    <row r="411" spans="1:8" x14ac:dyDescent="0.6">
      <c r="A411" s="632"/>
      <c r="B411" s="626" t="str">
        <f>IFERROR(VLOOKUP(A411,insumos!$A$3:$E$39,3,FALSE), " ")</f>
        <v xml:space="preserve"> </v>
      </c>
      <c r="C411" s="627"/>
      <c r="D411" s="815" t="str">
        <f>IFERROR(VLOOKUP(A411,insumos!$A$3:$E$39,4,FALSE), " ")</f>
        <v xml:space="preserve"> </v>
      </c>
      <c r="E411" s="628"/>
      <c r="F411" s="629"/>
      <c r="G411" s="814" t="str">
        <f>IFERROR(VLOOKUP(A411,insumos!$A$3:$E$39,5,FALSE), " ")</f>
        <v xml:space="preserve"> </v>
      </c>
      <c r="H411" s="630" t="str">
        <f t="shared" si="33"/>
        <v xml:space="preserve"> </v>
      </c>
    </row>
    <row r="412" spans="1:8" x14ac:dyDescent="0.6">
      <c r="A412" s="632"/>
      <c r="B412" s="626" t="str">
        <f>IFERROR(VLOOKUP(A412,insumos!$A$3:$E$39,3,FALSE), " ")</f>
        <v xml:space="preserve"> </v>
      </c>
      <c r="C412" s="627"/>
      <c r="D412" s="815" t="str">
        <f>IFERROR(VLOOKUP(A412,insumos!$A$3:$E$39,4,FALSE), " ")</f>
        <v xml:space="preserve"> </v>
      </c>
      <c r="E412" s="628"/>
      <c r="F412" s="629"/>
      <c r="G412" s="814" t="str">
        <f>IFERROR(VLOOKUP(A412,insumos!$A$3:$E$39,5,FALSE), " ")</f>
        <v xml:space="preserve"> </v>
      </c>
      <c r="H412" s="630" t="str">
        <f t="shared" si="33"/>
        <v xml:space="preserve"> </v>
      </c>
    </row>
    <row r="413" spans="1:8" x14ac:dyDescent="0.6">
      <c r="A413" s="632"/>
      <c r="B413" s="626" t="str">
        <f>IFERROR(VLOOKUP(A413,insumos!$A$3:$E$39,3,FALSE), " ")</f>
        <v xml:space="preserve"> </v>
      </c>
      <c r="C413" s="627"/>
      <c r="D413" s="815" t="str">
        <f>IFERROR(VLOOKUP(A413,insumos!$A$3:$E$39,4,FALSE), " ")</f>
        <v xml:space="preserve"> </v>
      </c>
      <c r="E413" s="628"/>
      <c r="F413" s="629"/>
      <c r="G413" s="814" t="str">
        <f>IFERROR(VLOOKUP(A413,insumos!$A$3:$E$39,5,FALSE), " ")</f>
        <v xml:space="preserve"> </v>
      </c>
      <c r="H413" s="630" t="str">
        <f t="shared" si="33"/>
        <v xml:space="preserve"> </v>
      </c>
    </row>
    <row r="414" spans="1:8" x14ac:dyDescent="0.6">
      <c r="B414" s="626" t="str">
        <f>IFERROR(VLOOKUP(A414,insumos!$A$3:$E$39,3,FALSE), " ")</f>
        <v xml:space="preserve"> </v>
      </c>
      <c r="C414" s="627"/>
      <c r="D414" s="815" t="str">
        <f>IFERROR(VLOOKUP(A414,insumos!$A$3:$E$39,4,FALSE), " ")</f>
        <v xml:space="preserve"> </v>
      </c>
      <c r="E414" s="633"/>
      <c r="F414" s="634"/>
      <c r="G414" s="814" t="str">
        <f>IFERROR(VLOOKUP(A414,insumos!$A$3:$E$39,5,FALSE), " ")</f>
        <v xml:space="preserve"> </v>
      </c>
      <c r="H414" s="630" t="str">
        <f t="shared" si="33"/>
        <v xml:space="preserve"> </v>
      </c>
    </row>
    <row r="415" spans="1:8" ht="15.9" thickBot="1" x14ac:dyDescent="0.65">
      <c r="B415" s="626" t="str">
        <f>IFERROR(VLOOKUP(A415,insumos!$A$3:$E$39,3,FALSE), " ")</f>
        <v xml:space="preserve"> </v>
      </c>
      <c r="C415" s="627"/>
      <c r="D415" s="815" t="str">
        <f>IFERROR(VLOOKUP(A415,insumos!$A$3:$E$39,4,FALSE), " ")</f>
        <v xml:space="preserve"> </v>
      </c>
      <c r="E415" s="1173"/>
      <c r="F415" s="1174"/>
      <c r="G415" s="814" t="str">
        <f>IFERROR(VLOOKUP(A415,insumos!$A$3:$E$39,5,FALSE), " ")</f>
        <v xml:space="preserve"> </v>
      </c>
      <c r="H415" s="1175"/>
    </row>
    <row r="416" spans="1:8" ht="15.9" thickBot="1" x14ac:dyDescent="0.65">
      <c r="B416" s="615"/>
      <c r="C416" s="616"/>
      <c r="D416" s="616"/>
      <c r="E416" s="616"/>
      <c r="F416" s="616"/>
      <c r="G416" s="617" t="s">
        <v>640</v>
      </c>
      <c r="H416" s="635">
        <f>ROUND(SUM(H408:H415),2)</f>
        <v>531796.92000000004</v>
      </c>
    </row>
    <row r="417" spans="1:8" x14ac:dyDescent="0.6">
      <c r="B417" s="636"/>
      <c r="C417" s="620"/>
      <c r="D417" s="620"/>
      <c r="E417" s="620"/>
      <c r="F417" s="620"/>
      <c r="G417" s="620"/>
      <c r="H417" s="621"/>
    </row>
    <row r="418" spans="1:8" ht="15.9" thickBot="1" x14ac:dyDescent="0.65">
      <c r="B418" s="622" t="s">
        <v>285</v>
      </c>
      <c r="C418" s="623"/>
      <c r="D418" s="623"/>
      <c r="E418" s="623"/>
      <c r="F418" s="623"/>
      <c r="G418" s="623"/>
      <c r="H418" s="624"/>
    </row>
    <row r="419" spans="1:8" x14ac:dyDescent="0.6">
      <c r="B419" s="598" t="s">
        <v>644</v>
      </c>
      <c r="C419" s="637"/>
      <c r="D419" s="638" t="s">
        <v>645</v>
      </c>
      <c r="E419" s="639" t="s">
        <v>646</v>
      </c>
      <c r="F419" s="640" t="s">
        <v>647</v>
      </c>
      <c r="G419" s="641" t="s">
        <v>648</v>
      </c>
      <c r="H419" s="642" t="s">
        <v>165</v>
      </c>
    </row>
    <row r="420" spans="1:8" x14ac:dyDescent="0.6">
      <c r="A420" s="580" t="s">
        <v>484</v>
      </c>
      <c r="B420" s="643" t="str">
        <f>IFERROR(VLOOKUP(A420,'equipos y transporte'!$A$4:$E$35,3,FALSE), " ")</f>
        <v>Transporte de Arena Lavada</v>
      </c>
      <c r="C420" s="605"/>
      <c r="D420" s="610">
        <f>+E409</f>
        <v>0.97</v>
      </c>
      <c r="E420" s="644">
        <f>+cantera</f>
        <v>35</v>
      </c>
      <c r="F420" s="610">
        <f>IFERROR(D420*E420, " ")</f>
        <v>33.949999999999996</v>
      </c>
      <c r="G420" s="814">
        <f>IFERROR(VLOOKUP(A420,'equipos y transporte'!$A$4:$E$35,5,FALSE), " ")</f>
        <v>1672.9261363636363</v>
      </c>
      <c r="H420" s="645">
        <f>IFERROR(ROUND(F420*G420,2), " ")</f>
        <v>56795.839999999997</v>
      </c>
    </row>
    <row r="421" spans="1:8" x14ac:dyDescent="0.6">
      <c r="A421" s="580" t="s">
        <v>663</v>
      </c>
      <c r="B421" s="643" t="str">
        <f>IFERROR(VLOOKUP(A421,'equipos y transporte'!$A$4:$E$35,3,FALSE), " ")</f>
        <v>Transporte de cemento</v>
      </c>
      <c r="C421" s="646"/>
      <c r="D421" s="610">
        <f>+E410</f>
        <v>510</v>
      </c>
      <c r="E421" s="644">
        <f>+escombro</f>
        <v>15</v>
      </c>
      <c r="F421" s="610">
        <f t="shared" ref="F421:F424" si="34">IFERROR(D421*E421, " ")</f>
        <v>7650</v>
      </c>
      <c r="G421" s="814">
        <f>IFERROR(VLOOKUP(A421,'equipos y transporte'!$A$4:$E$35,5,FALSE), " ")</f>
        <v>1.2375000000000003</v>
      </c>
      <c r="H421" s="645">
        <f>IFERROR(ROUND(F421*G421,2), " ")</f>
        <v>9466.8799999999992</v>
      </c>
    </row>
    <row r="422" spans="1:8" x14ac:dyDescent="0.6">
      <c r="B422" s="643" t="str">
        <f>IFERROR(VLOOKUP(A422,'equipos y transporte'!$A$4:$E$35,3,FALSE), " ")</f>
        <v xml:space="preserve"> </v>
      </c>
      <c r="C422" s="646"/>
      <c r="D422" s="610"/>
      <c r="E422" s="644"/>
      <c r="F422" s="610">
        <f t="shared" si="34"/>
        <v>0</v>
      </c>
      <c r="G422" s="814" t="str">
        <f>IFERROR(VLOOKUP(A422,'equipos y transporte'!$A$4:$E$35,5,FALSE), " ")</f>
        <v xml:space="preserve"> </v>
      </c>
      <c r="H422" s="645" t="str">
        <f>IFERROR(ROUND(F422*G422,2), " ")</f>
        <v xml:space="preserve"> </v>
      </c>
    </row>
    <row r="423" spans="1:8" x14ac:dyDescent="0.6">
      <c r="B423" s="643" t="str">
        <f>IFERROR(VLOOKUP(A423,'equipos y transporte'!$A$4:$E$35,3,FALSE), " ")</f>
        <v xml:space="preserve"> </v>
      </c>
      <c r="C423" s="646"/>
      <c r="D423" s="610"/>
      <c r="E423" s="644"/>
      <c r="F423" s="610">
        <f t="shared" si="34"/>
        <v>0</v>
      </c>
      <c r="G423" s="814" t="str">
        <f>IFERROR(VLOOKUP(A423,'equipos y transporte'!$A$4:$E$35,5,FALSE), " ")</f>
        <v xml:space="preserve"> </v>
      </c>
      <c r="H423" s="645" t="str">
        <f>IFERROR(ROUND(F423*G423,2), " ")</f>
        <v xml:space="preserve"> </v>
      </c>
    </row>
    <row r="424" spans="1:8" ht="15.9" thickBot="1" x14ac:dyDescent="0.65">
      <c r="B424" s="643" t="str">
        <f>IFERROR(VLOOKUP(A424,'equipos y transporte'!$A$4:$E$35,3,FALSE), " ")</f>
        <v xml:space="preserve"> </v>
      </c>
      <c r="C424" s="1172"/>
      <c r="D424" s="1176"/>
      <c r="E424" s="1177"/>
      <c r="F424" s="1176">
        <f t="shared" si="34"/>
        <v>0</v>
      </c>
      <c r="G424" s="814" t="str">
        <f>IFERROR(VLOOKUP(A424,'equipos y transporte'!$A$4:$E$35,5,FALSE), " ")</f>
        <v xml:space="preserve"> </v>
      </c>
      <c r="H424" s="1178" t="str">
        <f>IFERROR(ROUND(F424*G424,2), " ")</f>
        <v xml:space="preserve"> </v>
      </c>
    </row>
    <row r="425" spans="1:8" ht="15.9" thickBot="1" x14ac:dyDescent="0.65">
      <c r="B425" s="615"/>
      <c r="C425" s="616"/>
      <c r="D425" s="616"/>
      <c r="E425" s="616"/>
      <c r="F425" s="616"/>
      <c r="G425" s="617" t="s">
        <v>640</v>
      </c>
      <c r="H425" s="647">
        <f>SUM(H420:H424)</f>
        <v>66262.720000000001</v>
      </c>
    </row>
    <row r="426" spans="1:8" x14ac:dyDescent="0.6">
      <c r="B426" s="636"/>
      <c r="C426" s="620"/>
      <c r="D426" s="620"/>
      <c r="E426" s="620"/>
      <c r="F426" s="620"/>
      <c r="G426" s="620"/>
      <c r="H426" s="621"/>
    </row>
    <row r="427" spans="1:8" ht="15.9" thickBot="1" x14ac:dyDescent="0.65">
      <c r="B427" s="622" t="s">
        <v>292</v>
      </c>
      <c r="C427" s="623"/>
      <c r="D427" s="623"/>
      <c r="E427" s="623"/>
      <c r="F427" s="623"/>
      <c r="G427" s="623"/>
      <c r="H427" s="624"/>
    </row>
    <row r="428" spans="1:8" ht="31.2" x14ac:dyDescent="0.6">
      <c r="B428" s="648" t="s">
        <v>649</v>
      </c>
      <c r="C428" s="649"/>
      <c r="D428" s="640" t="s">
        <v>650</v>
      </c>
      <c r="E428" s="639" t="s">
        <v>651</v>
      </c>
      <c r="F428" s="638" t="s">
        <v>652</v>
      </c>
      <c r="G428" s="650" t="s">
        <v>638</v>
      </c>
      <c r="H428" s="651" t="s">
        <v>165</v>
      </c>
    </row>
    <row r="429" spans="1:8" x14ac:dyDescent="0.6">
      <c r="A429" s="580" t="s">
        <v>669</v>
      </c>
      <c r="B429" s="652" t="s">
        <v>670</v>
      </c>
      <c r="C429" s="850">
        <v>2</v>
      </c>
      <c r="D429" s="653">
        <f>+jornal*C429</f>
        <v>86666.666666666672</v>
      </c>
      <c r="E429" s="654">
        <f>+$L$57</f>
        <v>1.85</v>
      </c>
      <c r="F429" s="655">
        <f>+IFERROR(D429*E429, " ")</f>
        <v>160333.33333333334</v>
      </c>
      <c r="G429" s="656">
        <v>5.54</v>
      </c>
      <c r="H429" s="645">
        <f>IFERROR(ROUND(F429/G429,2),0)</f>
        <v>28941.03</v>
      </c>
    </row>
    <row r="430" spans="1:8" x14ac:dyDescent="0.6">
      <c r="B430" s="652"/>
      <c r="C430" s="646"/>
      <c r="D430" s="653"/>
      <c r="E430" s="654"/>
      <c r="F430" s="655">
        <f t="shared" ref="F430:F432" si="35">+IFERROR(D430*E430, " ")</f>
        <v>0</v>
      </c>
      <c r="G430" s="656">
        <f>+G429</f>
        <v>5.54</v>
      </c>
      <c r="H430" s="645">
        <f t="shared" ref="H430:H432" si="36">IFERROR(ROUND(F430/G430,2),0)</f>
        <v>0</v>
      </c>
    </row>
    <row r="431" spans="1:8" x14ac:dyDescent="0.6">
      <c r="B431" s="652"/>
      <c r="C431" s="646"/>
      <c r="D431" s="653"/>
      <c r="E431" s="657"/>
      <c r="F431" s="655">
        <f t="shared" si="35"/>
        <v>0</v>
      </c>
      <c r="G431" s="658"/>
      <c r="H431" s="645">
        <f t="shared" si="36"/>
        <v>0</v>
      </c>
    </row>
    <row r="432" spans="1:8" ht="15.9" thickBot="1" x14ac:dyDescent="0.65">
      <c r="B432" s="652"/>
      <c r="C432" s="646"/>
      <c r="D432" s="653"/>
      <c r="E432" s="657"/>
      <c r="F432" s="655">
        <f t="shared" si="35"/>
        <v>0</v>
      </c>
      <c r="G432" s="659"/>
      <c r="H432" s="645">
        <f t="shared" si="36"/>
        <v>0</v>
      </c>
    </row>
    <row r="433" spans="1:8" ht="15.9" thickBot="1" x14ac:dyDescent="0.65">
      <c r="B433" s="615"/>
      <c r="C433" s="616"/>
      <c r="D433" s="616"/>
      <c r="E433" s="616"/>
      <c r="F433" s="616"/>
      <c r="G433" s="617" t="s">
        <v>640</v>
      </c>
      <c r="H433" s="660">
        <f>ROUND(SUM(H429:H432),2)</f>
        <v>28941.03</v>
      </c>
    </row>
    <row r="434" spans="1:8" ht="15.9" thickBot="1" x14ac:dyDescent="0.65">
      <c r="B434" s="636"/>
      <c r="C434" s="620"/>
      <c r="D434" s="620"/>
      <c r="E434" s="620"/>
      <c r="F434" s="620"/>
      <c r="G434" s="620"/>
      <c r="H434" s="621"/>
    </row>
    <row r="435" spans="1:8" ht="15.9" thickBot="1" x14ac:dyDescent="0.65">
      <c r="B435" s="661"/>
      <c r="C435" s="662"/>
      <c r="D435" s="662"/>
      <c r="E435" s="662"/>
      <c r="F435" s="662"/>
      <c r="G435" s="663" t="s">
        <v>656</v>
      </c>
      <c r="H435" s="664">
        <f>IFERROR(ROUND(H404+H416+H425+H433,0)," " )</f>
        <v>627290</v>
      </c>
    </row>
    <row r="436" spans="1:8" x14ac:dyDescent="0.6">
      <c r="B436" s="636"/>
      <c r="C436" s="620"/>
      <c r="D436" s="620"/>
      <c r="E436" s="620"/>
      <c r="F436" s="620"/>
      <c r="G436" s="620"/>
      <c r="H436" s="621"/>
    </row>
    <row r="437" spans="1:8" x14ac:dyDescent="0.6">
      <c r="B437" s="665" t="s">
        <v>657</v>
      </c>
      <c r="C437" s="666"/>
      <c r="D437" s="666"/>
      <c r="E437" s="666"/>
      <c r="F437" s="666"/>
      <c r="G437" s="666"/>
      <c r="H437" s="667"/>
    </row>
    <row r="438" spans="1:8" ht="15.9" thickBot="1" x14ac:dyDescent="0.65">
      <c r="B438" s="636"/>
      <c r="C438" s="620"/>
      <c r="D438" s="620"/>
      <c r="E438" s="620"/>
      <c r="F438" s="620"/>
      <c r="G438" s="620"/>
      <c r="H438" s="621"/>
    </row>
    <row r="439" spans="1:8" x14ac:dyDescent="0.6">
      <c r="B439" s="1315" t="s">
        <v>270</v>
      </c>
      <c r="C439" s="1316"/>
      <c r="D439" s="637"/>
      <c r="E439" s="668"/>
      <c r="F439" s="669" t="s">
        <v>658</v>
      </c>
      <c r="G439" s="670" t="s">
        <v>659</v>
      </c>
      <c r="H439" s="671"/>
    </row>
    <row r="440" spans="1:8" x14ac:dyDescent="0.6">
      <c r="B440" s="1317" t="s">
        <v>69</v>
      </c>
      <c r="C440" s="1318"/>
      <c r="D440" s="672"/>
      <c r="E440" s="673"/>
      <c r="F440" s="674"/>
      <c r="G440" s="675">
        <f>ROUND(H435*F440,2)</f>
        <v>0</v>
      </c>
      <c r="H440" s="676"/>
    </row>
    <row r="441" spans="1:8" ht="15.9" thickBot="1" x14ac:dyDescent="0.65">
      <c r="B441" s="677" t="s">
        <v>70</v>
      </c>
      <c r="C441" s="678"/>
      <c r="D441" s="672"/>
      <c r="E441" s="673"/>
      <c r="F441" s="679"/>
      <c r="G441" s="1179">
        <f>ROUND(H435*F441,2)</f>
        <v>0</v>
      </c>
      <c r="H441" s="676"/>
    </row>
    <row r="442" spans="1:8" ht="15.9" thickBot="1" x14ac:dyDescent="0.65">
      <c r="B442" s="1319" t="s">
        <v>640</v>
      </c>
      <c r="C442" s="1320"/>
      <c r="D442" s="1320"/>
      <c r="E442" s="1320"/>
      <c r="F442" s="1320"/>
      <c r="G442" s="1320"/>
      <c r="H442" s="680">
        <f>ROUND(G440+G441,2)</f>
        <v>0</v>
      </c>
    </row>
    <row r="443" spans="1:8" ht="15.9" thickBot="1" x14ac:dyDescent="0.65">
      <c r="B443" s="681"/>
      <c r="C443" s="682"/>
      <c r="D443" s="682"/>
      <c r="E443" s="682"/>
      <c r="F443" s="682"/>
      <c r="G443" s="682"/>
      <c r="H443" s="683"/>
    </row>
    <row r="444" spans="1:8" ht="15.9" thickBot="1" x14ac:dyDescent="0.65">
      <c r="A444" s="580" t="s">
        <v>660</v>
      </c>
      <c r="B444" s="1321"/>
      <c r="C444" s="1322"/>
      <c r="D444" s="1322"/>
      <c r="E444" s="1322"/>
      <c r="F444" s="1322"/>
      <c r="G444" s="1322"/>
      <c r="H444" s="684">
        <f>ROUND(H435+H442,0)</f>
        <v>627290</v>
      </c>
    </row>
    <row r="445" spans="1:8" x14ac:dyDescent="0.6">
      <c r="B445" s="1296" t="s">
        <v>629</v>
      </c>
      <c r="C445" s="1297"/>
      <c r="D445" s="1297"/>
      <c r="E445" s="1297"/>
      <c r="F445" s="1297"/>
      <c r="G445" s="1297"/>
      <c r="H445" s="1298"/>
    </row>
    <row r="446" spans="1:8" x14ac:dyDescent="0.6">
      <c r="B446" s="582" t="s">
        <v>631</v>
      </c>
      <c r="C446" s="1299" t="str">
        <f>+C391</f>
        <v>MEJORAMIENTO DE LA VIA QUE COMUNICA LA VEREDA EL ENCANTO CON EL CORREGIMIENTO EL SILENCIO, MUNICIPIO DE CAREPA, DEPARTAMENTO DE ANTIOQUIA.</v>
      </c>
      <c r="D446" s="1299"/>
      <c r="E446" s="1299"/>
      <c r="F446" s="1299"/>
      <c r="G446" s="1299"/>
      <c r="H446" s="1300"/>
    </row>
    <row r="447" spans="1:8" x14ac:dyDescent="0.6">
      <c r="B447" s="582" t="s">
        <v>632</v>
      </c>
      <c r="C447" s="1301"/>
      <c r="D447" s="1301"/>
      <c r="E447" s="1301"/>
      <c r="F447" s="1301"/>
      <c r="G447" s="1301"/>
      <c r="H447" s="1302"/>
    </row>
    <row r="448" spans="1:8" ht="15.9" thickBot="1" x14ac:dyDescent="0.65">
      <c r="B448" s="685"/>
      <c r="C448" s="686"/>
      <c r="D448" s="686"/>
      <c r="E448" s="686"/>
      <c r="F448" s="686"/>
      <c r="G448" s="686"/>
      <c r="H448" s="687"/>
    </row>
    <row r="449" spans="1:10" ht="15.9" thickBot="1" x14ac:dyDescent="0.65">
      <c r="B449" s="688" t="s">
        <v>264</v>
      </c>
      <c r="C449" s="1323" t="s">
        <v>115</v>
      </c>
      <c r="D449" s="1324"/>
      <c r="E449" s="1325"/>
      <c r="F449" s="689"/>
      <c r="G449" s="690" t="s">
        <v>386</v>
      </c>
      <c r="H449" s="688" t="s">
        <v>7</v>
      </c>
    </row>
    <row r="450" spans="1:10" s="708" customFormat="1" ht="29.25" customHeight="1" thickBot="1" x14ac:dyDescent="0.6">
      <c r="B450" s="709" t="s">
        <v>633</v>
      </c>
      <c r="C450" s="1308" t="s">
        <v>671</v>
      </c>
      <c r="D450" s="1309"/>
      <c r="E450" s="1310"/>
      <c r="F450" s="710"/>
      <c r="G450" s="1167" t="s">
        <v>22</v>
      </c>
      <c r="H450" s="711">
        <v>1</v>
      </c>
      <c r="I450" s="827"/>
      <c r="J450" s="827"/>
    </row>
    <row r="451" spans="1:10" x14ac:dyDescent="0.6">
      <c r="B451" s="592"/>
      <c r="C451" s="593"/>
      <c r="D451" s="593"/>
      <c r="E451" s="593"/>
      <c r="F451" s="593"/>
      <c r="G451" s="593"/>
      <c r="H451" s="594"/>
    </row>
    <row r="452" spans="1:10" ht="15.9" thickBot="1" x14ac:dyDescent="0.65">
      <c r="B452" s="595" t="s">
        <v>635</v>
      </c>
      <c r="C452" s="596"/>
      <c r="D452" s="596"/>
      <c r="E452" s="596"/>
      <c r="F452" s="596"/>
      <c r="G452" s="596"/>
      <c r="H452" s="597"/>
    </row>
    <row r="453" spans="1:10" x14ac:dyDescent="0.6">
      <c r="B453" s="598" t="s">
        <v>636</v>
      </c>
      <c r="C453" s="599"/>
      <c r="D453" s="599"/>
      <c r="E453" s="600"/>
      <c r="F453" s="601" t="s">
        <v>637</v>
      </c>
      <c r="G453" s="602" t="s">
        <v>638</v>
      </c>
      <c r="H453" s="603" t="s">
        <v>165</v>
      </c>
    </row>
    <row r="454" spans="1:10" x14ac:dyDescent="0.6">
      <c r="B454" s="604" t="str">
        <f>+IFERROR(VLOOKUP(A454,'equipos y transporte'!$A$4:$E$35,3,FALSE), " ")</f>
        <v xml:space="preserve"> </v>
      </c>
      <c r="C454" s="605"/>
      <c r="D454" s="605"/>
      <c r="E454" s="605"/>
      <c r="F454" s="606" t="str">
        <f>IFERROR(VLOOKUP(A453,'equipos y transporte'!$A$4:$E$35,5,FALSE), " ")</f>
        <v xml:space="preserve"> </v>
      </c>
      <c r="G454" s="607"/>
      <c r="H454" s="608" t="str">
        <f>IFERROR(F454/G454, " ")</f>
        <v xml:space="preserve"> </v>
      </c>
    </row>
    <row r="455" spans="1:10" x14ac:dyDescent="0.6">
      <c r="B455" s="604" t="str">
        <f>+IFERROR(VLOOKUP(A455,'equipos y transporte'!$A$4:$E$35,3,FALSE), " ")</f>
        <v xml:space="preserve"> </v>
      </c>
      <c r="C455" s="605"/>
      <c r="D455" s="605"/>
      <c r="E455" s="605"/>
      <c r="F455" s="606" t="str">
        <f>IFERROR(VLOOKUP(A454,'equipos y transporte'!$A$4:$E$35,5,FALSE), " ")</f>
        <v xml:space="preserve"> </v>
      </c>
      <c r="G455" s="609"/>
      <c r="H455" s="608" t="str">
        <f>IFERROR(F455/#REF!, " ")</f>
        <v xml:space="preserve"> </v>
      </c>
    </row>
    <row r="456" spans="1:10" x14ac:dyDescent="0.6">
      <c r="B456" s="604" t="str">
        <f>+IFERROR(VLOOKUP(A456,'equipos y transporte'!$A$4:$E$35,3,FALSE), " ")</f>
        <v xml:space="preserve"> </v>
      </c>
      <c r="C456" s="605"/>
      <c r="D456" s="605"/>
      <c r="E456" s="605"/>
      <c r="F456" s="606" t="str">
        <f>IFERROR(VLOOKUP(A455,'equipos y transporte'!$A$4:$E$35,5,FALSE), " ")</f>
        <v xml:space="preserve"> </v>
      </c>
      <c r="G456" s="609"/>
      <c r="H456" s="608"/>
    </row>
    <row r="457" spans="1:10" x14ac:dyDescent="0.6">
      <c r="B457" s="604" t="str">
        <f>+IFERROR(VLOOKUP(A457,'equipos y transporte'!$A$4:$E$35,3,FALSE), " ")</f>
        <v xml:space="preserve"> </v>
      </c>
      <c r="C457" s="605"/>
      <c r="D457" s="605"/>
      <c r="E457" s="605"/>
      <c r="F457" s="606" t="str">
        <f>IFERROR(VLOOKUP(A456,'equipos y transporte'!$A$4:$E$35,5,FALSE), " ")</f>
        <v xml:space="preserve"> </v>
      </c>
      <c r="G457" s="611"/>
      <c r="H457" s="612"/>
    </row>
    <row r="458" spans="1:10" ht="15.9" thickBot="1" x14ac:dyDescent="0.65">
      <c r="B458" s="1311" t="s">
        <v>639</v>
      </c>
      <c r="C458" s="1312"/>
      <c r="D458" s="1313"/>
      <c r="E458" s="1314"/>
      <c r="F458" s="613"/>
      <c r="G458" s="1168">
        <v>0.05</v>
      </c>
      <c r="H458" s="614">
        <f>ROUND(H484*G458,2)</f>
        <v>1929.01</v>
      </c>
    </row>
    <row r="459" spans="1:10" ht="15.9" thickBot="1" x14ac:dyDescent="0.65">
      <c r="B459" s="615"/>
      <c r="C459" s="616"/>
      <c r="D459" s="616"/>
      <c r="E459" s="616"/>
      <c r="F459" s="616"/>
      <c r="G459" s="617" t="s">
        <v>640</v>
      </c>
      <c r="H459" s="618">
        <f>ROUND(SUM(H454:H458),2)</f>
        <v>1929.01</v>
      </c>
    </row>
    <row r="460" spans="1:10" x14ac:dyDescent="0.6">
      <c r="B460" s="619"/>
      <c r="C460" s="620"/>
      <c r="D460" s="620"/>
      <c r="E460" s="620"/>
      <c r="F460" s="620"/>
      <c r="G460" s="620"/>
      <c r="H460" s="621"/>
    </row>
    <row r="461" spans="1:10" ht="15.9" thickBot="1" x14ac:dyDescent="0.65">
      <c r="B461" s="622" t="s">
        <v>641</v>
      </c>
      <c r="C461" s="623"/>
      <c r="D461" s="623"/>
      <c r="E461" s="623"/>
      <c r="F461" s="623"/>
      <c r="G461" s="623"/>
      <c r="H461" s="624"/>
    </row>
    <row r="462" spans="1:10" x14ac:dyDescent="0.6">
      <c r="B462" s="598" t="s">
        <v>642</v>
      </c>
      <c r="C462" s="599"/>
      <c r="D462" s="601" t="s">
        <v>386</v>
      </c>
      <c r="E462" s="601" t="s">
        <v>7</v>
      </c>
      <c r="F462" s="601" t="s">
        <v>643</v>
      </c>
      <c r="G462" s="625" t="s">
        <v>177</v>
      </c>
      <c r="H462" s="603" t="s">
        <v>165</v>
      </c>
    </row>
    <row r="463" spans="1:10" x14ac:dyDescent="0.6">
      <c r="A463" s="580" t="s">
        <v>493</v>
      </c>
      <c r="B463" s="626" t="str">
        <f>IFERROR(VLOOKUP(A463,insumos!$A$3:$E$39,3,FALSE), " ")</f>
        <v>Agua</v>
      </c>
      <c r="C463" s="627"/>
      <c r="D463" s="815" t="str">
        <f>IFERROR(VLOOKUP(A463,insumos!$A$3:$E$39,4,FALSE), " ")</f>
        <v>lt</v>
      </c>
      <c r="E463" s="628">
        <v>250</v>
      </c>
      <c r="F463" s="629">
        <v>0.03</v>
      </c>
      <c r="G463" s="814">
        <f>IFERROR(VLOOKUP(A463,insumos!$A$3:$E$39,5,FALSE), " ")</f>
        <v>111.37500000000001</v>
      </c>
      <c r="H463" s="630">
        <f t="shared" ref="H463:H468" si="37">+IFERROR(ROUND(G463*(E463*(1+F463/100)),2), " ")</f>
        <v>27852.1</v>
      </c>
    </row>
    <row r="464" spans="1:10" x14ac:dyDescent="0.6">
      <c r="A464" s="580" t="s">
        <v>498</v>
      </c>
      <c r="B464" s="626" t="str">
        <f>IFERROR(VLOOKUP(A464,insumos!$A$3:$E$39,3,FALSE), " ")</f>
        <v>Arena lavada</v>
      </c>
      <c r="C464" s="627"/>
      <c r="D464" s="815" t="str">
        <f>IFERROR(VLOOKUP(A464,insumos!$A$3:$E$39,4,FALSE), " ")</f>
        <v>m3</v>
      </c>
      <c r="E464" s="628">
        <v>1.1000000000000001</v>
      </c>
      <c r="F464" s="629">
        <v>0.03</v>
      </c>
      <c r="G464" s="814">
        <f>IFERROR(VLOOKUP(A464,insumos!$A$3:$E$39,5,FALSE), " ")</f>
        <v>80190</v>
      </c>
      <c r="H464" s="630">
        <f t="shared" si="37"/>
        <v>88235.46</v>
      </c>
    </row>
    <row r="465" spans="1:8" x14ac:dyDescent="0.6">
      <c r="A465" s="632" t="s">
        <v>506</v>
      </c>
      <c r="B465" s="626" t="str">
        <f>IFERROR(VLOOKUP(A465,insumos!$A$3:$E$39,3,FALSE), " ")</f>
        <v>Cemento gris</v>
      </c>
      <c r="C465" s="627"/>
      <c r="D465" s="815" t="str">
        <f>IFERROR(VLOOKUP(A465,insumos!$A$3:$E$39,4,FALSE), " ")</f>
        <v>kg</v>
      </c>
      <c r="E465" s="628">
        <v>454</v>
      </c>
      <c r="F465" s="629">
        <v>0.03</v>
      </c>
      <c r="G465" s="814">
        <f>IFERROR(VLOOKUP(A465,insumos!$A$3:$E$39,5,FALSE), " ")</f>
        <v>835.3125</v>
      </c>
      <c r="H465" s="630">
        <f t="shared" si="37"/>
        <v>379345.64</v>
      </c>
    </row>
    <row r="466" spans="1:8" x14ac:dyDescent="0.6">
      <c r="A466" s="632"/>
      <c r="B466" s="626" t="str">
        <f>IFERROR(VLOOKUP(A466,insumos!$A$3:$E$39,3,FALSE), " ")</f>
        <v xml:space="preserve"> </v>
      </c>
      <c r="C466" s="627"/>
      <c r="D466" s="815" t="str">
        <f>IFERROR(VLOOKUP(A466,insumos!$A$3:$E$39,4,FALSE), " ")</f>
        <v xml:space="preserve"> </v>
      </c>
      <c r="E466" s="628"/>
      <c r="F466" s="629"/>
      <c r="G466" s="814" t="str">
        <f>IFERROR(VLOOKUP(A466,insumos!$A$3:$E$39,5,FALSE), " ")</f>
        <v xml:space="preserve"> </v>
      </c>
      <c r="H466" s="630" t="str">
        <f t="shared" si="37"/>
        <v xml:space="preserve"> </v>
      </c>
    </row>
    <row r="467" spans="1:8" x14ac:dyDescent="0.6">
      <c r="A467" s="632"/>
      <c r="B467" s="626" t="str">
        <f>IFERROR(VLOOKUP(A467,insumos!$A$3:$E$39,3,FALSE), " ")</f>
        <v xml:space="preserve"> </v>
      </c>
      <c r="C467" s="627"/>
      <c r="D467" s="815" t="str">
        <f>IFERROR(VLOOKUP(A467,insumos!$A$3:$E$39,4,FALSE), " ")</f>
        <v xml:space="preserve"> </v>
      </c>
      <c r="E467" s="628"/>
      <c r="F467" s="629"/>
      <c r="G467" s="814" t="str">
        <f>IFERROR(VLOOKUP(A467,insumos!$A$3:$E$39,5,FALSE), " ")</f>
        <v xml:space="preserve"> </v>
      </c>
      <c r="H467" s="630" t="str">
        <f t="shared" si="37"/>
        <v xml:space="preserve"> </v>
      </c>
    </row>
    <row r="468" spans="1:8" x14ac:dyDescent="0.6">
      <c r="A468" s="632"/>
      <c r="B468" s="626" t="str">
        <f>IFERROR(VLOOKUP(A468,insumos!$A$3:$E$39,3,FALSE), " ")</f>
        <v xml:space="preserve"> </v>
      </c>
      <c r="C468" s="627"/>
      <c r="D468" s="815" t="str">
        <f>IFERROR(VLOOKUP(A468,insumos!$A$3:$E$39,4,FALSE), " ")</f>
        <v xml:space="preserve"> </v>
      </c>
      <c r="E468" s="633"/>
      <c r="F468" s="634"/>
      <c r="G468" s="814" t="str">
        <f>IFERROR(VLOOKUP(A468,insumos!$A$3:$E$39,5,FALSE), " ")</f>
        <v xml:space="preserve"> </v>
      </c>
      <c r="H468" s="630" t="str">
        <f t="shared" si="37"/>
        <v xml:space="preserve"> </v>
      </c>
    </row>
    <row r="469" spans="1:8" ht="15.9" thickBot="1" x14ac:dyDescent="0.65">
      <c r="B469" s="626" t="str">
        <f>IFERROR(VLOOKUP(A469,insumos!$A$3:$E$39,3,FALSE), " ")</f>
        <v xml:space="preserve"> </v>
      </c>
      <c r="C469" s="627"/>
      <c r="D469" s="815" t="str">
        <f>IFERROR(VLOOKUP(A469,insumos!$A$3:$E$39,4,FALSE), " ")</f>
        <v xml:space="preserve"> </v>
      </c>
      <c r="E469" s="1173"/>
      <c r="F469" s="1174"/>
      <c r="G469" s="814" t="str">
        <f>IFERROR(VLOOKUP(A469,insumos!$A$3:$E$39,5,FALSE), " ")</f>
        <v xml:space="preserve"> </v>
      </c>
      <c r="H469" s="1175"/>
    </row>
    <row r="470" spans="1:8" ht="15.9" thickBot="1" x14ac:dyDescent="0.65">
      <c r="B470" s="615"/>
      <c r="C470" s="616"/>
      <c r="D470" s="616"/>
      <c r="E470" s="616"/>
      <c r="F470" s="616"/>
      <c r="G470" s="617" t="s">
        <v>640</v>
      </c>
      <c r="H470" s="635">
        <f>ROUND(SUM(H463:H469),2)</f>
        <v>495433.2</v>
      </c>
    </row>
    <row r="471" spans="1:8" x14ac:dyDescent="0.6">
      <c r="B471" s="636"/>
      <c r="C471" s="620"/>
      <c r="D471" s="620"/>
      <c r="E471" s="620"/>
      <c r="F471" s="620"/>
      <c r="G471" s="620"/>
      <c r="H471" s="621"/>
    </row>
    <row r="472" spans="1:8" ht="15.9" thickBot="1" x14ac:dyDescent="0.65">
      <c r="B472" s="622" t="s">
        <v>285</v>
      </c>
      <c r="C472" s="623"/>
      <c r="D472" s="623"/>
      <c r="E472" s="623"/>
      <c r="F472" s="623"/>
      <c r="G472" s="623"/>
      <c r="H472" s="624"/>
    </row>
    <row r="473" spans="1:8" x14ac:dyDescent="0.6">
      <c r="B473" s="598" t="s">
        <v>644</v>
      </c>
      <c r="C473" s="637"/>
      <c r="D473" s="638" t="s">
        <v>645</v>
      </c>
      <c r="E473" s="639" t="s">
        <v>646</v>
      </c>
      <c r="F473" s="640" t="s">
        <v>647</v>
      </c>
      <c r="G473" s="641" t="s">
        <v>648</v>
      </c>
      <c r="H473" s="642" t="s">
        <v>165</v>
      </c>
    </row>
    <row r="474" spans="1:8" x14ac:dyDescent="0.6">
      <c r="A474" s="580" t="s">
        <v>484</v>
      </c>
      <c r="B474" s="643" t="str">
        <f>IFERROR(VLOOKUP(A474,'equipos y transporte'!$A$4:$E$35,3,FALSE), " ")</f>
        <v>Transporte de Arena Lavada</v>
      </c>
      <c r="C474" s="646"/>
      <c r="D474" s="610">
        <f>+E464</f>
        <v>1.1000000000000001</v>
      </c>
      <c r="E474" s="644">
        <f>+cantera</f>
        <v>35</v>
      </c>
      <c r="F474" s="610">
        <f t="shared" ref="F474:F477" si="38">IFERROR(D474*E474, " ")</f>
        <v>38.5</v>
      </c>
      <c r="G474" s="814">
        <f>IFERROR(VLOOKUP(A474,'equipos y transporte'!$A$4:$E$35,5,FALSE), " ")</f>
        <v>1672.9261363636363</v>
      </c>
      <c r="H474" s="645">
        <f>IFERROR(ROUND(F474*G474,2), " ")</f>
        <v>64407.66</v>
      </c>
    </row>
    <row r="475" spans="1:8" x14ac:dyDescent="0.6">
      <c r="A475" s="580" t="s">
        <v>663</v>
      </c>
      <c r="B475" s="643" t="str">
        <f>IFERROR(VLOOKUP(A475,'equipos y transporte'!$A$4:$E$35,3,FALSE), " ")</f>
        <v>Transporte de cemento</v>
      </c>
      <c r="C475" s="646"/>
      <c r="D475" s="610">
        <f>+E465</f>
        <v>454</v>
      </c>
      <c r="E475" s="644">
        <f>+escombro</f>
        <v>15</v>
      </c>
      <c r="F475" s="610">
        <f t="shared" si="38"/>
        <v>6810</v>
      </c>
      <c r="G475" s="814">
        <f>IFERROR(VLOOKUP(A475,'equipos y transporte'!$A$4:$E$35,5,FALSE), " ")</f>
        <v>1.2375000000000003</v>
      </c>
      <c r="H475" s="645">
        <f>IFERROR(ROUND(F475*G475,2), " ")</f>
        <v>8427.3799999999992</v>
      </c>
    </row>
    <row r="476" spans="1:8" x14ac:dyDescent="0.6">
      <c r="B476" s="643" t="str">
        <f>IFERROR(VLOOKUP(A476,'equipos y transporte'!$A$4:$E$35,3,FALSE), " ")</f>
        <v xml:space="preserve"> </v>
      </c>
      <c r="C476" s="646"/>
      <c r="D476" s="610"/>
      <c r="E476" s="644"/>
      <c r="F476" s="610">
        <f t="shared" si="38"/>
        <v>0</v>
      </c>
      <c r="G476" s="814" t="str">
        <f>IFERROR(VLOOKUP(A476,'equipos y transporte'!$A$4:$E$35,5,FALSE), " ")</f>
        <v xml:space="preserve"> </v>
      </c>
      <c r="H476" s="645" t="str">
        <f>IFERROR(ROUND(F476*G476,2), " ")</f>
        <v xml:space="preserve"> </v>
      </c>
    </row>
    <row r="477" spans="1:8" ht="15.9" thickBot="1" x14ac:dyDescent="0.65">
      <c r="B477" s="643" t="str">
        <f>IFERROR(VLOOKUP(A477,'equipos y transporte'!$A$4:$E$35,3,FALSE), " ")</f>
        <v xml:space="preserve"> </v>
      </c>
      <c r="C477" s="1172"/>
      <c r="D477" s="1176"/>
      <c r="E477" s="1177"/>
      <c r="F477" s="1176">
        <f t="shared" si="38"/>
        <v>0</v>
      </c>
      <c r="G477" s="814" t="str">
        <f>IFERROR(VLOOKUP(A477,'equipos y transporte'!$A$4:$E$35,5,FALSE), " ")</f>
        <v xml:space="preserve"> </v>
      </c>
      <c r="H477" s="1178" t="str">
        <f>IFERROR(ROUND(F477*G477,2), " ")</f>
        <v xml:space="preserve"> </v>
      </c>
    </row>
    <row r="478" spans="1:8" ht="15.9" thickBot="1" x14ac:dyDescent="0.65">
      <c r="B478" s="615"/>
      <c r="C478" s="616"/>
      <c r="D478" s="616"/>
      <c r="E478" s="616"/>
      <c r="F478" s="616"/>
      <c r="G478" s="617" t="s">
        <v>640</v>
      </c>
      <c r="H478" s="647">
        <f>SUM(H474:H477)</f>
        <v>72835.040000000008</v>
      </c>
    </row>
    <row r="479" spans="1:8" x14ac:dyDescent="0.6">
      <c r="B479" s="636"/>
      <c r="C479" s="620"/>
      <c r="D479" s="620"/>
      <c r="E479" s="620"/>
      <c r="F479" s="620"/>
      <c r="G479" s="620"/>
      <c r="H479" s="621"/>
    </row>
    <row r="480" spans="1:8" x14ac:dyDescent="0.6">
      <c r="B480" s="622" t="s">
        <v>292</v>
      </c>
      <c r="C480" s="623"/>
      <c r="D480" s="623"/>
      <c r="E480" s="623"/>
      <c r="F480" s="623"/>
      <c r="G480" s="623"/>
      <c r="H480" s="624"/>
    </row>
    <row r="481" spans="1:8" x14ac:dyDescent="0.6">
      <c r="A481" s="580" t="s">
        <v>669</v>
      </c>
      <c r="B481" s="652" t="s">
        <v>672</v>
      </c>
      <c r="C481" s="850">
        <v>6</v>
      </c>
      <c r="D481" s="653">
        <f>+jornal*C481</f>
        <v>260000</v>
      </c>
      <c r="E481" s="654">
        <f>+$L$57</f>
        <v>1.85</v>
      </c>
      <c r="F481" s="655">
        <f t="shared" ref="F481:F483" si="39">+IFERROR(D481*E481, " ")</f>
        <v>481000</v>
      </c>
      <c r="G481" s="656">
        <v>16</v>
      </c>
      <c r="H481" s="645">
        <f>IFERROR(ROUND(F481/G481,2),0)</f>
        <v>30062.5</v>
      </c>
    </row>
    <row r="482" spans="1:8" x14ac:dyDescent="0.6">
      <c r="B482" s="652" t="s">
        <v>311</v>
      </c>
      <c r="C482" s="646"/>
      <c r="D482" s="653">
        <f>+ofic</f>
        <v>73666.666666666672</v>
      </c>
      <c r="E482" s="654">
        <f>+$L$57</f>
        <v>1.85</v>
      </c>
      <c r="F482" s="655">
        <f>+IFERROR(D482*E482, " ")</f>
        <v>136283.33333333334</v>
      </c>
      <c r="G482" s="656">
        <v>16</v>
      </c>
      <c r="H482" s="645">
        <f>IFERROR(ROUND(F482/G482,2),0)</f>
        <v>8517.7099999999991</v>
      </c>
    </row>
    <row r="483" spans="1:8" ht="15.9" thickBot="1" x14ac:dyDescent="0.65">
      <c r="B483" s="652"/>
      <c r="C483" s="646"/>
      <c r="D483" s="653"/>
      <c r="E483" s="657"/>
      <c r="F483" s="655">
        <f t="shared" si="39"/>
        <v>0</v>
      </c>
      <c r="G483" s="659"/>
      <c r="H483" s="645">
        <f>IFERROR(ROUND(F483/G483,2),0)</f>
        <v>0</v>
      </c>
    </row>
    <row r="484" spans="1:8" ht="15.9" thickBot="1" x14ac:dyDescent="0.65">
      <c r="B484" s="615"/>
      <c r="C484" s="616"/>
      <c r="D484" s="616"/>
      <c r="E484" s="616"/>
      <c r="F484" s="616"/>
      <c r="G484" s="617" t="s">
        <v>640</v>
      </c>
      <c r="H484" s="660">
        <f>ROUND(SUM(H481:H483),2)</f>
        <v>38580.21</v>
      </c>
    </row>
    <row r="485" spans="1:8" ht="15.9" thickBot="1" x14ac:dyDescent="0.65">
      <c r="B485" s="636"/>
      <c r="C485" s="620"/>
      <c r="D485" s="620"/>
      <c r="E485" s="620"/>
      <c r="F485" s="620"/>
      <c r="G485" s="620"/>
      <c r="H485" s="621"/>
    </row>
    <row r="486" spans="1:8" ht="15.9" thickBot="1" x14ac:dyDescent="0.65">
      <c r="B486" s="661"/>
      <c r="C486" s="662"/>
      <c r="D486" s="662"/>
      <c r="E486" s="662"/>
      <c r="F486" s="662"/>
      <c r="G486" s="663" t="s">
        <v>656</v>
      </c>
      <c r="H486" s="664">
        <f>IFERROR(ROUND(H459+H470+H478+H484,0)," " )</f>
        <v>608777</v>
      </c>
    </row>
    <row r="487" spans="1:8" x14ac:dyDescent="0.6">
      <c r="B487" s="636"/>
      <c r="C487" s="620"/>
      <c r="D487" s="620"/>
      <c r="E487" s="620"/>
      <c r="F487" s="620"/>
      <c r="G487" s="620"/>
      <c r="H487" s="621"/>
    </row>
    <row r="488" spans="1:8" x14ac:dyDescent="0.6">
      <c r="B488" s="665" t="s">
        <v>657</v>
      </c>
      <c r="C488" s="666"/>
      <c r="D488" s="666"/>
      <c r="E488" s="666"/>
      <c r="F488" s="666"/>
      <c r="G488" s="666"/>
      <c r="H488" s="667"/>
    </row>
    <row r="489" spans="1:8" ht="15.9" thickBot="1" x14ac:dyDescent="0.65">
      <c r="B489" s="636"/>
      <c r="C489" s="620"/>
      <c r="D489" s="620"/>
      <c r="E489" s="620"/>
      <c r="F489" s="620"/>
      <c r="G489" s="620"/>
      <c r="H489" s="621"/>
    </row>
    <row r="490" spans="1:8" x14ac:dyDescent="0.6">
      <c r="B490" s="1315" t="s">
        <v>270</v>
      </c>
      <c r="C490" s="1316"/>
      <c r="D490" s="637"/>
      <c r="E490" s="668"/>
      <c r="F490" s="669" t="s">
        <v>658</v>
      </c>
      <c r="G490" s="670" t="s">
        <v>659</v>
      </c>
      <c r="H490" s="671"/>
    </row>
    <row r="491" spans="1:8" x14ac:dyDescent="0.6">
      <c r="B491" s="1317" t="s">
        <v>69</v>
      </c>
      <c r="C491" s="1318"/>
      <c r="D491" s="672"/>
      <c r="E491" s="673"/>
      <c r="F491" s="674"/>
      <c r="G491" s="675">
        <f>ROUND(H486*F491,2)</f>
        <v>0</v>
      </c>
      <c r="H491" s="676"/>
    </row>
    <row r="492" spans="1:8" ht="15.9" thickBot="1" x14ac:dyDescent="0.65">
      <c r="B492" s="677" t="s">
        <v>70</v>
      </c>
      <c r="C492" s="678"/>
      <c r="D492" s="672"/>
      <c r="E492" s="673"/>
      <c r="F492" s="679"/>
      <c r="G492" s="1179">
        <f>ROUND(H486*F492,2)</f>
        <v>0</v>
      </c>
      <c r="H492" s="676"/>
    </row>
    <row r="493" spans="1:8" ht="15.9" thickBot="1" x14ac:dyDescent="0.65">
      <c r="B493" s="1319" t="s">
        <v>640</v>
      </c>
      <c r="C493" s="1320"/>
      <c r="D493" s="1320"/>
      <c r="E493" s="1320"/>
      <c r="F493" s="1320"/>
      <c r="G493" s="1320"/>
      <c r="H493" s="680">
        <f>ROUND(G491+G492,2)</f>
        <v>0</v>
      </c>
    </row>
    <row r="494" spans="1:8" ht="15.9" thickBot="1" x14ac:dyDescent="0.65">
      <c r="B494" s="681"/>
      <c r="C494" s="682"/>
      <c r="D494" s="682"/>
      <c r="E494" s="682"/>
      <c r="F494" s="682"/>
      <c r="G494" s="682"/>
      <c r="H494" s="683"/>
    </row>
    <row r="495" spans="1:8" ht="15.9" thickBot="1" x14ac:dyDescent="0.65">
      <c r="A495" s="580" t="s">
        <v>660</v>
      </c>
      <c r="B495" s="1321"/>
      <c r="C495" s="1322"/>
      <c r="D495" s="1322"/>
      <c r="E495" s="1322"/>
      <c r="F495" s="1322"/>
      <c r="G495" s="1322"/>
      <c r="H495" s="684">
        <f>ROUND(H486+H493,0)</f>
        <v>608777</v>
      </c>
    </row>
    <row r="496" spans="1:8" x14ac:dyDescent="0.6">
      <c r="B496" s="1296" t="s">
        <v>629</v>
      </c>
      <c r="C496" s="1297"/>
      <c r="D496" s="1297"/>
      <c r="E496" s="1297"/>
      <c r="F496" s="1297"/>
      <c r="G496" s="1297"/>
      <c r="H496" s="1298"/>
    </row>
    <row r="497" spans="2:10" x14ac:dyDescent="0.6">
      <c r="B497" s="582" t="s">
        <v>631</v>
      </c>
      <c r="C497" s="1299" t="str">
        <f>+C446</f>
        <v>MEJORAMIENTO DE LA VIA QUE COMUNICA LA VEREDA EL ENCANTO CON EL CORREGIMIENTO EL SILENCIO, MUNICIPIO DE CAREPA, DEPARTAMENTO DE ANTIOQUIA.</v>
      </c>
      <c r="D497" s="1299"/>
      <c r="E497" s="1299"/>
      <c r="F497" s="1299"/>
      <c r="G497" s="1299"/>
      <c r="H497" s="1300"/>
    </row>
    <row r="498" spans="2:10" x14ac:dyDescent="0.6">
      <c r="B498" s="582" t="s">
        <v>632</v>
      </c>
      <c r="C498" s="1301"/>
      <c r="D498" s="1301"/>
      <c r="E498" s="1301"/>
      <c r="F498" s="1301"/>
      <c r="G498" s="1301"/>
      <c r="H498" s="1302"/>
    </row>
    <row r="499" spans="2:10" ht="15.9" thickBot="1" x14ac:dyDescent="0.65">
      <c r="B499" s="685"/>
      <c r="C499" s="686"/>
      <c r="D499" s="686"/>
      <c r="E499" s="686"/>
      <c r="F499" s="686"/>
      <c r="G499" s="686"/>
      <c r="H499" s="687"/>
    </row>
    <row r="500" spans="2:10" ht="15.9" thickBot="1" x14ac:dyDescent="0.65">
      <c r="B500" s="688" t="s">
        <v>264</v>
      </c>
      <c r="C500" s="1323" t="s">
        <v>115</v>
      </c>
      <c r="D500" s="1324"/>
      <c r="E500" s="1325"/>
      <c r="F500" s="689"/>
      <c r="G500" s="690" t="s">
        <v>386</v>
      </c>
      <c r="H500" s="688" t="s">
        <v>7</v>
      </c>
    </row>
    <row r="501" spans="2:10" s="708" customFormat="1" ht="29.25" customHeight="1" thickBot="1" x14ac:dyDescent="0.6">
      <c r="B501" s="709" t="s">
        <v>633</v>
      </c>
      <c r="C501" s="1308" t="s">
        <v>673</v>
      </c>
      <c r="D501" s="1309"/>
      <c r="E501" s="1310"/>
      <c r="F501" s="710"/>
      <c r="G501" s="1167" t="s">
        <v>22</v>
      </c>
      <c r="H501" s="711">
        <v>1</v>
      </c>
      <c r="I501" s="827"/>
      <c r="J501" s="827"/>
    </row>
    <row r="502" spans="2:10" x14ac:dyDescent="0.6">
      <c r="B502" s="592"/>
      <c r="C502" s="593"/>
      <c r="D502" s="593"/>
      <c r="E502" s="593"/>
      <c r="F502" s="593"/>
      <c r="G502" s="593"/>
      <c r="H502" s="594"/>
    </row>
    <row r="503" spans="2:10" ht="15.9" thickBot="1" x14ac:dyDescent="0.65">
      <c r="B503" s="595" t="s">
        <v>635</v>
      </c>
      <c r="C503" s="596"/>
      <c r="D503" s="596"/>
      <c r="E503" s="596"/>
      <c r="F503" s="596"/>
      <c r="G503" s="596"/>
      <c r="H503" s="597"/>
    </row>
    <row r="504" spans="2:10" x14ac:dyDescent="0.6">
      <c r="B504" s="598" t="s">
        <v>636</v>
      </c>
      <c r="C504" s="599"/>
      <c r="D504" s="599"/>
      <c r="E504" s="600"/>
      <c r="F504" s="601" t="s">
        <v>637</v>
      </c>
      <c r="G504" s="602" t="s">
        <v>638</v>
      </c>
      <c r="H504" s="603" t="s">
        <v>165</v>
      </c>
    </row>
    <row r="505" spans="2:10" x14ac:dyDescent="0.6">
      <c r="B505" s="604" t="str">
        <f>+IFERROR(VLOOKUP(A505,'equipos y transporte'!$A$4:$E$35,3,FALSE)," ")</f>
        <v xml:space="preserve"> </v>
      </c>
      <c r="C505" s="605"/>
      <c r="D505" s="605"/>
      <c r="E505" s="605"/>
      <c r="F505" s="606" t="str">
        <f>+IFERROR(VLOOKUP(A505,'equipos y transporte'!$A$4:$E$35,5,FALSE), " ")</f>
        <v xml:space="preserve"> </v>
      </c>
      <c r="G505" s="607">
        <v>8</v>
      </c>
      <c r="H505" s="608" t="str">
        <f>IFERROR(F505/G505, " ")</f>
        <v xml:space="preserve"> </v>
      </c>
    </row>
    <row r="506" spans="2:10" x14ac:dyDescent="0.6">
      <c r="B506" s="604" t="str">
        <f>+IFERROR(VLOOKUP(A506,'equipos y transporte'!$A$4:$E$35,3,FALSE)," ")</f>
        <v xml:space="preserve"> </v>
      </c>
      <c r="C506" s="605"/>
      <c r="D506" s="605"/>
      <c r="E506" s="605"/>
      <c r="F506" s="606" t="str">
        <f>+IFERROR(VLOOKUP(A506,'equipos y transporte'!$A$4:$E$35,5,FALSE), " ")</f>
        <v xml:space="preserve"> </v>
      </c>
      <c r="G506" s="609"/>
      <c r="H506" s="608" t="str">
        <f>IFERROR(F506/#REF!, " ")</f>
        <v xml:space="preserve"> </v>
      </c>
    </row>
    <row r="507" spans="2:10" x14ac:dyDescent="0.6">
      <c r="B507" s="604" t="str">
        <f>+IFERROR(VLOOKUP(A507,'equipos y transporte'!$A$4:$E$35,3,FALSE)," ")</f>
        <v xml:space="preserve"> </v>
      </c>
      <c r="C507" s="605"/>
      <c r="D507" s="605"/>
      <c r="E507" s="605"/>
      <c r="F507" s="606" t="str">
        <f>+IFERROR(VLOOKUP(A507,'equipos y transporte'!$A$4:$E$35,5,FALSE), " ")</f>
        <v xml:space="preserve"> </v>
      </c>
      <c r="G507" s="609"/>
      <c r="H507" s="608"/>
    </row>
    <row r="508" spans="2:10" x14ac:dyDescent="0.6">
      <c r="B508" s="604" t="str">
        <f>+IFERROR(VLOOKUP(A508,'equipos y transporte'!$A$4:$E$35,3,FALSE)," ")</f>
        <v xml:space="preserve"> </v>
      </c>
      <c r="C508" s="605"/>
      <c r="D508" s="605"/>
      <c r="E508" s="605"/>
      <c r="F508" s="606" t="str">
        <f>+IFERROR(VLOOKUP(A508,'equipos y transporte'!$A$4:$E$35,5,FALSE), " ")</f>
        <v xml:space="preserve"> </v>
      </c>
      <c r="G508" s="611"/>
      <c r="H508" s="612"/>
    </row>
    <row r="509" spans="2:10" ht="15.9" thickBot="1" x14ac:dyDescent="0.65">
      <c r="B509" s="1311" t="s">
        <v>639</v>
      </c>
      <c r="C509" s="1312"/>
      <c r="D509" s="1313"/>
      <c r="E509" s="1314"/>
      <c r="F509" s="613"/>
      <c r="G509" s="1168">
        <v>0.01</v>
      </c>
      <c r="H509" s="614">
        <f>ROUND(H536*G509,2)</f>
        <v>327.20999999999998</v>
      </c>
    </row>
    <row r="510" spans="2:10" ht="15.9" thickBot="1" x14ac:dyDescent="0.65">
      <c r="B510" s="615"/>
      <c r="C510" s="616"/>
      <c r="D510" s="616"/>
      <c r="E510" s="616"/>
      <c r="F510" s="616"/>
      <c r="G510" s="617" t="s">
        <v>640</v>
      </c>
      <c r="H510" s="618">
        <f>ROUND(SUM(H505:H509),2)</f>
        <v>327.20999999999998</v>
      </c>
    </row>
    <row r="511" spans="2:10" x14ac:dyDescent="0.6">
      <c r="B511" s="619"/>
      <c r="C511" s="620"/>
      <c r="D511" s="620"/>
      <c r="E511" s="620"/>
      <c r="F511" s="620"/>
      <c r="G511" s="620"/>
      <c r="H511" s="621"/>
    </row>
    <row r="512" spans="2:10" ht="15.9" thickBot="1" x14ac:dyDescent="0.65">
      <c r="B512" s="622" t="s">
        <v>641</v>
      </c>
      <c r="C512" s="623"/>
      <c r="D512" s="623"/>
      <c r="E512" s="623"/>
      <c r="F512" s="623"/>
      <c r="G512" s="623"/>
      <c r="H512" s="624"/>
    </row>
    <row r="513" spans="1:8" x14ac:dyDescent="0.6">
      <c r="B513" s="598" t="s">
        <v>642</v>
      </c>
      <c r="C513" s="599"/>
      <c r="D513" s="601" t="s">
        <v>386</v>
      </c>
      <c r="E513" s="601" t="s">
        <v>7</v>
      </c>
      <c r="F513" s="601" t="s">
        <v>643</v>
      </c>
      <c r="G513" s="625" t="s">
        <v>177</v>
      </c>
      <c r="H513" s="603" t="s">
        <v>165</v>
      </c>
    </row>
    <row r="514" spans="1:8" x14ac:dyDescent="0.6">
      <c r="A514" s="580" t="s">
        <v>493</v>
      </c>
      <c r="B514" s="626" t="str">
        <f>IFERROR(VLOOKUP(A514,insumos!$A$3:$E$39,3,FALSE), " ")</f>
        <v>Agua</v>
      </c>
      <c r="C514" s="627"/>
      <c r="D514" s="815" t="str">
        <f>IFERROR(VLOOKUP(A514,insumos!$A$3:$E$39,4,FALSE), " ")</f>
        <v>lt</v>
      </c>
      <c r="E514" s="628">
        <v>185</v>
      </c>
      <c r="F514" s="629">
        <v>0.03</v>
      </c>
      <c r="G514" s="814">
        <f>IFERROR(VLOOKUP(A514,insumos!$A$3:$E$39,5,FALSE), " ")</f>
        <v>111.37500000000001</v>
      </c>
      <c r="H514" s="630">
        <f t="shared" ref="H514:H519" si="40">+IFERROR(ROUND(G514*(E514*(1+F514/100)),2), " ")</f>
        <v>20610.560000000001</v>
      </c>
    </row>
    <row r="515" spans="1:8" x14ac:dyDescent="0.6">
      <c r="A515" s="580" t="s">
        <v>498</v>
      </c>
      <c r="B515" s="626" t="str">
        <f>IFERROR(VLOOKUP(A515,insumos!$A$3:$E$39,3,FALSE), " ")</f>
        <v>Arena lavada</v>
      </c>
      <c r="C515" s="627"/>
      <c r="D515" s="815" t="str">
        <f>IFERROR(VLOOKUP(A515,insumos!$A$3:$E$39,4,FALSE), " ")</f>
        <v>m3</v>
      </c>
      <c r="E515" s="628">
        <v>1.1599999999999999</v>
      </c>
      <c r="F515" s="629">
        <v>0.03</v>
      </c>
      <c r="G515" s="814">
        <f>IFERROR(VLOOKUP(A515,insumos!$A$3:$E$39,5,FALSE), " ")</f>
        <v>80190</v>
      </c>
      <c r="H515" s="630">
        <f t="shared" si="40"/>
        <v>93048.31</v>
      </c>
    </row>
    <row r="516" spans="1:8" x14ac:dyDescent="0.6">
      <c r="A516" s="632" t="s">
        <v>506</v>
      </c>
      <c r="B516" s="626" t="str">
        <f>IFERROR(VLOOKUP(A516,insumos!$A$3:$E$39,3,FALSE), " ")</f>
        <v>Cemento gris</v>
      </c>
      <c r="C516" s="627"/>
      <c r="D516" s="815" t="str">
        <f>IFERROR(VLOOKUP(A516,insumos!$A$3:$E$39,4,FALSE), " ")</f>
        <v>kg</v>
      </c>
      <c r="E516" s="628">
        <v>364</v>
      </c>
      <c r="F516" s="629">
        <v>0.03</v>
      </c>
      <c r="G516" s="814">
        <f>IFERROR(VLOOKUP(A516,insumos!$A$3:$E$39,5,FALSE), " ")</f>
        <v>835.3125</v>
      </c>
      <c r="H516" s="630">
        <f t="shared" si="40"/>
        <v>304144.96999999997</v>
      </c>
    </row>
    <row r="517" spans="1:8" x14ac:dyDescent="0.6">
      <c r="A517" s="632"/>
      <c r="B517" s="626" t="str">
        <f>IFERROR(VLOOKUP(A517,insumos!$A$3:$E$39,3,FALSE), " ")</f>
        <v xml:space="preserve"> </v>
      </c>
      <c r="C517" s="627"/>
      <c r="D517" s="815" t="str">
        <f>IFERROR(VLOOKUP(A517,insumos!$A$3:$E$39,4,FALSE), " ")</f>
        <v xml:space="preserve"> </v>
      </c>
      <c r="E517" s="628"/>
      <c r="F517" s="629"/>
      <c r="G517" s="814" t="str">
        <f>IFERROR(VLOOKUP(A517,insumos!$A$3:$E$39,5,FALSE), " ")</f>
        <v xml:space="preserve"> </v>
      </c>
      <c r="H517" s="630" t="str">
        <f t="shared" si="40"/>
        <v xml:space="preserve"> </v>
      </c>
    </row>
    <row r="518" spans="1:8" x14ac:dyDescent="0.6">
      <c r="A518" s="632"/>
      <c r="B518" s="626" t="str">
        <f>IFERROR(VLOOKUP(A518,insumos!$A$3:$E$39,3,FALSE), " ")</f>
        <v xml:space="preserve"> </v>
      </c>
      <c r="C518" s="627"/>
      <c r="D518" s="815" t="str">
        <f>IFERROR(VLOOKUP(A518,insumos!$A$3:$E$39,4,FALSE), " ")</f>
        <v xml:space="preserve"> </v>
      </c>
      <c r="E518" s="628"/>
      <c r="F518" s="629"/>
      <c r="G518" s="814" t="str">
        <f>IFERROR(VLOOKUP(A518,insumos!$A$3:$E$39,5,FALSE), " ")</f>
        <v xml:space="preserve"> </v>
      </c>
      <c r="H518" s="630" t="str">
        <f t="shared" si="40"/>
        <v xml:space="preserve"> </v>
      </c>
    </row>
    <row r="519" spans="1:8" x14ac:dyDescent="0.6">
      <c r="A519" s="632"/>
      <c r="B519" s="626" t="str">
        <f>IFERROR(VLOOKUP(A519,insumos!$A$3:$E$39,3,FALSE), " ")</f>
        <v xml:space="preserve"> </v>
      </c>
      <c r="C519" s="627"/>
      <c r="D519" s="815" t="str">
        <f>IFERROR(VLOOKUP(A519,insumos!$A$3:$E$39,4,FALSE), " ")</f>
        <v xml:space="preserve"> </v>
      </c>
      <c r="E519" s="633"/>
      <c r="F519" s="634"/>
      <c r="G519" s="814" t="str">
        <f>IFERROR(VLOOKUP(A519,insumos!$A$3:$E$39,5,FALSE), " ")</f>
        <v xml:space="preserve"> </v>
      </c>
      <c r="H519" s="630" t="str">
        <f t="shared" si="40"/>
        <v xml:space="preserve"> </v>
      </c>
    </row>
    <row r="520" spans="1:8" ht="15.9" thickBot="1" x14ac:dyDescent="0.65">
      <c r="B520" s="626" t="str">
        <f>IFERROR(VLOOKUP(A520,insumos!$A$3:$E$39,3,FALSE), " ")</f>
        <v xml:space="preserve"> </v>
      </c>
      <c r="C520" s="627"/>
      <c r="D520" s="815" t="str">
        <f>IFERROR(VLOOKUP(A520,insumos!$A$3:$E$39,4,FALSE), " ")</f>
        <v xml:space="preserve"> </v>
      </c>
      <c r="E520" s="1173"/>
      <c r="F520" s="1174"/>
      <c r="G520" s="814" t="str">
        <f>IFERROR(VLOOKUP(A520,insumos!$A$3:$E$39,5,FALSE), " ")</f>
        <v xml:space="preserve"> </v>
      </c>
      <c r="H520" s="1175"/>
    </row>
    <row r="521" spans="1:8" ht="15.9" thickBot="1" x14ac:dyDescent="0.65">
      <c r="B521" s="615"/>
      <c r="C521" s="616"/>
      <c r="D521" s="616"/>
      <c r="E521" s="616"/>
      <c r="F521" s="616"/>
      <c r="G521" s="617" t="s">
        <v>640</v>
      </c>
      <c r="H521" s="635">
        <f>ROUND(SUM(H514:H520),2)</f>
        <v>417803.84</v>
      </c>
    </row>
    <row r="522" spans="1:8" x14ac:dyDescent="0.6">
      <c r="B522" s="636"/>
      <c r="C522" s="620"/>
      <c r="D522" s="620"/>
      <c r="E522" s="620"/>
      <c r="F522" s="620"/>
      <c r="G522" s="620"/>
      <c r="H522" s="621"/>
    </row>
    <row r="523" spans="1:8" ht="15.9" thickBot="1" x14ac:dyDescent="0.65">
      <c r="B523" s="622" t="s">
        <v>285</v>
      </c>
      <c r="C523" s="623"/>
      <c r="D523" s="623"/>
      <c r="E523" s="623"/>
      <c r="F523" s="623"/>
      <c r="G523" s="623"/>
      <c r="H523" s="624"/>
    </row>
    <row r="524" spans="1:8" x14ac:dyDescent="0.6">
      <c r="B524" s="598" t="s">
        <v>644</v>
      </c>
      <c r="C524" s="637"/>
      <c r="D524" s="638" t="s">
        <v>645</v>
      </c>
      <c r="E524" s="639" t="s">
        <v>646</v>
      </c>
      <c r="F524" s="640" t="s">
        <v>647</v>
      </c>
      <c r="G524" s="641" t="s">
        <v>648</v>
      </c>
      <c r="H524" s="642" t="s">
        <v>165</v>
      </c>
    </row>
    <row r="525" spans="1:8" x14ac:dyDescent="0.6">
      <c r="A525" s="580" t="s">
        <v>484</v>
      </c>
      <c r="B525" s="643" t="str">
        <f>IFERROR(VLOOKUP(A525,'equipos y transporte'!$A$4:$E$35,3,FALSE), " ")</f>
        <v>Transporte de Arena Lavada</v>
      </c>
      <c r="C525" s="646"/>
      <c r="D525" s="610">
        <f>+E515</f>
        <v>1.1599999999999999</v>
      </c>
      <c r="E525" s="644">
        <f>+cantera</f>
        <v>35</v>
      </c>
      <c r="F525" s="610">
        <f t="shared" ref="F525:F528" si="41">IFERROR(D525*E525, " ")</f>
        <v>40.599999999999994</v>
      </c>
      <c r="G525" s="814">
        <f>IFERROR(VLOOKUP(A525,'equipos y transporte'!$A$4:$E$35,5,FALSE), " ")</f>
        <v>1672.9261363636363</v>
      </c>
      <c r="H525" s="645">
        <f>IFERROR(ROUND(F525*G525,2), " ")</f>
        <v>67920.800000000003</v>
      </c>
    </row>
    <row r="526" spans="1:8" x14ac:dyDescent="0.6">
      <c r="A526" s="580" t="s">
        <v>663</v>
      </c>
      <c r="B526" s="643" t="str">
        <f>IFERROR(VLOOKUP(A526,'equipos y transporte'!$A$4:$E$35,3,FALSE), " ")</f>
        <v>Transporte de cemento</v>
      </c>
      <c r="C526" s="646"/>
      <c r="D526" s="610">
        <f>+E516</f>
        <v>364</v>
      </c>
      <c r="E526" s="644">
        <f>+escombro</f>
        <v>15</v>
      </c>
      <c r="F526" s="610">
        <f t="shared" si="41"/>
        <v>5460</v>
      </c>
      <c r="G526" s="814">
        <f>IFERROR(VLOOKUP(A526,'equipos y transporte'!$A$4:$E$35,5,FALSE), " ")</f>
        <v>1.2375000000000003</v>
      </c>
      <c r="H526" s="645">
        <f>IFERROR(ROUND(F526*G526,2), " ")</f>
        <v>6756.75</v>
      </c>
    </row>
    <row r="527" spans="1:8" x14ac:dyDescent="0.6">
      <c r="B527" s="643" t="str">
        <f>IFERROR(VLOOKUP(A527,'equipos y transporte'!$A$4:$E$35,3,FALSE), " ")</f>
        <v xml:space="preserve"> </v>
      </c>
      <c r="C527" s="646"/>
      <c r="D527" s="610"/>
      <c r="E527" s="644"/>
      <c r="F527" s="610">
        <f t="shared" si="41"/>
        <v>0</v>
      </c>
      <c r="G527" s="814" t="str">
        <f>IFERROR(VLOOKUP(A527,'equipos y transporte'!$A$4:$E$35,5,FALSE), " ")</f>
        <v xml:space="preserve"> </v>
      </c>
      <c r="H527" s="645" t="str">
        <f>IFERROR(ROUND(F527*G527,2), " ")</f>
        <v xml:space="preserve"> </v>
      </c>
    </row>
    <row r="528" spans="1:8" ht="15.9" thickBot="1" x14ac:dyDescent="0.65">
      <c r="B528" s="643" t="str">
        <f>IFERROR(VLOOKUP(A528,'equipos y transporte'!$A$4:$E$35,3,FALSE), " ")</f>
        <v xml:space="preserve"> </v>
      </c>
      <c r="C528" s="1172"/>
      <c r="D528" s="1176"/>
      <c r="E528" s="1177"/>
      <c r="F528" s="1176">
        <f t="shared" si="41"/>
        <v>0</v>
      </c>
      <c r="G528" s="814" t="str">
        <f>IFERROR(VLOOKUP(A528,'equipos y transporte'!$A$4:$E$35,5,FALSE), " ")</f>
        <v xml:space="preserve"> </v>
      </c>
      <c r="H528" s="1178" t="str">
        <f>IFERROR(ROUND(F528*G528,2), " ")</f>
        <v xml:space="preserve"> </v>
      </c>
    </row>
    <row r="529" spans="1:8" ht="15.9" thickBot="1" x14ac:dyDescent="0.65">
      <c r="B529" s="615"/>
      <c r="C529" s="616"/>
      <c r="D529" s="616"/>
      <c r="E529" s="616"/>
      <c r="F529" s="616"/>
      <c r="G529" s="617" t="s">
        <v>640</v>
      </c>
      <c r="H529" s="647">
        <f>SUM(H525:H528)</f>
        <v>74677.55</v>
      </c>
    </row>
    <row r="530" spans="1:8" x14ac:dyDescent="0.6">
      <c r="B530" s="636"/>
      <c r="C530" s="620"/>
      <c r="D530" s="620"/>
      <c r="E530" s="620"/>
      <c r="F530" s="620"/>
      <c r="G530" s="620"/>
      <c r="H530" s="621"/>
    </row>
    <row r="531" spans="1:8" ht="15.9" thickBot="1" x14ac:dyDescent="0.65">
      <c r="B531" s="622" t="s">
        <v>292</v>
      </c>
      <c r="C531" s="623"/>
      <c r="D531" s="623"/>
      <c r="E531" s="623"/>
      <c r="F531" s="623"/>
      <c r="G531" s="623"/>
      <c r="H531" s="624"/>
    </row>
    <row r="532" spans="1:8" ht="31.2" x14ac:dyDescent="0.6">
      <c r="B532" s="648" t="s">
        <v>649</v>
      </c>
      <c r="C532" s="649"/>
      <c r="D532" s="640" t="s">
        <v>650</v>
      </c>
      <c r="E532" s="639" t="s">
        <v>651</v>
      </c>
      <c r="F532" s="638" t="s">
        <v>652</v>
      </c>
      <c r="G532" s="650" t="s">
        <v>638</v>
      </c>
      <c r="H532" s="651" t="s">
        <v>165</v>
      </c>
    </row>
    <row r="533" spans="1:8" x14ac:dyDescent="0.6">
      <c r="A533" s="580" t="s">
        <v>669</v>
      </c>
      <c r="B533" s="652" t="s">
        <v>670</v>
      </c>
      <c r="C533" s="850">
        <v>2</v>
      </c>
      <c r="D533" s="653">
        <f>+jornal*C533</f>
        <v>86666.666666666672</v>
      </c>
      <c r="E533" s="654">
        <f>+$L$57</f>
        <v>1.85</v>
      </c>
      <c r="F533" s="655">
        <f t="shared" ref="F533:F535" si="42">+IFERROR(D533*E533, " ")</f>
        <v>160333.33333333334</v>
      </c>
      <c r="G533" s="691">
        <v>4.9000000000000004</v>
      </c>
      <c r="H533" s="645">
        <f>IFERROR(ROUND(F533/G533,2),0)</f>
        <v>32721.09</v>
      </c>
    </row>
    <row r="534" spans="1:8" x14ac:dyDescent="0.6">
      <c r="B534" s="652"/>
      <c r="C534" s="646"/>
      <c r="D534" s="653"/>
      <c r="E534" s="657"/>
      <c r="F534" s="655">
        <f t="shared" si="42"/>
        <v>0</v>
      </c>
      <c r="G534" s="658"/>
      <c r="H534" s="645">
        <f t="shared" ref="H534:H535" si="43">IFERROR(ROUND(F534/G534,2),0)</f>
        <v>0</v>
      </c>
    </row>
    <row r="535" spans="1:8" ht="15.9" thickBot="1" x14ac:dyDescent="0.65">
      <c r="B535" s="652"/>
      <c r="C535" s="646"/>
      <c r="D535" s="653"/>
      <c r="E535" s="657"/>
      <c r="F535" s="655">
        <f t="shared" si="42"/>
        <v>0</v>
      </c>
      <c r="G535" s="659"/>
      <c r="H535" s="645">
        <f t="shared" si="43"/>
        <v>0</v>
      </c>
    </row>
    <row r="536" spans="1:8" ht="15.9" thickBot="1" x14ac:dyDescent="0.65">
      <c r="B536" s="615"/>
      <c r="C536" s="616"/>
      <c r="D536" s="616"/>
      <c r="E536" s="616"/>
      <c r="F536" s="616"/>
      <c r="G536" s="617" t="s">
        <v>640</v>
      </c>
      <c r="H536" s="660">
        <f>ROUND(SUM(H533:H535),2)</f>
        <v>32721.09</v>
      </c>
    </row>
    <row r="537" spans="1:8" ht="15.9" thickBot="1" x14ac:dyDescent="0.65">
      <c r="B537" s="636"/>
      <c r="C537" s="620"/>
      <c r="D537" s="620"/>
      <c r="E537" s="620"/>
      <c r="F537" s="620"/>
      <c r="G537" s="620"/>
      <c r="H537" s="621"/>
    </row>
    <row r="538" spans="1:8" ht="15.9" thickBot="1" x14ac:dyDescent="0.65">
      <c r="B538" s="661"/>
      <c r="C538" s="662"/>
      <c r="D538" s="662"/>
      <c r="E538" s="662"/>
      <c r="F538" s="662"/>
      <c r="G538" s="663" t="s">
        <v>656</v>
      </c>
      <c r="H538" s="664">
        <f>IFERROR(ROUND(H510+H521+H529+H536,0)," " )</f>
        <v>525530</v>
      </c>
    </row>
    <row r="539" spans="1:8" x14ac:dyDescent="0.6">
      <c r="B539" s="636"/>
      <c r="C539" s="620"/>
      <c r="D539" s="620"/>
      <c r="E539" s="620"/>
      <c r="F539" s="620"/>
      <c r="G539" s="620"/>
      <c r="H539" s="621"/>
    </row>
    <row r="540" spans="1:8" x14ac:dyDescent="0.6">
      <c r="B540" s="665" t="s">
        <v>657</v>
      </c>
      <c r="C540" s="666"/>
      <c r="D540" s="666"/>
      <c r="E540" s="666"/>
      <c r="F540" s="666"/>
      <c r="G540" s="666"/>
      <c r="H540" s="667"/>
    </row>
    <row r="541" spans="1:8" ht="15.9" thickBot="1" x14ac:dyDescent="0.65">
      <c r="B541" s="636"/>
      <c r="C541" s="620"/>
      <c r="D541" s="620"/>
      <c r="E541" s="620"/>
      <c r="F541" s="620"/>
      <c r="G541" s="620"/>
      <c r="H541" s="621"/>
    </row>
    <row r="542" spans="1:8" x14ac:dyDescent="0.6">
      <c r="B542" s="1315" t="s">
        <v>270</v>
      </c>
      <c r="C542" s="1316"/>
      <c r="D542" s="637"/>
      <c r="E542" s="668"/>
      <c r="F542" s="669" t="s">
        <v>658</v>
      </c>
      <c r="G542" s="670" t="s">
        <v>659</v>
      </c>
      <c r="H542" s="671"/>
    </row>
    <row r="543" spans="1:8" x14ac:dyDescent="0.6">
      <c r="B543" s="1317" t="s">
        <v>69</v>
      </c>
      <c r="C543" s="1318"/>
      <c r="D543" s="672"/>
      <c r="E543" s="673"/>
      <c r="F543" s="674"/>
      <c r="G543" s="675">
        <f>ROUND(H538*F543,2)</f>
        <v>0</v>
      </c>
      <c r="H543" s="676"/>
    </row>
    <row r="544" spans="1:8" ht="15.9" thickBot="1" x14ac:dyDescent="0.65">
      <c r="B544" s="677" t="s">
        <v>70</v>
      </c>
      <c r="C544" s="678"/>
      <c r="D544" s="672"/>
      <c r="E544" s="673"/>
      <c r="F544" s="679"/>
      <c r="G544" s="1179">
        <f>ROUND(H538*F544,2)</f>
        <v>0</v>
      </c>
      <c r="H544" s="676"/>
    </row>
    <row r="545" spans="1:8" ht="15.9" thickBot="1" x14ac:dyDescent="0.65">
      <c r="B545" s="1319" t="s">
        <v>640</v>
      </c>
      <c r="C545" s="1320"/>
      <c r="D545" s="1320"/>
      <c r="E545" s="1320"/>
      <c r="F545" s="1320"/>
      <c r="G545" s="1320"/>
      <c r="H545" s="680">
        <f>ROUND(G543+G544,2)</f>
        <v>0</v>
      </c>
    </row>
    <row r="546" spans="1:8" ht="15.9" thickBot="1" x14ac:dyDescent="0.65">
      <c r="B546" s="681"/>
      <c r="C546" s="682"/>
      <c r="D546" s="682"/>
      <c r="E546" s="682"/>
      <c r="F546" s="682"/>
      <c r="G546" s="682"/>
      <c r="H546" s="683"/>
    </row>
    <row r="547" spans="1:8" ht="15.9" thickBot="1" x14ac:dyDescent="0.65">
      <c r="A547" s="580" t="s">
        <v>660</v>
      </c>
      <c r="B547" s="1321"/>
      <c r="C547" s="1322"/>
      <c r="D547" s="1322"/>
      <c r="E547" s="1322"/>
      <c r="F547" s="1322"/>
      <c r="G547" s="1322"/>
      <c r="H547" s="684">
        <f>ROUND(H538+H545,0)</f>
        <v>525530</v>
      </c>
    </row>
  </sheetData>
  <mergeCells count="114">
    <mergeCell ref="B334:H334"/>
    <mergeCell ref="C335:H335"/>
    <mergeCell ref="C336:H336"/>
    <mergeCell ref="C338:E338"/>
    <mergeCell ref="C283:D283"/>
    <mergeCell ref="C284:E284"/>
    <mergeCell ref="B442:G442"/>
    <mergeCell ref="B444:G444"/>
    <mergeCell ref="B445:H445"/>
    <mergeCell ref="C446:H446"/>
    <mergeCell ref="C447:H447"/>
    <mergeCell ref="C449:E449"/>
    <mergeCell ref="C394:E394"/>
    <mergeCell ref="C395:E395"/>
    <mergeCell ref="B403:C403"/>
    <mergeCell ref="D403:E403"/>
    <mergeCell ref="B439:C439"/>
    <mergeCell ref="B440:C440"/>
    <mergeCell ref="B547:G547"/>
    <mergeCell ref="B495:G495"/>
    <mergeCell ref="B496:H496"/>
    <mergeCell ref="C497:H497"/>
    <mergeCell ref="C498:H498"/>
    <mergeCell ref="C500:E500"/>
    <mergeCell ref="C501:E501"/>
    <mergeCell ref="C450:E450"/>
    <mergeCell ref="B458:C458"/>
    <mergeCell ref="D458:E458"/>
    <mergeCell ref="B490:C490"/>
    <mergeCell ref="B491:C491"/>
    <mergeCell ref="B493:G493"/>
    <mergeCell ref="B509:C509"/>
    <mergeCell ref="D509:E509"/>
    <mergeCell ref="B542:C542"/>
    <mergeCell ref="B543:C543"/>
    <mergeCell ref="B545:G545"/>
    <mergeCell ref="B273:C273"/>
    <mergeCell ref="B275:G275"/>
    <mergeCell ref="B277:G277"/>
    <mergeCell ref="B390:H390"/>
    <mergeCell ref="C391:H391"/>
    <mergeCell ref="C392:H392"/>
    <mergeCell ref="B278:H278"/>
    <mergeCell ref="C279:H279"/>
    <mergeCell ref="C280:H280"/>
    <mergeCell ref="C282:E282"/>
    <mergeCell ref="B292:C292"/>
    <mergeCell ref="D292:E292"/>
    <mergeCell ref="B328:C328"/>
    <mergeCell ref="B329:C329"/>
    <mergeCell ref="B387:G387"/>
    <mergeCell ref="B389:G389"/>
    <mergeCell ref="C339:D339"/>
    <mergeCell ref="C340:E340"/>
    <mergeCell ref="B348:C348"/>
    <mergeCell ref="D348:E348"/>
    <mergeCell ref="B384:C384"/>
    <mergeCell ref="B385:C385"/>
    <mergeCell ref="B331:G331"/>
    <mergeCell ref="B333:G333"/>
    <mergeCell ref="C225:H225"/>
    <mergeCell ref="C227:E227"/>
    <mergeCell ref="C228:E228"/>
    <mergeCell ref="B236:C236"/>
    <mergeCell ref="D236:E236"/>
    <mergeCell ref="B272:C272"/>
    <mergeCell ref="B162:C162"/>
    <mergeCell ref="B163:C163"/>
    <mergeCell ref="B165:G165"/>
    <mergeCell ref="B167:G167"/>
    <mergeCell ref="B223:H223"/>
    <mergeCell ref="C224:H224"/>
    <mergeCell ref="B181:C181"/>
    <mergeCell ref="D181:E181"/>
    <mergeCell ref="B217:C217"/>
    <mergeCell ref="B218:C218"/>
    <mergeCell ref="B220:G220"/>
    <mergeCell ref="B222:G222"/>
    <mergeCell ref="B168:H168"/>
    <mergeCell ref="C169:H169"/>
    <mergeCell ref="C170:H170"/>
    <mergeCell ref="C172:E172"/>
    <mergeCell ref="C173:E173"/>
    <mergeCell ref="B113:H113"/>
    <mergeCell ref="C114:H114"/>
    <mergeCell ref="C115:H115"/>
    <mergeCell ref="C117:E117"/>
    <mergeCell ref="C118:E118"/>
    <mergeCell ref="B126:C126"/>
    <mergeCell ref="D126:E126"/>
    <mergeCell ref="B71:C71"/>
    <mergeCell ref="D71:E71"/>
    <mergeCell ref="B107:C107"/>
    <mergeCell ref="B108:C108"/>
    <mergeCell ref="B110:G110"/>
    <mergeCell ref="B112:G112"/>
    <mergeCell ref="C61:E61"/>
    <mergeCell ref="C62:D62"/>
    <mergeCell ref="C63:E63"/>
    <mergeCell ref="B15:C15"/>
    <mergeCell ref="D15:E15"/>
    <mergeCell ref="B51:C51"/>
    <mergeCell ref="B52:C52"/>
    <mergeCell ref="B54:G54"/>
    <mergeCell ref="B56:G56"/>
    <mergeCell ref="B1:H1"/>
    <mergeCell ref="C2:H2"/>
    <mergeCell ref="C3:H3"/>
    <mergeCell ref="C5:E5"/>
    <mergeCell ref="C6:D6"/>
    <mergeCell ref="C7:E7"/>
    <mergeCell ref="B57:H57"/>
    <mergeCell ref="C58:H58"/>
    <mergeCell ref="C59:H59"/>
  </mergeCells>
  <phoneticPr fontId="96" type="noConversion"/>
  <printOptions horizontalCentered="1"/>
  <pageMargins left="0.7" right="0.7" top="0.75" bottom="0.75" header="0.3" footer="0.3"/>
  <pageSetup scale="58" fitToWidth="0" fitToHeight="0" orientation="portrait" r:id="rId1"/>
  <rowBreaks count="6" manualBreakCount="6">
    <brk id="56" min="1" max="7" man="1"/>
    <brk id="112" min="1" max="7" man="1"/>
    <brk id="222" min="1" max="7" man="1"/>
    <brk id="389" min="1" max="7" man="1"/>
    <brk id="444" min="1" max="7" man="1"/>
    <brk id="495" min="1" max="7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90BC1-4AE7-4D60-829B-117ACF1B655C}">
  <dimension ref="A2:M39"/>
  <sheetViews>
    <sheetView topLeftCell="A22" workbookViewId="0">
      <selection activeCell="K34" sqref="K34"/>
    </sheetView>
  </sheetViews>
  <sheetFormatPr baseColWidth="10" defaultColWidth="8.83984375" defaultRowHeight="14.4" x14ac:dyDescent="0.55000000000000004"/>
  <cols>
    <col min="2" max="2" width="15.83984375" style="713" bestFit="1" customWidth="1"/>
    <col min="3" max="3" width="26.83984375" style="713" customWidth="1"/>
    <col min="4" max="4" width="8.41796875" style="713" bestFit="1" customWidth="1"/>
    <col min="5" max="5" width="11.41796875" style="713" bestFit="1" customWidth="1"/>
    <col min="6" max="6" width="11.578125" style="713" bestFit="1" customWidth="1"/>
    <col min="7" max="7" width="11.41796875" style="713" bestFit="1" customWidth="1"/>
    <col min="8" max="8" width="14.41796875" style="713" bestFit="1" customWidth="1"/>
    <col min="11" max="11" width="12" bestFit="1" customWidth="1"/>
    <col min="13" max="13" width="14.26171875" bestFit="1" customWidth="1"/>
  </cols>
  <sheetData>
    <row r="2" spans="1:13" ht="14.7" thickBot="1" x14ac:dyDescent="0.6"/>
    <row r="3" spans="1:13" ht="14.7" thickBot="1" x14ac:dyDescent="0.6">
      <c r="A3" s="712"/>
      <c r="B3" s="714" t="s">
        <v>264</v>
      </c>
      <c r="C3" s="1329" t="s">
        <v>5</v>
      </c>
      <c r="D3" s="1330"/>
      <c r="E3" s="1330"/>
      <c r="F3" s="1331"/>
      <c r="G3" s="715" t="s">
        <v>386</v>
      </c>
      <c r="H3" s="716" t="s">
        <v>8</v>
      </c>
      <c r="I3" s="712"/>
    </row>
    <row r="4" spans="1:13" ht="30.75" customHeight="1" x14ac:dyDescent="0.55000000000000004">
      <c r="A4" s="712"/>
      <c r="B4" s="717">
        <v>13</v>
      </c>
      <c r="C4" s="1332" t="str">
        <f>IFERROR(VLOOKUP(B4,[126]PTO!$C$7:$F$39,3,0),"-")</f>
        <v>CANASTILLAS SOPORTES DE DOVELAS ( INCLUYE CORTE, CONFIGURACIÓN Y SOLDADURA)</v>
      </c>
      <c r="D4" s="1333"/>
      <c r="E4" s="1333"/>
      <c r="F4" s="1334"/>
      <c r="G4" s="718" t="s">
        <v>22</v>
      </c>
      <c r="H4" s="719">
        <f>+H37</f>
        <v>44131.678474158347</v>
      </c>
      <c r="I4" s="712"/>
    </row>
    <row r="5" spans="1:13" x14ac:dyDescent="0.55000000000000004">
      <c r="A5" s="712"/>
      <c r="B5" s="720"/>
      <c r="C5" s="721"/>
      <c r="D5" s="721"/>
      <c r="E5" s="721"/>
      <c r="F5" s="721"/>
      <c r="G5" s="721"/>
      <c r="H5" s="722"/>
      <c r="I5" s="712"/>
    </row>
    <row r="6" spans="1:13" x14ac:dyDescent="0.55000000000000004">
      <c r="A6" s="712"/>
      <c r="B6" s="723" t="s">
        <v>674</v>
      </c>
      <c r="C6" s="724"/>
      <c r="D6" s="724"/>
      <c r="E6" s="724"/>
      <c r="F6" s="724"/>
      <c r="G6" s="724"/>
      <c r="H6" s="725"/>
      <c r="I6" s="712"/>
    </row>
    <row r="7" spans="1:13" x14ac:dyDescent="0.55000000000000004">
      <c r="A7" s="712"/>
      <c r="B7" s="726" t="s">
        <v>675</v>
      </c>
      <c r="C7" s="727" t="s">
        <v>676</v>
      </c>
      <c r="D7" s="728"/>
      <c r="E7" s="729" t="s">
        <v>282</v>
      </c>
      <c r="F7" s="729" t="s">
        <v>677</v>
      </c>
      <c r="G7" s="729" t="s">
        <v>273</v>
      </c>
      <c r="H7" s="730" t="s">
        <v>678</v>
      </c>
      <c r="I7" s="712"/>
    </row>
    <row r="8" spans="1:13" x14ac:dyDescent="0.55000000000000004">
      <c r="A8" s="712"/>
      <c r="B8" s="731" t="s">
        <v>679</v>
      </c>
      <c r="C8" s="749" t="s">
        <v>680</v>
      </c>
      <c r="D8" s="762"/>
      <c r="E8" s="732" t="s">
        <v>126</v>
      </c>
      <c r="F8" s="733">
        <v>0.05</v>
      </c>
      <c r="G8" s="734"/>
      <c r="H8" s="735">
        <f>+F8*H35</f>
        <v>1135.6944444444446</v>
      </c>
      <c r="I8" s="712"/>
    </row>
    <row r="9" spans="1:13" x14ac:dyDescent="0.55000000000000004">
      <c r="A9" s="712"/>
      <c r="B9" s="731" t="s">
        <v>681</v>
      </c>
      <c r="C9" s="749" t="s">
        <v>350</v>
      </c>
      <c r="D9" s="762"/>
      <c r="E9" s="732" t="s">
        <v>682</v>
      </c>
      <c r="F9" s="736">
        <f>+'equipos y transporte'!E9</f>
        <v>2945.25</v>
      </c>
      <c r="G9" s="734">
        <v>12</v>
      </c>
      <c r="H9" s="735">
        <f>+F9/G9</f>
        <v>245.4375</v>
      </c>
      <c r="I9" s="712"/>
    </row>
    <row r="10" spans="1:13" x14ac:dyDescent="0.55000000000000004">
      <c r="A10" s="712"/>
      <c r="B10" s="731" t="s">
        <v>683</v>
      </c>
      <c r="C10" s="749" t="s">
        <v>457</v>
      </c>
      <c r="D10" s="762"/>
      <c r="E10" s="732" t="s">
        <v>682</v>
      </c>
      <c r="F10" s="764">
        <f>+'equipos y transporte'!E15</f>
        <v>16065.000000000002</v>
      </c>
      <c r="G10" s="734">
        <f>+G9</f>
        <v>12</v>
      </c>
      <c r="H10" s="735">
        <f>+F10/G10</f>
        <v>1338.7500000000002</v>
      </c>
      <c r="I10" s="712"/>
      <c r="K10" s="765"/>
    </row>
    <row r="11" spans="1:13" x14ac:dyDescent="0.55000000000000004">
      <c r="A11" s="712"/>
      <c r="B11" s="731"/>
      <c r="C11" s="1335"/>
      <c r="D11" s="1336"/>
      <c r="E11" s="732"/>
      <c r="F11" s="736"/>
      <c r="G11" s="734"/>
      <c r="H11" s="735"/>
      <c r="I11" s="712"/>
    </row>
    <row r="12" spans="1:13" x14ac:dyDescent="0.55000000000000004">
      <c r="A12" s="712"/>
      <c r="B12" s="737"/>
      <c r="C12" s="724"/>
      <c r="D12" s="724"/>
      <c r="E12" s="724"/>
      <c r="F12" s="724"/>
      <c r="G12" s="729" t="s">
        <v>684</v>
      </c>
      <c r="H12" s="738">
        <f>SUM(H8:H11)</f>
        <v>2719.8819444444448</v>
      </c>
      <c r="I12" s="712"/>
    </row>
    <row r="13" spans="1:13" x14ac:dyDescent="0.55000000000000004">
      <c r="A13" s="712"/>
      <c r="B13" s="737"/>
      <c r="C13" s="724"/>
      <c r="D13" s="724"/>
      <c r="E13" s="724"/>
      <c r="F13" s="724"/>
      <c r="G13" s="724"/>
      <c r="H13" s="739"/>
      <c r="I13" s="712"/>
    </row>
    <row r="14" spans="1:13" x14ac:dyDescent="0.55000000000000004">
      <c r="A14" s="712"/>
      <c r="B14" s="1339" t="s">
        <v>685</v>
      </c>
      <c r="C14" s="1340"/>
      <c r="D14" s="724"/>
      <c r="E14" s="724"/>
      <c r="F14" s="724"/>
      <c r="G14" s="724"/>
      <c r="H14" s="739"/>
      <c r="I14" s="712"/>
      <c r="M14" s="766"/>
    </row>
    <row r="15" spans="1:13" x14ac:dyDescent="0.55000000000000004">
      <c r="A15" s="712"/>
      <c r="B15" s="726" t="s">
        <v>675</v>
      </c>
      <c r="C15" s="727" t="s">
        <v>676</v>
      </c>
      <c r="D15" s="728"/>
      <c r="E15" s="729" t="s">
        <v>282</v>
      </c>
      <c r="F15" s="729" t="s">
        <v>686</v>
      </c>
      <c r="G15" s="729" t="s">
        <v>284</v>
      </c>
      <c r="H15" s="740" t="s">
        <v>678</v>
      </c>
      <c r="I15" s="712"/>
    </row>
    <row r="16" spans="1:13" ht="15" customHeight="1" x14ac:dyDescent="0.55000000000000004">
      <c r="A16" s="712"/>
      <c r="B16" s="731" t="s">
        <v>687</v>
      </c>
      <c r="C16" s="1341" t="s">
        <v>688</v>
      </c>
      <c r="D16" s="1342"/>
      <c r="E16" s="741" t="s">
        <v>549</v>
      </c>
      <c r="F16" s="742">
        <f>+insumos!E3</f>
        <v>6171.4922727272715</v>
      </c>
      <c r="G16" s="734">
        <v>2.0499999999999998</v>
      </c>
      <c r="H16" s="735">
        <f>+F16*G16</f>
        <v>12651.559159090906</v>
      </c>
      <c r="I16" s="712"/>
    </row>
    <row r="17" spans="1:11" ht="15.6" x14ac:dyDescent="0.55000000000000004">
      <c r="A17" s="712"/>
      <c r="B17" s="731" t="s">
        <v>689</v>
      </c>
      <c r="C17" s="1341" t="s">
        <v>548</v>
      </c>
      <c r="D17" s="1342"/>
      <c r="E17" s="741" t="s">
        <v>549</v>
      </c>
      <c r="F17" s="763">
        <f>+insumos!E34</f>
        <v>19950.240790859942</v>
      </c>
      <c r="G17" s="734">
        <v>0.01</v>
      </c>
      <c r="H17" s="735">
        <f>+F17*G17</f>
        <v>199.50240790859942</v>
      </c>
      <c r="I17" s="712"/>
      <c r="K17" s="767"/>
    </row>
    <row r="18" spans="1:11" x14ac:dyDescent="0.55000000000000004">
      <c r="A18" s="712"/>
      <c r="B18" s="731"/>
      <c r="C18" s="743" t="s">
        <v>550</v>
      </c>
      <c r="D18" s="744"/>
      <c r="E18" s="741" t="s">
        <v>50</v>
      </c>
      <c r="F18" s="742">
        <f>+insumos!E35</f>
        <v>2632.5</v>
      </c>
      <c r="G18" s="734">
        <f>2.7*1.03/1.49</f>
        <v>1.8664429530201343</v>
      </c>
      <c r="H18" s="735">
        <f t="shared" ref="H18:H19" si="0">+F18*G18</f>
        <v>4913.411073825504</v>
      </c>
      <c r="I18" s="712"/>
    </row>
    <row r="19" spans="1:11" x14ac:dyDescent="0.55000000000000004">
      <c r="A19" s="712"/>
      <c r="B19" s="745" t="s">
        <v>555</v>
      </c>
      <c r="C19" s="1335" t="s">
        <v>556</v>
      </c>
      <c r="D19" s="1336"/>
      <c r="E19" s="741" t="s">
        <v>82</v>
      </c>
      <c r="F19" s="366">
        <f>+insumos!E38</f>
        <v>89100</v>
      </c>
      <c r="G19" s="747">
        <v>0.01</v>
      </c>
      <c r="H19" s="735">
        <f t="shared" si="0"/>
        <v>891</v>
      </c>
      <c r="I19" s="712"/>
    </row>
    <row r="20" spans="1:11" x14ac:dyDescent="0.55000000000000004">
      <c r="A20" s="712"/>
      <c r="B20" s="745"/>
      <c r="C20" s="1335"/>
      <c r="D20" s="1336"/>
      <c r="E20" s="746"/>
      <c r="F20" s="746"/>
      <c r="G20" s="746"/>
      <c r="H20" s="748"/>
      <c r="I20" s="712"/>
    </row>
    <row r="21" spans="1:11" x14ac:dyDescent="0.55000000000000004">
      <c r="A21" s="712"/>
      <c r="B21" s="745"/>
      <c r="C21" s="1335"/>
      <c r="D21" s="1336"/>
      <c r="E21" s="746"/>
      <c r="F21" s="746"/>
      <c r="G21" s="746"/>
      <c r="H21" s="748"/>
      <c r="I21" s="712"/>
    </row>
    <row r="22" spans="1:11" x14ac:dyDescent="0.55000000000000004">
      <c r="A22" s="712"/>
      <c r="B22" s="737"/>
      <c r="C22" s="724"/>
      <c r="D22" s="724"/>
      <c r="E22" s="724"/>
      <c r="F22" s="724"/>
      <c r="G22" s="729" t="s">
        <v>684</v>
      </c>
      <c r="H22" s="738">
        <f>SUM(H16:H21)</f>
        <v>18655.47264082501</v>
      </c>
      <c r="I22" s="712"/>
    </row>
    <row r="23" spans="1:11" x14ac:dyDescent="0.55000000000000004">
      <c r="A23" s="712"/>
      <c r="B23" s="737"/>
      <c r="C23" s="724"/>
      <c r="D23" s="724"/>
      <c r="E23" s="724"/>
      <c r="F23" s="724"/>
      <c r="G23" s="724"/>
      <c r="H23" s="739"/>
      <c r="I23" s="712"/>
    </row>
    <row r="24" spans="1:11" x14ac:dyDescent="0.55000000000000004">
      <c r="A24" s="712"/>
      <c r="B24" s="723" t="s">
        <v>690</v>
      </c>
      <c r="C24" s="724"/>
      <c r="D24" s="724"/>
      <c r="E24" s="724"/>
      <c r="F24" s="724"/>
      <c r="G24" s="724"/>
      <c r="H24" s="739"/>
      <c r="I24" s="712"/>
    </row>
    <row r="25" spans="1:11" x14ac:dyDescent="0.55000000000000004">
      <c r="A25" s="712"/>
      <c r="B25" s="726" t="s">
        <v>675</v>
      </c>
      <c r="C25" s="727" t="s">
        <v>676</v>
      </c>
      <c r="D25" s="729" t="s">
        <v>386</v>
      </c>
      <c r="E25" s="729" t="s">
        <v>290</v>
      </c>
      <c r="F25" s="729" t="s">
        <v>7</v>
      </c>
      <c r="G25" s="729" t="s">
        <v>691</v>
      </c>
      <c r="H25" s="740" t="s">
        <v>678</v>
      </c>
      <c r="I25" s="712"/>
    </row>
    <row r="26" spans="1:11" x14ac:dyDescent="0.55000000000000004">
      <c r="A26" s="712"/>
      <c r="B26" s="731" t="s">
        <v>692</v>
      </c>
      <c r="C26" s="749" t="str">
        <f>IFERROR(VLOOKUP(B26,[126]Transporte!$C$12:$F$543,2,0),"-")</f>
        <v>Transporte de acero</v>
      </c>
      <c r="D26" s="749" t="str">
        <f>IFERROR(VLOOKUP(B26,[126]Transporte!$C$12:$F$543,3,0),"-")</f>
        <v>kg-km</v>
      </c>
      <c r="E26" s="869">
        <f>+'equipos y transporte'!E27</f>
        <v>1.0350000000000001</v>
      </c>
      <c r="F26" s="750">
        <f>+G16</f>
        <v>2.0499999999999998</v>
      </c>
      <c r="G26" s="750">
        <f>+acero</f>
        <v>20</v>
      </c>
      <c r="H26" s="735">
        <f>+E26*F26*G26</f>
        <v>42.435000000000002</v>
      </c>
      <c r="I26" s="712"/>
    </row>
    <row r="27" spans="1:11" x14ac:dyDescent="0.55000000000000004">
      <c r="A27" s="712"/>
      <c r="B27" s="731"/>
      <c r="C27" s="749"/>
      <c r="D27" s="732"/>
      <c r="E27" s="732"/>
      <c r="F27" s="751"/>
      <c r="G27" s="751"/>
      <c r="H27" s="735"/>
      <c r="I27" s="712"/>
    </row>
    <row r="28" spans="1:11" x14ac:dyDescent="0.55000000000000004">
      <c r="A28" s="712"/>
      <c r="B28" s="737"/>
      <c r="C28" s="724"/>
      <c r="D28" s="724"/>
      <c r="E28" s="724"/>
      <c r="F28" s="724"/>
      <c r="G28" s="729" t="s">
        <v>684</v>
      </c>
      <c r="H28" s="738">
        <f>SUM(H26:H27)</f>
        <v>42.435000000000002</v>
      </c>
      <c r="I28" s="712"/>
    </row>
    <row r="29" spans="1:11" x14ac:dyDescent="0.55000000000000004">
      <c r="A29" s="712"/>
      <c r="B29" s="737"/>
      <c r="C29" s="724"/>
      <c r="D29" s="724"/>
      <c r="E29" s="724"/>
      <c r="F29" s="724"/>
      <c r="G29" s="724"/>
      <c r="H29" s="739"/>
      <c r="I29" s="712"/>
    </row>
    <row r="30" spans="1:11" x14ac:dyDescent="0.55000000000000004">
      <c r="A30" s="712"/>
      <c r="B30" s="723" t="s">
        <v>693</v>
      </c>
      <c r="C30" s="724"/>
      <c r="D30" s="724"/>
      <c r="E30" s="724"/>
      <c r="F30" s="724"/>
      <c r="G30" s="724"/>
      <c r="H30" s="739"/>
      <c r="I30" s="712"/>
    </row>
    <row r="31" spans="1:11" x14ac:dyDescent="0.55000000000000004">
      <c r="A31" s="712"/>
      <c r="B31" s="726" t="s">
        <v>675</v>
      </c>
      <c r="C31" s="729" t="s">
        <v>676</v>
      </c>
      <c r="D31" s="729" t="s">
        <v>282</v>
      </c>
      <c r="E31" s="752" t="s">
        <v>694</v>
      </c>
      <c r="F31" s="729" t="s">
        <v>295</v>
      </c>
      <c r="G31" s="729" t="s">
        <v>273</v>
      </c>
      <c r="H31" s="740" t="s">
        <v>678</v>
      </c>
      <c r="I31" s="712"/>
    </row>
    <row r="32" spans="1:11" x14ac:dyDescent="0.55000000000000004">
      <c r="A32" s="712"/>
      <c r="B32" s="731" t="s">
        <v>695</v>
      </c>
      <c r="C32" s="749" t="str">
        <f>IFERROR(VLOOKUP(B32,[126]M.O!$C$23:$G$10168,2,0),"-")</f>
        <v>Soldador</v>
      </c>
      <c r="D32" s="753" t="str">
        <f>IFERROR(VLOOKUP(B32,[126]M.O!$C$23:$G$10168,3,0),"-")</f>
        <v>día</v>
      </c>
      <c r="E32" s="754">
        <f>+ofic</f>
        <v>73666.666666666672</v>
      </c>
      <c r="F32" s="755">
        <f>+[126]M.O!$G$18+1</f>
        <v>1.85</v>
      </c>
      <c r="G32" s="750">
        <v>12</v>
      </c>
      <c r="H32" s="756">
        <f>+(E32)*F32/G32</f>
        <v>11356.944444444445</v>
      </c>
      <c r="I32" s="712"/>
    </row>
    <row r="33" spans="1:10" x14ac:dyDescent="0.55000000000000004">
      <c r="A33" s="712"/>
      <c r="B33" s="731" t="s">
        <v>696</v>
      </c>
      <c r="C33" s="749" t="str">
        <f>IFERROR(VLOOKUP(B33,[126]M.O!$C$23:$G$10168,2,0),"-")</f>
        <v>Oficial</v>
      </c>
      <c r="D33" s="753" t="str">
        <f>IFERROR(VLOOKUP(B33,[126]M.O!$C$23:$G$10168,3,0),"-")</f>
        <v>dia</v>
      </c>
      <c r="E33" s="754">
        <f>+ofic</f>
        <v>73666.666666666672</v>
      </c>
      <c r="F33" s="755">
        <f>+[126]M.O!$G$18+1</f>
        <v>1.85</v>
      </c>
      <c r="G33" s="750">
        <v>12</v>
      </c>
      <c r="H33" s="756">
        <f>+(E33)*F33/G33</f>
        <v>11356.944444444445</v>
      </c>
      <c r="I33" s="712"/>
    </row>
    <row r="34" spans="1:10" x14ac:dyDescent="0.55000000000000004">
      <c r="A34" s="712"/>
      <c r="B34" s="745"/>
      <c r="C34" s="746"/>
      <c r="D34" s="746"/>
      <c r="E34" s="746"/>
      <c r="F34" s="746"/>
      <c r="G34" s="746"/>
      <c r="H34" s="748"/>
      <c r="I34" s="712"/>
    </row>
    <row r="35" spans="1:10" x14ac:dyDescent="0.55000000000000004">
      <c r="A35" s="712"/>
      <c r="B35" s="737"/>
      <c r="C35" s="724"/>
      <c r="D35" s="724"/>
      <c r="E35" s="724"/>
      <c r="F35" s="724"/>
      <c r="G35" s="729" t="s">
        <v>684</v>
      </c>
      <c r="H35" s="738">
        <f>SUM(H32:H34)</f>
        <v>22713.888888888891</v>
      </c>
      <c r="I35" s="712"/>
    </row>
    <row r="36" spans="1:10" x14ac:dyDescent="0.55000000000000004">
      <c r="A36" s="712"/>
      <c r="B36" s="737"/>
      <c r="C36" s="724"/>
      <c r="D36" s="724"/>
      <c r="E36" s="724"/>
      <c r="F36" s="724"/>
      <c r="G36" s="724"/>
      <c r="H36" s="739"/>
      <c r="I36" s="712"/>
    </row>
    <row r="37" spans="1:10" x14ac:dyDescent="0.55000000000000004">
      <c r="A37" s="712"/>
      <c r="B37" s="737"/>
      <c r="C37" s="724"/>
      <c r="D37" s="724"/>
      <c r="E37" s="757"/>
      <c r="F37" s="1337" t="s">
        <v>697</v>
      </c>
      <c r="G37" s="1338"/>
      <c r="H37" s="758">
        <f>+H12+H22+H28+H35</f>
        <v>44131.678474158347</v>
      </c>
      <c r="I37" s="712"/>
    </row>
    <row r="38" spans="1:10" x14ac:dyDescent="0.55000000000000004">
      <c r="A38" s="712"/>
      <c r="B38" s="737"/>
      <c r="C38" s="724"/>
      <c r="D38" s="724"/>
      <c r="E38" s="757"/>
      <c r="F38" s="757"/>
      <c r="G38" s="757"/>
      <c r="H38" s="759"/>
      <c r="I38" s="712"/>
      <c r="J38" s="712"/>
    </row>
    <row r="39" spans="1:10" ht="14.7" thickBot="1" x14ac:dyDescent="0.6">
      <c r="A39" s="712"/>
      <c r="B39" s="760"/>
      <c r="C39" s="761"/>
      <c r="D39" s="761"/>
      <c r="E39" s="761"/>
      <c r="F39" s="761"/>
      <c r="G39" s="761"/>
      <c r="H39" s="1180"/>
      <c r="I39" s="712"/>
      <c r="J39" s="712"/>
    </row>
  </sheetData>
  <mergeCells count="10">
    <mergeCell ref="C3:F3"/>
    <mergeCell ref="C4:F4"/>
    <mergeCell ref="C11:D11"/>
    <mergeCell ref="F37:G37"/>
    <mergeCell ref="B14:C14"/>
    <mergeCell ref="C16:D16"/>
    <mergeCell ref="C17:D17"/>
    <mergeCell ref="C19:D19"/>
    <mergeCell ref="C20:D20"/>
    <mergeCell ref="C21:D2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7606C7C925A0D408DA58A1D066B58F8" ma:contentTypeVersion="17" ma:contentTypeDescription="Crear nuevo documento." ma:contentTypeScope="" ma:versionID="3731b641b8971f45406a455852c6ff09">
  <xsd:schema xmlns:xsd="http://www.w3.org/2001/XMLSchema" xmlns:xs="http://www.w3.org/2001/XMLSchema" xmlns:p="http://schemas.microsoft.com/office/2006/metadata/properties" xmlns:ns1="http://schemas.microsoft.com/sharepoint/v3" xmlns:ns2="9a16d440-5c9b-4aa4-b8b6-fcda3ef124b4" xmlns:ns3="e5c226e6-9bb9-43d5-811f-9d59fcb69c3e" targetNamespace="http://schemas.microsoft.com/office/2006/metadata/properties" ma:root="true" ma:fieldsID="78c7c6cfc4f6beca85d498967aac5fe2" ns1:_="" ns2:_="" ns3:_="">
    <xsd:import namespace="http://schemas.microsoft.com/sharepoint/v3"/>
    <xsd:import namespace="9a16d440-5c9b-4aa4-b8b6-fcda3ef124b4"/>
    <xsd:import namespace="e5c226e6-9bb9-43d5-811f-9d59fcb69c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2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3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16d440-5c9b-4aa4-b8b6-fcda3ef124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443b2b8e-005d-4b82-9e83-1bcf609cd42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c226e6-9bb9-43d5-811f-9d59fcb69c3e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e9e08b23-7a45-4826-850d-992983db2346}" ma:internalName="TaxCatchAll" ma:showField="CatchAllData" ma:web="e5c226e6-9bb9-43d5-811f-9d59fcb69c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e5c226e6-9bb9-43d5-811f-9d59fcb69c3e" xsi:nil="true"/>
    <_ip_UnifiedCompliancePolicyProperties xmlns="http://schemas.microsoft.com/sharepoint/v3" xsi:nil="true"/>
    <lcf76f155ced4ddcb4097134ff3c332f xmlns="9a16d440-5c9b-4aa4-b8b6-fcda3ef124b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4A5041C-7F2E-46E6-AF72-E970630B02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9a16d440-5c9b-4aa4-b8b6-fcda3ef124b4"/>
    <ds:schemaRef ds:uri="e5c226e6-9bb9-43d5-811f-9d59fcb69c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C2EAB-8A86-4F9B-AC8E-5FACBB8653D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3891693-C0FF-4E74-8BC7-AB434B7C7BBD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e5c226e6-9bb9-43d5-811f-9d59fcb69c3e"/>
    <ds:schemaRef ds:uri="9a16d440-5c9b-4aa4-b8b6-fcda3ef124b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9</vt:i4>
      </vt:variant>
    </vt:vector>
  </HeadingPairs>
  <TitlesOfParts>
    <vt:vector size="31" baseType="lpstr">
      <vt:lpstr>PRESUPUESTO</vt:lpstr>
      <vt:lpstr>AIU </vt:lpstr>
      <vt:lpstr>E1-O (Etapa I-Obra)</vt:lpstr>
      <vt:lpstr>FM Obra</vt:lpstr>
      <vt:lpstr>FM</vt:lpstr>
      <vt:lpstr>220.1</vt:lpstr>
      <vt:lpstr>320.3</vt:lpstr>
      <vt:lpstr>500.1</vt:lpstr>
      <vt:lpstr>600.1.1</vt:lpstr>
      <vt:lpstr>610.2</vt:lpstr>
      <vt:lpstr>630.4</vt:lpstr>
      <vt:lpstr>640.1</vt:lpstr>
      <vt:lpstr>661.1</vt:lpstr>
      <vt:lpstr>671.3</vt:lpstr>
      <vt:lpstr>700.1</vt:lpstr>
      <vt:lpstr>710.1</vt:lpstr>
      <vt:lpstr>1010.1 PGIO </vt:lpstr>
      <vt:lpstr>equipos y transporte</vt:lpstr>
      <vt:lpstr>insumos</vt:lpstr>
      <vt:lpstr>salarios y prestaciones</vt:lpstr>
      <vt:lpstr>CONCRETOS Y MORTEROS </vt:lpstr>
      <vt:lpstr>Canastilla</vt:lpstr>
      <vt:lpstr>acero</vt:lpstr>
      <vt:lpstr>'CONCRETOS Y MORTEROS '!Área_de_impresión</vt:lpstr>
      <vt:lpstr>PRESUPUESTO!Área_de_impresión</vt:lpstr>
      <vt:lpstr>cantera</vt:lpstr>
      <vt:lpstr>duraci</vt:lpstr>
      <vt:lpstr>duracii</vt:lpstr>
      <vt:lpstr>escombro</vt:lpstr>
      <vt:lpstr>jornal</vt:lpstr>
      <vt:lpstr>ofic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TERRITORIAL 2019</dc:creator>
  <cp:keywords/>
  <dc:description/>
  <cp:lastModifiedBy>ADMIN</cp:lastModifiedBy>
  <cp:revision/>
  <dcterms:created xsi:type="dcterms:W3CDTF">2019-10-01T21:24:11Z</dcterms:created>
  <dcterms:modified xsi:type="dcterms:W3CDTF">2024-07-24T22:11:28Z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0x01010017606C7C925A0D408DA58A1D066B58F8</vt:lpwstr>
  </property>
  <property fmtid="{D5CDD505-2E9C-101B-9397-08002B2CF9AE}" pid="3" name="MediaServiceImageTags">
    <vt:lpwstr/>
  </property>
</Properties>
</file>