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tables/table4.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codeName="{1BF75E64-36B4-4512-B9E4-3ED0869CA821}"/>
  <workbookPr codeName="ThisWorkbook" defaultThemeVersion="166925"/>
  <mc:AlternateContent xmlns:mc="http://schemas.openxmlformats.org/markup-compatibility/2006">
    <mc:Choice Requires="x15">
      <x15ac:absPath xmlns:x15ac="http://schemas.microsoft.com/office/spreadsheetml/2010/11/ac" url="C:\Users\Usuario\Documents\2024\Procesos\Suministros y Servicios\37272\Para publicar\"/>
    </mc:Choice>
  </mc:AlternateContent>
  <xr:revisionPtr revIDLastSave="0" documentId="13_ncr:1_{FDA66E60-59B3-4E3B-9FC9-4633F54FC3D4}" xr6:coauthVersionLast="47" xr6:coauthVersionMax="47" xr10:uidLastSave="{00000000-0000-0000-0000-000000000000}"/>
  <bookViews>
    <workbookView xWindow="-110" yWindow="-110" windowWidth="19420" windowHeight="10300" tabRatio="825" activeTab="2" xr2:uid="{00000000-000D-0000-FFFF-FFFF00000000}"/>
  </bookViews>
  <sheets>
    <sheet name="Paso 1 Calculo del Presupuesto" sheetId="1" r:id="rId1"/>
    <sheet name="Paso 2 Calculo Factor Multiplic" sheetId="15" r:id="rId2"/>
    <sheet name="Paso 3 - Publicar en SECOP -PO-" sheetId="17" r:id="rId3"/>
    <sheet name="F1 Propuesta económica" sheetId="20" r:id="rId4"/>
    <sheet name="Anexo Salarios Referencia" sheetId="19" r:id="rId5"/>
    <sheet name="TABLAS SOPORTE " sheetId="21" r:id="rId6"/>
    <sheet name="EQ. DE OFICINA - RECONOCIMIENTO" sheetId="22" r:id="rId7"/>
    <sheet name="Anexo Factor Prestacional" sheetId="2" state="hidden" r:id="rId8"/>
    <sheet name="PRESUPUESTO OFICIAL" sheetId="10" state="hidden" r:id="rId9"/>
    <sheet name="ITEM DE PAGO" sheetId="11" state="hidden" r:id="rId10"/>
    <sheet name="APU ambiental 2019" sheetId="12" state="hidden" r:id="rId11"/>
  </sheets>
  <externalReferences>
    <externalReference r:id="rId12"/>
    <externalReference r:id="rId13"/>
    <externalReference r:id="rId14"/>
    <externalReference r:id="rId15"/>
    <externalReference r:id="rId16"/>
    <externalReference r:id="rId17"/>
    <externalReference r:id="rId18"/>
  </externalReferences>
  <definedNames>
    <definedName name="_________key2" localSheetId="9" hidden="1">[1]INST!#REF!</definedName>
    <definedName name="_________key2" hidden="1">[1]INST!#REF!</definedName>
    <definedName name="________key2" localSheetId="9" hidden="1">[2]INST!#REF!</definedName>
    <definedName name="________key2" hidden="1">[2]INST!#REF!</definedName>
    <definedName name="________key3" localSheetId="9" hidden="1">#REF!</definedName>
    <definedName name="________key3" hidden="1">#REF!</definedName>
    <definedName name="___key2" localSheetId="9" hidden="1">[2]INST!#REF!</definedName>
    <definedName name="___key2" hidden="1">[2]INST!#REF!</definedName>
    <definedName name="___key3" localSheetId="9" hidden="1">#REF!</definedName>
    <definedName name="___key3" hidden="1">#REF!</definedName>
    <definedName name="___key31" localSheetId="9" hidden="1">#REF!</definedName>
    <definedName name="___key31" hidden="1">#REF!</definedName>
    <definedName name="__123Graph_A" localSheetId="9" hidden="1">#REF!</definedName>
    <definedName name="__123Graph_A" hidden="1">#REF!</definedName>
    <definedName name="__123Graph_B" localSheetId="9" hidden="1">#REF!</definedName>
    <definedName name="__123Graph_B" hidden="1">#REF!</definedName>
    <definedName name="__a1" localSheetId="7"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7"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4" localSheetId="7"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7"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7"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b2" localSheetId="7"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7"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7"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7"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7"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7"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7"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7"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g2" localSheetId="7"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7"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7"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7"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7"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7"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7"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7"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7"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7"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7"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7"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7"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7"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7"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fh7" localSheetId="7"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7"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7"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7"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7"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7"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7"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7"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k3" localSheetId="7"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7"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7"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7"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7"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7"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7"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localSheetId="9" hidden="1">[3]INST!#REF!</definedName>
    <definedName name="__key2" hidden="1">[3]INST!#REF!</definedName>
    <definedName name="__key21" localSheetId="9" hidden="1">[2]INST!#REF!</definedName>
    <definedName name="__key21" hidden="1">[2]INST!#REF!</definedName>
    <definedName name="__key3" localSheetId="9" hidden="1">#REF!</definedName>
    <definedName name="__key3" hidden="1">#REF!</definedName>
    <definedName name="__key31" localSheetId="9" hidden="1">#REF!</definedName>
    <definedName name="__key31" hidden="1">#REF!</definedName>
    <definedName name="__kjk6" localSheetId="7"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m3" localSheetId="7"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7"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7"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7"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7"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7"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7"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n3" localSheetId="7"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7"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7"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yn7" localSheetId="7"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7"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7"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7"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7"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7"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7"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p6" localSheetId="7"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7"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7"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r" localSheetId="7"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7"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tu6" localSheetId="7"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7"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7"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7"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7"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7"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7"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7"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t3" localSheetId="7"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7"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7"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7"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7"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7"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7"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7"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7"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7"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7"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u4" localSheetId="7"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7"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7"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7"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7"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7"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r7" localSheetId="7"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2" localSheetId="7"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7"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7"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7"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7"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7"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7"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7"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7"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x1" localSheetId="7"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7"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7"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7"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7"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7"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7"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7"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7"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y2" localSheetId="7"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7"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7"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7"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7"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7"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7"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7"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7"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7"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7"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7"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7"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7"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a1" localSheetId="7" hidden="1">{"TAB1",#N/A,TRUE,"GENERAL";"TAB2",#N/A,TRUE,"GENERAL";"TAB3",#N/A,TRUE,"GENERAL";"TAB4",#N/A,TRUE,"GENERAL";"TAB5",#N/A,TRUE,"GENERAL"}</definedName>
    <definedName name="_a1" localSheetId="10"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3" localSheetId="7" hidden="1">{"TAB1",#N/A,TRUE,"GENERAL";"TAB2",#N/A,TRUE,"GENERAL";"TAB3",#N/A,TRUE,"GENERAL";"TAB4",#N/A,TRUE,"GENERAL";"TAB5",#N/A,TRUE,"GENERAL"}</definedName>
    <definedName name="_a3" localSheetId="10"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7" hidden="1">{"via1",#N/A,TRUE,"general";"via2",#N/A,TRUE,"general";"via3",#N/A,TRUE,"general"}</definedName>
    <definedName name="_a4" localSheetId="10"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7" hidden="1">{"TAB1",#N/A,TRUE,"GENERAL";"TAB2",#N/A,TRUE,"GENERAL";"TAB3",#N/A,TRUE,"GENERAL";"TAB4",#N/A,TRUE,"GENERAL";"TAB5",#N/A,TRUE,"GENERAL"}</definedName>
    <definedName name="_a5" localSheetId="10"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7" hidden="1">{"TAB1",#N/A,TRUE,"GENERAL";"TAB2",#N/A,TRUE,"GENERAL";"TAB3",#N/A,TRUE,"GENERAL";"TAB4",#N/A,TRUE,"GENERAL";"TAB5",#N/A,TRUE,"GENERAL"}</definedName>
    <definedName name="_a6" localSheetId="10"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localSheetId="9" hidden="1">{#N/A,#N/A,TRUE,"INGENIERIA";#N/A,#N/A,TRUE,"COMPRAS";#N/A,#N/A,TRUE,"DIRECCION";#N/A,#N/A,TRUE,"RESUMEN"}</definedName>
    <definedName name="_AAS1" hidden="1">{#N/A,#N/A,TRUE,"INGENIERIA";#N/A,#N/A,TRUE,"COMPRAS";#N/A,#N/A,TRUE,"DIRECCION";#N/A,#N/A,TRUE,"RESUMEN"}</definedName>
    <definedName name="_ABC1" localSheetId="9" hidden="1">{#N/A,#N/A,TRUE,"1842CWN0"}</definedName>
    <definedName name="_ABC1" hidden="1">{#N/A,#N/A,TRUE,"1842CWN0"}</definedName>
    <definedName name="_abc2" localSheetId="9" hidden="1">{#N/A,#N/A,TRUE,"1842CWN0"}</definedName>
    <definedName name="_abc2" hidden="1">{#N/A,#N/A,TRUE,"1842CWN0"}</definedName>
    <definedName name="_b2" localSheetId="7" hidden="1">{"TAB1",#N/A,TRUE,"GENERAL";"TAB2",#N/A,TRUE,"GENERAL";"TAB3",#N/A,TRUE,"GENERAL";"TAB4",#N/A,TRUE,"GENERAL";"TAB5",#N/A,TRUE,"GENERAL"}</definedName>
    <definedName name="_b2" localSheetId="10"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7" hidden="1">{"TAB1",#N/A,TRUE,"GENERAL";"TAB2",#N/A,TRUE,"GENERAL";"TAB3",#N/A,TRUE,"GENERAL";"TAB4",#N/A,TRUE,"GENERAL";"TAB5",#N/A,TRUE,"GENERAL"}</definedName>
    <definedName name="_b3" localSheetId="10"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7" hidden="1">{"TAB1",#N/A,TRUE,"GENERAL";"TAB2",#N/A,TRUE,"GENERAL";"TAB3",#N/A,TRUE,"GENERAL";"TAB4",#N/A,TRUE,"GENERAL";"TAB5",#N/A,TRUE,"GENERAL"}</definedName>
    <definedName name="_b4" localSheetId="10"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7" hidden="1">{"TAB1",#N/A,TRUE,"GENERAL";"TAB2",#N/A,TRUE,"GENERAL";"TAB3",#N/A,TRUE,"GENERAL";"TAB4",#N/A,TRUE,"GENERAL";"TAB5",#N/A,TRUE,"GENERAL"}</definedName>
    <definedName name="_b5" localSheetId="10"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7" hidden="1">{"TAB1",#N/A,TRUE,"GENERAL";"TAB2",#N/A,TRUE,"GENERAL";"TAB3",#N/A,TRUE,"GENERAL";"TAB4",#N/A,TRUE,"GENERAL";"TAB5",#N/A,TRUE,"GENERAL"}</definedName>
    <definedName name="_b6" localSheetId="10"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7" hidden="1">{"via1",#N/A,TRUE,"general";"via2",#N/A,TRUE,"general";"via3",#N/A,TRUE,"general"}</definedName>
    <definedName name="_b7" localSheetId="10"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7" hidden="1">{"via1",#N/A,TRUE,"general";"via2",#N/A,TRUE,"general";"via3",#N/A,TRUE,"general"}</definedName>
    <definedName name="_b8" localSheetId="10"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7" hidden="1">{"TAB1",#N/A,TRUE,"GENERAL";"TAB2",#N/A,TRUE,"GENERAL";"TAB3",#N/A,TRUE,"GENERAL";"TAB4",#N/A,TRUE,"GENERAL";"TAB5",#N/A,TRUE,"GENERAL"}</definedName>
    <definedName name="_bb9" localSheetId="10"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hidden="1">[4]MPC3I4!$A$2552:$IV$3906</definedName>
    <definedName name="_Fill" localSheetId="7" hidden="1">#REF!</definedName>
    <definedName name="_Fill" localSheetId="10" hidden="1">#REF!</definedName>
    <definedName name="_Fill" localSheetId="9" hidden="1">#REF!</definedName>
    <definedName name="_Fill" localSheetId="1" hidden="1">#REF!</definedName>
    <definedName name="_Fill" hidden="1">#REF!</definedName>
    <definedName name="_xlnm._FilterDatabase" localSheetId="3" hidden="1">'F1 Propuesta económica'!$B$7:$H$59</definedName>
    <definedName name="_xlnm._FilterDatabase" localSheetId="1" hidden="1">'Paso 2 Calculo Factor Multiplic'!$S$1048545:$W$1048547</definedName>
    <definedName name="_xlnm._FilterDatabase" localSheetId="2" hidden="1">'Paso 3 - Publicar en SECOP -PO-'!$A$6:$O$65</definedName>
    <definedName name="_xlnm._FilterDatabase" localSheetId="8" hidden="1">'PRESUPUESTO OFICIAL'!$I$9:$I$92</definedName>
    <definedName name="_xlnm._FilterDatabase" hidden="1">[5]Presupuesto_Via_distribuidora!$A$9:$H$344</definedName>
    <definedName name="_g2" localSheetId="7" hidden="1">{"TAB1",#N/A,TRUE,"GENERAL";"TAB2",#N/A,TRUE,"GENERAL";"TAB3",#N/A,TRUE,"GENERAL";"TAB4",#N/A,TRUE,"GENERAL";"TAB5",#N/A,TRUE,"GENERAL"}</definedName>
    <definedName name="_g2" localSheetId="10"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7" hidden="1">{"via1",#N/A,TRUE,"general";"via2",#N/A,TRUE,"general";"via3",#N/A,TRUE,"general"}</definedName>
    <definedName name="_g3" localSheetId="10"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7" hidden="1">{"via1",#N/A,TRUE,"general";"via2",#N/A,TRUE,"general";"via3",#N/A,TRUE,"general"}</definedName>
    <definedName name="_g4" localSheetId="10"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7" hidden="1">{"via1",#N/A,TRUE,"general";"via2",#N/A,TRUE,"general";"via3",#N/A,TRUE,"general"}</definedName>
    <definedName name="_g5" localSheetId="10"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7" hidden="1">{"via1",#N/A,TRUE,"general";"via2",#N/A,TRUE,"general";"via3",#N/A,TRUE,"general"}</definedName>
    <definedName name="_g6" localSheetId="10"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7" hidden="1">{"TAB1",#N/A,TRUE,"GENERAL";"TAB2",#N/A,TRUE,"GENERAL";"TAB3",#N/A,TRUE,"GENERAL";"TAB4",#N/A,TRUE,"GENERAL";"TAB5",#N/A,TRUE,"GENERAL"}</definedName>
    <definedName name="_g7" localSheetId="10"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R1" localSheetId="7" hidden="1">{"TAB1",#N/A,TRUE,"GENERAL";"TAB2",#N/A,TRUE,"GENERAL";"TAB3",#N/A,TRUE,"GENERAL";"TAB4",#N/A,TRUE,"GENERAL";"TAB5",#N/A,TRUE,"GENERAL"}</definedName>
    <definedName name="_GR1" localSheetId="10"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7" hidden="1">{"via1",#N/A,TRUE,"general";"via2",#N/A,TRUE,"general";"via3",#N/A,TRUE,"general"}</definedName>
    <definedName name="_gtr4" localSheetId="10"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7" hidden="1">{"via1",#N/A,TRUE,"general";"via2",#N/A,TRUE,"general";"via3",#N/A,TRUE,"general"}</definedName>
    <definedName name="_h2" localSheetId="10"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7" hidden="1">{"via1",#N/A,TRUE,"general";"via2",#N/A,TRUE,"general";"via3",#N/A,TRUE,"general"}</definedName>
    <definedName name="_h3" localSheetId="10"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7" hidden="1">{"TAB1",#N/A,TRUE,"GENERAL";"TAB2",#N/A,TRUE,"GENERAL";"TAB3",#N/A,TRUE,"GENERAL";"TAB4",#N/A,TRUE,"GENERAL";"TAB5",#N/A,TRUE,"GENERAL"}</definedName>
    <definedName name="_h4" localSheetId="10"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7" hidden="1">{"TAB1",#N/A,TRUE,"GENERAL";"TAB2",#N/A,TRUE,"GENERAL";"TAB3",#N/A,TRUE,"GENERAL";"TAB4",#N/A,TRUE,"GENERAL";"TAB5",#N/A,TRUE,"GENERAL"}</definedName>
    <definedName name="_h5" localSheetId="10"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7" hidden="1">{"via1",#N/A,TRUE,"general";"via2",#N/A,TRUE,"general";"via3",#N/A,TRUE,"general"}</definedName>
    <definedName name="_h6" localSheetId="10"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7" hidden="1">{"TAB1",#N/A,TRUE,"GENERAL";"TAB2",#N/A,TRUE,"GENERAL";"TAB3",#N/A,TRUE,"GENERAL";"TAB4",#N/A,TRUE,"GENERAL";"TAB5",#N/A,TRUE,"GENERAL"}</definedName>
    <definedName name="_h7" localSheetId="10"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7" hidden="1">{"via1",#N/A,TRUE,"general";"via2",#N/A,TRUE,"general";"via3",#N/A,TRUE,"general"}</definedName>
    <definedName name="_h8" localSheetId="10"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7" hidden="1">{"via1",#N/A,TRUE,"general";"via2",#N/A,TRUE,"general";"via3",#N/A,TRUE,"general"}</definedName>
    <definedName name="_hfh7" localSheetId="10"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hg1" localSheetId="9" hidden="1">{#N/A,#N/A,TRUE,"1842CWN0"}</definedName>
    <definedName name="_hhg1" hidden="1">{#N/A,#N/A,TRUE,"1842CWN0"}</definedName>
    <definedName name="_i4" localSheetId="7" hidden="1">{"via1",#N/A,TRUE,"general";"via2",#N/A,TRUE,"general";"via3",#N/A,TRUE,"general"}</definedName>
    <definedName name="_i4" localSheetId="10"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7" hidden="1">{"TAB1",#N/A,TRUE,"GENERAL";"TAB2",#N/A,TRUE,"GENERAL";"TAB3",#N/A,TRUE,"GENERAL";"TAB4",#N/A,TRUE,"GENERAL";"TAB5",#N/A,TRUE,"GENERAL"}</definedName>
    <definedName name="_i5" localSheetId="10"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7" hidden="1">{"TAB1",#N/A,TRUE,"GENERAL";"TAB2",#N/A,TRUE,"GENERAL";"TAB3",#N/A,TRUE,"GENERAL";"TAB4",#N/A,TRUE,"GENERAL";"TAB5",#N/A,TRUE,"GENERAL"}</definedName>
    <definedName name="_i6" localSheetId="10"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7" hidden="1">{"via1",#N/A,TRUE,"general";"via2",#N/A,TRUE,"general";"via3",#N/A,TRUE,"general"}</definedName>
    <definedName name="_i7" localSheetId="10"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7" hidden="1">{"TAB1",#N/A,TRUE,"GENERAL";"TAB2",#N/A,TRUE,"GENERAL";"TAB3",#N/A,TRUE,"GENERAL";"TAB4",#N/A,TRUE,"GENERAL";"TAB5",#N/A,TRUE,"GENERAL"}</definedName>
    <definedName name="_i77" localSheetId="10"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7" hidden="1">{"via1",#N/A,TRUE,"general";"via2",#N/A,TRUE,"general";"via3",#N/A,TRUE,"general"}</definedName>
    <definedName name="_i8" localSheetId="10"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7" hidden="1">{"TAB1",#N/A,TRUE,"GENERAL";"TAB2",#N/A,TRUE,"GENERAL";"TAB3",#N/A,TRUE,"GENERAL";"TAB4",#N/A,TRUE,"GENERAL";"TAB5",#N/A,TRUE,"GENERAL"}</definedName>
    <definedName name="_i9" localSheetId="10"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k3" localSheetId="7" hidden="1">{"TAB1",#N/A,TRUE,"GENERAL";"TAB2",#N/A,TRUE,"GENERAL";"TAB3",#N/A,TRUE,"GENERAL";"TAB4",#N/A,TRUE,"GENERAL";"TAB5",#N/A,TRUE,"GENERAL"}</definedName>
    <definedName name="_k3" localSheetId="10"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7" hidden="1">{"via1",#N/A,TRUE,"general";"via2",#N/A,TRUE,"general";"via3",#N/A,TRUE,"general"}</definedName>
    <definedName name="_k4" localSheetId="10"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7" hidden="1">{"via1",#N/A,TRUE,"general";"via2",#N/A,TRUE,"general";"via3",#N/A,TRUE,"general"}</definedName>
    <definedName name="_k5" localSheetId="10"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7" hidden="1">{"TAB1",#N/A,TRUE,"GENERAL";"TAB2",#N/A,TRUE,"GENERAL";"TAB3",#N/A,TRUE,"GENERAL";"TAB4",#N/A,TRUE,"GENERAL";"TAB5",#N/A,TRUE,"GENERAL"}</definedName>
    <definedName name="_k6" localSheetId="10"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7" hidden="1">{"via1",#N/A,TRUE,"general";"via2",#N/A,TRUE,"general";"via3",#N/A,TRUE,"general"}</definedName>
    <definedName name="_k7" localSheetId="10"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7" hidden="1">{"via1",#N/A,TRUE,"general";"via2",#N/A,TRUE,"general";"via3",#N/A,TRUE,"general"}</definedName>
    <definedName name="_k8" localSheetId="10"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7" hidden="1">{"TAB1",#N/A,TRUE,"GENERAL";"TAB2",#N/A,TRUE,"GENERAL";"TAB3",#N/A,TRUE,"GENERAL";"TAB4",#N/A,TRUE,"GENERAL";"TAB5",#N/A,TRUE,"GENERAL"}</definedName>
    <definedName name="_k9" localSheetId="10"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hidden="1">#REF!</definedName>
    <definedName name="_Key11" localSheetId="9" hidden="1">[6]INST!#REF!</definedName>
    <definedName name="_Key11" hidden="1">[6]INST!#REF!</definedName>
    <definedName name="_Key2" localSheetId="9" hidden="1">#REF!</definedName>
    <definedName name="_Key2" hidden="1">#REF!</definedName>
    <definedName name="_Key21" localSheetId="9" hidden="1">#REF!</definedName>
    <definedName name="_Key21" hidden="1">#REF!</definedName>
    <definedName name="_key3" localSheetId="9" hidden="1">#REF!</definedName>
    <definedName name="_key3" hidden="1">#REF!</definedName>
    <definedName name="_key31" localSheetId="9" hidden="1">#REF!</definedName>
    <definedName name="_key31" hidden="1">#REF!</definedName>
    <definedName name="_kjk6" localSheetId="7"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m3" localSheetId="7" hidden="1">{"via1",#N/A,TRUE,"general";"via2",#N/A,TRUE,"general";"via3",#N/A,TRUE,"general"}</definedName>
    <definedName name="_m3" localSheetId="10"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7" hidden="1">{"TAB1",#N/A,TRUE,"GENERAL";"TAB2",#N/A,TRUE,"GENERAL";"TAB3",#N/A,TRUE,"GENERAL";"TAB4",#N/A,TRUE,"GENERAL";"TAB5",#N/A,TRUE,"GENERAL"}</definedName>
    <definedName name="_m4" localSheetId="10"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7" hidden="1">{"via1",#N/A,TRUE,"general";"via2",#N/A,TRUE,"general";"via3",#N/A,TRUE,"general"}</definedName>
    <definedName name="_m5" localSheetId="10"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7" hidden="1">{"TAB1",#N/A,TRUE,"GENERAL";"TAB2",#N/A,TRUE,"GENERAL";"TAB3",#N/A,TRUE,"GENERAL";"TAB4",#N/A,TRUE,"GENERAL";"TAB5",#N/A,TRUE,"GENERAL"}</definedName>
    <definedName name="_m6" localSheetId="10"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7" hidden="1">{"TAB1",#N/A,TRUE,"GENERAL";"TAB2",#N/A,TRUE,"GENERAL";"TAB3",#N/A,TRUE,"GENERAL";"TAB4",#N/A,TRUE,"GENERAL";"TAB5",#N/A,TRUE,"GENERAL"}</definedName>
    <definedName name="_m7" localSheetId="10"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7" hidden="1">{"via1",#N/A,TRUE,"general";"via2",#N/A,TRUE,"general";"via3",#N/A,TRUE,"general"}</definedName>
    <definedName name="_m8" localSheetId="10"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7" hidden="1">{"via1",#N/A,TRUE,"general";"via2",#N/A,TRUE,"general";"via3",#N/A,TRUE,"general"}</definedName>
    <definedName name="_m9" localSheetId="10"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n3" localSheetId="7" hidden="1">{"TAB1",#N/A,TRUE,"GENERAL";"TAB2",#N/A,TRUE,"GENERAL";"TAB3",#N/A,TRUE,"GENERAL";"TAB4",#N/A,TRUE,"GENERAL";"TAB5",#N/A,TRUE,"GENERAL"}</definedName>
    <definedName name="_n3" localSheetId="10"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7" hidden="1">{"via1",#N/A,TRUE,"general";"via2",#N/A,TRUE,"general";"via3",#N/A,TRUE,"general"}</definedName>
    <definedName name="_n4" localSheetId="10"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7" hidden="1">{"TAB1",#N/A,TRUE,"GENERAL";"TAB2",#N/A,TRUE,"GENERAL";"TAB3",#N/A,TRUE,"GENERAL";"TAB4",#N/A,TRUE,"GENERAL";"TAB5",#N/A,TRUE,"GENERAL"}</definedName>
    <definedName name="_n5" localSheetId="10"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yn7" localSheetId="7" hidden="1">{"via1",#N/A,TRUE,"general";"via2",#N/A,TRUE,"general";"via3",#N/A,TRUE,"general"}</definedName>
    <definedName name="_nyn7" localSheetId="10"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7" hidden="1">{"via1",#N/A,TRUE,"general";"via2",#N/A,TRUE,"general";"via3",#N/A,TRUE,"general"}</definedName>
    <definedName name="_o4" localSheetId="10"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7" hidden="1">{"TAB1",#N/A,TRUE,"GENERAL";"TAB2",#N/A,TRUE,"GENERAL";"TAB3",#N/A,TRUE,"GENERAL";"TAB4",#N/A,TRUE,"GENERAL";"TAB5",#N/A,TRUE,"GENERAL"}</definedName>
    <definedName name="_o5" localSheetId="10"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7" hidden="1">{"TAB1",#N/A,TRUE,"GENERAL";"TAB2",#N/A,TRUE,"GENERAL";"TAB3",#N/A,TRUE,"GENERAL";"TAB4",#N/A,TRUE,"GENERAL";"TAB5",#N/A,TRUE,"GENERAL"}</definedName>
    <definedName name="_o6" localSheetId="10"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7" hidden="1">{"TAB1",#N/A,TRUE,"GENERAL";"TAB2",#N/A,TRUE,"GENERAL";"TAB3",#N/A,TRUE,"GENERAL";"TAB4",#N/A,TRUE,"GENERAL";"TAB5",#N/A,TRUE,"GENERAL"}</definedName>
    <definedName name="_o7" localSheetId="10"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7" hidden="1">{"via1",#N/A,TRUE,"general";"via2",#N/A,TRUE,"general";"via3",#N/A,TRUE,"general"}</definedName>
    <definedName name="_o8" localSheetId="10"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7" hidden="1">{"TAB1",#N/A,TRUE,"GENERAL";"TAB2",#N/A,TRUE,"GENERAL";"TAB3",#N/A,TRUE,"GENERAL";"TAB4",#N/A,TRUE,"GENERAL";"TAB5",#N/A,TRUE,"GENERAL"}</definedName>
    <definedName name="_o9" localSheetId="10"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7" hidden="1">{"via1",#N/A,TRUE,"general";"via2",#N/A,TRUE,"general";"via3",#N/A,TRUE,"general"}</definedName>
    <definedName name="_p6" localSheetId="10"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7" hidden="1">{"via1",#N/A,TRUE,"general";"via2",#N/A,TRUE,"general";"via3",#N/A,TRUE,"general"}</definedName>
    <definedName name="_p7" localSheetId="10"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7" hidden="1">{"TAB1",#N/A,TRUE,"GENERAL";"TAB2",#N/A,TRUE,"GENERAL";"TAB3",#N/A,TRUE,"GENERAL";"TAB4",#N/A,TRUE,"GENERAL";"TAB5",#N/A,TRUE,"GENERAL"}</definedName>
    <definedName name="_p8" localSheetId="10"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rse_Out" localSheetId="9" hidden="1">'[7]7422CW00'!#REF!</definedName>
    <definedName name="_Parse_Out" hidden="1">'[7]7422CW00'!#REF!</definedName>
    <definedName name="_r" localSheetId="7" hidden="1">{"TAB1",#N/A,TRUE,"GENERAL";"TAB2",#N/A,TRUE,"GENERAL";"TAB3",#N/A,TRUE,"GENERAL";"TAB4",#N/A,TRUE,"GENERAL";"TAB5",#N/A,TRUE,"GENERAL"}</definedName>
    <definedName name="_r" localSheetId="10"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7" hidden="1">{"via1",#N/A,TRUE,"general";"via2",#N/A,TRUE,"general";"via3",#N/A,TRUE,"general"}</definedName>
    <definedName name="_r4r" localSheetId="10"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tu6" localSheetId="7" hidden="1">{"via1",#N/A,TRUE,"general";"via2",#N/A,TRUE,"general";"via3",#N/A,TRUE,"general"}</definedName>
    <definedName name="_rtu6" localSheetId="10"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7" hidden="1">{"via1",#N/A,TRUE,"general";"via2",#N/A,TRUE,"general";"via3",#N/A,TRUE,"general"}</definedName>
    <definedName name="_s1" localSheetId="10"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7" hidden="1">{"TAB1",#N/A,TRUE,"GENERAL";"TAB2",#N/A,TRUE,"GENERAL";"TAB3",#N/A,TRUE,"GENERAL";"TAB4",#N/A,TRUE,"GENERAL";"TAB5",#N/A,TRUE,"GENERAL"}</definedName>
    <definedName name="_s2" localSheetId="10"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7" hidden="1">{"TAB1",#N/A,TRUE,"GENERAL";"TAB2",#N/A,TRUE,"GENERAL";"TAB3",#N/A,TRUE,"GENERAL";"TAB4",#N/A,TRUE,"GENERAL";"TAB5",#N/A,TRUE,"GENERAL"}</definedName>
    <definedName name="_s3" localSheetId="10"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7" hidden="1">{"via1",#N/A,TRUE,"general";"via2",#N/A,TRUE,"general";"via3",#N/A,TRUE,"general"}</definedName>
    <definedName name="_s4" localSheetId="10"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7" hidden="1">{"via1",#N/A,TRUE,"general";"via2",#N/A,TRUE,"general";"via3",#N/A,TRUE,"general"}</definedName>
    <definedName name="_s5" localSheetId="10"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7" hidden="1">{"TAB1",#N/A,TRUE,"GENERAL";"TAB2",#N/A,TRUE,"GENERAL";"TAB3",#N/A,TRUE,"GENERAL";"TAB4",#N/A,TRUE,"GENERAL";"TAB5",#N/A,TRUE,"GENERAL"}</definedName>
    <definedName name="_s6" localSheetId="10"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7" hidden="1">{"via1",#N/A,TRUE,"general";"via2",#N/A,TRUE,"general";"via3",#N/A,TRUE,"general"}</definedName>
    <definedName name="_s7" localSheetId="10"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ort" localSheetId="9" hidden="1">#REF!</definedName>
    <definedName name="_Sort" hidden="1">#REF!</definedName>
    <definedName name="_t3" localSheetId="7" hidden="1">{"TAB1",#N/A,TRUE,"GENERAL";"TAB2",#N/A,TRUE,"GENERAL";"TAB3",#N/A,TRUE,"GENERAL";"TAB4",#N/A,TRUE,"GENERAL";"TAB5",#N/A,TRUE,"GENERAL"}</definedName>
    <definedName name="_t3" localSheetId="10"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7" hidden="1">{"via1",#N/A,TRUE,"general";"via2",#N/A,TRUE,"general";"via3",#N/A,TRUE,"general"}</definedName>
    <definedName name="_t4" localSheetId="10"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7" hidden="1">{"TAB1",#N/A,TRUE,"GENERAL";"TAB2",#N/A,TRUE,"GENERAL";"TAB3",#N/A,TRUE,"GENERAL";"TAB4",#N/A,TRUE,"GENERAL";"TAB5",#N/A,TRUE,"GENERAL"}</definedName>
    <definedName name="_t5" localSheetId="10"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7" hidden="1">{"via1",#N/A,TRUE,"general";"via2",#N/A,TRUE,"general";"via3",#N/A,TRUE,"general"}</definedName>
    <definedName name="_t6" localSheetId="10"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7" hidden="1">{"TAB1",#N/A,TRUE,"GENERAL";"TAB2",#N/A,TRUE,"GENERAL";"TAB3",#N/A,TRUE,"GENERAL";"TAB4",#N/A,TRUE,"GENERAL";"TAB5",#N/A,TRUE,"GENERAL"}</definedName>
    <definedName name="_t66" localSheetId="10"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7" hidden="1">{"via1",#N/A,TRUE,"general";"via2",#N/A,TRUE,"general";"via3",#N/A,TRUE,"general"}</definedName>
    <definedName name="_t7" localSheetId="10"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7" hidden="1">{"TAB1",#N/A,TRUE,"GENERAL";"TAB2",#N/A,TRUE,"GENERAL";"TAB3",#N/A,TRUE,"GENERAL";"TAB4",#N/A,TRUE,"GENERAL";"TAB5",#N/A,TRUE,"GENERAL"}</definedName>
    <definedName name="_t77" localSheetId="10"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7" hidden="1">{"TAB1",#N/A,TRUE,"GENERAL";"TAB2",#N/A,TRUE,"GENERAL";"TAB3",#N/A,TRUE,"GENERAL";"TAB4",#N/A,TRUE,"GENERAL";"TAB5",#N/A,TRUE,"GENERAL"}</definedName>
    <definedName name="_t8" localSheetId="10"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7" hidden="1">{"via1",#N/A,TRUE,"general";"via2",#N/A,TRUE,"general";"via3",#N/A,TRUE,"general"}</definedName>
    <definedName name="_t88" localSheetId="10"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7" hidden="1">{"TAB1",#N/A,TRUE,"GENERAL";"TAB2",#N/A,TRUE,"GENERAL";"TAB3",#N/A,TRUE,"GENERAL";"TAB4",#N/A,TRUE,"GENERAL";"TAB5",#N/A,TRUE,"GENERAL"}</definedName>
    <definedName name="_t9" localSheetId="10"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7" hidden="1">{"via1",#N/A,TRUE,"general";"via2",#N/A,TRUE,"general";"via3",#N/A,TRUE,"general"}</definedName>
    <definedName name="_t99" localSheetId="10"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u4" localSheetId="7" hidden="1">{"TAB1",#N/A,TRUE,"GENERAL";"TAB2",#N/A,TRUE,"GENERAL";"TAB3",#N/A,TRUE,"GENERAL";"TAB4",#N/A,TRUE,"GENERAL";"TAB5",#N/A,TRUE,"GENERAL"}</definedName>
    <definedName name="_u4" localSheetId="10"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7" hidden="1">{"TAB1",#N/A,TRUE,"GENERAL";"TAB2",#N/A,TRUE,"GENERAL";"TAB3",#N/A,TRUE,"GENERAL";"TAB4",#N/A,TRUE,"GENERAL";"TAB5",#N/A,TRUE,"GENERAL"}</definedName>
    <definedName name="_u5" localSheetId="10"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7" hidden="1">{"TAB1",#N/A,TRUE,"GENERAL";"TAB2",#N/A,TRUE,"GENERAL";"TAB3",#N/A,TRUE,"GENERAL";"TAB4",#N/A,TRUE,"GENERAL";"TAB5",#N/A,TRUE,"GENERAL"}</definedName>
    <definedName name="_u6" localSheetId="10"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7" hidden="1">{"via1",#N/A,TRUE,"general";"via2",#N/A,TRUE,"general";"via3",#N/A,TRUE,"general"}</definedName>
    <definedName name="_u7" localSheetId="10"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7" hidden="1">{"TAB1",#N/A,TRUE,"GENERAL";"TAB2",#N/A,TRUE,"GENERAL";"TAB3",#N/A,TRUE,"GENERAL";"TAB4",#N/A,TRUE,"GENERAL";"TAB5",#N/A,TRUE,"GENERAL"}</definedName>
    <definedName name="_u8" localSheetId="10"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7" hidden="1">{"TAB1",#N/A,TRUE,"GENERAL";"TAB2",#N/A,TRUE,"GENERAL";"TAB3",#N/A,TRUE,"GENERAL";"TAB4",#N/A,TRUE,"GENERAL";"TAB5",#N/A,TRUE,"GENERAL"}</definedName>
    <definedName name="_u9" localSheetId="10"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nj1" localSheetId="9" hidden="1">[2]INST!#REF!</definedName>
    <definedName name="_unj1" hidden="1">[2]INST!#REF!</definedName>
    <definedName name="_ur7" localSheetId="7" hidden="1">{"TAB1",#N/A,TRUE,"GENERAL";"TAB2",#N/A,TRUE,"GENERAL";"TAB3",#N/A,TRUE,"GENERAL";"TAB4",#N/A,TRUE,"GENERAL";"TAB5",#N/A,TRUE,"GENERAL"}</definedName>
    <definedName name="_ur7" localSheetId="10"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7" hidden="1">{"via1",#N/A,TRUE,"general";"via2",#N/A,TRUE,"general";"via3",#N/A,TRUE,"general"}</definedName>
    <definedName name="_v2" localSheetId="10"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7" hidden="1">{"TAB1",#N/A,TRUE,"GENERAL";"TAB2",#N/A,TRUE,"GENERAL";"TAB3",#N/A,TRUE,"GENERAL";"TAB4",#N/A,TRUE,"GENERAL";"TAB5",#N/A,TRUE,"GENERAL"}</definedName>
    <definedName name="_v3" localSheetId="10"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7" hidden="1">{"TAB1",#N/A,TRUE,"GENERAL";"TAB2",#N/A,TRUE,"GENERAL";"TAB3",#N/A,TRUE,"GENERAL";"TAB4",#N/A,TRUE,"GENERAL";"TAB5",#N/A,TRUE,"GENERAL"}</definedName>
    <definedName name="_v4" localSheetId="10"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7" hidden="1">{"TAB1",#N/A,TRUE,"GENERAL";"TAB2",#N/A,TRUE,"GENERAL";"TAB3",#N/A,TRUE,"GENERAL";"TAB4",#N/A,TRUE,"GENERAL";"TAB5",#N/A,TRUE,"GENERAL"}</definedName>
    <definedName name="_v5" localSheetId="10"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7" hidden="1">{"TAB1",#N/A,TRUE,"GENERAL";"TAB2",#N/A,TRUE,"GENERAL";"TAB3",#N/A,TRUE,"GENERAL";"TAB4",#N/A,TRUE,"GENERAL";"TAB5",#N/A,TRUE,"GENERAL"}</definedName>
    <definedName name="_v6" localSheetId="10"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7" hidden="1">{"via1",#N/A,TRUE,"general";"via2",#N/A,TRUE,"general";"via3",#N/A,TRUE,"general"}</definedName>
    <definedName name="_v7" localSheetId="10"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7" hidden="1">{"TAB1",#N/A,TRUE,"GENERAL";"TAB2",#N/A,TRUE,"GENERAL";"TAB3",#N/A,TRUE,"GENERAL";"TAB4",#N/A,TRUE,"GENERAL";"TAB5",#N/A,TRUE,"GENERAL"}</definedName>
    <definedName name="_v8" localSheetId="10"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7" hidden="1">{"TAB1",#N/A,TRUE,"GENERAL";"TAB2",#N/A,TRUE,"GENERAL";"TAB3",#N/A,TRUE,"GENERAL";"TAB4",#N/A,TRUE,"GENERAL";"TAB5",#N/A,TRUE,"GENERAL"}</definedName>
    <definedName name="_v9" localSheetId="10"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fv4" localSheetId="7" hidden="1">{"via1",#N/A,TRUE,"general";"via2",#N/A,TRUE,"general";"via3",#N/A,TRUE,"general"}</definedName>
    <definedName name="_vfv4" localSheetId="10"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x1" localSheetId="7" hidden="1">{"TAB1",#N/A,TRUE,"GENERAL";"TAB2",#N/A,TRUE,"GENERAL";"TAB3",#N/A,TRUE,"GENERAL";"TAB4",#N/A,TRUE,"GENERAL";"TAB5",#N/A,TRUE,"GENERAL"}</definedName>
    <definedName name="_x1" localSheetId="10"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7" hidden="1">{"via1",#N/A,TRUE,"general";"via2",#N/A,TRUE,"general";"via3",#N/A,TRUE,"general"}</definedName>
    <definedName name="_x2" localSheetId="10"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7" hidden="1">{"via1",#N/A,TRUE,"general";"via2",#N/A,TRUE,"general";"via3",#N/A,TRUE,"general"}</definedName>
    <definedName name="_x3" localSheetId="10"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7" hidden="1">{"via1",#N/A,TRUE,"general";"via2",#N/A,TRUE,"general";"via3",#N/A,TRUE,"general"}</definedName>
    <definedName name="_x4" localSheetId="10"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7" hidden="1">{"TAB1",#N/A,TRUE,"GENERAL";"TAB2",#N/A,TRUE,"GENERAL";"TAB3",#N/A,TRUE,"GENERAL";"TAB4",#N/A,TRUE,"GENERAL";"TAB5",#N/A,TRUE,"GENERAL"}</definedName>
    <definedName name="_x5" localSheetId="10"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7" hidden="1">{"TAB1",#N/A,TRUE,"GENERAL";"TAB2",#N/A,TRUE,"GENERAL";"TAB3",#N/A,TRUE,"GENERAL";"TAB4",#N/A,TRUE,"GENERAL";"TAB5",#N/A,TRUE,"GENERAL"}</definedName>
    <definedName name="_x6" localSheetId="10"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7" hidden="1">{"TAB1",#N/A,TRUE,"GENERAL";"TAB2",#N/A,TRUE,"GENERAL";"TAB3",#N/A,TRUE,"GENERAL";"TAB4",#N/A,TRUE,"GENERAL";"TAB5",#N/A,TRUE,"GENERAL"}</definedName>
    <definedName name="_x7" localSheetId="10"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7" hidden="1">{"via1",#N/A,TRUE,"general";"via2",#N/A,TRUE,"general";"via3",#N/A,TRUE,"general"}</definedName>
    <definedName name="_x8" localSheetId="10"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7" hidden="1">{"TAB1",#N/A,TRUE,"GENERAL";"TAB2",#N/A,TRUE,"GENERAL";"TAB3",#N/A,TRUE,"GENERAL";"TAB4",#N/A,TRUE,"GENERAL";"TAB5",#N/A,TRUE,"GENERAL"}</definedName>
    <definedName name="_x9" localSheetId="10"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y2" localSheetId="7" hidden="1">{"TAB1",#N/A,TRUE,"GENERAL";"TAB2",#N/A,TRUE,"GENERAL";"TAB3",#N/A,TRUE,"GENERAL";"TAB4",#N/A,TRUE,"GENERAL";"TAB5",#N/A,TRUE,"GENERAL"}</definedName>
    <definedName name="_y2" localSheetId="10"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7" hidden="1">{"via1",#N/A,TRUE,"general";"via2",#N/A,TRUE,"general";"via3",#N/A,TRUE,"general"}</definedName>
    <definedName name="_y3" localSheetId="10"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7" hidden="1">{"via1",#N/A,TRUE,"general";"via2",#N/A,TRUE,"general";"via3",#N/A,TRUE,"general"}</definedName>
    <definedName name="_y4" localSheetId="10"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7" hidden="1">{"TAB1",#N/A,TRUE,"GENERAL";"TAB2",#N/A,TRUE,"GENERAL";"TAB3",#N/A,TRUE,"GENERAL";"TAB4",#N/A,TRUE,"GENERAL";"TAB5",#N/A,TRUE,"GENERAL"}</definedName>
    <definedName name="_y5" localSheetId="10"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7" hidden="1">{"via1",#N/A,TRUE,"general";"via2",#N/A,TRUE,"general";"via3",#N/A,TRUE,"general"}</definedName>
    <definedName name="_y6" localSheetId="10"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7" hidden="1">{"via1",#N/A,TRUE,"general";"via2",#N/A,TRUE,"general";"via3",#N/A,TRUE,"general"}</definedName>
    <definedName name="_y7" localSheetId="10"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7" hidden="1">{"via1",#N/A,TRUE,"general";"via2",#N/A,TRUE,"general";"via3",#N/A,TRUE,"general"}</definedName>
    <definedName name="_y8" localSheetId="10"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7" hidden="1">{"TAB1",#N/A,TRUE,"GENERAL";"TAB2",#N/A,TRUE,"GENERAL";"TAB3",#N/A,TRUE,"GENERAL";"TAB4",#N/A,TRUE,"GENERAL";"TAB5",#N/A,TRUE,"GENERAL"}</definedName>
    <definedName name="_y9" localSheetId="10"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7" hidden="1">{"TAB1",#N/A,TRUE,"GENERAL";"TAB2",#N/A,TRUE,"GENERAL";"TAB3",#N/A,TRUE,"GENERAL";"TAB4",#N/A,TRUE,"GENERAL";"TAB5",#N/A,TRUE,"GENERAL"}</definedName>
    <definedName name="_z1" localSheetId="10"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7" hidden="1">{"via1",#N/A,TRUE,"general";"via2",#N/A,TRUE,"general";"via3",#N/A,TRUE,"general"}</definedName>
    <definedName name="_z2" localSheetId="10"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7" hidden="1">{"via1",#N/A,TRUE,"general";"via2",#N/A,TRUE,"general";"via3",#N/A,TRUE,"general"}</definedName>
    <definedName name="_z3" localSheetId="10"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7" hidden="1">{"TAB1",#N/A,TRUE,"GENERAL";"TAB2",#N/A,TRUE,"GENERAL";"TAB3",#N/A,TRUE,"GENERAL";"TAB4",#N/A,TRUE,"GENERAL";"TAB5",#N/A,TRUE,"GENERAL"}</definedName>
    <definedName name="_z4" localSheetId="10"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7" hidden="1">{"via1",#N/A,TRUE,"general";"via2",#N/A,TRUE,"general";"via3",#N/A,TRUE,"general"}</definedName>
    <definedName name="_z5" localSheetId="10"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7" hidden="1">{"TAB1",#N/A,TRUE,"GENERAL";"TAB2",#N/A,TRUE,"GENERAL";"TAB3",#N/A,TRUE,"GENERAL";"TAB4",#N/A,TRUE,"GENERAL";"TAB5",#N/A,TRUE,"GENERAL"}</definedName>
    <definedName name="_z6" localSheetId="10"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2a" localSheetId="7" hidden="1">{"TAB1",#N/A,TRUE,"GENERAL";"TAB2",#N/A,TRUE,"GENERAL";"TAB3",#N/A,TRUE,"GENERAL";"TAB4",#N/A,TRUE,"GENERAL";"TAB5",#N/A,TRUE,"GENERAL"}</definedName>
    <definedName name="a2a" localSheetId="10"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s" localSheetId="7" hidden="1">{"TAB1",#N/A,TRUE,"GENERAL";"TAB2",#N/A,TRUE,"GENERAL";"TAB3",#N/A,TRUE,"GENERAL";"TAB4",#N/A,TRUE,"GENERAL";"TAB5",#N/A,TRUE,"GENERAL"}</definedName>
    <definedName name="aas" localSheetId="10"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BCD" localSheetId="9" hidden="1">#REF!</definedName>
    <definedName name="ABCD" hidden="1">#REF!</definedName>
    <definedName name="ABCDE" localSheetId="9" hidden="1">#REF!</definedName>
    <definedName name="ABCDE" hidden="1">#REF!</definedName>
    <definedName name="AccessDatabase" hidden="1">"C:\C-314\VOLUMENES\volfin4.mdb"</definedName>
    <definedName name="ADFGSDB" localSheetId="7" hidden="1">{"via1",#N/A,TRUE,"general";"via2",#N/A,TRUE,"general";"via3",#N/A,TRUE,"general"}</definedName>
    <definedName name="ADFGSDB" localSheetId="10"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SAD" localSheetId="7"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fa" localSheetId="7" hidden="1">{"via1",#N/A,TRUE,"general";"via2",#N/A,TRUE,"general";"via3",#N/A,TRUE,"general"}</definedName>
    <definedName name="aefa" localSheetId="10"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fdsw" localSheetId="7"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gdsgg" localSheetId="7" hidden="1">{"via1",#N/A,TRUE,"general";"via2",#N/A,TRUE,"general";"via3",#N/A,TRUE,"general"}</definedName>
    <definedName name="agdsgg" localSheetId="10"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qaq" localSheetId="7" hidden="1">{"TAB1",#N/A,TRUE,"GENERAL";"TAB2",#N/A,TRUE,"GENERAL";"TAB3",#N/A,TRUE,"GENERAL";"TAB4",#N/A,TRUE,"GENERAL";"TAB5",#N/A,TRUE,"GENERAL"}</definedName>
    <definedName name="aqaq" localSheetId="10"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_xlnm.Print_Area" localSheetId="10">'APU ambiental 2019'!$A$1:$E$72</definedName>
    <definedName name="_xlnm.Print_Area" localSheetId="3">'F1 Propuesta económica'!$A$2:$H$80</definedName>
    <definedName name="_xlnm.Print_Area" localSheetId="9">'ITEM DE PAGO'!$A$1:$O$7115</definedName>
    <definedName name="_xlnm.Print_Area" localSheetId="1">'Paso 2 Calculo Factor Multiplic'!$A$1:$C$47</definedName>
    <definedName name="_xlnm.Print_Area" localSheetId="2">'Paso 3 - Publicar en SECOP -PO-'!$A$1:$H$79</definedName>
    <definedName name="_xlnm.Print_Area" localSheetId="8">'PRESUPUESTO OFICIAL'!$A$1:$M$113</definedName>
    <definedName name="Area_impresion">'Paso 2 Calculo Factor Multiplic'!$A$1:$H$46</definedName>
    <definedName name="ASD" localSheetId="7" hidden="1">{"via1",#N/A,TRUE,"general";"via2",#N/A,TRUE,"general";"via3",#N/A,TRUE,"general"}</definedName>
    <definedName name="ASD" localSheetId="10"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7" hidden="1">{"via1",#N/A,TRUE,"general";"via2",#N/A,TRUE,"general";"via3",#N/A,TRUE,"general"}</definedName>
    <definedName name="ASDA" localSheetId="10"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7"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f" localSheetId="7" hidden="1">{"via1",#N/A,TRUE,"general";"via2",#N/A,TRUE,"general";"via3",#N/A,TRUE,"general"}</definedName>
    <definedName name="asdf" localSheetId="10"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7" hidden="1">{"via1",#N/A,TRUE,"general";"via2",#N/A,TRUE,"general";"via3",#N/A,TRUE,"general"}</definedName>
    <definedName name="asdfa" localSheetId="10"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fasd" localSheetId="7" hidden="1">{"via1",#N/A,TRUE,"general";"via2",#N/A,TRUE,"general";"via3",#N/A,TRUE,"general"}</definedName>
    <definedName name="asfasd" localSheetId="10"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7" hidden="1">{"via1",#N/A,TRUE,"general";"via2",#N/A,TRUE,"general";"via3",#N/A,TRUE,"general"}</definedName>
    <definedName name="asfasdl" localSheetId="10"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dfe" localSheetId="9" hidden="1">{#N/A,#N/A,TRUE,"INGENIERIA";#N/A,#N/A,TRUE,"COMPRAS";#N/A,#N/A,TRUE,"DIRECCION";#N/A,#N/A,TRUE,"RESUMEN"}</definedName>
    <definedName name="asfdfe" hidden="1">{#N/A,#N/A,TRUE,"INGENIERIA";#N/A,#N/A,TRUE,"COMPRAS";#N/A,#N/A,TRUE,"DIRECCION";#N/A,#N/A,TRUE,"RESUMEN"}</definedName>
    <definedName name="asff" localSheetId="7" hidden="1">{"TAB1",#N/A,TRUE,"GENERAL";"TAB2",#N/A,TRUE,"GENERAL";"TAB3",#N/A,TRUE,"GENERAL";"TAB4",#N/A,TRUE,"GENERAL";"TAB5",#N/A,TRUE,"GENERAL"}</definedName>
    <definedName name="asff" localSheetId="10"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7" hidden="1">{"via1",#N/A,TRUE,"general";"via2",#N/A,TRUE,"general";"via3",#N/A,TRUE,"general"}</definedName>
    <definedName name="asfghjoi" localSheetId="10"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7"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zaz" localSheetId="7" hidden="1">{"TAB1",#N/A,TRUE,"GENERAL";"TAB2",#N/A,TRUE,"GENERAL";"TAB3",#N/A,TRUE,"GENERAL";"TAB4",#N/A,TRUE,"GENERAL";"TAB5",#N/A,TRUE,"GENERAL"}</definedName>
    <definedName name="azaz" localSheetId="10"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7" hidden="1">{"via1",#N/A,TRUE,"general";"via2",#N/A,TRUE,"general";"via3",#N/A,TRUE,"general"}</definedName>
    <definedName name="B" localSheetId="10" hidden="1">{"via1",#N/A,TRUE,"general";"via2",#N/A,TRUE,"general";"via3",#N/A,TRUE,"general"}</definedName>
    <definedName name="B" localSheetId="9" hidden="1">{"via1",#N/A,TRUE,"general";"via2",#N/A,TRUE,"general";"via3",#N/A,TRUE,"general"}</definedName>
    <definedName name="B" hidden="1">{"via1",#N/A,TRUE,"general";"via2",#N/A,TRUE,"general";"via3",#N/A,TRUE,"general"}</definedName>
    <definedName name="bbbbbb" localSheetId="7" hidden="1">{"via1",#N/A,TRUE,"general";"via2",#N/A,TRUE,"general";"via3",#N/A,TRUE,"general"}</definedName>
    <definedName name="bbbbbb" localSheetId="10"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7"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7" hidden="1">{"TAB1",#N/A,TRUE,"GENERAL";"TAB2",#N/A,TRUE,"GENERAL";"TAB3",#N/A,TRUE,"GENERAL";"TAB4",#N/A,TRUE,"GENERAL";"TAB5",#N/A,TRUE,"GENERAL"}</definedName>
    <definedName name="bbd" localSheetId="10"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FB" localSheetId="7" hidden="1">{"via1",#N/A,TRUE,"general";"via2",#N/A,TRUE,"general";"via3",#N/A,TRUE,"general"}</definedName>
    <definedName name="BDFB" localSheetId="10"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7"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e" localSheetId="7" hidden="1">{"TAB1",#N/A,TRUE,"GENERAL";"TAB2",#N/A,TRUE,"GENERAL";"TAB3",#N/A,TRUE,"GENERAL";"TAB4",#N/A,TRUE,"GENERAL";"TAB5",#N/A,TRUE,"GENERAL"}</definedName>
    <definedName name="be" localSheetId="10"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7" hidden="1">{"TAB1",#N/A,TRUE,"GENERAL";"TAB2",#N/A,TRUE,"GENERAL";"TAB3",#N/A,TRUE,"GENERAL";"TAB4",#N/A,TRUE,"GENERAL";"TAB5",#N/A,TRUE,"GENERAL"}</definedName>
    <definedName name="bgb" localSheetId="10"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7" hidden="1">{"via1",#N/A,TRUE,"general";"via2",#N/A,TRUE,"general";"via3",#N/A,TRUE,"general"}</definedName>
    <definedName name="BGDGFRT" localSheetId="10"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7" hidden="1">{"via1",#N/A,TRUE,"general";"via2",#N/A,TRUE,"general";"via3",#N/A,TRUE,"general"}</definedName>
    <definedName name="BGFBFH" localSheetId="10"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vfcdx" localSheetId="7" hidden="1">{"via1",#N/A,TRUE,"general";"via2",#N/A,TRUE,"general";"via3",#N/A,TRUE,"general"}</definedName>
    <definedName name="bgvfcdx" localSheetId="10"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LPH1" localSheetId="9" hidden="1">#REF!</definedName>
    <definedName name="BLPH1" hidden="1">#REF!</definedName>
    <definedName name="br" localSheetId="7" hidden="1">{"TAB1",#N/A,TRUE,"GENERAL";"TAB2",#N/A,TRUE,"GENERAL";"TAB3",#N/A,TRUE,"GENERAL";"TAB4",#N/A,TRUE,"GENERAL";"TAB5",#N/A,TRUE,"GENERAL"}</definedName>
    <definedName name="br" localSheetId="10"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sb" localSheetId="7" hidden="1">{"via1",#N/A,TRUE,"general";"via2",#N/A,TRUE,"general";"via3",#N/A,TRUE,"general"}</definedName>
    <definedName name="bsb" localSheetId="10"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7"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t" localSheetId="7" hidden="1">{"via1",#N/A,TRUE,"general";"via2",#N/A,TRUE,"general";"via3",#N/A,TRUE,"general"}</definedName>
    <definedName name="bt" localSheetId="10"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7"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vbc" localSheetId="7" hidden="1">{"TAB1",#N/A,TRUE,"GENERAL";"TAB2",#N/A,TRUE,"GENERAL";"TAB3",#N/A,TRUE,"GENERAL";"TAB4",#N/A,TRUE,"GENERAL";"TAB5",#N/A,TRUE,"GENERAL"}</definedName>
    <definedName name="bvbc" localSheetId="10"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7" hidden="1">{"via1",#N/A,TRUE,"general";"via2",#N/A,TRUE,"general";"via3",#N/A,TRUE,"general"}</definedName>
    <definedName name="bvcb" localSheetId="10"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7" hidden="1">{"via1",#N/A,TRUE,"general";"via2",#N/A,TRUE,"general";"via3",#N/A,TRUE,"general"}</definedName>
    <definedName name="bvn" localSheetId="10"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7" hidden="1">{"via1",#N/A,TRUE,"general";"via2",#N/A,TRUE,"general";"via3",#N/A,TRUE,"general"}</definedName>
    <definedName name="by" localSheetId="10"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BWorkbookPriority" hidden="1">-1602700874</definedName>
    <definedName name="ccccc" localSheetId="7"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dcdc" localSheetId="7" hidden="1">{"via1",#N/A,TRUE,"general";"via2",#N/A,TRUE,"general";"via3",#N/A,TRUE,"general"}</definedName>
    <definedName name="cdcdc" localSheetId="10"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fgrtfd" localSheetId="9" hidden="1">#REF!</definedName>
    <definedName name="cdfgrtfd" hidden="1">#REF!</definedName>
    <definedName name="ceerf" localSheetId="7"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jsa" localSheetId="9" hidden="1">#REF!</definedName>
    <definedName name="cjsa" hidden="1">#REF!</definedName>
    <definedName name="costo2" localSheetId="9" hidden="1">#REF!</definedName>
    <definedName name="costo2" hidden="1">#REF!</definedName>
    <definedName name="CUNET" localSheetId="7" hidden="1">{"via1",#N/A,TRUE,"general";"via2",#N/A,TRUE,"general";"via3",#N/A,TRUE,"general"}</definedName>
    <definedName name="CUNET" localSheetId="10"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v" localSheetId="7" hidden="1">{"TAB1",#N/A,TRUE,"GENERAL";"TAB2",#N/A,TRUE,"GENERAL";"TAB3",#N/A,TRUE,"GENERAL";"TAB4",#N/A,TRUE,"GENERAL";"TAB5",#N/A,TRUE,"GENERAL"}</definedName>
    <definedName name="cv" localSheetId="10" hidden="1">{"TAB1",#N/A,TRUE,"GENERAL";"TAB2",#N/A,TRUE,"GENERAL";"TAB3",#N/A,TRUE,"GENERAL";"TAB4",#N/A,TRUE,"GENERAL";"TAB5",#N/A,TRUE,"GENERAL"}</definedName>
    <definedName name="cv" hidden="1">{"TAB1",#N/A,TRUE,"GENERAL";"TAB2",#N/A,TRUE,"GENERAL";"TAB3",#N/A,TRUE,"GENERAL";"TAB4",#N/A,TRUE,"GENERAL";"TAB5",#N/A,TRUE,"GENERAL"}</definedName>
    <definedName name="cvbcvbf" localSheetId="9" hidden="1">{#N/A,#N/A,TRUE,"INGENIERIA";#N/A,#N/A,TRUE,"COMPRAS";#N/A,#N/A,TRUE,"DIRECCION";#N/A,#N/A,TRUE,"RESUMEN"}</definedName>
    <definedName name="cvbcvbf" hidden="1">{#N/A,#N/A,TRUE,"INGENIERIA";#N/A,#N/A,TRUE,"COMPRAS";#N/A,#N/A,TRUE,"DIRECCION";#N/A,#N/A,TRUE,"RESUMEN"}</definedName>
    <definedName name="cvfvd" localSheetId="7" hidden="1">{"via1",#N/A,TRUE,"general";"via2",#N/A,TRUE,"general";"via3",#N/A,TRUE,"general"}</definedName>
    <definedName name="cvfvd" localSheetId="10"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7" hidden="1">{"TAB1",#N/A,TRUE,"GENERAL";"TAB2",#N/A,TRUE,"GENERAL";"TAB3",#N/A,TRUE,"GENERAL";"TAB4",#N/A,TRUE,"GENERAL";"TAB5",#N/A,TRUE,"GENERAL"}</definedName>
    <definedName name="cvn" localSheetId="10"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7" hidden="1">{"via1",#N/A,TRUE,"general";"via2",#N/A,TRUE,"general";"via3",#N/A,TRUE,"general"}</definedName>
    <definedName name="CVXC" localSheetId="10"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7" hidden="1">{"TAB1",#N/A,TRUE,"GENERAL";"TAB2",#N/A,TRUE,"GENERAL";"TAB3",#N/A,TRUE,"GENERAL";"TAB4",#N/A,TRUE,"GENERAL";"TAB5",#N/A,TRUE,"GENERAL"}</definedName>
    <definedName name="d" localSheetId="10" hidden="1">{"TAB1",#N/A,TRUE,"GENERAL";"TAB2",#N/A,TRUE,"GENERAL";"TAB3",#N/A,TRUE,"GENERAL";"TAB4",#N/A,TRUE,"GENERAL";"TAB5",#N/A,TRUE,"GENERAL"}</definedName>
    <definedName name="d" localSheetId="9" hidden="1">{"TAB1",#N/A,TRUE,"GENERAL";"TAB2",#N/A,TRUE,"GENERAL";"TAB3",#N/A,TRUE,"GENERAL";"TAB4",#N/A,TRUE,"GENERAL";"TAB5",#N/A,TRUE,"GENERAL"}</definedName>
    <definedName name="d" hidden="1">{"TAB1",#N/A,TRUE,"GENERAL";"TAB2",#N/A,TRUE,"GENERAL";"TAB3",#N/A,TRUE,"GENERAL";"TAB4",#N/A,TRUE,"GENERAL";"TAB5",#N/A,TRUE,"GENERAL"}</definedName>
    <definedName name="DASD" localSheetId="7" hidden="1">{"TAB1",#N/A,TRUE,"GENERAL";"TAB2",#N/A,TRUE,"GENERAL";"TAB3",#N/A,TRUE,"GENERAL";"TAB4",#N/A,TRUE,"GENERAL";"TAB5",#N/A,TRUE,"GENERAL"}</definedName>
    <definedName name="DASD" localSheetId="10"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CSDCTV" localSheetId="7" hidden="1">{"via1",#N/A,TRUE,"general";"via2",#N/A,TRUE,"general";"via3",#N/A,TRUE,"general"}</definedName>
    <definedName name="DCSDCTV" localSheetId="10"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localSheetId="10"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 localSheetId="9"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9"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7" hidden="1">{"via1",#N/A,TRUE,"general";"via2",#N/A,TRUE,"general";"via3",#N/A,TRUE,"general"}</definedName>
    <definedName name="ddddt" localSheetId="10"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7"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fd" localSheetId="7" hidden="1">{"via1",#N/A,TRUE,"general";"via2",#N/A,TRUE,"general";"via3",#N/A,TRUE,"general"}</definedName>
    <definedName name="defd" localSheetId="10"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fa" localSheetId="7" hidden="1">{"TAB1",#N/A,TRUE,"GENERAL";"TAB2",#N/A,TRUE,"GENERAL";"TAB3",#N/A,TRUE,"GENERAL";"TAB4",#N/A,TRUE,"GENERAL";"TAB5",#N/A,TRUE,"GENERAL"}</definedName>
    <definedName name="dfa" localSheetId="10"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7" hidden="1">{"via1",#N/A,TRUE,"general";"via2",#N/A,TRUE,"general";"via3",#N/A,TRUE,"general"}</definedName>
    <definedName name="DFBNJ" localSheetId="10"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7" hidden="1">{"TAB1",#N/A,TRUE,"GENERAL";"TAB2",#N/A,TRUE,"GENERAL";"TAB3",#N/A,TRUE,"GENERAL";"TAB4",#N/A,TRUE,"GENERAL";"TAB5",#N/A,TRUE,"GENERAL"}</definedName>
    <definedName name="dfds" localSheetId="10"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7" hidden="1">{"via1",#N/A,TRUE,"general";"via2",#N/A,TRUE,"general";"via3",#N/A,TRUE,"general"}</definedName>
    <definedName name="dfdsfi" localSheetId="10"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7"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7" hidden="1">{"via1",#N/A,TRUE,"general";"via2",#N/A,TRUE,"general";"via3",#N/A,TRUE,"general"}</definedName>
    <definedName name="DFG" localSheetId="10"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7" hidden="1">{"via1",#N/A,TRUE,"general";"via2",#N/A,TRUE,"general";"via3",#N/A,TRUE,"general"}</definedName>
    <definedName name="DFGBHJ" localSheetId="10"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7" hidden="1">{"via1",#N/A,TRUE,"general";"via2",#N/A,TRUE,"general";"via3",#N/A,TRUE,"general"}</definedName>
    <definedName name="DFGDFG" localSheetId="10"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7"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7" hidden="1">{"via1",#N/A,TRUE,"general";"via2",#N/A,TRUE,"general";"via3",#N/A,TRUE,"general"}</definedName>
    <definedName name="dfgf" localSheetId="10"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7"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7" hidden="1">{"TAB1",#N/A,TRUE,"GENERAL";"TAB2",#N/A,TRUE,"GENERAL";"TAB3",#N/A,TRUE,"GENERAL";"TAB4",#N/A,TRUE,"GENERAL";"TAB5",#N/A,TRUE,"GENERAL"}</definedName>
    <definedName name="DFGV" localSheetId="10"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7" hidden="1">{"TAB1",#N/A,TRUE,"GENERAL";"TAB2",#N/A,TRUE,"GENERAL";"TAB3",#N/A,TRUE,"GENERAL";"TAB4",#N/A,TRUE,"GENERAL";"TAB5",#N/A,TRUE,"GENERAL"}</definedName>
    <definedName name="dfh" localSheetId="10"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7" hidden="1">{"via1",#N/A,TRUE,"general";"via2",#N/A,TRUE,"general";"via3",#N/A,TRUE,"general"}</definedName>
    <definedName name="dfhdr" localSheetId="10"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7" hidden="1">{"via1",#N/A,TRUE,"general";"via2",#N/A,TRUE,"general";"via3",#N/A,TRUE,"general"}</definedName>
    <definedName name="dfhgh" localSheetId="10"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7" hidden="1">{"via1",#N/A,TRUE,"general";"via2",#N/A,TRUE,"general";"via3",#N/A,TRUE,"general"}</definedName>
    <definedName name="dfj" localSheetId="10"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RFRF" localSheetId="7" hidden="1">{"via1",#N/A,TRUE,"general";"via2",#N/A,TRUE,"general";"via3",#N/A,TRUE,"general"}</definedName>
    <definedName name="DFRFRF" localSheetId="10"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VUI" localSheetId="7" hidden="1">{"via1",#N/A,TRUE,"general";"via2",#N/A,TRUE,"general";"via3",#N/A,TRUE,"general"}</definedName>
    <definedName name="DFVUI" localSheetId="10"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7" hidden="1">{"via1",#N/A,TRUE,"general";"via2",#N/A,TRUE,"general";"via3",#N/A,TRUE,"general"}</definedName>
    <definedName name="dg" localSheetId="10"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7" hidden="1">{"via1",#N/A,TRUE,"general";"via2",#N/A,TRUE,"general";"via3",#N/A,TRUE,"general"}</definedName>
    <definedName name="dgdgr" localSheetId="10"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7" hidden="1">{"TAB1",#N/A,TRUE,"GENERAL";"TAB2",#N/A,TRUE,"GENERAL";"TAB3",#N/A,TRUE,"GENERAL";"TAB4",#N/A,TRUE,"GENERAL";"TAB5",#N/A,TRUE,"GENERAL"}</definedName>
    <definedName name="dgfd" localSheetId="10"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7" hidden="1">{"via1",#N/A,TRUE,"general";"via2",#N/A,TRUE,"general";"via3",#N/A,TRUE,"general"}</definedName>
    <definedName name="DGFDFVSDF" localSheetId="10"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7" hidden="1">{"via1",#N/A,TRUE,"general";"via2",#N/A,TRUE,"general";"via3",#N/A,TRUE,"general"}</definedName>
    <definedName name="dgfdg" localSheetId="10"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7" hidden="1">{"via1",#N/A,TRUE,"general";"via2",#N/A,TRUE,"general";"via3",#N/A,TRUE,"general"}</definedName>
    <definedName name="DGFG" localSheetId="10"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7"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7" hidden="1">{"via1",#N/A,TRUE,"general";"via2",#N/A,TRUE,"general";"via3",#N/A,TRUE,"general"}</definedName>
    <definedName name="dgreg" localSheetId="10"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7" hidden="1">{"via1",#N/A,TRUE,"general";"via2",#N/A,TRUE,"general";"via3",#N/A,TRUE,"general"}</definedName>
    <definedName name="DH" localSheetId="10"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7"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7" hidden="1">{"via1",#N/A,TRUE,"general";"via2",#N/A,TRUE,"general";"via3",#N/A,TRUE,"general"}</definedName>
    <definedName name="dhgh" localSheetId="10"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jdytj" localSheetId="7"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ry" localSheetId="7" hidden="1">{"via1",#N/A,TRUE,"general";"via2",#N/A,TRUE,"general";"via3",#N/A,TRUE,"general"}</definedName>
    <definedName name="dry" localSheetId="10"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AD" localSheetId="7" hidden="1">{"via1",#N/A,TRUE,"general";"via2",#N/A,TRUE,"general";"via3",#N/A,TRUE,"general"}</definedName>
    <definedName name="DSAD" localSheetId="10"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7"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D" localSheetId="7" hidden="1">{"via1",#N/A,TRUE,"general";"via2",#N/A,TRUE,"general";"via3",#N/A,TRUE,"general"}</definedName>
    <definedName name="DSD" localSheetId="10"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7"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F" localSheetId="7" hidden="1">{"via1",#N/A,TRUE,"general";"via2",#N/A,TRUE,"general";"via3",#N/A,TRUE,"general"}</definedName>
    <definedName name="DSF" localSheetId="10"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7"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7" hidden="1">{"via1",#N/A,TRUE,"general";"via2",#N/A,TRUE,"general";"via3",#N/A,TRUE,"general"}</definedName>
    <definedName name="dsfg" localSheetId="10"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7"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7" hidden="1">{"via1",#N/A,TRUE,"general";"via2",#N/A,TRUE,"general";"via3",#N/A,TRUE,"general"}</definedName>
    <definedName name="dsfsdf" localSheetId="10"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7"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7" hidden="1">{"via1",#N/A,TRUE,"general";"via2",#N/A,TRUE,"general";"via3",#N/A,TRUE,"general"}</definedName>
    <definedName name="dsftbv" localSheetId="10"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trhj" localSheetId="7" hidden="1">{"via1",#N/A,TRUE,"general";"via2",#N/A,TRUE,"general";"via3",#N/A,TRUE,"general"}</definedName>
    <definedName name="dtrhj" localSheetId="10"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xfgg" localSheetId="7" hidden="1">{"via1",#N/A,TRUE,"general";"via2",#N/A,TRUE,"general";"via3",#N/A,TRUE,"general"}</definedName>
    <definedName name="dxfgg" localSheetId="10"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3e33" localSheetId="7" hidden="1">{"via1",#N/A,TRUE,"general";"via2",#N/A,TRUE,"general";"via3",#N/A,TRUE,"general"}</definedName>
    <definedName name="e3e33" localSheetId="10"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DEDWSWQA" localSheetId="7"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7" hidden="1">{"via1",#N/A,TRUE,"general";"via2",#N/A,TRUE,"general";"via3",#N/A,TRUE,"general"}</definedName>
    <definedName name="edgfhmn" localSheetId="10"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eedfr" localSheetId="7"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7" hidden="1">{"via1",#N/A,TRUE,"general";"via2",#N/A,TRUE,"general";"via3",#N/A,TRUE,"general"}</definedName>
    <definedName name="eeerfd" localSheetId="10"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ef" localSheetId="7" hidden="1">{"TAB1",#N/A,TRUE,"GENERAL";"TAB2",#N/A,TRUE,"GENERAL";"TAB3",#N/A,TRUE,"GENERAL";"TAB4",#N/A,TRUE,"GENERAL";"TAB5",#N/A,TRUE,"GENERAL"}</definedName>
    <definedName name="efef" localSheetId="10"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7" hidden="1">{"via1",#N/A,TRUE,"general";"via2",#N/A,TRUE,"general";"via3",#N/A,TRUE,"general"}</definedName>
    <definedName name="efer" localSheetId="10"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geg" localSheetId="7" hidden="1">{"TAB1",#N/A,TRUE,"GENERAL";"TAB2",#N/A,TRUE,"GENERAL";"TAB3",#N/A,TRUE,"GENERAL";"TAB4",#N/A,TRUE,"GENERAL";"TAB5",#N/A,TRUE,"GENERAL"}</definedName>
    <definedName name="egeg" localSheetId="10"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qw" localSheetId="7" hidden="1">{"via1",#N/A,TRUE,"general";"via2",#N/A,TRUE,"general";"via3",#N/A,TRUE,"general"}</definedName>
    <definedName name="eqw" localSheetId="10"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fg" localSheetId="9" hidden="1">{#N/A,#N/A,FALSE,"Hoja1";#N/A,#N/A,FALSE,"Hoja2"}</definedName>
    <definedName name="erfg" hidden="1">{#N/A,#N/A,FALSE,"Hoja1";#N/A,#N/A,FALSE,"Hoja2"}</definedName>
    <definedName name="erg" localSheetId="7" hidden="1">{"TAB1",#N/A,TRUE,"GENERAL";"TAB2",#N/A,TRUE,"GENERAL";"TAB3",#N/A,TRUE,"GENERAL";"TAB4",#N/A,TRUE,"GENERAL";"TAB5",#N/A,TRUE,"GENERAL"}</definedName>
    <definedName name="erg" localSheetId="10"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7" hidden="1">{"via1",#N/A,TRUE,"general";"via2",#N/A,TRUE,"general";"via3",#N/A,TRUE,"general"}</definedName>
    <definedName name="erger" localSheetId="10"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7" hidden="1">{"via1",#N/A,TRUE,"general";"via2",#N/A,TRUE,"general";"via3",#N/A,TRUE,"general"}</definedName>
    <definedName name="ergerg" localSheetId="10"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7" hidden="1">{"via1",#N/A,TRUE,"general";"via2",#N/A,TRUE,"general";"via3",#N/A,TRUE,"general"}</definedName>
    <definedName name="ergfegr" localSheetId="10"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7"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7" hidden="1">{"via1",#N/A,TRUE,"general";"via2",#N/A,TRUE,"general";"via3",#N/A,TRUE,"general"}</definedName>
    <definedName name="erggewg" localSheetId="10"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7"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7" hidden="1">{"via1",#N/A,TRUE,"general";"via2",#N/A,TRUE,"general";"via3",#N/A,TRUE,"general"}</definedName>
    <definedName name="ergregerg" localSheetId="10"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7"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7" hidden="1">{"via1",#N/A,TRUE,"general";"via2",#N/A,TRUE,"general";"via3",#N/A,TRUE,"general"}</definedName>
    <definedName name="ergwreg" localSheetId="10"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7"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7" hidden="1">{"TAB1",#N/A,TRUE,"GENERAL";"TAB2",#N/A,TRUE,"GENERAL";"TAB3",#N/A,TRUE,"GENERAL";"TAB4",#N/A,TRUE,"GENERAL";"TAB5",#N/A,TRUE,"GENERAL"}</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7" hidden="1">{"via1",#N/A,TRUE,"general";"via2",#N/A,TRUE,"general";"via3",#N/A,TRUE,"general"}</definedName>
    <definedName name="ert" localSheetId="10"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7" hidden="1">{"via1",#N/A,TRUE,"general";"via2",#N/A,TRUE,"general";"via3",#N/A,TRUE,"general"}</definedName>
    <definedName name="erte" localSheetId="10"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7"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7" hidden="1">{"via1",#N/A,TRUE,"general";"via2",#N/A,TRUE,"general";"via3",#N/A,TRUE,"general"}</definedName>
    <definedName name="ertert" localSheetId="10"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7"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7" hidden="1">{"via1",#N/A,TRUE,"general";"via2",#N/A,TRUE,"general";"via3",#N/A,TRUE,"general"}</definedName>
    <definedName name="ertreb" localSheetId="10"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7"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7" hidden="1">{"via1",#N/A,TRUE,"general";"via2",#N/A,TRUE,"general";"via3",#N/A,TRUE,"general"}</definedName>
    <definedName name="erttret" localSheetId="10"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7" hidden="1">{"via1",#N/A,TRUE,"general";"via2",#N/A,TRUE,"general";"via3",#N/A,TRUE,"general"}</definedName>
    <definedName name="ertuiy" localSheetId="10"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7"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u" localSheetId="7" hidden="1">{"TAB1",#N/A,TRUE,"GENERAL";"TAB2",#N/A,TRUE,"GENERAL";"TAB3",#N/A,TRUE,"GENERAL";"TAB4",#N/A,TRUE,"GENERAL";"TAB5",#N/A,TRUE,"GENERAL"}</definedName>
    <definedName name="eru" localSheetId="10"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7" hidden="1">{"via1",#N/A,TRUE,"general";"via2",#N/A,TRUE,"general";"via3",#N/A,TRUE,"general"}</definedName>
    <definedName name="ERV" localSheetId="10"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7" hidden="1">{"via1",#N/A,TRUE,"general";"via2",#N/A,TRUE,"general";"via3",#N/A,TRUE,"general"}</definedName>
    <definedName name="erware" localSheetId="10"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7" hidden="1">{"via1",#N/A,TRUE,"general";"via2",#N/A,TRUE,"general";"via3",#N/A,TRUE,"general"}</definedName>
    <definedName name="ERWER" localSheetId="10"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7"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7" hidden="1">{"TAB1",#N/A,TRUE,"GENERAL";"TAB2",#N/A,TRUE,"GENERAL";"TAB3",#N/A,TRUE,"GENERAL";"TAB4",#N/A,TRUE,"GENERAL";"TAB5",#N/A,TRUE,"GENERAL"}</definedName>
    <definedName name="erwr" localSheetId="10"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7" hidden="1">{"via1",#N/A,TRUE,"general";"via2",#N/A,TRUE,"general";"via3",#N/A,TRUE,"general"}</definedName>
    <definedName name="ERWRL" localSheetId="10"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7" hidden="1">{"via1",#N/A,TRUE,"general";"via2",#N/A,TRUE,"general";"via3",#N/A,TRUE,"general"}</definedName>
    <definedName name="ery" localSheetId="10"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7" hidden="1">{"via1",#N/A,TRUE,"general";"via2",#N/A,TRUE,"general";"via3",#N/A,TRUE,"general"}</definedName>
    <definedName name="eryhd" localSheetId="10"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7"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7" hidden="1">{"via1",#N/A,TRUE,"general";"via2",#N/A,TRUE,"general";"via3",#N/A,TRUE,"general"}</definedName>
    <definedName name="erytd" localSheetId="10"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7" hidden="1">{"via1",#N/A,TRUE,"general";"via2",#N/A,TRUE,"general";"via3",#N/A,TRUE,"general"}</definedName>
    <definedName name="eryty" localSheetId="10"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7" hidden="1">{"via1",#N/A,TRUE,"general";"via2",#N/A,TRUE,"general";"via3",#N/A,TRUE,"general"}</definedName>
    <definedName name="eryy" localSheetId="10"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TRUCTURA" localSheetId="9" hidden="1">{#N/A,#N/A,TRUE,"INGENIERIA";#N/A,#N/A,TRUE,"COMPRAS";#N/A,#N/A,TRUE,"DIRECCION";#N/A,#N/A,TRUE,"RESUMEN"}</definedName>
    <definedName name="ESTRUCTURA" hidden="1">{#N/A,#N/A,TRUE,"INGENIERIA";#N/A,#N/A,TRUE,"COMPRAS";#N/A,#N/A,TRUE,"DIRECCION";#N/A,#N/A,TRUE,"RESUMEN"}</definedName>
    <definedName name="etertgg" localSheetId="7" hidden="1">{"via1",#N/A,TRUE,"general";"via2",#N/A,TRUE,"general";"via3",#N/A,TRUE,"general"}</definedName>
    <definedName name="etertgg" localSheetId="10"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rtt" localSheetId="9" hidden="1">{#N/A,#N/A,TRUE,"1842CWN0"}</definedName>
    <definedName name="etertt" hidden="1">{#N/A,#N/A,TRUE,"1842CWN0"}</definedName>
    <definedName name="etewt" localSheetId="7"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7" hidden="1">{"via1",#N/A,TRUE,"general";"via2",#N/A,TRUE,"general";"via3",#N/A,TRUE,"general"}</definedName>
    <definedName name="etu" localSheetId="10"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7" hidden="1">{"via1",#N/A,TRUE,"general";"via2",#N/A,TRUE,"general";"via3",#N/A,TRUE,"general"}</definedName>
    <definedName name="etueh" localSheetId="10"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ty" localSheetId="7" hidden="1">{"via1",#N/A,TRUE,"general";"via2",#N/A,TRUE,"general";"via3",#N/A,TRUE,"general"}</definedName>
    <definedName name="etyty" localSheetId="10"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7" hidden="1">{"TAB1",#N/A,TRUE,"GENERAL";"TAB2",#N/A,TRUE,"GENERAL";"TAB3",#N/A,TRUE,"GENERAL";"TAB4",#N/A,TRUE,"GENERAL";"TAB5",#N/A,TRUE,"GENERAL"}</definedName>
    <definedName name="etyu" localSheetId="10"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7" hidden="1">{"via1",#N/A,TRUE,"general";"via2",#N/A,TRUE,"general";"via3",#N/A,TRUE,"general"}</definedName>
    <definedName name="eu" localSheetId="10"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7" hidden="1">{"via1",#N/A,TRUE,"general";"via2",#N/A,TRUE,"general";"via3",#N/A,TRUE,"general"}</definedName>
    <definedName name="eut" localSheetId="10"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7" hidden="1">{"TAB1",#N/A,TRUE,"GENERAL";"TAB2",#N/A,TRUE,"GENERAL";"TAB3",#N/A,TRUE,"GENERAL";"TAB4",#N/A,TRUE,"GENERAL";"TAB5",#N/A,TRUE,"GENERAL"}</definedName>
    <definedName name="euyt" localSheetId="10"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7" hidden="1">{"TAB1",#N/A,TRUE,"GENERAL";"TAB2",#N/A,TRUE,"GENERAL";"TAB3",#N/A,TRUE,"GENERAL";"TAB4",#N/A,TRUE,"GENERAL";"TAB5",#N/A,TRUE,"GENERAL"}</definedName>
    <definedName name="ewre" localSheetId="10"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7" hidden="1">{"TAB1",#N/A,TRUE,"GENERAL";"TAB2",#N/A,TRUE,"GENERAL";"TAB3",#N/A,TRUE,"GENERAL";"TAB4",#N/A,TRUE,"GENERAL";"TAB5",#N/A,TRUE,"GENERAL"}</definedName>
    <definedName name="ewrr" localSheetId="10"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7" hidden="1">{"TAB1",#N/A,TRUE,"GENERAL";"TAB2",#N/A,TRUE,"GENERAL";"TAB3",#N/A,TRUE,"GENERAL";"TAB4",#N/A,TRUE,"GENERAL";"TAB5",#N/A,TRUE,"GENERAL"}</definedName>
    <definedName name="ewrt" localSheetId="10"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 localSheetId="9" hidden="1">#REF!</definedName>
    <definedName name="EX" hidden="1">#REF!</definedName>
    <definedName name="EX_1" localSheetId="9" hidden="1">#REF!</definedName>
    <definedName name="EX_1" hidden="1">#REF!</definedName>
    <definedName name="fda" localSheetId="7" hidden="1">{"TAB1",#N/A,TRUE,"GENERAL";"TAB2",#N/A,TRUE,"GENERAL";"TAB3",#N/A,TRUE,"GENERAL";"TAB4",#N/A,TRUE,"GENERAL";"TAB5",#N/A,TRUE,"GENERAL"}</definedName>
    <definedName name="fda" localSheetId="10"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7" hidden="1">{"TAB1",#N/A,TRUE,"GENERAL";"TAB2",#N/A,TRUE,"GENERAL";"TAB3",#N/A,TRUE,"GENERAL";"TAB4",#N/A,TRUE,"GENERAL";"TAB5",#N/A,TRUE,"GENERAL"}</definedName>
    <definedName name="fdf" localSheetId="10"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g" localSheetId="7" hidden="1">{"via1",#N/A,TRUE,"general";"via2",#N/A,TRUE,"general";"via3",#N/A,TRUE,"general"}</definedName>
    <definedName name="fdg" localSheetId="10"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7" hidden="1">{"TAB1",#N/A,TRUE,"GENERAL";"TAB2",#N/A,TRUE,"GENERAL";"TAB3",#N/A,TRUE,"GENERAL";"TAB4",#N/A,TRUE,"GENERAL";"TAB5",#N/A,TRUE,"GENERAL"}</definedName>
    <definedName name="FDGD" localSheetId="10"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7" hidden="1">{"TAB1",#N/A,TRUE,"GENERAL";"TAB2",#N/A,TRUE,"GENERAL";"TAB3",#N/A,TRUE,"GENERAL";"TAB4",#N/A,TRUE,"GENERAL";"TAB5",#N/A,TRUE,"GENERAL"}</definedName>
    <definedName name="fdh" localSheetId="10"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7" hidden="1">{"TAB1",#N/A,TRUE,"GENERAL";"TAB2",#N/A,TRUE,"GENERAL";"TAB3",#N/A,TRUE,"GENERAL";"TAB4",#N/A,TRUE,"GENERAL";"TAB5",#N/A,TRUE,"GENERAL"}</definedName>
    <definedName name="fdsf" localSheetId="10"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7" hidden="1">{"via1",#N/A,TRUE,"general";"via2",#N/A,TRUE,"general";"via3",#N/A,TRUE,"general"}</definedName>
    <definedName name="fdsfdsf" localSheetId="10"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7" hidden="1">{"via1",#N/A,TRUE,"general";"via2",#N/A,TRUE,"general";"via3",#N/A,TRUE,"general"}</definedName>
    <definedName name="fdsgfds" localSheetId="10"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7"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erfer" localSheetId="7" hidden="1">{"via1",#N/A,TRUE,"general";"via2",#N/A,TRUE,"general";"via3",#N/A,TRUE,"general"}</definedName>
    <definedName name="ferfer" localSheetId="10"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ff" localSheetId="7" hidden="1">{"via1",#N/A,TRUE,"general";"via2",#N/A,TRUE,"general";"via3",#N/A,TRUE,"general"}</definedName>
    <definedName name="fff" localSheetId="10"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d" localSheetId="7" hidden="1">{"via1",#N/A,TRUE,"general";"via2",#N/A,TRUE,"general";"via3",#N/A,TRUE,"general"}</definedName>
    <definedName name="ffffd" localSheetId="10"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7"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7" hidden="1">{"via1",#N/A,TRUE,"general";"via2",#N/A,TRUE,"general";"via3",#N/A,TRUE,"general"}</definedName>
    <definedName name="ffffrd" localSheetId="10"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7"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7" hidden="1">{"TAB1",#N/A,TRUE,"GENERAL";"TAB2",#N/A,TRUE,"GENERAL";"TAB3",#N/A,TRUE,"GENERAL";"TAB4",#N/A,TRUE,"GENERAL";"TAB5",#N/A,TRUE,"GENERAL"}</definedName>
    <definedName name="fffs" localSheetId="10"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7" hidden="1">{"via1",#N/A,TRUE,"general";"via2",#N/A,TRUE,"general";"via3",#N/A,TRUE,"general"}</definedName>
    <definedName name="fgdfsgr" localSheetId="10"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7"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7" hidden="1">{"via1",#N/A,TRUE,"general";"via2",#N/A,TRUE,"general";"via3",#N/A,TRUE,"general"}</definedName>
    <definedName name="FGFDH" localSheetId="10"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7" hidden="1">{"via1",#N/A,TRUE,"general";"via2",#N/A,TRUE,"general";"via3",#N/A,TRUE,"general"}</definedName>
    <definedName name="fgghhj" localSheetId="10"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FBC" localSheetId="7" hidden="1">{"via1",#N/A,TRUE,"general";"via2",#N/A,TRUE,"general";"via3",#N/A,TRUE,"general"}</definedName>
    <definedName name="FGHFBC" localSheetId="10"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7"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7" hidden="1">{"via1",#N/A,TRUE,"general";"via2",#N/A,TRUE,"general";"via3",#N/A,TRUE,"general"}</definedName>
    <definedName name="fghfgh" localSheetId="10"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7" hidden="1">{"via1",#N/A,TRUE,"general";"via2",#N/A,TRUE,"general";"via3",#N/A,TRUE,"general"}</definedName>
    <definedName name="FGHFW" localSheetId="10"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7"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7" hidden="1">{"via1",#N/A,TRUE,"general";"via2",#N/A,TRUE,"general";"via3",#N/A,TRUE,"general"}</definedName>
    <definedName name="fghsfgh" localSheetId="10"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7" hidden="1">{"TAB1",#N/A,TRUE,"GENERAL";"TAB2",#N/A,TRUE,"GENERAL";"TAB3",#N/A,TRUE,"GENERAL";"TAB4",#N/A,TRUE,"GENERAL";"TAB5",#N/A,TRUE,"GENERAL"}</definedName>
    <definedName name="fght" localSheetId="10"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hfg" localSheetId="7" hidden="1">{"TAB1",#N/A,TRUE,"GENERAL";"TAB2",#N/A,TRUE,"GENERAL";"TAB3",#N/A,TRUE,"GENERAL";"TAB4",#N/A,TRUE,"GENERAL";"TAB5",#N/A,TRUE,"GENERAL"}</definedName>
    <definedName name="fhfg" localSheetId="10"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7" hidden="1">{"via1",#N/A,TRUE,"general";"via2",#N/A,TRUE,"general";"via3",#N/A,TRUE,"general"}</definedName>
    <definedName name="fhfgh" localSheetId="10"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9" hidden="1">{#N/A,#N/A,TRUE,"1842CWN0"}</definedName>
    <definedName name="fhg" hidden="1">{#N/A,#N/A,TRUE,"1842CWN0"}</definedName>
    <definedName name="fhgh" localSheetId="7" hidden="1">{"via1",#N/A,TRUE,"general";"via2",#N/A,TRUE,"general";"via3",#N/A,TRUE,"general"}</definedName>
    <definedName name="fhgh" localSheetId="10"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7" hidden="1">{"via1",#N/A,TRUE,"general";"via2",#N/A,TRUE,"general";"via3",#N/A,TRUE,"general"}</definedName>
    <definedName name="fhpltyunh" localSheetId="10"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ll1" localSheetId="9" hidden="1">#REF!</definedName>
    <definedName name="fill1" hidden="1">#REF!</definedName>
    <definedName name="frbgsd" localSheetId="7"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fr" localSheetId="7" hidden="1">{"via1",#N/A,TRUE,"general";"via2",#N/A,TRUE,"general";"via3",#N/A,TRUE,"general"}</definedName>
    <definedName name="frefr" localSheetId="10"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7" hidden="1">{"via1",#N/A,TRUE,"general";"via2",#N/A,TRUE,"general";"via3",#N/A,TRUE,"general"}</definedName>
    <definedName name="frfa" localSheetId="10"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7" hidden="1">{"TAB1",#N/A,TRUE,"GENERAL";"TAB2",#N/A,TRUE,"GENERAL";"TAB3",#N/A,TRUE,"GENERAL";"TAB4",#N/A,TRUE,"GENERAL";"TAB5",#N/A,TRUE,"GENERAL"}</definedName>
    <definedName name="frfr" localSheetId="10"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wff" localSheetId="7" hidden="1">{"via1",#N/A,TRUE,"general";"via2",#N/A,TRUE,"general";"via3",#N/A,TRUE,"general"}</definedName>
    <definedName name="fwff" localSheetId="10"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7" hidden="1">{"via1",#N/A,TRUE,"general";"via2",#N/A,TRUE,"general";"via3",#N/A,TRUE,"general"}</definedName>
    <definedName name="fwwe" localSheetId="10"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gba" localSheetId="9"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9"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7"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dt" localSheetId="7" hidden="1">{"TAB1",#N/A,TRUE,"GENERAL";"TAB2",#N/A,TRUE,"GENERAL";"TAB3",#N/A,TRUE,"GENERAL";"TAB4",#N/A,TRUE,"GENERAL";"TAB5",#N/A,TRUE,"GENERAL"}</definedName>
    <definedName name="gdt" localSheetId="10"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g" localSheetId="7" hidden="1">{"via1",#N/A,TRUE,"general";"via2",#N/A,TRUE,"general";"via3",#N/A,TRUE,"general"}</definedName>
    <definedName name="geg" localSheetId="10"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rg" localSheetId="7" hidden="1">{"TAB1",#N/A,TRUE,"GENERAL";"TAB2",#N/A,TRUE,"GENERAL";"TAB3",#N/A,TRUE,"GENERAL";"TAB4",#N/A,TRUE,"GENERAL";"TAB5",#N/A,TRUE,"GENERAL"}</definedName>
    <definedName name="gerg" localSheetId="10"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7" hidden="1">{"via1",#N/A,TRUE,"general";"via2",#N/A,TRUE,"general";"via3",#N/A,TRUE,"general"}</definedName>
    <definedName name="gerg54" localSheetId="10"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7"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d" localSheetId="7" hidden="1">{"TAB1",#N/A,TRUE,"GENERAL";"TAB2",#N/A,TRUE,"GENERAL";"TAB3",#N/A,TRUE,"GENERAL";"TAB4",#N/A,TRUE,"GENERAL";"TAB5",#N/A,TRUE,"GENERAL"}</definedName>
    <definedName name="gfd" localSheetId="10"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7" hidden="1">{"via1",#N/A,TRUE,"general";"via2",#N/A,TRUE,"general";"via3",#N/A,TRUE,"general"}</definedName>
    <definedName name="gfdg" localSheetId="10"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fgfhhf" localSheetId="9" hidden="1">{#N/A,#N/A,TRUE,"INGENIERIA";#N/A,#N/A,TRUE,"COMPRAS";#N/A,#N/A,TRUE,"DIRECCION";#N/A,#N/A,TRUE,"RESUMEN"}</definedName>
    <definedName name="gffgfhhf" hidden="1">{#N/A,#N/A,TRUE,"INGENIERIA";#N/A,#N/A,TRUE,"COMPRAS";#N/A,#N/A,TRUE,"DIRECCION";#N/A,#N/A,TRUE,"RESUMEN"}</definedName>
    <definedName name="gfgfgr" localSheetId="7" hidden="1">{"via1",#N/A,TRUE,"general";"via2",#N/A,TRUE,"general";"via3",#N/A,TRUE,"general"}</definedName>
    <definedName name="gfgfgr" localSheetId="10"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7" hidden="1">{"via1",#N/A,TRUE,"general";"via2",#N/A,TRUE,"general";"via3",#N/A,TRUE,"general"}</definedName>
    <definedName name="gfhf" localSheetId="10"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7"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7" hidden="1">{"via1",#N/A,TRUE,"general";"via2",#N/A,TRUE,"general";"via3",#N/A,TRUE,"general"}</definedName>
    <definedName name="gfjjh" localSheetId="10"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utyj6" localSheetId="7" hidden="1">{"via1",#N/A,TRUE,"general";"via2",#N/A,TRUE,"general";"via3",#N/A,TRUE,"general"}</definedName>
    <definedName name="gfutyj6" localSheetId="10"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7" hidden="1">{"TAB1",#N/A,TRUE,"GENERAL";"TAB2",#N/A,TRUE,"GENERAL";"TAB3",#N/A,TRUE,"GENERAL";"TAB4",#N/A,TRUE,"GENERAL";"TAB5",#N/A,TRUE,"GENERAL"}</definedName>
    <definedName name="gg" localSheetId="10"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7" hidden="1">{"via1",#N/A,TRUE,"general";"via2",#N/A,TRUE,"general";"via3",#N/A,TRUE,"general"}</definedName>
    <definedName name="ggdr" localSheetId="10"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7"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b" localSheetId="7" hidden="1">{"TAB1",#N/A,TRUE,"GENERAL";"TAB2",#N/A,TRUE,"GENERAL";"TAB3",#N/A,TRUE,"GENERAL";"TAB4",#N/A,TRUE,"GENERAL";"TAB5",#N/A,TRUE,"GENERAL"}</definedName>
    <definedName name="gggb" localSheetId="10"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7" hidden="1">{"via1",#N/A,TRUE,"general";"via2",#N/A,TRUE,"general";"via3",#N/A,TRUE,"general"}</definedName>
    <definedName name="gggg" localSheetId="10"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7"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t" localSheetId="7" hidden="1">{"via1",#N/A,TRUE,"general";"via2",#N/A,TRUE,"general";"via3",#N/A,TRUE,"general"}</definedName>
    <definedName name="gggggt" localSheetId="10"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7"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7" hidden="1">{"via1",#N/A,TRUE,"general";"via2",#N/A,TRUE,"general";"via3",#N/A,TRUE,"general"}</definedName>
    <definedName name="gggtgd" localSheetId="10"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jgjkg" localSheetId="9" hidden="1">{#N/A,#N/A,TRUE,"1842CWN0"}</definedName>
    <definedName name="ggjgjkg" hidden="1">{#N/A,#N/A,TRUE,"1842CWN0"}</definedName>
    <definedName name="ggtgt" localSheetId="7" hidden="1">{"via1",#N/A,TRUE,"general";"via2",#N/A,TRUE,"general";"via3",#N/A,TRUE,"general"}</definedName>
    <definedName name="ggtgt" localSheetId="10"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ghuy" localSheetId="7" hidden="1">{"via1",#N/A,TRUE,"general";"via2",#N/A,TRUE,"general";"via3",#N/A,TRUE,"general"}</definedName>
    <definedName name="ghdghuy" localSheetId="10"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7" hidden="1">{"via1",#N/A,TRUE,"general";"via2",#N/A,TRUE,"general";"via3",#N/A,TRUE,"general"}</definedName>
    <definedName name="GHDP" localSheetId="10"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g" localSheetId="7" hidden="1">{"via1",#N/A,TRUE,"general";"via2",#N/A,TRUE,"general";"via3",#N/A,TRUE,"general"}</definedName>
    <definedName name="ghfg" localSheetId="10"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jghj" localSheetId="7"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nbbfr" localSheetId="9" hidden="1">{#N/A,#N/A,TRUE,"1842CWN0"}</definedName>
    <definedName name="ghnbbfr" hidden="1">{#N/A,#N/A,TRUE,"1842CWN0"}</definedName>
    <definedName name="GJHVCB" localSheetId="7"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7" hidden="1">{"via1",#N/A,TRUE,"general";"via2",#N/A,TRUE,"general";"via3",#N/A,TRUE,"general"}</definedName>
    <definedName name="gk" localSheetId="10"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RAF1ANO" localSheetId="7" hidden="1">{"via1",#N/A,TRUE,"general";"via2",#N/A,TRUE,"general";"via3",#N/A,TRUE,"general"}</definedName>
    <definedName name="GRAF1ANO" localSheetId="10"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7"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7" hidden="1">{"via1",#N/A,TRUE,"general";"via2",#N/A,TRUE,"general";"via3",#N/A,TRUE,"general"}</definedName>
    <definedName name="grggwero" localSheetId="10"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tyerh" localSheetId="7"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SDG" localSheetId="7" hidden="1">{"TAB1",#N/A,TRUE,"GENERAL";"TAB2",#N/A,TRUE,"GENERAL";"TAB3",#N/A,TRUE,"GENERAL";"TAB4",#N/A,TRUE,"GENERAL";"TAB5",#N/A,TRUE,"GENERAL"}</definedName>
    <definedName name="GSDG" localSheetId="10"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7" hidden="1">{"via1",#N/A,TRUE,"general";"via2",#N/A,TRUE,"general";"via3",#N/A,TRUE,"general"}</definedName>
    <definedName name="gsfsf" localSheetId="10"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gt" localSheetId="7" hidden="1">{"via1",#N/A,TRUE,"general";"via2",#N/A,TRUE,"general";"via3",#N/A,TRUE,"general"}</definedName>
    <definedName name="gtgt" localSheetId="10"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7" hidden="1">{"via1",#N/A,TRUE,"general";"via2",#N/A,TRUE,"general";"via3",#N/A,TRUE,"general"}</definedName>
    <definedName name="gtgtg" localSheetId="10"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7" hidden="1">{"via1",#N/A,TRUE,"general";"via2",#N/A,TRUE,"general";"via3",#N/A,TRUE,"general"}</definedName>
    <definedName name="gtgtgff" localSheetId="10"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7"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h9h" localSheetId="7" hidden="1">{"via1",#N/A,TRUE,"general";"via2",#N/A,TRUE,"general";"via3",#N/A,TRUE,"general"}</definedName>
    <definedName name="h9h" localSheetId="10"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bfdhrw" localSheetId="7"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fh" localSheetId="7" hidden="1">{"via1",#N/A,TRUE,"general";"via2",#N/A,TRUE,"general";"via3",#N/A,TRUE,"general"}</definedName>
    <definedName name="hdfh" localSheetId="10"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7"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7" hidden="1">{"via1",#N/A,TRUE,"general";"via2",#N/A,TRUE,"general";"via3",#N/A,TRUE,"general"}</definedName>
    <definedName name="hdgh" localSheetId="10"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7" hidden="1">{"TAB1",#N/A,TRUE,"GENERAL";"TAB2",#N/A,TRUE,"GENERAL";"TAB3",#N/A,TRUE,"GENERAL";"TAB4",#N/A,TRUE,"GENERAL";"TAB5",#N/A,TRUE,"GENERAL"}</definedName>
    <definedName name="hdhf" localSheetId="10"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fgh" localSheetId="7" hidden="1">{"via1",#N/A,TRUE,"general";"via2",#N/A,TRUE,"general";"via3",#N/A,TRUE,"general"}</definedName>
    <definedName name="hfgh" localSheetId="10"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7" hidden="1">{"TAB1",#N/A,TRUE,"GENERAL";"TAB2",#N/A,TRUE,"GENERAL";"TAB3",#N/A,TRUE,"GENERAL";"TAB4",#N/A,TRUE,"GENERAL";"TAB5",#N/A,TRUE,"GENERAL"}</definedName>
    <definedName name="hfh" localSheetId="10"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7" hidden="1">{"TAB1",#N/A,TRUE,"GENERAL";"TAB2",#N/A,TRUE,"GENERAL";"TAB3",#N/A,TRUE,"GENERAL";"TAB4",#N/A,TRUE,"GENERAL";"TAB5",#N/A,TRUE,"GENERAL"}</definedName>
    <definedName name="hfhg" localSheetId="10"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7" hidden="1">{"via1",#N/A,TRUE,"general";"via2",#N/A,TRUE,"general";"via3",#N/A,TRUE,"general"}</definedName>
    <definedName name="hfthr" localSheetId="10"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7" hidden="1">{"via1",#N/A,TRUE,"general";"via2",#N/A,TRUE,"general";"via3",#N/A,TRUE,"general"}</definedName>
    <definedName name="hg" localSheetId="10"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7" hidden="1">{"via1",#N/A,TRUE,"general";"via2",#N/A,TRUE,"general";"via3",#N/A,TRUE,"general"}</definedName>
    <definedName name="HGFH" localSheetId="10"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7" hidden="1">{"via1",#N/A,TRUE,"general";"via2",#N/A,TRUE,"general";"via3",#N/A,TRUE,"general"}</definedName>
    <definedName name="hgfhty" localSheetId="10"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7"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7" hidden="1">{"via1",#N/A,TRUE,"general";"via2",#N/A,TRUE,"general";"via3",#N/A,TRUE,"general"}</definedName>
    <definedName name="hghydj" localSheetId="10"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7" hidden="1">{"via1",#N/A,TRUE,"general";"via2",#N/A,TRUE,"general";"via3",#N/A,TRUE,"general"}</definedName>
    <definedName name="hgjfjw" localSheetId="10"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7" hidden="1">{"TAB1",#N/A,TRUE,"GENERAL";"TAB2",#N/A,TRUE,"GENERAL";"TAB3",#N/A,TRUE,"GENERAL";"TAB4",#N/A,TRUE,"GENERAL";"TAB5",#N/A,TRUE,"GENERAL"}</definedName>
    <definedName name="HGJG" localSheetId="10"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g" localSheetId="9" hidden="1">{#N/A,#N/A,TRUE,"1842CWN0"}</definedName>
    <definedName name="hhg" hidden="1">{#N/A,#N/A,TRUE,"1842CWN0"}</definedName>
    <definedName name="hhh" localSheetId="7" hidden="1">{"TAB1",#N/A,TRUE,"GENERAL";"TAB2",#N/A,TRUE,"GENERAL";"TAB3",#N/A,TRUE,"GENERAL";"TAB4",#N/A,TRUE,"GENERAL";"TAB5",#N/A,TRUE,"GENERAL"}</definedName>
    <definedName name="hhh" localSheetId="10"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h" localSheetId="7" hidden="1">{"via1",#N/A,TRUE,"general";"via2",#N/A,TRUE,"general";"via3",#N/A,TRUE,"general"}</definedName>
    <definedName name="hhhhhh" localSheetId="10"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7"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7" hidden="1">{"via1",#N/A,TRUE,"general";"via2",#N/A,TRUE,"general";"via3",#N/A,TRUE,"general"}</definedName>
    <definedName name="hhhhth" localSheetId="10"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7"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rhreh" localSheetId="7" hidden="1">{"via1",#N/A,TRUE,"general";"via2",#N/A,TRUE,"general";"via3",#N/A,TRUE,"general"}</definedName>
    <definedName name="hhtrhreh" localSheetId="10"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jfg" localSheetId="7" hidden="1">{"via1",#N/A,TRUE,"general";"via2",#N/A,TRUE,"general";"via3",#N/A,TRUE,"general"}</definedName>
    <definedName name="hjfg" localSheetId="10"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7" hidden="1">{"TAB1",#N/A,TRUE,"GENERAL";"TAB2",#N/A,TRUE,"GENERAL";"TAB3",#N/A,TRUE,"GENERAL";"TAB4",#N/A,TRUE,"GENERAL";"TAB5",#N/A,TRUE,"GENERAL"}</definedName>
    <definedName name="hjgh" localSheetId="10"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7" hidden="1">{"via1",#N/A,TRUE,"general";"via2",#N/A,TRUE,"general";"via3",#N/A,TRUE,"general"}</definedName>
    <definedName name="HJKH" localSheetId="10"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7" hidden="1">{"via1",#N/A,TRUE,"general";"via2",#N/A,TRUE,"general";"via3",#N/A,TRUE,"general"}</definedName>
    <definedName name="hjkjk" localSheetId="10"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n" localSheetId="7" hidden="1">{"TAB1",#N/A,TRUE,"GENERAL";"TAB2",#N/A,TRUE,"GENERAL";"TAB3",#N/A,TRUE,"GENERAL";"TAB4",#N/A,TRUE,"GENERAL";"TAB5",#N/A,TRUE,"GENERAL"}</definedName>
    <definedName name="hn" localSheetId="10"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fg" localSheetId="7" hidden="1">{"via1",#N/A,TRUE,"general";"via2",#N/A,TRUE,"general";"via3",#N/A,TRUE,"general"}</definedName>
    <definedName name="hsfg" localSheetId="10"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hdrf" localSheetId="7"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ryrt7" localSheetId="7" hidden="1">{"via1",#N/A,TRUE,"general";"via2",#N/A,TRUE,"general";"via3",#N/A,TRUE,"general"}</definedName>
    <definedName name="htryrt7" localSheetId="10"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yhjop" localSheetId="7"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7" hidden="1">{"via1",#N/A,TRUE,"general";"via2",#N/A,TRUE,"general";"via3",#N/A,TRUE,"general"}</definedName>
    <definedName name="hytirs" localSheetId="10"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8i" localSheetId="7" hidden="1">{"TAB1",#N/A,TRUE,"GENERAL";"TAB2",#N/A,TRUE,"GENERAL";"TAB3",#N/A,TRUE,"GENERAL";"TAB4",#N/A,TRUE,"GENERAL";"TAB5",#N/A,TRUE,"GENERAL"}</definedName>
    <definedName name="i8i" localSheetId="10"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i" localSheetId="7" hidden="1">{"TAB1",#N/A,TRUE,"GENERAL";"TAB2",#N/A,TRUE,"GENERAL";"TAB3",#N/A,TRUE,"GENERAL";"TAB4",#N/A,TRUE,"GENERAL";"TAB5",#N/A,TRUE,"GENERAL"}</definedName>
    <definedName name="ii" localSheetId="10"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7" hidden="1">{"via1",#N/A,TRUE,"general";"via2",#N/A,TRUE,"general";"via3",#N/A,TRUE,"general"}</definedName>
    <definedName name="iii" localSheetId="10"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7" hidden="1">{"via1",#N/A,TRUE,"general";"via2",#N/A,TRUE,"general";"via3",#N/A,TRUE,"general"}</definedName>
    <definedName name="iiii" localSheetId="10"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7" hidden="1">{"via1",#N/A,TRUE,"general";"via2",#N/A,TRUE,"general";"via3",#N/A,TRUE,"general"}</definedName>
    <definedName name="iiiiiiik" localSheetId="10"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7"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NGENIERIA1" localSheetId="9" hidden="1">#REF!</definedName>
    <definedName name="INGENIERIA1" hidden="1">#REF!</definedName>
    <definedName name="INGENIERIA11" localSheetId="9" hidden="1">#REF!</definedName>
    <definedName name="INGENIERIA11" hidden="1">#REF!</definedName>
    <definedName name="irng" localSheetId="9" hidden="1">#REF!</definedName>
    <definedName name="irng" hidden="1">#REF!</definedName>
    <definedName name="IUI" localSheetId="7" hidden="1">{"TAB1",#N/A,TRUE,"GENERAL";"TAB2",#N/A,TRUE,"GENERAL";"TAB3",#N/A,TRUE,"GENERAL";"TAB4",#N/A,TRUE,"GENERAL";"TAB5",#N/A,TRUE,"GENERAL"}</definedName>
    <definedName name="IUI" localSheetId="10"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7" hidden="1">{"via1",#N/A,TRUE,"general";"via2",#N/A,TRUE,"general";"via3",#N/A,TRUE,"general"}</definedName>
    <definedName name="iul" localSheetId="10"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7" hidden="1">{"via1",#N/A,TRUE,"general";"via2",#N/A,TRUE,"general";"via3",#N/A,TRUE,"general"}</definedName>
    <definedName name="iuouio" localSheetId="10"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7"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yuiuyi" localSheetId="7" hidden="1">{"via1",#N/A,TRUE,"general";"via2",#N/A,TRUE,"general";"via3",#N/A,TRUE,"general"}</definedName>
    <definedName name="iyuiuyi" localSheetId="10"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7" hidden="1">{"TAB1",#N/A,TRUE,"GENERAL";"TAB2",#N/A,TRUE,"GENERAL";"TAB3",#N/A,TRUE,"GENERAL";"TAB4",#N/A,TRUE,"GENERAL";"TAB5",#N/A,TRUE,"GENERAL"}</definedName>
    <definedName name="j" localSheetId="10" hidden="1">{"TAB1",#N/A,TRUE,"GENERAL";"TAB2",#N/A,TRUE,"GENERAL";"TAB3",#N/A,TRUE,"GENERAL";"TAB4",#N/A,TRUE,"GENERAL";"TAB5",#N/A,TRUE,"GENERAL"}</definedName>
    <definedName name="j" localSheetId="9" hidden="1">{"TAB1",#N/A,TRUE,"GENERAL";"TAB2",#N/A,TRUE,"GENERAL";"TAB3",#N/A,TRUE,"GENERAL";"TAB4",#N/A,TRUE,"GENERAL";"TAB5",#N/A,TRUE,"GENERAL"}</definedName>
    <definedName name="j" hidden="1">{"TAB1",#N/A,TRUE,"GENERAL";"TAB2",#N/A,TRUE,"GENERAL";"TAB3",#N/A,TRUE,"GENERAL";"TAB4",#N/A,TRUE,"GENERAL";"TAB5",#N/A,TRUE,"GENERAL"}</definedName>
    <definedName name="jd" localSheetId="7" hidden="1">{"via1",#N/A,TRUE,"general";"via2",#N/A,TRUE,"general";"via3",#N/A,TRUE,"general"}</definedName>
    <definedName name="jd" localSheetId="10"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7" hidden="1">{"TAB1",#N/A,TRUE,"GENERAL";"TAB2",#N/A,TRUE,"GENERAL";"TAB3",#N/A,TRUE,"GENERAL";"TAB4",#N/A,TRUE,"GENERAL";"TAB5",#N/A,TRUE,"GENERAL"}</definedName>
    <definedName name="jdh" localSheetId="10"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ç" localSheetId="9" hidden="1">#REF!</definedName>
    <definedName name="jfç" hidden="1">#REF!</definedName>
    <definedName name="jfhjfrt" localSheetId="7"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7" hidden="1">{"via1",#N/A,TRUE,"general";"via2",#N/A,TRUE,"general";"via3",#N/A,TRUE,"general"}</definedName>
    <definedName name="jgfj" localSheetId="10"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7" hidden="1">{"TAB1",#N/A,TRUE,"GENERAL";"TAB2",#N/A,TRUE,"GENERAL";"TAB3",#N/A,TRUE,"GENERAL";"TAB4",#N/A,TRUE,"GENERAL";"TAB5",#N/A,TRUE,"GENERAL"}</definedName>
    <definedName name="jghj" localSheetId="10"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7" hidden="1">{"TAB1",#N/A,TRUE,"GENERAL";"TAB2",#N/A,TRUE,"GENERAL";"TAB3",#N/A,TRUE,"GENERAL";"TAB4",#N/A,TRUE,"GENERAL";"TAB5",#N/A,TRUE,"GENERAL"}</definedName>
    <definedName name="jgj" localSheetId="10"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7" hidden="1">{"TAB1",#N/A,TRUE,"GENERAL";"TAB2",#N/A,TRUE,"GENERAL";"TAB3",#N/A,TRUE,"GENERAL";"TAB4",#N/A,TRUE,"GENERAL";"TAB5",#N/A,TRUE,"GENERAL"}</definedName>
    <definedName name="jhg" localSheetId="10"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7" hidden="1">{"via1",#N/A,TRUE,"general";"via2",#N/A,TRUE,"general";"via3",#N/A,TRUE,"general"}</definedName>
    <definedName name="jhjyj" localSheetId="10"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7" hidden="1">{"TAB1",#N/A,TRUE,"GENERAL";"TAB2",#N/A,TRUE,"GENERAL";"TAB3",#N/A,TRUE,"GENERAL";"TAB4",#N/A,TRUE,"GENERAL";"TAB5",#N/A,TRUE,"GENERAL"}</definedName>
    <definedName name="JHK" localSheetId="10"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7" hidden="1">{"via1",#N/A,TRUE,"general";"via2",#N/A,TRUE,"general";"via3",#N/A,TRUE,"general"}</definedName>
    <definedName name="jj" localSheetId="10" hidden="1">{"via1",#N/A,TRUE,"general";"via2",#N/A,TRUE,"general";"via3",#N/A,TRUE,"general"}</definedName>
    <definedName name="jj" hidden="1">{"via1",#N/A,TRUE,"general";"via2",#N/A,TRUE,"general";"via3",#N/A,TRUE,"general"}</definedName>
    <definedName name="jjfq" localSheetId="7" hidden="1">{"via1",#N/A,TRUE,"general";"via2",#N/A,TRUE,"general";"via3",#N/A,TRUE,"general"}</definedName>
    <definedName name="jjfq" localSheetId="10"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 localSheetId="9" hidden="1">{#N/A,#N/A,FALSE,"Hoja1";#N/A,#N/A,FALSE,"Hoja2"}</definedName>
    <definedName name="JJJ" hidden="1">{#N/A,#N/A,FALSE,"Hoja1";#N/A,#N/A,FALSE,"Hoja2"}</definedName>
    <definedName name="jjjhjddfg" localSheetId="7" hidden="1">{"via1",#N/A,TRUE,"general";"via2",#N/A,TRUE,"general";"via3",#N/A,TRUE,"general"}</definedName>
    <definedName name="jjjhjddfg" localSheetId="10"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u" localSheetId="7" hidden="1">{"via1",#N/A,TRUE,"general";"via2",#N/A,TRUE,"general";"via3",#N/A,TRUE,"general"}</definedName>
    <definedName name="jjjjju" localSheetId="10"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7"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7" hidden="1">{"via1",#N/A,TRUE,"general";"via2",#N/A,TRUE,"general";"via3",#N/A,TRUE,"general"}</definedName>
    <definedName name="jjyjy" localSheetId="10"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k" localSheetId="7" hidden="1">{"TAB1",#N/A,TRUE,"GENERAL";"TAB2",#N/A,TRUE,"GENERAL";"TAB3",#N/A,TRUE,"GENERAL";"TAB4",#N/A,TRUE,"GENERAL";"TAB5",#N/A,TRUE,"GENERAL"}</definedName>
    <definedName name="jkk" localSheetId="10"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7"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7" hidden="1">{"via1",#N/A,TRUE,"general";"via2",#N/A,TRUE,"general";"via3",#N/A,TRUE,"general"}</definedName>
    <definedName name="JRYJ" localSheetId="10"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7" hidden="1">{"TAB1",#N/A,TRUE,"GENERAL";"TAB2",#N/A,TRUE,"GENERAL";"TAB3",#N/A,TRUE,"GENERAL";"TAB4",#N/A,TRUE,"GENERAL";"TAB5",#N/A,TRUE,"GENERAL"}</definedName>
    <definedName name="jtyj" localSheetId="10"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j" localSheetId="7" hidden="1">{"via1",#N/A,TRUE,"general";"via2",#N/A,TRUE,"general";"via3",#N/A,TRUE,"general"}</definedName>
    <definedName name="juj" localSheetId="10"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7" hidden="1">{"via1",#N/A,TRUE,"general";"via2",#N/A,TRUE,"general";"via3",#N/A,TRUE,"general"}</definedName>
    <definedName name="jujcx" localSheetId="10"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7" hidden="1">{"via1",#N/A,TRUE,"general";"via2",#N/A,TRUE,"general";"via3",#N/A,TRUE,"general"}</definedName>
    <definedName name="jujuj" localSheetId="10"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7"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yjt7" localSheetId="7" hidden="1">{"via1",#N/A,TRUE,"general";"via2",#N/A,TRUE,"general";"via3",#N/A,TRUE,"general"}</definedName>
    <definedName name="jyjt7" localSheetId="10"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7" hidden="1">{"via1",#N/A,TRUE,"general";"via2",#N/A,TRUE,"general";"via3",#N/A,TRUE,"general"}</definedName>
    <definedName name="jyt" localSheetId="10"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7" hidden="1">{"via1",#N/A,TRUE,"general";"via2",#N/A,TRUE,"general";"via3",#N/A,TRUE,"general"}</definedName>
    <definedName name="jytj" localSheetId="10"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7" hidden="1">{"via1",#N/A,TRUE,"general";"via2",#N/A,TRUE,"general";"via3",#N/A,TRUE,"general"}</definedName>
    <definedName name="jyuju" localSheetId="10"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7" hidden="1">{"via1",#N/A,TRUE,"general";"via2",#N/A,TRUE,"general";"via3",#N/A,TRUE,"general"}</definedName>
    <definedName name="jyujyuj" localSheetId="10"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dmfm" localSheetId="9" hidden="1">#REF!</definedName>
    <definedName name="kdmfm" hidden="1">#REF!</definedName>
    <definedName name="KHGGH" localSheetId="7" hidden="1">{"via1",#N/A,TRUE,"general";"via2",#N/A,TRUE,"general";"via3",#N/A,TRUE,"general"}</definedName>
    <definedName name="KHGGH" localSheetId="10"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7"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7" hidden="1">{"via1",#N/A,TRUE,"general";"via2",#N/A,TRUE,"general";"via3",#N/A,TRUE,"general"}</definedName>
    <definedName name="kikik" localSheetId="10"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hkd" localSheetId="7" hidden="1">{"via1",#N/A,TRUE,"general";"via2",#N/A,TRUE,"general";"via3",#N/A,TRUE,"general"}</definedName>
    <definedName name="kjhkd" localSheetId="10"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k" localSheetId="7" hidden="1">{"via1",#N/A,TRUE,"general";"via2",#N/A,TRUE,"general";"via3",#N/A,TRUE,"general"}</definedName>
    <definedName name="kjk" localSheetId="10"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7" hidden="1">{"via1",#N/A,TRUE,"general";"via2",#N/A,TRUE,"general";"via3",#N/A,TRUE,"general"}</definedName>
    <definedName name="kjtrkjr" localSheetId="10"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kki" localSheetId="7" hidden="1">{"via1",#N/A,TRUE,"general";"via2",#N/A,TRUE,"general";"via3",#N/A,TRUE,"general"}</definedName>
    <definedName name="kkkki" localSheetId="10"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7"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rtrk" localSheetId="7" hidden="1">{"via1",#N/A,TRUE,"general";"via2",#N/A,TRUE,"general";"via3",#N/A,TRUE,"general"}</definedName>
    <definedName name="krtrk" localSheetId="10"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yr" localSheetId="7" hidden="1">{"TAB1",#N/A,TRUE,"GENERAL";"TAB2",#N/A,TRUE,"GENERAL";"TAB3",#N/A,TRUE,"GENERAL";"TAB4",#N/A,TRUE,"GENERAL";"TAB5",#N/A,TRUE,"GENERAL"}</definedName>
    <definedName name="kyr" localSheetId="10"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ame" localSheetId="9" hidden="1">#REF!</definedName>
    <definedName name="lame" hidden="1">#REF!</definedName>
    <definedName name="liuoo" localSheetId="7"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kj" localSheetId="7" hidden="1">{"via1",#N/A,TRUE,"general";"via2",#N/A,TRUE,"general";"via3",#N/A,TRUE,"general"}</definedName>
    <definedName name="lkj" localSheetId="10"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7"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localSheetId="9"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7" hidden="1">{"via1",#N/A,TRUE,"general";"via2",#N/A,TRUE,"general";"via3",#N/A,TRUE,"general"}</definedName>
    <definedName name="lllllh" localSheetId="10"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7" hidden="1">{"via1",#N/A,TRUE,"general";"via2",#N/A,TRUE,"general";"via3",#N/A,TRUE,"general"}</definedName>
    <definedName name="lllllllo" localSheetId="10"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olol" localSheetId="7"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plpl" localSheetId="7" hidden="1">{"via1",#N/A,TRUE,"general";"via2",#N/A,TRUE,"general";"via3",#N/A,TRUE,"general"}</definedName>
    <definedName name="lplpl" localSheetId="10"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mafdsf" localSheetId="7" hidden="1">{"via1",#N/A,TRUE,"general";"via2",#N/A,TRUE,"general";"via3",#N/A,TRUE,"general"}</definedName>
    <definedName name="mafdsf" localSheetId="10"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o" localSheetId="7" hidden="1">{"TAB1",#N/A,TRUE,"GENERAL";"TAB2",#N/A,TRUE,"GENERAL";"TAB3",#N/A,TRUE,"GENERAL";"TAB4",#N/A,TRUE,"GENERAL";"TAB5",#N/A,TRUE,"GENERAL"}</definedName>
    <definedName name="mao" localSheetId="10"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7" hidden="1">{"via1",#N/A,TRUE,"general";"via2",#N/A,TRUE,"general";"via3",#N/A,TRUE,"general"}</definedName>
    <definedName name="maow" localSheetId="10"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sor" localSheetId="7" hidden="1">{"via1",#N/A,TRUE,"general";"via2",#N/A,TRUE,"general";"via3",#N/A,TRUE,"general"}</definedName>
    <definedName name="masor" localSheetId="10"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dd" localSheetId="7" hidden="1">{"via1",#N/A,TRUE,"general";"via2",#N/A,TRUE,"general";"via3",#N/A,TRUE,"general"}</definedName>
    <definedName name="mdd" localSheetId="10"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g" localSheetId="7" hidden="1">{"TAB1",#N/A,TRUE,"GENERAL";"TAB2",#N/A,TRUE,"GENERAL";"TAB3",#N/A,TRUE,"GENERAL";"TAB4",#N/A,TRUE,"GENERAL";"TAB5",#N/A,TRUE,"GENERAL"}</definedName>
    <definedName name="meg" localSheetId="10"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7" hidden="1">{"via1",#N/A,TRUE,"general";"via2",#N/A,TRUE,"general";"via3",#N/A,TRUE,"general"}</definedName>
    <definedName name="mghm" localSheetId="10"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jmj" localSheetId="7" hidden="1">{"via1",#N/A,TRUE,"general";"via2",#N/A,TRUE,"general";"via3",#N/A,TRUE,"general"}</definedName>
    <definedName name="mjmj" localSheetId="10"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7" hidden="1">{"via1",#N/A,TRUE,"general";"via2",#N/A,TRUE,"general";"via3",#N/A,TRUE,"general"}</definedName>
    <definedName name="mjmjmn" localSheetId="10"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7" hidden="1">{"via1",#N/A,TRUE,"general";"via2",#N/A,TRUE,"general";"via3",#N/A,TRUE,"general"}</definedName>
    <definedName name="mjnhgkio" localSheetId="10"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mjmjh" localSheetId="7"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7" hidden="1">{"TAB1",#N/A,TRUE,"GENERAL";"TAB2",#N/A,TRUE,"GENERAL";"TAB3",#N/A,TRUE,"GENERAL";"TAB4",#N/A,TRUE,"GENERAL";"TAB5",#N/A,TRUE,"GENERAL"}</definedName>
    <definedName name="mmm" localSheetId="10"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7" hidden="1">{"via1",#N/A,TRUE,"general";"via2",#N/A,TRUE,"general";"via3",#N/A,TRUE,"general"}</definedName>
    <definedName name="mmmh" localSheetId="10"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7"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7" hidden="1">{"via1",#N/A,TRUE,"general";"via2",#N/A,TRUE,"general";"via3",#N/A,TRUE,"general"}</definedName>
    <definedName name="mmmmmmg" localSheetId="10"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7" hidden="1">{"via1",#N/A,TRUE,"general";"via2",#N/A,TRUE,"general";"via3",#N/A,TRUE,"general"}</definedName>
    <definedName name="MN" localSheetId="10"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A" localSheetId="9" hidden="1">{#N/A,#N/A,FALSE,"Hoja1";#N/A,#N/A,FALSE,"Hoja2"}</definedName>
    <definedName name="MOA" hidden="1">{#N/A,#N/A,FALSE,"Hoja1";#N/A,#N/A,FALSE,"Hoja2"}</definedName>
    <definedName name="MODIVejec" localSheetId="9" hidden="1">{#N/A,#N/A,FALSE,"Hoja1";#N/A,#N/A,FALSE,"Hoja2"}</definedName>
    <definedName name="MODIVejec" hidden="1">{#N/A,#N/A,FALSE,"Hoja1";#N/A,#N/A,FALSE,"Hoja2"}</definedName>
    <definedName name="MOE" localSheetId="9" hidden="1">{#N/A,#N/A,FALSE,"Hoja1";#N/A,#N/A,FALSE,"Hoja2"}</definedName>
    <definedName name="MOE" hidden="1">{#N/A,#N/A,FALSE,"Hoja1";#N/A,#N/A,FALSE,"Hoja2"}</definedName>
    <definedName name="n" localSheetId="7" hidden="1">{"via1",#N/A,TRUE,"general";"via2",#N/A,TRUE,"general";"via3",#N/A,TRUE,"general"}</definedName>
    <definedName name="n" localSheetId="10" hidden="1">{"via1",#N/A,TRUE,"general";"via2",#N/A,TRUE,"general";"via3",#N/A,TRUE,"general"}</definedName>
    <definedName name="n" localSheetId="9" hidden="1">{"via1",#N/A,TRUE,"general";"via2",#N/A,TRUE,"general";"via3",#N/A,TRUE,"general"}</definedName>
    <definedName name="n" hidden="1">{"via1",#N/A,TRUE,"general";"via2",#N/A,TRUE,"general";"via3",#N/A,TRUE,"general"}</definedName>
    <definedName name="nbvnv" localSheetId="7" hidden="1">{"via1",#N/A,TRUE,"general";"via2",#N/A,TRUE,"general";"via3",#N/A,TRUE,"general"}</definedName>
    <definedName name="nbvnv" localSheetId="10"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7" hidden="1">{"TAB1",#N/A,TRUE,"GENERAL";"TAB2",#N/A,TRUE,"GENERAL";"TAB3",#N/A,TRUE,"GENERAL";"TAB4",#N/A,TRUE,"GENERAL";"TAB5",#N/A,TRUE,"GENERAL"}</definedName>
    <definedName name="NDHS" localSheetId="10"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f" localSheetId="7" hidden="1">{"TAB1",#N/A,TRUE,"GENERAL";"TAB2",#N/A,TRUE,"GENERAL";"TAB3",#N/A,TRUE,"GENERAL";"TAB4",#N/A,TRUE,"GENERAL";"TAB5",#N/A,TRUE,"GENERAL"}</definedName>
    <definedName name="nf" localSheetId="10"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7" hidden="1">{"via1",#N/A,TRUE,"general";"via2",#N/A,TRUE,"general";"via3",#N/A,TRUE,"general"}</definedName>
    <definedName name="nfg" localSheetId="10"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7" hidden="1">{"via1",#N/A,TRUE,"general";"via2",#N/A,TRUE,"general";"via3",#N/A,TRUE,"general"}</definedName>
    <definedName name="nfgn" localSheetId="10"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dn" localSheetId="7" hidden="1">{"TAB1",#N/A,TRUE,"GENERAL";"TAB2",#N/A,TRUE,"GENERAL";"TAB3",#N/A,TRUE,"GENERAL";"TAB4",#N/A,TRUE,"GENERAL";"TAB5",#N/A,TRUE,"GENERAL"}</definedName>
    <definedName name="ngdn" localSheetId="10"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7" hidden="1">{"via1",#N/A,TRUE,"general";"via2",#N/A,TRUE,"general";"via3",#N/A,TRUE,"general"}</definedName>
    <definedName name="ngfh" localSheetId="10"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n" localSheetId="7" hidden="1">{"via1",#N/A,TRUE,"general";"via2",#N/A,TRUE,"general";"via3",#N/A,TRUE,"general"}</definedName>
    <definedName name="nhn" localSheetId="10"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7"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7" hidden="1">{"via1",#N/A,TRUE,"general";"via2",#N/A,TRUE,"general";"via3",#N/A,TRUE,"general"}</definedName>
    <definedName name="nhndr" localSheetId="10"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mmmm" localSheetId="7" hidden="1">{"via1",#N/A,TRUE,"general";"via2",#N/A,TRUE,"general";"via3",#N/A,TRUE,"general"}</definedName>
    <definedName name="nmmmm" localSheetId="10"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7" hidden="1">{"TAB1",#N/A,TRUE,"GENERAL";"TAB2",#N/A,TRUE,"GENERAL";"TAB3",#N/A,TRUE,"GENERAL";"TAB4",#N/A,TRUE,"GENERAL";"TAB5",#N/A,TRUE,"GENERAL"}</definedName>
    <definedName name="NN" localSheetId="10"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7" hidden="1">{"TAB1",#N/A,TRUE,"GENERAL";"TAB2",#N/A,TRUE,"GENERAL";"TAB3",#N/A,TRUE,"GENERAL";"TAB4",#N/A,TRUE,"GENERAL";"TAB5",#N/A,TRUE,"GENERAL"}</definedName>
    <definedName name="nnn" localSheetId="10"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7" hidden="1">{"via1",#N/A,TRUE,"general";"via2",#N/A,TRUE,"general";"via3",#N/A,TRUE,"general"}</definedName>
    <definedName name="nnnhd" localSheetId="10"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7" hidden="1">{"via1",#N/A,TRUE,"general";"via2",#N/A,TRUE,"general";"via3",#N/A,TRUE,"general"}</definedName>
    <definedName name="nnnnn" localSheetId="10"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7"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7" hidden="1">{"via1",#N/A,TRUE,"general";"via2",#N/A,TRUE,"general";"via3",#N/A,TRUE,"general"}</definedName>
    <definedName name="nnnnnh" localSheetId="10"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xn" localSheetId="7" hidden="1">{"via1",#N/A,TRUE,"general";"via2",#N/A,TRUE,"general";"via3",#N/A,TRUE,"general"}</definedName>
    <definedName name="nxn" localSheetId="10"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pñpñ" localSheetId="7" hidden="1">{"via1",#N/A,TRUE,"general";"via2",#N/A,TRUE,"general";"via3",#N/A,TRUE,"general"}</definedName>
    <definedName name="ñpñpñ" localSheetId="10"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o9o9" localSheetId="7" hidden="1">{"via1",#N/A,TRUE,"general";"via2",#N/A,TRUE,"general";"via3",#N/A,TRUE,"general"}</definedName>
    <definedName name="o9o9" localSheetId="10"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ras" localSheetId="9" hidden="1">#REF!</definedName>
    <definedName name="obras" hidden="1">#REF!</definedName>
    <definedName name="obras11" localSheetId="9" hidden="1">#REF!</definedName>
    <definedName name="obras11" hidden="1">#REF!</definedName>
    <definedName name="OCTUBRE" localSheetId="9"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7"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7" hidden="1">{"via1",#N/A,TRUE,"general";"via2",#N/A,TRUE,"general";"via3",#N/A,TRUE,"general"}</definedName>
    <definedName name="OIUOIU" localSheetId="10"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oo" localSheetId="7" hidden="1">{"via1",#N/A,TRUE,"general";"via2",#N/A,TRUE,"general";"via3",#N/A,TRUE,"general"}</definedName>
    <definedName name="ooo" localSheetId="10"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7"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7" hidden="1">{"via1",#N/A,TRUE,"general";"via2",#N/A,TRUE,"general";"via3",#N/A,TRUE,"general"}</definedName>
    <definedName name="oooos" localSheetId="10"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RIGINAL" localSheetId="9"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9" hidden="1">[1]INST!#REF!</definedName>
    <definedName name="OROZCO" hidden="1">[1]INST!#REF!</definedName>
    <definedName name="Otros_costos_directos">'Paso 1 Calculo del Presupuesto'!$H$145:$H$163</definedName>
    <definedName name="p0p0" localSheetId="7" hidden="1">{"via1",#N/A,TRUE,"general";"via2",#N/A,TRUE,"general";"via3",#N/A,TRUE,"general"}</definedName>
    <definedName name="p0p0" localSheetId="10"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KHK" localSheetId="7" hidden="1">{"TAB1",#N/A,TRUE,"GENERAL";"TAB2",#N/A,TRUE,"GENERAL";"TAB3",#N/A,TRUE,"GENERAL";"TAB4",#N/A,TRUE,"GENERAL";"TAB5",#N/A,TRUE,"GENERAL"}</definedName>
    <definedName name="PKHK" localSheetId="10"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7" hidden="1">{"TAB1",#N/A,TRUE,"GENERAL";"TAB2",#N/A,TRUE,"GENERAL";"TAB3",#N/A,TRUE,"GENERAL";"TAB4",#N/A,TRUE,"GENERAL";"TAB5",#N/A,TRUE,"GENERAL"}</definedName>
    <definedName name="pkj" localSheetId="10"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LAD" localSheetId="7" hidden="1">{"TAB1",#N/A,TRUE,"GENERAL";"TAB2",#N/A,TRUE,"GENERAL";"TAB3",#N/A,TRUE,"GENERAL";"TAB4",#N/A,TRUE,"GENERAL";"TAB5",#N/A,TRUE,"GENERAL"}</definedName>
    <definedName name="PLAD" localSheetId="10"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OIUP" localSheetId="7" hidden="1">{"via1",#N/A,TRUE,"general";"via2",#N/A,TRUE,"general";"via3",#N/A,TRUE,"general"}</definedName>
    <definedName name="POIUP" localSheetId="10"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LIZAS" localSheetId="7" hidden="1">{"TAB1",#N/A,TRUE,"GENERAL";"TAB2",#N/A,TRUE,"GENERAL";"TAB3",#N/A,TRUE,"GENERAL";"TAB4",#N/A,TRUE,"GENERAL";"TAB5",#N/A,TRUE,"GENERAL"}</definedName>
    <definedName name="POLIZAS" localSheetId="10" hidden="1">{"TAB1",#N/A,TRUE,"GENERAL";"TAB2",#N/A,TRUE,"GENERAL";"TAB3",#N/A,TRUE,"GENERAL";"TAB4",#N/A,TRUE,"GENERAL";"TAB5",#N/A,TRUE,"GENERAL"}</definedName>
    <definedName name="POLIZAS" hidden="1">{"TAB1",#N/A,TRUE,"GENERAL";"TAB2",#N/A,TRUE,"GENERAL";"TAB3",#N/A,TRUE,"GENERAL";"TAB4",#N/A,TRUE,"GENERAL";"TAB5",#N/A,TRUE,"GENERAL"}</definedName>
    <definedName name="popop" localSheetId="7" hidden="1">{"via1",#N/A,TRUE,"general";"via2",#N/A,TRUE,"general";"via3",#N/A,TRUE,"general"}</definedName>
    <definedName name="popop" localSheetId="10"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7" hidden="1">{"via1",#N/A,TRUE,"general";"via2",#N/A,TRUE,"general";"via3",#N/A,TRUE,"general"}</definedName>
    <definedName name="popp" localSheetId="10"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vds" localSheetId="7"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uig" localSheetId="7" hidden="1">{"via1",#N/A,TRUE,"general";"via2",#N/A,TRUE,"general";"via3",#N/A,TRUE,"general"}</definedName>
    <definedName name="pouig" localSheetId="10"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PPP" localSheetId="9"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7" hidden="1">{"via1",#N/A,TRUE,"general";"via2",#N/A,TRUE,"general";"via3",#N/A,TRUE,"general"}</definedName>
    <definedName name="ppppp9" localSheetId="10"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7"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qroj" localSheetId="7" hidden="1">{"via1",#N/A,TRUE,"general";"via2",#N/A,TRUE,"general";"via3",#N/A,TRUE,"general"}</definedName>
    <definedName name="pqroj" localSheetId="10"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IMER" localSheetId="7" hidden="1">{"via1",#N/A,TRUE,"general";"via2",#N/A,TRUE,"general";"via3",#N/A,TRUE,"general"}</definedName>
    <definedName name="PRIMER" localSheetId="10"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T" localSheetId="7"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TAR" localSheetId="9"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7"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7" hidden="1">{"via1",#N/A,TRUE,"general";"via2",#N/A,TRUE,"general";"via3",#N/A,TRUE,"general"}</definedName>
    <definedName name="ptopes" localSheetId="10"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q" localSheetId="7"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7" hidden="1">{"via1",#N/A,TRUE,"general";"via2",#N/A,TRUE,"general";"via3",#N/A,TRUE,"general"}</definedName>
    <definedName name="q1q1q" localSheetId="10"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edtguj" localSheetId="7" hidden="1">{"via1",#N/A,TRUE,"general";"via2",#N/A,TRUE,"general";"via3",#N/A,TRUE,"general"}</definedName>
    <definedName name="qaedtguj" localSheetId="10"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QSWS" localSheetId="7" hidden="1">{"via1",#N/A,TRUE,"general";"via2",#N/A,TRUE,"general";"via3",#N/A,TRUE,"general"}</definedName>
    <definedName name="QAQSWS" localSheetId="10"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7" hidden="1">{"via1",#N/A,TRUE,"general";"via2",#N/A,TRUE,"general";"via3",#N/A,TRUE,"general"}</definedName>
    <definedName name="qaqwwxcr" localSheetId="10"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edcd" localSheetId="7" hidden="1">{"via1",#N/A,TRUE,"general";"via2",#N/A,TRUE,"general";"via3",#N/A,TRUE,"general"}</definedName>
    <definedName name="qedcd" localSheetId="10"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7"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wj" localSheetId="7" hidden="1">{"via1",#N/A,TRUE,"general";"via2",#N/A,TRUE,"general";"via3",#N/A,TRUE,"general"}</definedName>
    <definedName name="qewj" localSheetId="10"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qqqqw" localSheetId="7" hidden="1">{"via1",#N/A,TRUE,"general";"via2",#N/A,TRUE,"general";"via3",#N/A,TRUE,"general"}</definedName>
    <definedName name="qqqqqw" localSheetId="10"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w" localSheetId="7" hidden="1">{"via1",#N/A,TRUE,"general";"via2",#N/A,TRUE,"general";"via3",#N/A,TRUE,"general"}</definedName>
    <definedName name="qw" localSheetId="10"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7" hidden="1">{"via1",#N/A,TRUE,"general";"via2",#N/A,TRUE,"general";"via3",#N/A,TRUE,"general"}</definedName>
    <definedName name="qwdas2" localSheetId="10"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qe" localSheetId="7"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wertet" localSheetId="9" hidden="1">{#N/A,#N/A,TRUE,"1842CWN0"}</definedName>
    <definedName name="qwewertet" hidden="1">{#N/A,#N/A,TRUE,"1842CWN0"}</definedName>
    <definedName name="qwqwqwj" localSheetId="7"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ecurso_humano">'Paso 1 Calculo del Presupuesto'!$E$145:$E$169</definedName>
    <definedName name="rege" localSheetId="7" hidden="1">{"TAB1",#N/A,TRUE,"GENERAL";"TAB2",#N/A,TRUE,"GENERAL";"TAB3",#N/A,TRUE,"GENERAL";"TAB4",#N/A,TRUE,"GENERAL";"TAB5",#N/A,TRUE,"GENERAL"}</definedName>
    <definedName name="rege" localSheetId="10"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JHE" localSheetId="7" hidden="1">{"via1",#N/A,TRUE,"general";"via2",#N/A,TRUE,"general";"via3",#N/A,TRUE,"general"}</definedName>
    <definedName name="REJHE" localSheetId="10"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r" localSheetId="7" hidden="1">{"via1",#N/A,TRUE,"general";"via2",#N/A,TRUE,"general";"via3",#N/A,TRUE,"general"}</definedName>
    <definedName name="rer" localSheetId="10"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7"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g" localSheetId="7" hidden="1">{"TAB1",#N/A,TRUE,"GENERAL";"TAB2",#N/A,TRUE,"GENERAL";"TAB3",#N/A,TRUE,"GENERAL";"TAB4",#N/A,TRUE,"GENERAL";"TAB5",#N/A,TRUE,"GENERAL"}</definedName>
    <definedName name="rerg" localSheetId="10"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TTRE" localSheetId="7" hidden="1">{"via1",#N/A,TRUE,"general";"via2",#N/A,TRUE,"general";"via3",#N/A,TRUE,"general"}</definedName>
    <definedName name="RETTRE" localSheetId="10"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7" hidden="1">{"TAB1",#N/A,TRUE,"GENERAL";"TAB2",#N/A,TRUE,"GENERAL";"TAB3",#N/A,TRUE,"GENERAL";"TAB4",#N/A,TRUE,"GENERAL";"TAB5",#N/A,TRUE,"GENERAL"}</definedName>
    <definedName name="rety" localSheetId="10"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7" hidden="1">{"via1",#N/A,TRUE,"general";"via2",#N/A,TRUE,"general";"via3",#N/A,TRUE,"general"}</definedName>
    <definedName name="rewfreg" localSheetId="10"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7" hidden="1">{"via1",#N/A,TRUE,"general";"via2",#N/A,TRUE,"general";"via3",#N/A,TRUE,"general"}</definedName>
    <definedName name="rewr" localSheetId="10"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7"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7" hidden="1">{"via1",#N/A,TRUE,"general";"via2",#N/A,TRUE,"general";"via3",#N/A,TRUE,"general"}</definedName>
    <definedName name="reyety" localSheetId="10"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7" hidden="1">{"via1",#N/A,TRUE,"general";"via2",#N/A,TRUE,"general";"via3",#N/A,TRUE,"general"}</definedName>
    <definedName name="reyty" localSheetId="10"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7" hidden="1">{"via1",#N/A,TRUE,"general";"via2",#N/A,TRUE,"general";"via3",#N/A,TRUE,"general"}</definedName>
    <definedName name="reyyt" localSheetId="10"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7"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f" localSheetId="7" hidden="1">{"via1",#N/A,TRUE,"general";"via2",#N/A,TRUE,"general";"via3",#N/A,TRUE,"general"}</definedName>
    <definedName name="rfrf" localSheetId="10"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ge" localSheetId="7" hidden="1">{"via1",#N/A,TRUE,"general";"via2",#N/A,TRUE,"general";"via3",#N/A,TRUE,"general"}</definedName>
    <definedName name="rge" localSheetId="10"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7" hidden="1">{"via1",#N/A,TRUE,"general";"via2",#N/A,TRUE,"general";"via3",#N/A,TRUE,"general"}</definedName>
    <definedName name="rgegg" localSheetId="10"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7" hidden="1">{"TAB1",#N/A,TRUE,"GENERAL";"TAB2",#N/A,TRUE,"GENERAL";"TAB3",#N/A,TRUE,"GENERAL";"TAB4",#N/A,TRUE,"GENERAL";"TAB5",#N/A,TRUE,"GENERAL"}</definedName>
    <definedName name="rhh" localSheetId="10"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j" localSheetId="7" hidden="1">{"TAB1",#N/A,TRUE,"GENERAL";"TAB2",#N/A,TRUE,"GENERAL";"TAB3",#N/A,TRUE,"GENERAL";"TAB4",#N/A,TRUE,"GENERAL";"TAB5",#N/A,TRUE,"GENERAL"}</definedName>
    <definedName name="rj" localSheetId="10"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7" hidden="1">{"via1",#N/A,TRUE,"general";"via2",#N/A,TRUE,"general";"via3",#N/A,TRUE,"general"}</definedName>
    <definedName name="rjy" localSheetId="10"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7"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7" hidden="1">{"via1",#N/A,TRUE,"general";"via2",#N/A,TRUE,"general";"via3",#N/A,TRUE,"general"}</definedName>
    <definedName name="rkru" localSheetId="10"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7" hidden="1">{"TAB1",#N/A,TRUE,"GENERAL";"TAB2",#N/A,TRUE,"GENERAL";"TAB3",#N/A,TRUE,"GENERAL";"TAB4",#N/A,TRUE,"GENERAL";"TAB5",#N/A,TRUE,"GENERAL"}</definedName>
    <definedName name="rky" localSheetId="10"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rr" localSheetId="7" hidden="1">{"via1",#N/A,TRUE,"general";"via2",#N/A,TRUE,"general";"via3",#N/A,TRUE,"general"}</definedName>
    <definedName name="rrr" localSheetId="10"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rb" localSheetId="7" hidden="1">{"via1",#N/A,TRUE,"general";"via2",#N/A,TRUE,"general";"via3",#N/A,TRUE,"general"}</definedName>
    <definedName name="rrrrrb" localSheetId="10"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7"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7" hidden="1">{"via1",#N/A,TRUE,"general";"via2",#N/A,TRUE,"general";"via3",#N/A,TRUE,"general"}</definedName>
    <definedName name="rrrrt" localSheetId="10"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dgsd5" localSheetId="7"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t" localSheetId="7" hidden="1">{"TAB1",#N/A,TRUE,"GENERAL";"TAB2",#N/A,TRUE,"GENERAL";"TAB3",#N/A,TRUE,"GENERAL";"TAB4",#N/A,TRUE,"GENERAL";"TAB5",#N/A,TRUE,"GENERAL"}</definedName>
    <definedName name="rt" localSheetId="10"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7" hidden="1">{"TAB1",#N/A,TRUE,"GENERAL";"TAB2",#N/A,TRUE,"GENERAL";"TAB3",#N/A,TRUE,"GENERAL";"TAB4",#N/A,TRUE,"GENERAL";"TAB5",#N/A,TRUE,"GENERAL"}</definedName>
    <definedName name="rte" localSheetId="10"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7" hidden="1">{"via1",#N/A,TRUE,"general";"via2",#N/A,TRUE,"general";"via3",#N/A,TRUE,"general"}</definedName>
    <definedName name="rteg" localSheetId="10"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7"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7" hidden="1">{"via1",#N/A,TRUE,"general";"via2",#N/A,TRUE,"general";"via3",#N/A,TRUE,"general"}</definedName>
    <definedName name="rtes" localSheetId="10"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7"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7" hidden="1">{"via1",#N/A,TRUE,"general";"via2",#N/A,TRUE,"general";"via3",#N/A,TRUE,"general"}</definedName>
    <definedName name="rthrthg" localSheetId="10"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7" hidden="1">{"via1",#N/A,TRUE,"general";"via2",#N/A,TRUE,"general";"via3",#N/A,TRUE,"general"}</definedName>
    <definedName name="rthtrh" localSheetId="10"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7" hidden="1">{"via1",#N/A,TRUE,"general";"via2",#N/A,TRUE,"general";"via3",#N/A,TRUE,"general"}</definedName>
    <definedName name="rtkk" localSheetId="10"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7" hidden="1">{"via1",#N/A,TRUE,"general";"via2",#N/A,TRUE,"general";"via3",#N/A,TRUE,"general"}</definedName>
    <definedName name="rttthy" localSheetId="10"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7" hidden="1">{"via1",#N/A,TRUE,"general";"via2",#N/A,TRUE,"general";"via3",#N/A,TRUE,"general"}</definedName>
    <definedName name="rtu" localSheetId="10"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7" hidden="1">{"TAB1",#N/A,TRUE,"GENERAL";"TAB2",#N/A,TRUE,"GENERAL";"TAB3",#N/A,TRUE,"GENERAL";"TAB4",#N/A,TRUE,"GENERAL";"TAB5",#N/A,TRUE,"GENERAL"}</definedName>
    <definedName name="rtug" localSheetId="10"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7" hidden="1">{"via1",#N/A,TRUE,"general";"via2",#N/A,TRUE,"general";"via3",#N/A,TRUE,"general"}</definedName>
    <definedName name="rturtu" localSheetId="10"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7" hidden="1">{"via1",#N/A,TRUE,"general";"via2",#N/A,TRUE,"general";"via3",#N/A,TRUE,"general"}</definedName>
    <definedName name="rturu" localSheetId="10"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7" hidden="1">{"via1",#N/A,TRUE,"general";"via2",#N/A,TRUE,"general";"via3",#N/A,TRUE,"general"}</definedName>
    <definedName name="rtut" localSheetId="10"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7" hidden="1">{"via1",#N/A,TRUE,"general";"via2",#N/A,TRUE,"general";"via3",#N/A,TRUE,"general"}</definedName>
    <definedName name="rtutru" localSheetId="10"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7" hidden="1">{"via1",#N/A,TRUE,"general";"via2",#N/A,TRUE,"general";"via3",#N/A,TRUE,"general"}</definedName>
    <definedName name="rtuy" localSheetId="10"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7"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7" hidden="1">{"via1",#N/A,TRUE,"general";"via2",#N/A,TRUE,"general";"via3",#N/A,TRUE,"general"}</definedName>
    <definedName name="rtym" localSheetId="10"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7"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7" hidden="1">{"via1",#N/A,TRUE,"general";"via2",#N/A,TRUE,"general";"via3",#N/A,TRUE,"general"}</definedName>
    <definedName name="rtyrh" localSheetId="10"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7" hidden="1">{"via1",#N/A,TRUE,"general";"via2",#N/A,TRUE,"general";"via3",#N/A,TRUE,"general"}</definedName>
    <definedName name="RTYRTY" localSheetId="10"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7" hidden="1">{"TAB1",#N/A,TRUE,"GENERAL";"TAB2",#N/A,TRUE,"GENERAL";"TAB3",#N/A,TRUE,"GENERAL";"TAB4",#N/A,TRUE,"GENERAL";"TAB5",#N/A,TRUE,"GENERAL"}</definedName>
    <definedName name="rtyt" localSheetId="10"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7" hidden="1">{"via1",#N/A,TRUE,"general";"via2",#N/A,TRUE,"general";"via3",#N/A,TRUE,"general"}</definedName>
    <definedName name="rtytry" localSheetId="10"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7" hidden="1">{"TAB1",#N/A,TRUE,"GENERAL";"TAB2",#N/A,TRUE,"GENERAL";"TAB3",#N/A,TRUE,"GENERAL";"TAB4",#N/A,TRUE,"GENERAL";"TAB5",#N/A,TRUE,"GENERAL"}</definedName>
    <definedName name="ruru" localSheetId="10"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u" localSheetId="7" hidden="1">{"via1",#N/A,TRUE,"general";"via2",#N/A,TRUE,"general";"via3",#N/A,TRUE,"general"}</definedName>
    <definedName name="rutu" localSheetId="10"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7" hidden="1">{"via1",#N/A,TRUE,"general";"via2",#N/A,TRUE,"general";"via3",#N/A,TRUE,"general"}</definedName>
    <definedName name="rwt" localSheetId="10"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7" hidden="1">{"via1",#N/A,TRUE,"general";"via2",#N/A,TRUE,"general";"via3",#N/A,TRUE,"general"}</definedName>
    <definedName name="ry" localSheetId="10"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7"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7" hidden="1">{"via1",#N/A,TRUE,"general";"via2",#N/A,TRUE,"general";"via3",#N/A,TRUE,"general"}</definedName>
    <definedName name="rytrsdg" localSheetId="10"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aa" localSheetId="7" hidden="1">{"via1",#N/A,TRUE,"general";"via2",#N/A,TRUE,"general";"via3",#N/A,TRUE,"general"}</definedName>
    <definedName name="saa" localSheetId="10"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7" hidden="1">{"via1",#N/A,TRUE,"general";"via2",#N/A,TRUE,"general";"via3",#N/A,TRUE,"general"}</definedName>
    <definedName name="SAD" localSheetId="10"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7" hidden="1">{"via1",#N/A,TRUE,"general";"via2",#N/A,TRUE,"general";"via3",#N/A,TRUE,"general"}</definedName>
    <definedName name="SADF" localSheetId="10"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7"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7" hidden="1">{"via1",#N/A,TRUE,"general";"via2",#N/A,TRUE,"general";"via3",#N/A,TRUE,"general"}</definedName>
    <definedName name="sadfo" localSheetId="10"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7"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bgfbgdr" localSheetId="7" hidden="1">{"via1",#N/A,TRUE,"general";"via2",#N/A,TRUE,"general";"via3",#N/A,TRUE,"general"}</definedName>
    <definedName name="sbgfbgdr" localSheetId="10"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d" localSheetId="7" hidden="1">{"TAB1",#N/A,TRUE,"GENERAL";"TAB2",#N/A,TRUE,"GENERAL";"TAB3",#N/A,TRUE,"GENERAL";"TAB4",#N/A,TRUE,"GENERAL";"TAB5",#N/A,TRUE,"GENERAL"}</definedName>
    <definedName name="sd" localSheetId="10"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7" hidden="1">{"via1",#N/A,TRUE,"general";"via2",#N/A,TRUE,"general";"via3",#N/A,TRUE,"general"}</definedName>
    <definedName name="sdaf" localSheetId="10"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7" hidden="1">{"via1",#N/A,TRUE,"general";"via2",#N/A,TRUE,"general";"via3",#N/A,TRUE,"general"}</definedName>
    <definedName name="sdas" localSheetId="10"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7" hidden="1">{"via1",#N/A,TRUE,"general";"via2",#N/A,TRUE,"general";"via3",#N/A,TRUE,"general"}</definedName>
    <definedName name="sdasdf" localSheetId="10"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7"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DSAFF" localSheetId="9" hidden="1">{#N/A,#N/A,TRUE,"1842CWN0"}</definedName>
    <definedName name="SDDSAFF" hidden="1">{#N/A,#N/A,TRUE,"1842CWN0"}</definedName>
    <definedName name="SDFCE" localSheetId="7"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7" hidden="1">{"via1",#N/A,TRUE,"general";"via2",#N/A,TRUE,"general";"via3",#N/A,TRUE,"general"}</definedName>
    <definedName name="sdfd" localSheetId="10"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G" localSheetId="9" hidden="1">{#N/A,#N/A,TRUE,"1842CWN0"}</definedName>
    <definedName name="SDFDG" hidden="1">{#N/A,#N/A,TRUE,"1842CWN0"}</definedName>
    <definedName name="sdfds" localSheetId="7" hidden="1">{"via1",#N/A,TRUE,"general";"via2",#N/A,TRUE,"general";"via3",#N/A,TRUE,"general"}</definedName>
    <definedName name="sdfds" localSheetId="10"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7" hidden="1">{"via1",#N/A,TRUE,"general";"via2",#N/A,TRUE,"general";"via3",#N/A,TRUE,"general"}</definedName>
    <definedName name="SDFDSO" localSheetId="10"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7"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7" hidden="1">{"via1",#N/A,TRUE,"general";"via2",#N/A,TRUE,"general";"via3",#N/A,TRUE,"general"}</definedName>
    <definedName name="SDFEO" localSheetId="10"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7" hidden="1">{"TAB1",#N/A,TRUE,"GENERAL";"TAB2",#N/A,TRUE,"GENERAL";"TAB3",#N/A,TRUE,"GENERAL";"TAB4",#N/A,TRUE,"GENERAL";"TAB5",#N/A,TRUE,"GENERAL"}</definedName>
    <definedName name="sdfg" localSheetId="10"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7" hidden="1">{"via1",#N/A,TRUE,"general";"via2",#N/A,TRUE,"general";"via3",#N/A,TRUE,"general"}</definedName>
    <definedName name="sdfgdsfk" localSheetId="10"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7" hidden="1">{"via1",#N/A,TRUE,"general";"via2",#N/A,TRUE,"general";"via3",#N/A,TRUE,"general"}</definedName>
    <definedName name="sdfgsg" localSheetId="10"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7"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4" localSheetId="7" hidden="1">{"via1",#N/A,TRUE,"general";"via2",#N/A,TRUE,"general";"via3",#N/A,TRUE,"general"}</definedName>
    <definedName name="sdfsd4" localSheetId="10"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7"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7" hidden="1">{"via1",#N/A,TRUE,"general";"via2",#N/A,TRUE,"general";"via3",#N/A,TRUE,"general"}</definedName>
    <definedName name="sdfsdfb" localSheetId="10"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dgg" localSheetId="9" hidden="1">{#N/A,#N/A,TRUE,"INGENIERIA";#N/A,#N/A,TRUE,"COMPRAS";#N/A,#N/A,TRUE,"DIRECCION";#N/A,#N/A,TRUE,"RESUMEN"}</definedName>
    <definedName name="sdfsdgg" hidden="1">{#N/A,#N/A,TRUE,"INGENIERIA";#N/A,#N/A,TRUE,"COMPRAS";#N/A,#N/A,TRUE,"DIRECCION";#N/A,#N/A,TRUE,"RESUMEN"}</definedName>
    <definedName name="SDFSF" localSheetId="7"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7" hidden="1">{"via1",#N/A,TRUE,"general";"via2",#N/A,TRUE,"general";"via3",#N/A,TRUE,"general"}</definedName>
    <definedName name="sdgfgp" localSheetId="10"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7" hidden="1">{"via1",#N/A,TRUE,"general";"via2",#N/A,TRUE,"general";"via3",#N/A,TRUE,"general"}</definedName>
    <definedName name="sdgfiu" localSheetId="10"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7"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7" hidden="1">{"via1",#N/A,TRUE,"general";"via2",#N/A,TRUE,"general";"via3",#N/A,TRUE,"general"}</definedName>
    <definedName name="sdgsg" localSheetId="10"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7"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7" hidden="1">{"via1",#N/A,TRUE,"general";"via2",#N/A,TRUE,"general";"via3",#N/A,TRUE,"general"}</definedName>
    <definedName name="sdsdfh" localSheetId="10"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dfsdff" localSheetId="9" hidden="1">{#N/A,#N/A,TRUE,"1842CWN0"}</definedName>
    <definedName name="sdsdfsdff" hidden="1">{#N/A,#N/A,TRUE,"1842CWN0"}</definedName>
    <definedName name="setrj" localSheetId="7" hidden="1">{"via1",#N/A,TRUE,"general";"via2",#N/A,TRUE,"general";"via3",#N/A,TRUE,"general"}</definedName>
    <definedName name="setrj" localSheetId="10"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7" hidden="1">{"via1",#N/A,TRUE,"general";"via2",#N/A,TRUE,"general";"via3",#N/A,TRUE,"general"}</definedName>
    <definedName name="sett" localSheetId="10"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asf" localSheetId="7"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7" hidden="1">{"via1",#N/A,TRUE,"general";"via2",#N/A,TRUE,"general";"via3",#N/A,TRUE,"general"}</definedName>
    <definedName name="sfsd" localSheetId="10"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7"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olver_adj" localSheetId="9" hidden="1">'ITEM DE PAGO'!#REF!</definedName>
    <definedName name="solver_adj" localSheetId="8" hidden="1">'PRESUPUESTO OFICIAL'!$K$94</definedName>
    <definedName name="solver_cvg" localSheetId="9" hidden="1">0.0001</definedName>
    <definedName name="solver_cvg" localSheetId="8" hidden="1">0.0001</definedName>
    <definedName name="solver_drv" localSheetId="9" hidden="1">1</definedName>
    <definedName name="solver_drv" localSheetId="8" hidden="1">1</definedName>
    <definedName name="solver_est" localSheetId="9" hidden="1">1</definedName>
    <definedName name="solver_est" localSheetId="8" hidden="1">1</definedName>
    <definedName name="solver_itr" localSheetId="9" hidden="1">100</definedName>
    <definedName name="solver_itr" localSheetId="8" hidden="1">100</definedName>
    <definedName name="solver_lhs1" localSheetId="9" hidden="1">'ITEM DE PAGO'!#REF!</definedName>
    <definedName name="solver_lhs1" localSheetId="8" hidden="1">'PRESUPUESTO OFICIAL'!$K$101</definedName>
    <definedName name="solver_lin" localSheetId="9" hidden="1">2</definedName>
    <definedName name="solver_lin" localSheetId="8" hidden="1">2</definedName>
    <definedName name="solver_neg" localSheetId="9" hidden="1">2</definedName>
    <definedName name="solver_neg" localSheetId="8" hidden="1">2</definedName>
    <definedName name="solver_num" localSheetId="9" hidden="1">1</definedName>
    <definedName name="solver_num" localSheetId="8" hidden="1">1</definedName>
    <definedName name="solver_nwt" localSheetId="9" hidden="1">1</definedName>
    <definedName name="solver_nwt" localSheetId="8" hidden="1">1</definedName>
    <definedName name="solver_opt" localSheetId="9" hidden="1">'ITEM DE PAGO'!#REF!</definedName>
    <definedName name="solver_opt" localSheetId="8" hidden="1">'PRESUPUESTO OFICIAL'!$K$101</definedName>
    <definedName name="solver_pre" localSheetId="9" hidden="1">0.000001</definedName>
    <definedName name="solver_pre" localSheetId="8" hidden="1">0.000001</definedName>
    <definedName name="solver_rel1" localSheetId="9" hidden="1">2</definedName>
    <definedName name="solver_rel1" localSheetId="8" hidden="1">2</definedName>
    <definedName name="solver_rhs1" localSheetId="9" hidden="1">'ITEM DE PAGO'!#REF!</definedName>
    <definedName name="solver_rhs1" localSheetId="8" hidden="1">'PRESUPUESTO OFICIAL'!$K$102</definedName>
    <definedName name="solver_scl" localSheetId="9" hidden="1">2</definedName>
    <definedName name="solver_scl" localSheetId="8" hidden="1">2</definedName>
    <definedName name="solver_sho" localSheetId="9" hidden="1">2</definedName>
    <definedName name="solver_sho" localSheetId="8" hidden="1">2</definedName>
    <definedName name="solver_tim" localSheetId="9" hidden="1">100</definedName>
    <definedName name="solver_tim" localSheetId="8" hidden="1">100</definedName>
    <definedName name="solver_tol" localSheetId="9" hidden="1">0.05</definedName>
    <definedName name="solver_tol" localSheetId="8" hidden="1">0.05</definedName>
    <definedName name="solver_typ" localSheetId="9" hidden="1">3</definedName>
    <definedName name="solver_typ" localSheetId="8" hidden="1">3</definedName>
    <definedName name="solver_val" localSheetId="9" hidden="1">490454</definedName>
    <definedName name="solver_val" localSheetId="8" hidden="1">63899000000</definedName>
    <definedName name="srwrwr" localSheetId="7"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sss7" localSheetId="7" hidden="1">{"via1",#N/A,TRUE,"general";"via2",#N/A,TRUE,"general";"via3",#N/A,TRUE,"general"}</definedName>
    <definedName name="sssss7" localSheetId="10"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7"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7" hidden="1">{"via1",#N/A,TRUE,"general";"via2",#N/A,TRUE,"general";"via3",#N/A,TRUE,"general"}</definedName>
    <definedName name="sssssy" localSheetId="10"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t" localSheetId="7" hidden="1">{"via1",#N/A,TRUE,"general";"via2",#N/A,TRUE,"general";"via3",#N/A,TRUE,"general"}</definedName>
    <definedName name="stt" localSheetId="10"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wsw" localSheetId="7" hidden="1">{"via1",#N/A,TRUE,"general";"via2",#N/A,TRUE,"general";"via3",#N/A,TRUE,"general"}</definedName>
    <definedName name="swsw" localSheetId="10"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7"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t5t5" localSheetId="7" hidden="1">{"TAB1",#N/A,TRUE,"GENERAL";"TAB2",#N/A,TRUE,"GENERAL";"TAB3",#N/A,TRUE,"GENERAL";"TAB4",#N/A,TRUE,"GENERAL";"TAB5",#N/A,TRUE,"GENERAL"}</definedName>
    <definedName name="t5t5" localSheetId="10"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dy" localSheetId="7" hidden="1">{"TAB1",#N/A,TRUE,"GENERAL";"TAB2",#N/A,TRUE,"GENERAL";"TAB3",#N/A,TRUE,"GENERAL";"TAB4",#N/A,TRUE,"GENERAL";"TAB5",#N/A,TRUE,"GENERAL"}</definedName>
    <definedName name="tdy" localSheetId="10"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7" hidden="1">{"via1",#N/A,TRUE,"general";"via2",#N/A,TRUE,"general";"via3",#N/A,TRUE,"general"}</definedName>
    <definedName name="teytrh" localSheetId="10"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hdh" localSheetId="7" hidden="1">{"TAB1",#N/A,TRUE,"GENERAL";"TAB2",#N/A,TRUE,"GENERAL";"TAB3",#N/A,TRUE,"GENERAL";"TAB4",#N/A,TRUE,"GENERAL";"TAB5",#N/A,TRUE,"GENERAL"}</definedName>
    <definedName name="thdh" localSheetId="10"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tj" localSheetId="7" hidden="1">{"via1",#N/A,TRUE,"general";"via2",#N/A,TRUE,"general";"via3",#N/A,TRUE,"general"}</definedName>
    <definedName name="thtj" localSheetId="10"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K_1" localSheetId="9" hidden="1">[6]INST!#REF!</definedName>
    <definedName name="TK_1" hidden="1">[6]INST!#REF!</definedName>
    <definedName name="tortas" localSheetId="7"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7" hidden="1">{"via1",#N/A,TRUE,"general";"via2",#N/A,TRUE,"general";"via3",#N/A,TRUE,"general"}</definedName>
    <definedName name="tortas2" localSheetId="10"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r" localSheetId="7" hidden="1">{"TAB1",#N/A,TRUE,"GENERAL";"TAB2",#N/A,TRUE,"GENERAL";"TAB3",#N/A,TRUE,"GENERAL";"TAB4",#N/A,TRUE,"GENERAL";"TAB5",#N/A,TRUE,"GENERAL"}</definedName>
    <definedName name="tr" localSheetId="10"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7" hidden="1">{"TAB1",#N/A,TRUE,"GENERAL";"TAB2",#N/A,TRUE,"GENERAL";"TAB3",#N/A,TRUE,"GENERAL";"TAB4",#N/A,TRUE,"GENERAL";"TAB5",#N/A,TRUE,"GENERAL"}</definedName>
    <definedName name="tret" localSheetId="10"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7" hidden="1">{"via1",#N/A,TRUE,"general";"via2",#N/A,TRUE,"general";"via3",#N/A,TRUE,"general"}</definedName>
    <definedName name="trh" localSheetId="10"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7" hidden="1">{"via1",#N/A,TRUE,"general";"via2",#N/A,TRUE,"general";"via3",#N/A,TRUE,"general"}</definedName>
    <definedName name="trhfh" localSheetId="10"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jfgjh" localSheetId="7" hidden="1">{"via1",#N/A,TRUE,"general";"via2",#N/A,TRUE,"general";"via3",#N/A,TRUE,"general"}</definedName>
    <definedName name="trjfgjh" localSheetId="10"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u" localSheetId="7" hidden="1">{"via1",#N/A,TRUE,"general";"via2",#N/A,TRUE,"general";"via3",#N/A,TRUE,"general"}</definedName>
    <definedName name="tru" localSheetId="10"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7" hidden="1">{"via1",#N/A,TRUE,"general";"via2",#N/A,TRUE,"general";"via3",#N/A,TRUE,"general"}</definedName>
    <definedName name="truds" localSheetId="10"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7" hidden="1">{"via1",#N/A,TRUE,"general";"via2",#N/A,TRUE,"general";"via3",#N/A,TRUE,"general"}</definedName>
    <definedName name="trutu" localSheetId="10"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7" hidden="1">{"via1",#N/A,TRUE,"general";"via2",#N/A,TRUE,"general";"via3",#N/A,TRUE,"general"}</definedName>
    <definedName name="trydfg" localSheetId="10"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7" hidden="1">{"via1",#N/A,TRUE,"general";"via2",#N/A,TRUE,"general";"via3",#N/A,TRUE,"general"}</definedName>
    <definedName name="trydtrygf" localSheetId="10"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7"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7" hidden="1">{"via1",#N/A,TRUE,"general";"via2",#N/A,TRUE,"general";"via3",#N/A,TRUE,"general"}</definedName>
    <definedName name="tryrth" localSheetId="10"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7"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R" localSheetId="7" hidden="1">{"via1",#N/A,TRUE,"general";"via2",#N/A,TRUE,"general";"via3",#N/A,TRUE,"general"}</definedName>
    <definedName name="TTR" localSheetId="10"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7" hidden="1">{"via1",#N/A,TRUE,"general";"via2",#N/A,TRUE,"general";"via3",#N/A,TRUE,"general"}</definedName>
    <definedName name="ttrff" localSheetId="10"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7" hidden="1">{"TAB1",#N/A,TRUE,"GENERAL";"TAB2",#N/A,TRUE,"GENERAL";"TAB3",#N/A,TRUE,"GENERAL";"TAB4",#N/A,TRUE,"GENERAL";"TAB5",#N/A,TRUE,"GENERAL"}</definedName>
    <definedName name="ttt" localSheetId="10"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t7" localSheetId="7" hidden="1">{"via1",#N/A,TRUE,"general";"via2",#N/A,TRUE,"general";"via3",#N/A,TRUE,"general"}</definedName>
    <definedName name="tttt7" localSheetId="10"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7"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7" hidden="1">{"via1",#N/A,TRUE,"general";"via2",#N/A,TRUE,"general";"via3",#N/A,TRUE,"general"}</definedName>
    <definedName name="ttttr" localSheetId="10"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7"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7" hidden="1">{"via1",#N/A,TRUE,"general";"via2",#N/A,TRUE,"general";"via3",#N/A,TRUE,"general"}</definedName>
    <definedName name="tu" localSheetId="10"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 localSheetId="9" hidden="1">#REF!</definedName>
    <definedName name="TUBERIA" hidden="1">#REF!</definedName>
    <definedName name="TUBERIA1" localSheetId="9" hidden="1">#REF!</definedName>
    <definedName name="TUBERIA1" hidden="1">#REF!</definedName>
    <definedName name="tur" localSheetId="7" hidden="1">{"TAB1",#N/A,TRUE,"GENERAL";"TAB2",#N/A,TRUE,"GENERAL";"TAB3",#N/A,TRUE,"GENERAL";"TAB4",#N/A,TRUE,"GENERAL";"TAB5",#N/A,TRUE,"GENERAL"}</definedName>
    <definedName name="tur" localSheetId="10"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7" hidden="1">{"TAB1",#N/A,TRUE,"GENERAL";"TAB2",#N/A,TRUE,"GENERAL";"TAB3",#N/A,TRUE,"GENERAL";"TAB4",#N/A,TRUE,"GENERAL";"TAB5",#N/A,TRUE,"GENERAL"}</definedName>
    <definedName name="turu" localSheetId="10"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wer" localSheetId="7" hidden="1">{"TAB1",#N/A,TRUE,"GENERAL";"TAB2",#N/A,TRUE,"GENERAL";"TAB3",#N/A,TRUE,"GENERAL";"TAB4",#N/A,TRUE,"GENERAL";"TAB5",#N/A,TRUE,"GENERAL"}</definedName>
    <definedName name="twer" localSheetId="10"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7" hidden="1">{"TAB1",#N/A,TRUE,"GENERAL";"TAB2",#N/A,TRUE,"GENERAL";"TAB3",#N/A,TRUE,"GENERAL";"TAB4",#N/A,TRUE,"GENERAL";"TAB5",#N/A,TRUE,"GENERAL"}</definedName>
    <definedName name="twet" localSheetId="10"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7" hidden="1">{"via1",#N/A,TRUE,"general";"via2",#N/A,TRUE,"general";"via3",#N/A,TRUE,"general"}</definedName>
    <definedName name="ty" localSheetId="10"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7" hidden="1">{"via1",#N/A,TRUE,"general";"via2",#N/A,TRUE,"general";"via3",#N/A,TRUE,"general"}</definedName>
    <definedName name="tyery" localSheetId="10"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7" hidden="1">{"TAB1",#N/A,TRUE,"GENERAL";"TAB2",#N/A,TRUE,"GENERAL";"TAB3",#N/A,TRUE,"GENERAL";"TAB4",#N/A,TRUE,"GENERAL";"TAB5",#N/A,TRUE,"GENERAL"}</definedName>
    <definedName name="tyj" localSheetId="10"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7" hidden="1">{"via1",#N/A,TRUE,"general";"via2",#N/A,TRUE,"general";"via3",#N/A,TRUE,"general"}</definedName>
    <definedName name="tyk" localSheetId="10"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7" hidden="1">{"via1",#N/A,TRUE,"general";"via2",#N/A,TRUE,"general";"via3",#N/A,TRUE,"general"}</definedName>
    <definedName name="tym" localSheetId="10"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7" hidden="1">{"via1",#N/A,TRUE,"general";"via2",#N/A,TRUE,"general";"via3",#N/A,TRUE,"general"}</definedName>
    <definedName name="tyr" localSheetId="10"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7"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7" hidden="1">{"TAB1",#N/A,TRUE,"GENERAL";"TAB2",#N/A,TRUE,"GENERAL";"TAB3",#N/A,TRUE,"GENERAL";"TAB4",#N/A,TRUE,"GENERAL";"TAB5",#N/A,TRUE,"GENERAL"}</definedName>
    <definedName name="tyty" localSheetId="10"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7" hidden="1">{"via1",#N/A,TRUE,"general";"via2",#N/A,TRUE,"general";"via3",#N/A,TRUE,"general"}</definedName>
    <definedName name="tyutyu" localSheetId="10"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7" hidden="1">{"via1",#N/A,TRUE,"general";"via2",#N/A,TRUE,"general";"via3",#N/A,TRUE,"general"}</definedName>
    <definedName name="tyxg" localSheetId="10"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3u" localSheetId="7" hidden="1">{"TAB1",#N/A,TRUE,"GENERAL";"TAB2",#N/A,TRUE,"GENERAL";"TAB3",#N/A,TRUE,"GENERAL";"TAB4",#N/A,TRUE,"GENERAL";"TAB5",#N/A,TRUE,"GENERAL"}</definedName>
    <definedName name="u3u" localSheetId="10"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7" hidden="1">{"TAB1",#N/A,TRUE,"GENERAL";"TAB2",#N/A,TRUE,"GENERAL";"TAB3",#N/A,TRUE,"GENERAL";"TAB4",#N/A,TRUE,"GENERAL";"TAB5",#N/A,TRUE,"GENERAL"}</definedName>
    <definedName name="u7u7" localSheetId="10"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I" localSheetId="7" hidden="1">{"via1",#N/A,TRUE,"general";"via2",#N/A,TRUE,"general";"via3",#N/A,TRUE,"general"}</definedName>
    <definedName name="UI" localSheetId="10"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jhj" localSheetId="7" hidden="1">{"via1",#N/A,TRUE,"general";"via2",#N/A,TRUE,"general";"via3",#N/A,TRUE,"general"}</definedName>
    <definedName name="uijhj" localSheetId="10"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7" hidden="1">{"TAB1",#N/A,TRUE,"GENERAL";"TAB2",#N/A,TRUE,"GENERAL";"TAB3",#N/A,TRUE,"GENERAL";"TAB4",#N/A,TRUE,"GENERAL";"TAB5",#N/A,TRUE,"GENERAL"}</definedName>
    <definedName name="uio" localSheetId="10"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7" hidden="1">{"TAB1",#N/A,TRUE,"GENERAL";"TAB2",#N/A,TRUE,"GENERAL";"TAB3",#N/A,TRUE,"GENERAL";"TAB4",#N/A,TRUE,"GENERAL";"TAB5",#N/A,TRUE,"GENERAL"}</definedName>
    <definedName name="uiou" localSheetId="10"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7" hidden="1">{"via1",#N/A,TRUE,"general";"via2",#N/A,TRUE,"general";"via3",#N/A,TRUE,"general"}</definedName>
    <definedName name="uir" localSheetId="10"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7"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7" hidden="1">{"via1",#N/A,TRUE,"general";"via2",#N/A,TRUE,"general";"via3",#N/A,TRUE,"general"}</definedName>
    <definedName name="uityjj" localSheetId="10"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7"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nidad_medida">'Paso 1 Calculo del Presupuesto'!$G$145:$G$150</definedName>
    <definedName name="unj" localSheetId="9" hidden="1">[3]INST!#REF!</definedName>
    <definedName name="unj" hidden="1">[3]INST!#REF!</definedName>
    <definedName name="UOUIV" localSheetId="7"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u" localSheetId="7" hidden="1">{"TAB1",#N/A,TRUE,"GENERAL";"TAB2",#N/A,TRUE,"GENERAL";"TAB3",#N/A,TRUE,"GENERAL";"TAB4",#N/A,TRUE,"GENERAL";"TAB5",#N/A,TRUE,"GENERAL"}</definedName>
    <definedName name="uu" localSheetId="10"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7" hidden="1">{"TAB1",#N/A,TRUE,"GENERAL";"TAB2",#N/A,TRUE,"GENERAL";"TAB3",#N/A,TRUE,"GENERAL";"TAB4",#N/A,TRUE,"GENERAL";"TAB5",#N/A,TRUE,"GENERAL"}</definedName>
    <definedName name="uuu" localSheetId="10"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7" hidden="1">{"via1",#N/A,TRUE,"general";"via2",#N/A,TRUE,"general";"via3",#N/A,TRUE,"general"}</definedName>
    <definedName name="uuuuuj" localSheetId="10"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wkap" localSheetId="7"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u" localSheetId="7" hidden="1">{"TAB1",#N/A,TRUE,"GENERAL";"TAB2",#N/A,TRUE,"GENERAL";"TAB3",#N/A,TRUE,"GENERAL";"TAB4",#N/A,TRUE,"GENERAL";"TAB5",#N/A,TRUE,"GENERAL"}</definedName>
    <definedName name="uytu" localSheetId="10"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7" hidden="1">{"via1",#N/A,TRUE,"general";"via2",#N/A,TRUE,"general";"via3",#N/A,TRUE,"general"}</definedName>
    <definedName name="uyur" localSheetId="10"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7" hidden="1">{"TAB1",#N/A,TRUE,"GENERAL";"TAB2",#N/A,TRUE,"GENERAL";"TAB3",#N/A,TRUE,"GENERAL";"TAB4",#N/A,TRUE,"GENERAL";"TAB5",#N/A,TRUE,"GENERAL"}</definedName>
    <definedName name="v" localSheetId="10"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7" hidden="1">{"via1",#N/A,TRUE,"general";"via2",#N/A,TRUE,"general";"via3",#N/A,TRUE,"general"}</definedName>
    <definedName name="vdfvuio" localSheetId="10"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7" hidden="1">{"via1",#N/A,TRUE,"general";"via2",#N/A,TRUE,"general";"via3",#N/A,TRUE,"general"}</definedName>
    <definedName name="vdsvnj" localSheetId="10"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fbgnhyt" localSheetId="7" hidden="1">{"via1",#N/A,TRUE,"general";"via2",#N/A,TRUE,"general";"via3",#N/A,TRUE,"general"}</definedName>
    <definedName name="vfbgnhyt" localSheetId="10"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vdv" localSheetId="7"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7" hidden="1">{"TAB1",#N/A,TRUE,"GENERAL";"TAB2",#N/A,TRUE,"GENERAL";"TAB3",#N/A,TRUE,"GENERAL";"TAB4",#N/A,TRUE,"GENERAL";"TAB5",#N/A,TRUE,"GENERAL"}</definedName>
    <definedName name="vfvf" localSheetId="10"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k" localSheetId="7" hidden="1">{"via1",#N/A,TRUE,"general";"via2",#N/A,TRUE,"general";"via3",#N/A,TRUE,"general"}</definedName>
    <definedName name="vk" localSheetId="10"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7" hidden="1">{"via1",#N/A,TRUE,"general";"via2",#N/A,TRUE,"general";"via3",#N/A,TRUE,"general"}</definedName>
    <definedName name="vnbvxb" localSheetId="10"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7"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sdfj" localSheetId="7" hidden="1">{"via1",#N/A,TRUE,"general";"via2",#N/A,TRUE,"general";"via3",#N/A,TRUE,"general"}</definedName>
    <definedName name="vsdfj" localSheetId="10"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t" localSheetId="7" hidden="1">{"via1",#N/A,TRUE,"general";"via2",#N/A,TRUE,"general";"via3",#N/A,TRUE,"general"}</definedName>
    <definedName name="vt" localSheetId="10"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vcxv" localSheetId="7"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vvt" localSheetId="7" hidden="1">{"via1",#N/A,TRUE,"general";"via2",#N/A,TRUE,"general";"via3",#N/A,TRUE,"general"}</definedName>
    <definedName name="vvvvt" localSheetId="10"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7" hidden="1">{"via1",#N/A,TRUE,"general";"via2",#N/A,TRUE,"general";"via3",#N/A,TRUE,"general"}</definedName>
    <definedName name="vvvvvvf" localSheetId="10"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y" localSheetId="7" hidden="1">{"TAB1",#N/A,TRUE,"GENERAL";"TAB2",#N/A,TRUE,"GENERAL";"TAB3",#N/A,TRUE,"GENERAL";"TAB4",#N/A,TRUE,"GENERAL";"TAB5",#N/A,TRUE,"GENERAL"}</definedName>
    <definedName name="vy" localSheetId="10"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2w2w" localSheetId="7" hidden="1">{"via1",#N/A,TRUE,"general";"via2",#N/A,TRUE,"general";"via3",#N/A,TRUE,"general"}</definedName>
    <definedName name="w2w2w" localSheetId="10"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DD" localSheetId="9"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7"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7" hidden="1">{"via1",#N/A,TRUE,"general";"via2",#N/A,TRUE,"general";"via3",#N/A,TRUE,"general"}</definedName>
    <definedName name="WEREWR" localSheetId="10"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7"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7" hidden="1">{"via1",#N/A,TRUE,"general";"via2",#N/A,TRUE,"general";"via3",#N/A,TRUE,"general"}</definedName>
    <definedName name="werh" localSheetId="10"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7" hidden="1">{"via1",#N/A,TRUE,"general";"via2",#N/A,TRUE,"general";"via3",#N/A,TRUE,"general"}</definedName>
    <definedName name="wersfdfrguyo" localSheetId="10"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7" hidden="1">{"via1",#N/A,TRUE,"general";"via2",#N/A,TRUE,"general";"via3",#N/A,TRUE,"general"}</definedName>
    <definedName name="werwr" localSheetId="10"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7"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7" hidden="1">{"via1",#N/A,TRUE,"general";"via2",#N/A,TRUE,"general";"via3",#N/A,TRUE,"general"}</definedName>
    <definedName name="wetrew" localSheetId="10"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7" hidden="1">{"via1",#N/A,TRUE,"general";"via2",#N/A,TRUE,"general";"via3",#N/A,TRUE,"general"}</definedName>
    <definedName name="wettt" localSheetId="10"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7" hidden="1">{"via1",#N/A,TRUE,"general";"via2",#N/A,TRUE,"general";"via3",#N/A,TRUE,"general"}</definedName>
    <definedName name="wetwretd" localSheetId="10"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7" hidden="1">{"via1",#N/A,TRUE,"general";"via2",#N/A,TRUE,"general";"via3",#N/A,TRUE,"general"}</definedName>
    <definedName name="wew" localSheetId="10"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7" hidden="1">{"via1",#N/A,TRUE,"general";"via2",#N/A,TRUE,"general";"via3",#N/A,TRUE,"general"}</definedName>
    <definedName name="wffag" localSheetId="10"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QEEWQ" localSheetId="7"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civil._.works." localSheetId="9" hidden="1">{#N/A,#N/A,TRUE,"1842CWN0"}</definedName>
    <definedName name="wrn.civil._.works." hidden="1">{#N/A,#N/A,TRUE,"1842CWN0"}</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7"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9" hidden="1">{#N/A,#N/A,TRUE,"INGENIERIA";#N/A,#N/A,TRUE,"COMPRAS";#N/A,#N/A,TRUE,"DIRECCION";#N/A,#N/A,TRUE,"RESUMEN"}</definedName>
    <definedName name="wrn.GERENCIA." hidden="1">{#N/A,#N/A,TRUE,"INGENIERIA";#N/A,#N/A,TRUE,"COMPRAS";#N/A,#N/A,TRUE,"DIRECCION";#N/A,#N/A,TRUE,"RESUMEN"}</definedName>
    <definedName name="wrn.items." localSheetId="7" hidden="1">{#N/A,#N/A,FALSE,"Items"}</definedName>
    <definedName name="wrn.items." localSheetId="10" hidden="1">{#N/A,#N/A,FALSE,"Items"}</definedName>
    <definedName name="wrn.items." hidden="1">{#N/A,#N/A,FALSE,"Items"}</definedName>
    <definedName name="wrn.OPERADORES." localSheetId="9" hidden="1">{#N/A,#N/A,TRUE,"T1"}</definedName>
    <definedName name="wrn.OPERADORES." hidden="1">{#N/A,#N/A,TRUE,"T1"}</definedName>
    <definedName name="wrn.res7" localSheetId="9" hidden="1">{#N/A,#N/A,FALSE,"Hoja1";#N/A,#N/A,FALSE,"Hoja2"}</definedName>
    <definedName name="wrn.res7" hidden="1">{#N/A,#N/A,FALSE,"Hoja1";#N/A,#N/A,FALSE,"Hoja2"}</definedName>
    <definedName name="wrn.Resumen." localSheetId="9" hidden="1">{#N/A,#N/A,FALSE,"Hoja1";#N/A,#N/A,FALSE,"Hoja2"}</definedName>
    <definedName name="wrn.Resumen." hidden="1">{#N/A,#N/A,FALSE,"Hoja1";#N/A,#N/A,FALSE,"Hoja2"}</definedName>
    <definedName name="wrn.TRABFENO." localSheetId="9"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7" hidden="1">{"via1",#N/A,TRUE,"general";"via2",#N/A,TRUE,"general";"via3",#N/A,TRUE,"general"}</definedName>
    <definedName name="wrn.via." localSheetId="10" hidden="1">{"via1",#N/A,TRUE,"general";"via2",#N/A,TRUE,"general";"via3",#N/A,TRUE,"general"}</definedName>
    <definedName name="wrn.via." localSheetId="9"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1.items" localSheetId="7" hidden="1">{#N/A,#N/A,FALSE,"Items"}</definedName>
    <definedName name="wrn1.items" localSheetId="10" hidden="1">{#N/A,#N/A,FALSE,"Items"}</definedName>
    <definedName name="wrn1.items" hidden="1">{#N/A,#N/A,FALSE,"Items"}</definedName>
    <definedName name="wsnhed" localSheetId="7" hidden="1">{"via1",#N/A,TRUE,"general";"via2",#N/A,TRUE,"general";"via3",#N/A,TRUE,"general"}</definedName>
    <definedName name="wsnhed" localSheetId="10"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7" hidden="1">{"via1",#N/A,TRUE,"general";"via2",#N/A,TRUE,"general";"via3",#N/A,TRUE,"general"}</definedName>
    <definedName name="wswswsqa" localSheetId="10"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tt" localSheetId="7" hidden="1">{"TAB1",#N/A,TRUE,"GENERAL";"TAB2",#N/A,TRUE,"GENERAL";"TAB3",#N/A,TRUE,"GENERAL";"TAB4",#N/A,TRUE,"GENERAL";"TAB5",#N/A,TRUE,"GENERAL"}</definedName>
    <definedName name="wtt" localSheetId="10"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7" hidden="1">{"via1",#N/A,TRUE,"general";"via2",#N/A,TRUE,"general";"via3",#N/A,TRUE,"general"}</definedName>
    <definedName name="wwded3" localSheetId="10"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we" localSheetId="7"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7" hidden="1">{"via1",#N/A,TRUE,"general";"via2",#N/A,TRUE,"general";"via3",#N/A,TRUE,"general"}</definedName>
    <definedName name="wyty" localSheetId="10"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cbvbs" localSheetId="7"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SW" localSheetId="9" hidden="1">{#N/A,#N/A,TRUE,"1842CWN0"}</definedName>
    <definedName name="XSW" hidden="1">{#N/A,#N/A,TRUE,"1842CWN0"}</definedName>
    <definedName name="xsxs" localSheetId="7" hidden="1">{"TAB1",#N/A,TRUE,"GENERAL";"TAB2",#N/A,TRUE,"GENERAL";"TAB3",#N/A,TRUE,"GENERAL";"TAB4",#N/A,TRUE,"GENERAL";"TAB5",#N/A,TRUE,"GENERAL"}</definedName>
    <definedName name="xsxs" localSheetId="10"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fg" localSheetId="7" hidden="1">{"via1",#N/A,TRUE,"general";"via2",#N/A,TRUE,"general";"via3",#N/A,TRUE,"general"}</definedName>
    <definedName name="xxfg" localSheetId="10"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X" localSheetId="9" hidden="1">#REF!</definedName>
    <definedName name="XXXX" hidden="1">#REF!</definedName>
    <definedName name="xxxxxds" localSheetId="7" hidden="1">{"via1",#N/A,TRUE,"general";"via2",#N/A,TRUE,"general";"via3",#N/A,TRUE,"general"}</definedName>
    <definedName name="xxxxxds" localSheetId="10"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 localSheetId="9"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7" hidden="1">{"via1",#N/A,TRUE,"general";"via2",#N/A,TRUE,"general";"via3",#N/A,TRUE,"general"}</definedName>
    <definedName name="xxxxxxxxxx29" localSheetId="10"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ZS" localSheetId="9" hidden="1">#REF!</definedName>
    <definedName name="XZS" hidden="1">#REF!</definedName>
    <definedName name="XZXZV" localSheetId="7" hidden="1">{"via1",#N/A,TRUE,"general";"via2",#N/A,TRUE,"general";"via3",#N/A,TRUE,"general"}</definedName>
    <definedName name="XZXZV" localSheetId="10"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6y6" localSheetId="7" hidden="1">{"via1",#N/A,TRUE,"general";"via2",#N/A,TRUE,"general";"via3",#N/A,TRUE,"general"}</definedName>
    <definedName name="y6y6" localSheetId="10"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ery" localSheetId="7" hidden="1">{"via1",#N/A,TRUE,"general";"via2",#N/A,TRUE,"general";"via3",#N/A,TRUE,"general"}</definedName>
    <definedName name="yery" localSheetId="10"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y" localSheetId="7" hidden="1">{"TAB1",#N/A,TRUE,"GENERAL";"TAB2",#N/A,TRUE,"GENERAL";"TAB3",#N/A,TRUE,"GENERAL";"TAB4",#N/A,TRUE,"GENERAL";"TAB5",#N/A,TRUE,"GENERAL"}</definedName>
    <definedName name="yhy" localSheetId="10"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yj" localSheetId="7" hidden="1">{"TAB1",#N/A,TRUE,"GENERAL";"TAB2",#N/A,TRUE,"GENERAL";"TAB3",#N/A,TRUE,"GENERAL";"TAB4",#N/A,TRUE,"GENERAL";"TAB5",#N/A,TRUE,"GENERAL"}</definedName>
    <definedName name="yjyj" localSheetId="10"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rey" localSheetId="7" hidden="1">{"via1",#N/A,TRUE,"general";"via2",#N/A,TRUE,"general";"via3",#N/A,TRUE,"general"}</definedName>
    <definedName name="yrey" localSheetId="10"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7" hidden="1">{"via1",#N/A,TRUE,"general";"via2",#N/A,TRUE,"general";"via3",#N/A,TRUE,"general"}</definedName>
    <definedName name="yry" localSheetId="10"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j" localSheetId="7" hidden="1">{"TAB1",#N/A,TRUE,"GENERAL";"TAB2",#N/A,TRUE,"GENERAL";"TAB3",#N/A,TRUE,"GENERAL";"TAB4",#N/A,TRUE,"GENERAL";"TAB5",#N/A,TRUE,"GENERAL"}</definedName>
    <definedName name="ytj" localSheetId="10"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7" hidden="1">{"via1",#N/A,TRUE,"general";"via2",#N/A,TRUE,"general";"via3",#N/A,TRUE,"general"}</definedName>
    <definedName name="ytjt6" localSheetId="10"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7"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7" hidden="1">{"via1",#N/A,TRUE,"general";"via2",#N/A,TRUE,"general";"via3",#N/A,TRUE,"general"}</definedName>
    <definedName name="ytry" localSheetId="10"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7" hidden="1">{"via1",#N/A,TRUE,"general";"via2",#N/A,TRUE,"general";"via3",#N/A,TRUE,"general"}</definedName>
    <definedName name="ytryrty" localSheetId="10"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7"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7" hidden="1">{"via1",#N/A,TRUE,"general";"via2",#N/A,TRUE,"general";"via3",#N/A,TRUE,"general"}</definedName>
    <definedName name="ytuytfgh" localSheetId="10"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7" hidden="1">{"TAB1",#N/A,TRUE,"GENERAL";"TAB2",#N/A,TRUE,"GENERAL";"TAB3",#N/A,TRUE,"GENERAL";"TAB4",#N/A,TRUE,"GENERAL";"TAB5",#N/A,TRUE,"GENERAL"}</definedName>
    <definedName name="yty" localSheetId="10"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7" hidden="1">{"via1",#N/A,TRUE,"general";"via2",#N/A,TRUE,"general";"via3",#N/A,TRUE,"general"}</definedName>
    <definedName name="ytyyh" localSheetId="10"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7"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7" hidden="1">{"TAB1",#N/A,TRUE,"GENERAL";"TAB2",#N/A,TRUE,"GENERAL";"TAB3",#N/A,TRUE,"GENERAL";"TAB4",#N/A,TRUE,"GENERAL";"TAB5",#N/A,TRUE,"GENERAL"}</definedName>
    <definedName name="yu" localSheetId="10"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f" localSheetId="7" hidden="1">{"TAB1",#N/A,TRUE,"GENERAL";"TAB2",#N/A,TRUE,"GENERAL";"TAB3",#N/A,TRUE,"GENERAL";"TAB4",#N/A,TRUE,"GENERAL";"TAB5",#N/A,TRUE,"GENERAL"}</definedName>
    <definedName name="yuf" localSheetId="10" hidden="1">{"TAB1",#N/A,TRUE,"GENERAL";"TAB2",#N/A,TRUE,"GENERAL";"TAB3",#N/A,TRUE,"GENERAL";"TAB4",#N/A,TRUE,"GENERAL";"TAB5",#N/A,TRUE,"GENERAL"}</definedName>
    <definedName name="yuf"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tu" localSheetId="7" hidden="1">{"via1",#N/A,TRUE,"general";"via2",#N/A,TRUE,"general";"via3",#N/A,TRUE,"general"}</definedName>
    <definedName name="yutu" localSheetId="10"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7" hidden="1">{"via1",#N/A,TRUE,"general";"via2",#N/A,TRUE,"general";"via3",#N/A,TRUE,"general"}</definedName>
    <definedName name="yuuiiy" localSheetId="10"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7" hidden="1">{"via1",#N/A,TRUE,"general";"via2",#N/A,TRUE,"general";"via3",#N/A,TRUE,"general"}</definedName>
    <definedName name="yuuuuuu" localSheetId="10"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7" hidden="1">{"via1",#N/A,TRUE,"general";"via2",#N/A,TRUE,"general";"via3",#N/A,TRUE,"general"}</definedName>
    <definedName name="yy" localSheetId="10"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7" hidden="1">{"TAB1",#N/A,TRUE,"GENERAL";"TAB2",#N/A,TRUE,"GENERAL";"TAB3",#N/A,TRUE,"GENERAL";"TAB4",#N/A,TRUE,"GENERAL";"TAB5",#N/A,TRUE,"GENERAL"}</definedName>
    <definedName name="yyy" localSheetId="10"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7" hidden="1">{"via1",#N/A,TRUE,"general";"via2",#N/A,TRUE,"general";"via3",#N/A,TRUE,"general"}</definedName>
    <definedName name="yyyyyf" localSheetId="10"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_026CD6D7_F7CA_4BE8_B625_9A1778CFA739_.wvu.FilterData" hidden="1">[5]Presupuesto_Via_distribuidora!$A$9:$H$344</definedName>
    <definedName name="Z_026CD6D7_F7CA_4BE8_B625_9A1778CFA739_.wvu.PrintArea" hidden="1">[5]Presupuesto_Via_distribuidora!$A$390:$I$602</definedName>
    <definedName name="Z_026CD6D7_F7CA_4BE8_B625_9A1778CFA739_.wvu.PrintTitles" hidden="1">[5]Presupuesto_Via_distribuidora!$380:$389</definedName>
    <definedName name="Z_05670E35_1347_49D9_AD91_AA9A31A4EF61_.wvu.FilterData" hidden="1">[5]Presupuesto_Via_distribuidora!$A$9:$H$344</definedName>
    <definedName name="Z_05670E35_1347_49D9_AD91_AA9A31A4EF61_.wvu.PrintArea" hidden="1">[5]Presupuesto_Via_distribuidora!$C$1:$H$344</definedName>
    <definedName name="Z_05670E35_1347_49D9_AD91_AA9A31A4EF61_.wvu.PrintTitles" hidden="1">[5]Presupuesto_Via_distribuidora!$2:$8</definedName>
    <definedName name="Z_0890F28A_A8C8_451C_A3E6_C3AFDD239B64_.wvu.FilterData" hidden="1">[5]Presupuesto_Via_distribuidora!$A$9:$H$344</definedName>
    <definedName name="Z_0890F28A_A8C8_451C_A3E6_C3AFDD239B64_.wvu.PrintArea" hidden="1">[5]Presupuesto_Via_distribuidora!$A$392:$I$604</definedName>
    <definedName name="Z_0890F28A_A8C8_451C_A3E6_C3AFDD239B64_.wvu.PrintTitles" hidden="1">[5]Presupuesto_Via_distribuidora!$382:$391</definedName>
    <definedName name="Z_0A4C2D72_EA87_11DA_B6F6_00609720E0A1_.wvu.FilterData" hidden="1">[5]Presupuesto_Via_distribuidora!$A$9:$H$344</definedName>
    <definedName name="Z_0A4C2D72_EA87_11DA_B6F6_00609720E0A1_.wvu.PrintArea" hidden="1">[5]Presupuesto_Via_distribuidora!$A$10:$I$164</definedName>
    <definedName name="Z_0A4C2D72_EA87_11DA_B6F6_00609720E0A1_.wvu.PrintTitles" hidden="1">[5]Presupuesto_Via_distribuidora!$1:$9</definedName>
    <definedName name="Z_0A4C2D73_EA87_11DA_B6F6_00609720E0A1_.wvu.FilterData" hidden="1">[5]Presupuesto_Via_distribuidora!$A$9:$H$344</definedName>
    <definedName name="Z_0A4C2D73_EA87_11DA_B6F6_00609720E0A1_.wvu.PrintArea" hidden="1">[5]Presupuesto_Via_distribuidora!$A$176:$I$193</definedName>
    <definedName name="Z_0A4C2D74_EA87_11DA_B6F6_00609720E0A1_.wvu.FilterData" hidden="1">[5]Presupuesto_Via_distribuidora!$A$9:$H$344</definedName>
    <definedName name="Z_0A4C2D74_EA87_11DA_B6F6_00609720E0A1_.wvu.PrintArea" hidden="1">[5]Presupuesto_Via_distribuidora!$A$342:$I$541</definedName>
    <definedName name="Z_0A4C2D75_EA87_11DA_B6F6_00609720E0A1_.wvu.FilterData" hidden="1">[5]Presupuesto_Via_distribuidora!$A$9:$H$344</definedName>
    <definedName name="Z_0A4C2D75_EA87_11DA_B6F6_00609720E0A1_.wvu.PrintArea" hidden="1">[5]Presupuesto_Via_distribuidora!$A$557:$I$825</definedName>
    <definedName name="Z_0A4C2D75_EA87_11DA_B6F6_00609720E0A1_.wvu.PrintTitles" hidden="1">[5]Presupuesto_Via_distribuidora!$547:$556</definedName>
    <definedName name="Z_0A4C2D76_EA87_11DA_B6F6_00609720E0A1_.wvu.FilterData" hidden="1">[5]Presupuesto_Via_distribuidora!$A$9:$H$344</definedName>
    <definedName name="Z_0A4C2D76_EA87_11DA_B6F6_00609720E0A1_.wvu.PrintArea" hidden="1">[5]Presupuesto_Via_distribuidora!$A$839:$I$1037</definedName>
    <definedName name="Z_0A4C2D76_EA87_11DA_B6F6_00609720E0A1_.wvu.PrintTitles" hidden="1">[5]Presupuesto_Via_distribuidora!$829:$838</definedName>
    <definedName name="Z_0E0DE1F8_394A_4093_8E74_B2A631A3A88C_.wvu.FilterData" hidden="1">[5]Presupuesto_Via_distribuidora!$A$9:$H$344</definedName>
    <definedName name="Z_0E0DE1F8_394A_4093_8E74_B2A631A3A88C_.wvu.PrintArea" hidden="1">[5]Presupuesto_Via_distribuidora!$A$620:$I$888</definedName>
    <definedName name="Z_0E0DE1F8_394A_4093_8E74_B2A631A3A88C_.wvu.PrintTitles" hidden="1">[5]Presupuesto_Via_distribuidora!$610:$619</definedName>
    <definedName name="Z_18C710ED_70CF_48D0_92F5_038A88335068_.wvu.FilterData" hidden="1">[5]Presupuesto_Via_distribuidora!$A$9:$H$344</definedName>
    <definedName name="Z_18C710ED_70CF_48D0_92F5_038A88335068_.wvu.PrintArea" hidden="1">[5]Presupuesto_Via_distribuidora!$C$1:$H$344</definedName>
    <definedName name="Z_18C710ED_70CF_48D0_92F5_038A88335068_.wvu.PrintTitles" hidden="1">[5]Presupuesto_Via_distribuidora!$2:$8</definedName>
    <definedName name="Z_378D82E8_FE69_4712_AE73_9D578C4190DE_.wvu.FilterData" hidden="1">[5]Presupuesto_Via_distribuidora!$A$9:$H$344</definedName>
    <definedName name="Z_378D82E8_FE69_4712_AE73_9D578C4190DE_.wvu.PrintArea" hidden="1">[5]Presupuesto_Via_distribuidora!$C$1:$H$344</definedName>
    <definedName name="Z_378D82E8_FE69_4712_AE73_9D578C4190DE_.wvu.PrintTitles" hidden="1">[5]Presupuesto_Via_distribuidora!$2:$8</definedName>
    <definedName name="Z_381FCF61_DF95_4756_B103_A1118DFFDE02_.wvu.FilterData" hidden="1">[5]Presupuesto_Via_distribuidora!$A$9:$H$344</definedName>
    <definedName name="Z_381FCF61_DF95_4756_B103_A1118DFFDE02_.wvu.PrintArea" hidden="1">[5]Presupuesto_Via_distribuidora!$C$1:$H$344</definedName>
    <definedName name="Z_381FCF61_DF95_4756_B103_A1118DFFDE02_.wvu.PrintTitles" hidden="1">[5]Presupuesto_Via_distribuidora!$2:$8</definedName>
    <definedName name="Z_3B3C0CA1_2A9C_45FD_9823_50B200F6C0D1_.wvu.FilterData" hidden="1">[5]Presupuesto_Via_distribuidora!$A$9:$H$344</definedName>
    <definedName name="Z_3B3C0CA1_2A9C_45FD_9823_50B200F6C0D1_.wvu.PrintArea" hidden="1">[5]Presupuesto_Via_distribuidora!$C$1:$H$344</definedName>
    <definedName name="Z_3B3C0CA1_2A9C_45FD_9823_50B200F6C0D1_.wvu.PrintTitles" hidden="1">[5]Presupuesto_Via_distribuidora!$2:$8</definedName>
    <definedName name="Z_3E9430E5_6A83_435B_9E47_1B8F7E18D67C_.wvu.FilterData" hidden="1">[5]Presupuesto_Via_distribuidora!$A$9:$H$344</definedName>
    <definedName name="Z_3E9430E5_6A83_435B_9E47_1B8F7E18D67C_.wvu.PrintArea" hidden="1">[5]Presupuesto_Via_distribuidora!$C$1:$H$344</definedName>
    <definedName name="Z_3E9430E5_6A83_435B_9E47_1B8F7E18D67C_.wvu.PrintTitles" hidden="1">[5]Presupuesto_Via_distribuidora!$2:$8</definedName>
    <definedName name="Z_4A14CB5C_2287_4F6E_9A65_22F0A4D81D81_.wvu.FilterData" hidden="1">[5]Presupuesto_Via_distribuidora!$A$9:$H$344</definedName>
    <definedName name="Z_4A14CB5C_2287_4F6E_9A65_22F0A4D81D81_.wvu.PrintArea" hidden="1">[5]Presupuesto_Via_distribuidora!$C$1:$H$344</definedName>
    <definedName name="Z_4A14CB5C_2287_4F6E_9A65_22F0A4D81D81_.wvu.PrintTitles" hidden="1">[5]Presupuesto_Via_distribuidora!$2:$8</definedName>
    <definedName name="Z_4BBC24C4_A093_4EC9_8AFF_49C6F602CC39_.wvu.FilterData" hidden="1">[5]Presupuesto_Via_distribuidora!$A$9:$H$344</definedName>
    <definedName name="Z_4BBC24C4_A093_4EC9_8AFF_49C6F602CC39_.wvu.PrintArea" hidden="1">[5]Presupuesto_Via_distribuidora!$C$1:$H$344</definedName>
    <definedName name="Z_4BBC24C4_A093_4EC9_8AFF_49C6F602CC39_.wvu.PrintTitles" hidden="1">[5]Presupuesto_Via_distribuidora!$2:$8</definedName>
    <definedName name="Z_504A8F9D_2C46_439E_975A_DF1C1FA56E7B_.wvu.FilterData" hidden="1">[5]Presupuesto_Via_distribuidora!$A$9:$H$344</definedName>
    <definedName name="Z_504A8F9D_2C46_439E_975A_DF1C1FA56E7B_.wvu.PrintArea" hidden="1">[5]Presupuesto_Via_distribuidora!$C$1:$H$344</definedName>
    <definedName name="Z_504A8F9D_2C46_439E_975A_DF1C1FA56E7B_.wvu.PrintTitles" hidden="1">[5]Presupuesto_Via_distribuidora!$2:$8</definedName>
    <definedName name="Z_653348E7_CDAD_4F62_A236_641A4BB6425A_.wvu.FilterData" hidden="1">[5]Presupuesto_Via_distribuidora!$A$9:$H$344</definedName>
    <definedName name="Z_653348E7_CDAD_4F62_A236_641A4BB6425A_.wvu.PrintArea" hidden="1">[5]Presupuesto_Via_distribuidora!$A$221:$I$375</definedName>
    <definedName name="Z_653348E7_CDAD_4F62_A236_641A4BB6425A_.wvu.PrintTitles" hidden="1">[5]Presupuesto_Via_distribuidora!$211:$220</definedName>
    <definedName name="Z_68C48519_C8C2_4287_96F6_0F561F815CE8_.wvu.FilterData" hidden="1">[5]Presupuesto_Via_distribuidora!$A$9:$H$344</definedName>
    <definedName name="Z_68C48519_C8C2_4287_96F6_0F561F815CE8_.wvu.PrintArea" hidden="1">[5]Presupuesto_Via_distribuidora!$C$1:$H$344</definedName>
    <definedName name="Z_68C48519_C8C2_4287_96F6_0F561F815CE8_.wvu.PrintTitles" hidden="1">[5]Presupuesto_Via_distribuidora!$2:$8</definedName>
    <definedName name="Z_6BA141F2_E104_11DA_B6F6_00609720E0A1_.wvu.FilterData" hidden="1">[5]Presupuesto_Via_distribuidora!$A$9:$H$344</definedName>
    <definedName name="Z_6BA141F2_E104_11DA_B6F6_00609720E0A1_.wvu.PrintArea" hidden="1">[5]Presupuesto_Via_distribuidora!$A$10:$I$164</definedName>
    <definedName name="Z_6BA141F2_E104_11DA_B6F6_00609720E0A1_.wvu.PrintTitles" hidden="1">[5]Presupuesto_Via_distribuidora!$1:$9</definedName>
    <definedName name="Z_6BA141F3_E104_11DA_B6F6_00609720E0A1_.wvu.FilterData" hidden="1">[5]Presupuesto_Via_distribuidora!$A$9:$H$344</definedName>
    <definedName name="Z_6BA141F3_E104_11DA_B6F6_00609720E0A1_.wvu.PrintArea" hidden="1">[5]Presupuesto_Via_distribuidora!$A$176:$I$193</definedName>
    <definedName name="Z_6BA141F4_E104_11DA_B6F6_00609720E0A1_.wvu.FilterData" hidden="1">[5]Presupuesto_Via_distribuidora!$A$9:$H$344</definedName>
    <definedName name="Z_6BA141F4_E104_11DA_B6F6_00609720E0A1_.wvu.PrintArea" hidden="1">[5]Presupuesto_Via_distribuidora!$A$342:$I$541</definedName>
    <definedName name="Z_6BA141F5_E104_11DA_B6F6_00609720E0A1_.wvu.FilterData" hidden="1">[5]Presupuesto_Via_distribuidora!$A$9:$H$344</definedName>
    <definedName name="Z_6BA141F5_E104_11DA_B6F6_00609720E0A1_.wvu.PrintArea" hidden="1">[5]Presupuesto_Via_distribuidora!$A$557:$I$825</definedName>
    <definedName name="Z_6BA141F5_E104_11DA_B6F6_00609720E0A1_.wvu.PrintTitles" hidden="1">[5]Presupuesto_Via_distribuidora!$547:$556</definedName>
    <definedName name="Z_6BA141F6_E104_11DA_B6F6_00609720E0A1_.wvu.FilterData" hidden="1">[5]Presupuesto_Via_distribuidora!$A$9:$H$344</definedName>
    <definedName name="Z_6BA141F6_E104_11DA_B6F6_00609720E0A1_.wvu.PrintArea" hidden="1">[5]Presupuesto_Via_distribuidora!$A$839:$I$1037</definedName>
    <definedName name="Z_6BA141F6_E104_11DA_B6F6_00609720E0A1_.wvu.PrintTitles" hidden="1">[5]Presupuesto_Via_distribuidora!$829:$838</definedName>
    <definedName name="Z_726673D2_C579_4EF3_83C7_45DC3792EA6A_.wvu.FilterData" hidden="1">[5]Presupuesto_Via_distribuidora!$A$9:$H$344</definedName>
    <definedName name="Z_726673D2_C579_4EF3_83C7_45DC3792EA6A_.wvu.PrintArea" hidden="1">[5]Presupuesto_Via_distribuidora!$A$10:$I$208</definedName>
    <definedName name="Z_726673D2_C579_4EF3_83C7_45DC3792EA6A_.wvu.PrintTitles" hidden="1">[5]Presupuesto_Via_distribuidora!$1:$9</definedName>
    <definedName name="Z_729969D8_DFDA_47B9_ADA2_E05CF62B3DEF_.wvu.FilterData" hidden="1">[5]Presupuesto_Via_distribuidora!$A$9:$H$344</definedName>
    <definedName name="Z_729969D8_DFDA_47B9_ADA2_E05CF62B3DEF_.wvu.PrintArea" hidden="1">[5]Presupuesto_Via_distribuidora!$A$618:$I$886</definedName>
    <definedName name="Z_729969D8_DFDA_47B9_ADA2_E05CF62B3DEF_.wvu.PrintTitles" hidden="1">[5]Presupuesto_Via_distribuidora!$608:$617</definedName>
    <definedName name="Z_75EDDC88_CA8C_4671_911D_25D74F37EC47_.wvu.FilterData" hidden="1">[5]Presupuesto_Via_distribuidora!$A$9:$H$344</definedName>
    <definedName name="Z_75EDDC88_CA8C_4671_911D_25D74F37EC47_.wvu.PrintArea" hidden="1">[5]Presupuesto_Via_distribuidora!$A$902:$I$1100</definedName>
    <definedName name="Z_75EDDC88_CA8C_4671_911D_25D74F37EC47_.wvu.PrintTitles" hidden="1">[5]Presupuesto_Via_distribuidora!$892:$901</definedName>
    <definedName name="Z_80573755_2D8B_4158_BD3A_CC331B950748_.wvu.FilterData" hidden="1">[5]Presupuesto_Via_distribuidora!$A$9:$H$344</definedName>
    <definedName name="Z_80573755_2D8B_4158_BD3A_CC331B950748_.wvu.PrintArea" hidden="1">[5]Presupuesto_Via_distribuidora!$A$221:$I$375</definedName>
    <definedName name="Z_80573755_2D8B_4158_BD3A_CC331B950748_.wvu.PrintTitles" hidden="1">[5]Presupuesto_Via_distribuidora!$211:$220</definedName>
    <definedName name="Z_9C7B0D6D_4DDE_4C72_B23F_2E183F63ECB1_.wvu.FilterData" hidden="1">[5]Presupuesto_Via_distribuidora!$A$9:$H$344</definedName>
    <definedName name="Z_9C7B0D6D_4DDE_4C72_B23F_2E183F63ECB1_.wvu.PrintArea" hidden="1">[5]Presupuesto_Via_distribuidora!$C$1:$H$344</definedName>
    <definedName name="Z_9C7B0D6D_4DDE_4C72_B23F_2E183F63ECB1_.wvu.PrintTitles" hidden="1">[5]Presupuesto_Via_distribuidora!$2:$8</definedName>
    <definedName name="Z_9C8B6436_249F_426A_96DC_EEE5E7CB7D1B_.wvu.FilterData" hidden="1">[5]Presupuesto_Via_distribuidora!$A$9:$H$344</definedName>
    <definedName name="Z_9C8B6436_249F_426A_96DC_EEE5E7CB7D1B_.wvu.PrintArea" hidden="1">[5]Presupuesto_Via_distribuidora!$C$1:$H$344</definedName>
    <definedName name="Z_9C8B6436_249F_426A_96DC_EEE5E7CB7D1B_.wvu.PrintTitles" hidden="1">[5]Presupuesto_Via_distribuidora!$2:$8</definedName>
    <definedName name="Z_9FCFD0D5_270B_4F36_B422_02EF7A3700B8_.wvu.FilterData" hidden="1">[5]Presupuesto_Via_distribuidora!$A$9:$H$344</definedName>
    <definedName name="Z_9FCFD0D5_270B_4F36_B422_02EF7A3700B8_.wvu.PrintArea" hidden="1">[5]Presupuesto_Via_distribuidora!$A$390:$I$602</definedName>
    <definedName name="Z_9FCFD0D5_270B_4F36_B422_02EF7A3700B8_.wvu.PrintTitles" hidden="1">[5]Presupuesto_Via_distribuidora!$380:$389</definedName>
    <definedName name="Z_9FE8FF3F_4486_44D6_9AFB_43CC5B824BF9_.wvu.FilterData" hidden="1">[5]Presupuesto_Via_distribuidora!$A$9:$H$344</definedName>
    <definedName name="Z_9FE8FF3F_4486_44D6_9AFB_43CC5B824BF9_.wvu.PrintArea" hidden="1">[5]Presupuesto_Via_distribuidora!$C$1:$H$344</definedName>
    <definedName name="Z_9FE8FF3F_4486_44D6_9AFB_43CC5B824BF9_.wvu.PrintTitles" hidden="1">[5]Presupuesto_Via_distribuidora!$2:$8</definedName>
    <definedName name="Z_A3DE26BA_CF48_4654_9BE9_FAEB3C301C95_.wvu.FilterData" hidden="1">[5]Presupuesto_Via_distribuidora!$A$9:$H$344</definedName>
    <definedName name="Z_A3DE26BA_CF48_4654_9BE9_FAEB3C301C95_.wvu.PrintArea" hidden="1">[5]Presupuesto_Via_distribuidora!$A$221:$I$377</definedName>
    <definedName name="Z_A3DE26BA_CF48_4654_9BE9_FAEB3C301C95_.wvu.PrintTitles" hidden="1">[5]Presupuesto_Via_distribuidora!$211:$220</definedName>
    <definedName name="Z_AAA1DD33_F1E3_423A_B1F2_E8567F4D95A5_.wvu.FilterData" hidden="1">[5]Presupuesto_Via_distribuidora!$A$9:$H$344</definedName>
    <definedName name="Z_AAA1DD33_F1E3_423A_B1F2_E8567F4D95A5_.wvu.PrintArea" hidden="1">[5]Presupuesto_Via_distribuidora!$A$900:$I$1098</definedName>
    <definedName name="Z_AAA1DD33_F1E3_423A_B1F2_E8567F4D95A5_.wvu.PrintTitles" hidden="1">[5]Presupuesto_Via_distribuidora!$890:$899</definedName>
    <definedName name="Z_B4899972_EBDC_11DA_B6F6_00609720E0A1_.wvu.FilterData" hidden="1">[5]Presupuesto_Via_distribuidora!$A$9:$H$344</definedName>
    <definedName name="Z_B4899972_EBDC_11DA_B6F6_00609720E0A1_.wvu.PrintArea" hidden="1">[5]Presupuesto_Via_distribuidora!$A$10:$I$164</definedName>
    <definedName name="Z_B4899972_EBDC_11DA_B6F6_00609720E0A1_.wvu.PrintTitles" hidden="1">[5]Presupuesto_Via_distribuidora!$1:$9</definedName>
    <definedName name="Z_B4899973_EBDC_11DA_B6F6_00609720E0A1_.wvu.FilterData" hidden="1">[5]Presupuesto_Via_distribuidora!$A$9:$H$344</definedName>
    <definedName name="Z_B4899973_EBDC_11DA_B6F6_00609720E0A1_.wvu.PrintArea" hidden="1">[5]Presupuesto_Via_distribuidora!$A$176:$I$193</definedName>
    <definedName name="Z_B4899974_EBDC_11DA_B6F6_00609720E0A1_.wvu.FilterData" hidden="1">[5]Presupuesto_Via_distribuidora!$A$9:$H$344</definedName>
    <definedName name="Z_B4899974_EBDC_11DA_B6F6_00609720E0A1_.wvu.PrintArea" hidden="1">[5]Presupuesto_Via_distribuidora!$A$342:$I$541</definedName>
    <definedName name="Z_B4899975_EBDC_11DA_B6F6_00609720E0A1_.wvu.FilterData" hidden="1">[5]Presupuesto_Via_distribuidora!$A$9:$H$344</definedName>
    <definedName name="Z_B4899975_EBDC_11DA_B6F6_00609720E0A1_.wvu.PrintArea" hidden="1">[5]Presupuesto_Via_distribuidora!$A$557:$I$825</definedName>
    <definedName name="Z_B4899975_EBDC_11DA_B6F6_00609720E0A1_.wvu.PrintTitles" hidden="1">[5]Presupuesto_Via_distribuidora!$547:$556</definedName>
    <definedName name="Z_B4899976_EBDC_11DA_B6F6_00609720E0A1_.wvu.FilterData" hidden="1">[5]Presupuesto_Via_distribuidora!$A$9:$H$344</definedName>
    <definedName name="Z_B4899976_EBDC_11DA_B6F6_00609720E0A1_.wvu.PrintArea" hidden="1">[5]Presupuesto_Via_distribuidora!$A$839:$I$1037</definedName>
    <definedName name="Z_B4899976_EBDC_11DA_B6F6_00609720E0A1_.wvu.PrintTitles" hidden="1">[5]Presupuesto_Via_distribuidora!$829:$838</definedName>
    <definedName name="Z_C24E6469_C4CC_430B_8814_72DD019DF2C8_.wvu.FilterData" hidden="1">[5]Presupuesto_Via_distribuidora!$A$9:$H$344</definedName>
    <definedName name="Z_C24E6469_C4CC_430B_8814_72DD019DF2C8_.wvu.PrintArea" hidden="1">[5]Presupuesto_Via_distribuidora!$A$900:$I$1098</definedName>
    <definedName name="Z_C24E6469_C4CC_430B_8814_72DD019DF2C8_.wvu.PrintTitles" hidden="1">[5]Presupuesto_Via_distribuidora!$890:$899</definedName>
    <definedName name="Z_CA61CA57_E7CE_4A4D_974A_F3124BCA2797_.wvu.FilterData" hidden="1">[5]Presupuesto_Via_distribuidora!$A$9:$H$344</definedName>
    <definedName name="Z_CA61CA57_E7CE_4A4D_974A_F3124BCA2797_.wvu.PrintArea" hidden="1">[5]Presupuesto_Via_distribuidora!$A$618:$I$886</definedName>
    <definedName name="Z_CA61CA57_E7CE_4A4D_974A_F3124BCA2797_.wvu.PrintTitles" hidden="1">[5]Presupuesto_Via_distribuidora!$608:$617</definedName>
    <definedName name="Z_DA4D5A8F_12FA_42F5_A8BB_526600E97433_.wvu.FilterData" hidden="1">[5]Presupuesto_Via_distribuidora!$A$9:$H$344</definedName>
    <definedName name="Z_DA4D5A8F_12FA_42F5_A8BB_526600E97433_.wvu.PrintArea" hidden="1">[5]Presupuesto_Via_distribuidora!$C$1:$H$344</definedName>
    <definedName name="Z_DA4D5A8F_12FA_42F5_A8BB_526600E97433_.wvu.PrintTitles" hidden="1">[5]Presupuesto_Via_distribuidora!$2:$8</definedName>
    <definedName name="Z_DFB4C5EB_A8D3_475E_B627_EA98F95F9220_.wvu.FilterData" hidden="1">[5]Presupuesto_Via_distribuidora!$A$9:$H$344</definedName>
    <definedName name="Z_DFB4C5EB_A8D3_475E_B627_EA98F95F9220_.wvu.PrintArea" hidden="1">[5]Presupuesto_Via_distribuidora!$A$10:$I$208</definedName>
    <definedName name="Z_DFB4C5EB_A8D3_475E_B627_EA98F95F9220_.wvu.PrintTitles" hidden="1">[5]Presupuesto_Via_distribuidora!$1:$9</definedName>
    <definedName name="Z_F2B990A1_57B3_4766_8C3D_4D3A5265BAEF_.wvu.FilterData" hidden="1">[5]Presupuesto_Via_distribuidora!$A$9:$H$344</definedName>
    <definedName name="Z_F2B990A1_57B3_4766_8C3D_4D3A5265BAEF_.wvu.PrintArea" hidden="1">[5]Presupuesto_Via_distribuidora!$C$1:$H$344</definedName>
    <definedName name="Z_F2B990A1_57B3_4766_8C3D_4D3A5265BAEF_.wvu.PrintTitles" hidden="1">[5]Presupuesto_Via_distribuidora!$2:$8</definedName>
    <definedName name="Z_F9482E1F_92B8_43D8_949A_7DDCF2E63A19_.wvu.FilterData" hidden="1">[5]Presupuesto_Via_distribuidora!$A$9:$H$344</definedName>
    <definedName name="Z_F9482E1F_92B8_43D8_949A_7DDCF2E63A19_.wvu.PrintArea" hidden="1">[5]Presupuesto_Via_distribuidora!$A$10:$I$208</definedName>
    <definedName name="Z_F9482E1F_92B8_43D8_949A_7DDCF2E63A19_.wvu.PrintTitles" hidden="1">[5]Presupuesto_Via_distribuidora!$1:$9</definedName>
    <definedName name="ZAQ" localSheetId="9" hidden="1">{#N/A,#N/A,TRUE,"INGENIERIA";#N/A,#N/A,TRUE,"COMPRAS";#N/A,#N/A,TRUE,"DIRECCION";#N/A,#N/A,TRUE,"RESUMEN"}</definedName>
    <definedName name="ZAQ" hidden="1">{#N/A,#N/A,TRUE,"INGENIERIA";#N/A,#N/A,TRUE,"COMPRAS";#N/A,#N/A,TRUE,"DIRECCION";#N/A,#N/A,TRUE,"RESUMEN"}</definedName>
    <definedName name="zdervr" localSheetId="7" hidden="1">{"via1",#N/A,TRUE,"general";"via2",#N/A,TRUE,"general";"via3",#N/A,TRUE,"general"}</definedName>
    <definedName name="zdervr" localSheetId="10"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xczds" localSheetId="7"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7" hidden="1">{"via1",#N/A,TRUE,"general";"via2",#N/A,TRUE,"general";"via3",#N/A,TRUE,"general"}</definedName>
    <definedName name="zxsdftyu" localSheetId="10"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7" hidden="1">{"via1",#N/A,TRUE,"general";"via2",#N/A,TRUE,"general";"via3",#N/A,TRUE,"general"}</definedName>
    <definedName name="zxvxczv" localSheetId="10"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 i="15" l="1"/>
  <c r="G22" i="15"/>
  <c r="D23" i="15"/>
  <c r="E23" i="15"/>
  <c r="F23" i="15"/>
  <c r="G23" i="15"/>
  <c r="C23" i="15"/>
  <c r="C22" i="15"/>
  <c r="AA157" i="1"/>
  <c r="AA156" i="1"/>
  <c r="AA155" i="1"/>
  <c r="AA154" i="1"/>
  <c r="AA164" i="1" l="1"/>
  <c r="AA165" i="1" s="1"/>
  <c r="H34" i="15" l="1"/>
  <c r="I34" i="15"/>
  <c r="E92" i="1" l="1"/>
  <c r="K3" i="22" l="1"/>
  <c r="M3" i="22" s="1"/>
  <c r="O3" i="22" s="1"/>
  <c r="K4" i="22"/>
  <c r="M4" i="22" s="1"/>
  <c r="O4" i="22" s="1"/>
  <c r="K5" i="22"/>
  <c r="M5" i="22" s="1"/>
  <c r="O5" i="22" s="1"/>
  <c r="K6" i="22"/>
  <c r="M6" i="22" s="1"/>
  <c r="O6" i="22" s="1"/>
  <c r="K7" i="22"/>
  <c r="M7" i="22" s="1"/>
  <c r="O7" i="22" s="1"/>
  <c r="K8" i="22"/>
  <c r="M8" i="22" s="1"/>
  <c r="O8" i="22" s="1"/>
  <c r="K9" i="22"/>
  <c r="M9" i="22" s="1"/>
  <c r="O9" i="22" s="1"/>
  <c r="K10" i="22"/>
  <c r="M10" i="22" s="1"/>
  <c r="O10" i="22" s="1"/>
  <c r="K11" i="22"/>
  <c r="M11" i="22" s="1"/>
  <c r="O11" i="22" s="1"/>
  <c r="K12" i="22"/>
  <c r="M12" i="22" s="1"/>
  <c r="O12" i="22" s="1"/>
  <c r="K13" i="22"/>
  <c r="M13" i="22" s="1"/>
  <c r="O13" i="22" s="1"/>
  <c r="K14" i="22"/>
  <c r="M14" i="22" s="1"/>
  <c r="O14" i="22" s="1"/>
  <c r="K2" i="22"/>
  <c r="M2" i="22" s="1"/>
  <c r="O2" i="22" s="1"/>
  <c r="P75" i="15"/>
  <c r="P76" i="15"/>
  <c r="P77" i="15"/>
  <c r="P78" i="15"/>
  <c r="P79" i="15"/>
  <c r="P80" i="15"/>
  <c r="P81" i="15"/>
  <c r="P82" i="15"/>
  <c r="P83" i="15"/>
  <c r="P84" i="15"/>
  <c r="P85" i="15"/>
  <c r="P86" i="15"/>
  <c r="P74" i="15"/>
  <c r="G54" i="15"/>
  <c r="G55" i="15"/>
  <c r="G56" i="15"/>
  <c r="G57" i="15"/>
  <c r="G58" i="15"/>
  <c r="G59" i="15"/>
  <c r="G60" i="15"/>
  <c r="G53" i="15"/>
  <c r="D90" i="1" l="1"/>
  <c r="D89" i="1"/>
  <c r="D92" i="1"/>
  <c r="D91" i="1"/>
  <c r="E90" i="1"/>
  <c r="E89" i="1"/>
  <c r="E88" i="1"/>
  <c r="E91" i="1"/>
  <c r="E87" i="1"/>
  <c r="AM155" i="1" l="1"/>
  <c r="AM154" i="1"/>
  <c r="C172" i="15" l="1"/>
  <c r="C170" i="15"/>
  <c r="AJ148" i="1" l="1"/>
  <c r="E14" i="22" l="1"/>
  <c r="G14" i="22" s="1"/>
  <c r="E13" i="22"/>
  <c r="G13" i="22" s="1"/>
  <c r="E12" i="22"/>
  <c r="G12" i="22" s="1"/>
  <c r="E11" i="22"/>
  <c r="G11" i="22" s="1"/>
  <c r="E10" i="22"/>
  <c r="G10" i="22" s="1"/>
  <c r="E9" i="22"/>
  <c r="G9" i="22" s="1"/>
  <c r="E8" i="22"/>
  <c r="G8" i="22" s="1"/>
  <c r="E7" i="22"/>
  <c r="G7" i="22" s="1"/>
  <c r="E6" i="22"/>
  <c r="G6" i="22" s="1"/>
  <c r="E5" i="22"/>
  <c r="G5" i="22" s="1"/>
  <c r="E4" i="22"/>
  <c r="G4" i="22" s="1"/>
  <c r="E3" i="22"/>
  <c r="G3" i="22" s="1"/>
  <c r="E2" i="22"/>
  <c r="G2" i="22" s="1"/>
  <c r="G52" i="15"/>
  <c r="G51" i="15"/>
  <c r="L14" i="15"/>
  <c r="J28" i="15" s="1"/>
  <c r="J31" i="15"/>
  <c r="I31" i="19"/>
  <c r="I30" i="19"/>
  <c r="K9" i="15"/>
  <c r="H92" i="1"/>
  <c r="H91" i="1"/>
  <c r="E3" i="19" l="1"/>
  <c r="F3" i="19"/>
  <c r="G3" i="19"/>
  <c r="H3" i="19"/>
  <c r="I3" i="19"/>
  <c r="D3" i="19"/>
  <c r="L5" i="15"/>
  <c r="C10" i="15" l="1"/>
  <c r="C14" i="15" l="1"/>
  <c r="E16" i="15"/>
  <c r="AA158" i="1" l="1"/>
  <c r="C12" i="15"/>
  <c r="AA160" i="1" l="1"/>
  <c r="I27" i="19" l="1"/>
  <c r="C176" i="15" l="1"/>
  <c r="AB149" i="1"/>
  <c r="I28" i="19"/>
  <c r="J1048550" i="15"/>
  <c r="BU153" i="1"/>
  <c r="AA149" i="1"/>
  <c r="M5" i="19"/>
  <c r="R86" i="15"/>
  <c r="T86" i="15" s="1"/>
  <c r="R85" i="15"/>
  <c r="T85" i="15" s="1"/>
  <c r="R84" i="15"/>
  <c r="T84" i="15" s="1"/>
  <c r="R83" i="15"/>
  <c r="T83" i="15" s="1"/>
  <c r="R82" i="15"/>
  <c r="T82" i="15" s="1"/>
  <c r="R80" i="15"/>
  <c r="T80" i="15" s="1"/>
  <c r="R79" i="15"/>
  <c r="T79" i="15" s="1"/>
  <c r="R78" i="15"/>
  <c r="T78" i="15" s="1"/>
  <c r="R77" i="15"/>
  <c r="T77" i="15" s="1"/>
  <c r="R76" i="15"/>
  <c r="T76" i="15" s="1"/>
  <c r="F22" i="15" l="1"/>
  <c r="D22" i="15"/>
  <c r="D176" i="15"/>
  <c r="L49" i="1"/>
  <c r="B76" i="15" l="1"/>
  <c r="L109" i="1" l="1"/>
  <c r="B75" i="15"/>
  <c r="B77" i="15"/>
  <c r="B78" i="15"/>
  <c r="B79" i="15"/>
  <c r="B80" i="15"/>
  <c r="B81" i="15"/>
  <c r="B82" i="15"/>
  <c r="B83" i="15"/>
  <c r="B84" i="15"/>
  <c r="B85" i="15"/>
  <c r="B86" i="15"/>
  <c r="B88" i="15"/>
  <c r="B89" i="15"/>
  <c r="B90" i="15"/>
  <c r="B91" i="15"/>
  <c r="B92" i="15"/>
  <c r="B74" i="15"/>
  <c r="R81" i="15"/>
  <c r="T81" i="15" s="1"/>
  <c r="R75" i="15"/>
  <c r="T75" i="15" s="1"/>
  <c r="G75" i="15" s="1"/>
  <c r="R92" i="15"/>
  <c r="T92" i="15" s="1"/>
  <c r="R91" i="15"/>
  <c r="T91" i="15" s="1"/>
  <c r="R90" i="15"/>
  <c r="T90" i="15" s="1"/>
  <c r="R89" i="15"/>
  <c r="T89" i="15" s="1"/>
  <c r="R88" i="15"/>
  <c r="T88" i="15" s="1"/>
  <c r="C9" i="15"/>
  <c r="F115" i="1" l="1"/>
  <c r="F113" i="1"/>
  <c r="I45" i="1" l="1"/>
  <c r="B59" i="20" l="1"/>
  <c r="B58" i="20"/>
  <c r="C58" i="20" s="1"/>
  <c r="B57" i="20"/>
  <c r="B56" i="20"/>
  <c r="B55" i="20"/>
  <c r="B54" i="20"/>
  <c r="C54" i="20" s="1"/>
  <c r="B53" i="20"/>
  <c r="B52" i="20"/>
  <c r="D52" i="20" s="1"/>
  <c r="B51" i="20"/>
  <c r="B50" i="20"/>
  <c r="C50" i="20" s="1"/>
  <c r="B49" i="20"/>
  <c r="B48" i="20"/>
  <c r="D48" i="20" s="1"/>
  <c r="B47" i="20"/>
  <c r="F47" i="20" s="1"/>
  <c r="B46" i="20"/>
  <c r="C46" i="20" s="1"/>
  <c r="B45" i="20"/>
  <c r="B44" i="20"/>
  <c r="D44" i="20" s="1"/>
  <c r="B43" i="20"/>
  <c r="B42" i="20"/>
  <c r="C42" i="20" s="1"/>
  <c r="B41" i="20"/>
  <c r="B40" i="20"/>
  <c r="B39" i="20"/>
  <c r="B38" i="20"/>
  <c r="C38" i="20" s="1"/>
  <c r="B37" i="20"/>
  <c r="B36" i="20"/>
  <c r="D36" i="20" s="1"/>
  <c r="B35" i="20"/>
  <c r="D34" i="20"/>
  <c r="B34" i="20"/>
  <c r="B33" i="20"/>
  <c r="B32" i="20"/>
  <c r="F32" i="20" s="1"/>
  <c r="B31" i="20"/>
  <c r="F31" i="20" s="1"/>
  <c r="B30" i="20"/>
  <c r="F30" i="20" s="1"/>
  <c r="B29" i="20"/>
  <c r="D29" i="20" s="1"/>
  <c r="B28" i="20"/>
  <c r="C28" i="20" s="1"/>
  <c r="B27" i="20"/>
  <c r="F27" i="20" s="1"/>
  <c r="B26" i="20"/>
  <c r="B25" i="20"/>
  <c r="F25" i="20" s="1"/>
  <c r="B24" i="20"/>
  <c r="F24" i="20" s="1"/>
  <c r="B23" i="20"/>
  <c r="F23" i="20" s="1"/>
  <c r="B22" i="20"/>
  <c r="B21" i="20"/>
  <c r="D21" i="20" s="1"/>
  <c r="B20" i="20"/>
  <c r="C20" i="20" s="1"/>
  <c r="B19" i="20"/>
  <c r="B18" i="20"/>
  <c r="B17" i="20"/>
  <c r="F17" i="20" s="1"/>
  <c r="B16" i="20"/>
  <c r="C16" i="20" s="1"/>
  <c r="B15" i="20"/>
  <c r="F15" i="20" s="1"/>
  <c r="B14" i="20"/>
  <c r="F14" i="20" s="1"/>
  <c r="B13" i="20"/>
  <c r="D13" i="20" s="1"/>
  <c r="B12" i="20"/>
  <c r="F12" i="20" s="1"/>
  <c r="B11" i="20"/>
  <c r="B10" i="20"/>
  <c r="B9" i="20"/>
  <c r="F9" i="20" s="1"/>
  <c r="B8" i="20"/>
  <c r="F8" i="20" s="1"/>
  <c r="B6" i="20"/>
  <c r="C4" i="20"/>
  <c r="C27" i="20" l="1"/>
  <c r="F13" i="20"/>
  <c r="C14" i="20"/>
  <c r="D12" i="20"/>
  <c r="D38" i="20"/>
  <c r="D46" i="20"/>
  <c r="C8" i="20"/>
  <c r="D42" i="20"/>
  <c r="D14" i="20"/>
  <c r="D20" i="20"/>
  <c r="D32" i="20"/>
  <c r="C12" i="20"/>
  <c r="F21" i="20"/>
  <c r="C24" i="20"/>
  <c r="F36" i="20"/>
  <c r="C40" i="20"/>
  <c r="F43" i="20"/>
  <c r="F52" i="20"/>
  <c r="C56" i="20"/>
  <c r="F59" i="20"/>
  <c r="C19" i="20"/>
  <c r="F22" i="20"/>
  <c r="F29" i="20"/>
  <c r="D40" i="20"/>
  <c r="D50" i="20"/>
  <c r="D56" i="20"/>
  <c r="C11" i="20"/>
  <c r="D9" i="20"/>
  <c r="D11" i="20"/>
  <c r="D17" i="20"/>
  <c r="D19" i="20"/>
  <c r="D28" i="20"/>
  <c r="F40" i="20"/>
  <c r="C44" i="20"/>
  <c r="F56" i="20"/>
  <c r="F11" i="20"/>
  <c r="F19" i="20"/>
  <c r="D54" i="20"/>
  <c r="D25" i="20"/>
  <c r="D27" i="20"/>
  <c r="F28" i="20"/>
  <c r="C32" i="20"/>
  <c r="F35" i="20"/>
  <c r="F44" i="20"/>
  <c r="C48" i="20"/>
  <c r="F51" i="20"/>
  <c r="D58" i="20"/>
  <c r="F16" i="20"/>
  <c r="C36" i="20"/>
  <c r="F39" i="20"/>
  <c r="F48" i="20"/>
  <c r="C52" i="20"/>
  <c r="F55" i="20"/>
  <c r="C10" i="20"/>
  <c r="C18" i="20"/>
  <c r="C26" i="20"/>
  <c r="C37" i="20"/>
  <c r="C41" i="20"/>
  <c r="C45" i="20"/>
  <c r="C49" i="20"/>
  <c r="C53" i="20"/>
  <c r="C57" i="20"/>
  <c r="C9" i="20"/>
  <c r="D10" i="20"/>
  <c r="C17" i="20"/>
  <c r="D18" i="20"/>
  <c r="F20" i="20"/>
  <c r="C25" i="20"/>
  <c r="D26" i="20"/>
  <c r="D37" i="20"/>
  <c r="F38" i="20"/>
  <c r="H38" i="20" s="1"/>
  <c r="D41" i="20"/>
  <c r="F42" i="20"/>
  <c r="H42" i="20" s="1"/>
  <c r="D45" i="20"/>
  <c r="F46" i="20"/>
  <c r="H46" i="20" s="1"/>
  <c r="D49" i="20"/>
  <c r="F50" i="20"/>
  <c r="H50" i="20" s="1"/>
  <c r="D53" i="20"/>
  <c r="F54" i="20"/>
  <c r="H54" i="20" s="1"/>
  <c r="D57" i="20"/>
  <c r="F58" i="20"/>
  <c r="H58" i="20" s="1"/>
  <c r="D8" i="20"/>
  <c r="F10" i="20"/>
  <c r="C15" i="20"/>
  <c r="D16" i="20"/>
  <c r="F18" i="20"/>
  <c r="C23" i="20"/>
  <c r="D24" i="20"/>
  <c r="F26" i="20"/>
  <c r="C31" i="20"/>
  <c r="F37" i="20"/>
  <c r="F41" i="20"/>
  <c r="F45" i="20"/>
  <c r="F49" i="20"/>
  <c r="F53" i="20"/>
  <c r="F57" i="20"/>
  <c r="D15" i="20"/>
  <c r="C22" i="20"/>
  <c r="D23" i="20"/>
  <c r="C30" i="20"/>
  <c r="D31" i="20"/>
  <c r="C35" i="20"/>
  <c r="C39" i="20"/>
  <c r="C43" i="20"/>
  <c r="C47" i="20"/>
  <c r="H47" i="20" s="1"/>
  <c r="C51" i="20"/>
  <c r="C55" i="20"/>
  <c r="C59" i="20"/>
  <c r="H59" i="20" s="1"/>
  <c r="C13" i="20"/>
  <c r="C21" i="20"/>
  <c r="D22" i="20"/>
  <c r="C29" i="20"/>
  <c r="D30" i="20"/>
  <c r="D35" i="20"/>
  <c r="D39" i="20"/>
  <c r="D43" i="20"/>
  <c r="D47" i="20"/>
  <c r="D51" i="20"/>
  <c r="D55" i="20"/>
  <c r="D59" i="20"/>
  <c r="H39" i="20" l="1"/>
  <c r="H35" i="20"/>
  <c r="H36" i="20"/>
  <c r="H52" i="20"/>
  <c r="H20" i="20"/>
  <c r="H29" i="20"/>
  <c r="H15" i="20"/>
  <c r="H30" i="20"/>
  <c r="H14" i="20"/>
  <c r="H32" i="20"/>
  <c r="H26" i="20"/>
  <c r="H28" i="20"/>
  <c r="H18" i="20"/>
  <c r="H12" i="20"/>
  <c r="H31" i="20"/>
  <c r="H16" i="20"/>
  <c r="H23" i="20"/>
  <c r="H21" i="20"/>
  <c r="H24" i="20"/>
  <c r="H13" i="20"/>
  <c r="H19" i="20"/>
  <c r="H25" i="20"/>
  <c r="H22" i="20"/>
  <c r="H17" i="20"/>
  <c r="H27" i="20"/>
  <c r="H9" i="20"/>
  <c r="H8" i="20"/>
  <c r="H10" i="20"/>
  <c r="H11" i="20"/>
  <c r="H48" i="20"/>
  <c r="H51" i="20"/>
  <c r="H37" i="20"/>
  <c r="H41" i="20"/>
  <c r="H53" i="20"/>
  <c r="H44" i="20"/>
  <c r="H43" i="20"/>
  <c r="H40" i="20"/>
  <c r="H49" i="20"/>
  <c r="H57" i="20"/>
  <c r="H55" i="20"/>
  <c r="H45" i="20"/>
  <c r="H56" i="20"/>
  <c r="H60" i="20" l="1"/>
  <c r="H61" i="20"/>
  <c r="C3" i="17" l="1"/>
  <c r="L73" i="1"/>
  <c r="L69" i="1"/>
  <c r="L50" i="1"/>
  <c r="I20" i="1"/>
  <c r="B8" i="17"/>
  <c r="F8" i="17" s="1"/>
  <c r="C8" i="17" l="1"/>
  <c r="D8" i="17"/>
  <c r="E8" i="17"/>
  <c r="L115" i="1"/>
  <c r="L113" i="1"/>
  <c r="L110" i="1"/>
  <c r="D23" i="19" l="1"/>
  <c r="H90" i="1" l="1"/>
  <c r="Q162" i="1" l="1"/>
  <c r="Q161" i="1"/>
  <c r="G20" i="15" l="1"/>
  <c r="F20" i="15"/>
  <c r="E20" i="15"/>
  <c r="C20" i="15"/>
  <c r="G19" i="15"/>
  <c r="F19" i="15"/>
  <c r="E19" i="15"/>
  <c r="C19" i="15"/>
  <c r="G16" i="15"/>
  <c r="F16" i="15"/>
  <c r="C16" i="15"/>
  <c r="C21" i="15" l="1"/>
  <c r="E18" i="15" l="1"/>
  <c r="C18" i="15"/>
  <c r="C15" i="15"/>
  <c r="I29" i="19"/>
  <c r="H30" i="19"/>
  <c r="G30" i="19"/>
  <c r="F30" i="19"/>
  <c r="E29" i="19"/>
  <c r="D28" i="19"/>
  <c r="F25" i="19" l="1"/>
  <c r="F27" i="19"/>
  <c r="F29" i="19"/>
  <c r="F23" i="19"/>
  <c r="H24" i="19"/>
  <c r="H28" i="19"/>
  <c r="D30" i="19"/>
  <c r="G23" i="19"/>
  <c r="E24" i="19"/>
  <c r="I24" i="19"/>
  <c r="G25" i="19"/>
  <c r="E26" i="19"/>
  <c r="I26" i="19"/>
  <c r="G27" i="19"/>
  <c r="E28" i="19"/>
  <c r="G29" i="19"/>
  <c r="E30" i="19"/>
  <c r="D24" i="19"/>
  <c r="D26" i="19"/>
  <c r="H23" i="19"/>
  <c r="F24" i="19"/>
  <c r="D25" i="19"/>
  <c r="H25" i="19"/>
  <c r="F26" i="19"/>
  <c r="D27" i="19"/>
  <c r="H27" i="19"/>
  <c r="F28" i="19"/>
  <c r="D29" i="19"/>
  <c r="H29" i="19"/>
  <c r="D31" i="19"/>
  <c r="H26" i="19"/>
  <c r="E23" i="19"/>
  <c r="I23" i="19"/>
  <c r="G24" i="19"/>
  <c r="E25" i="19"/>
  <c r="I25" i="19"/>
  <c r="G26" i="19"/>
  <c r="E27" i="19"/>
  <c r="G28" i="19"/>
  <c r="K23" i="19" l="1"/>
  <c r="AC159" i="1" s="1"/>
  <c r="E31" i="19"/>
  <c r="H31" i="19"/>
  <c r="G31" i="19"/>
  <c r="F31" i="19"/>
  <c r="AA166" i="1" l="1"/>
  <c r="AA159" i="1"/>
  <c r="G9" i="15"/>
  <c r="F9" i="15"/>
  <c r="E9" i="15"/>
  <c r="D9" i="15"/>
  <c r="G18" i="15"/>
  <c r="F18" i="15"/>
  <c r="G17" i="15"/>
  <c r="F17" i="15"/>
  <c r="E17" i="15"/>
  <c r="C17" i="15"/>
  <c r="G15" i="15"/>
  <c r="F15" i="15"/>
  <c r="E15" i="15"/>
  <c r="G21" i="15"/>
  <c r="G24" i="15" s="1"/>
  <c r="F21" i="15"/>
  <c r="F24" i="15" s="1"/>
  <c r="E21" i="15"/>
  <c r="E24" i="15" s="1"/>
  <c r="D21" i="15"/>
  <c r="D24" i="15" s="1"/>
  <c r="D19" i="15"/>
  <c r="G14" i="15"/>
  <c r="F14" i="15"/>
  <c r="E14" i="15"/>
  <c r="G13" i="15"/>
  <c r="F13" i="15"/>
  <c r="E13" i="15"/>
  <c r="C13" i="15"/>
  <c r="D13" i="15"/>
  <c r="G12" i="15"/>
  <c r="F12" i="15"/>
  <c r="E12" i="15"/>
  <c r="D12" i="15"/>
  <c r="AW168" i="1" l="1"/>
  <c r="C24" i="15" s="1"/>
  <c r="C25" i="15" s="1"/>
  <c r="F25" i="15"/>
  <c r="E25" i="15"/>
  <c r="G25" i="15"/>
  <c r="D20" i="15"/>
  <c r="D16" i="15"/>
  <c r="D18" i="15"/>
  <c r="D17" i="15"/>
  <c r="D15" i="15"/>
  <c r="D14" i="15"/>
  <c r="D25" i="15" l="1"/>
  <c r="I1048551" i="15"/>
  <c r="G1048559" i="15" l="1"/>
  <c r="G1048561" i="15"/>
  <c r="G1048565" i="15"/>
  <c r="G1048555" i="15"/>
  <c r="G1048568" i="15"/>
  <c r="G1048569" i="15"/>
  <c r="G1048558" i="15"/>
  <c r="G1048560" i="15"/>
  <c r="G1048562" i="15"/>
  <c r="G1048563" i="15"/>
  <c r="G1048564" i="15"/>
  <c r="G1048566" i="15"/>
  <c r="G1048567" i="15"/>
  <c r="G1048554" i="15"/>
  <c r="G1048556" i="15"/>
  <c r="G1048557" i="15"/>
  <c r="G1048570" i="15"/>
  <c r="G1048571" i="15"/>
  <c r="M41" i="1"/>
  <c r="M37" i="1"/>
  <c r="M34" i="1"/>
  <c r="M44" i="1"/>
  <c r="M40" i="1"/>
  <c r="M30" i="1"/>
  <c r="M43" i="1"/>
  <c r="M39" i="1"/>
  <c r="M31" i="1"/>
  <c r="M35" i="1"/>
  <c r="M29" i="1"/>
  <c r="M42" i="1"/>
  <c r="M38" i="1"/>
  <c r="M28" i="1"/>
  <c r="M32" i="1"/>
  <c r="M36" i="1"/>
  <c r="M33" i="1"/>
  <c r="Y144" i="1" l="1"/>
  <c r="J21" i="1" l="1"/>
  <c r="J20" i="1"/>
  <c r="J43" i="1"/>
  <c r="J41" i="1"/>
  <c r="J39" i="1"/>
  <c r="J35" i="1"/>
  <c r="J33" i="1"/>
  <c r="J31" i="1"/>
  <c r="J42" i="1"/>
  <c r="J44" i="1"/>
  <c r="J32" i="1"/>
  <c r="J26" i="1"/>
  <c r="J27" i="1"/>
  <c r="J25" i="1"/>
  <c r="J23" i="1"/>
  <c r="J28" i="1"/>
  <c r="J45" i="1"/>
  <c r="J34" i="1"/>
  <c r="J36" i="1"/>
  <c r="J24" i="1"/>
  <c r="J29" i="1"/>
  <c r="J38" i="1"/>
  <c r="J30" i="1"/>
  <c r="J40" i="1"/>
  <c r="J22" i="1"/>
  <c r="J37" i="1"/>
  <c r="AW160" i="1"/>
  <c r="AW164" i="1"/>
  <c r="AW163" i="1"/>
  <c r="B7" i="17"/>
  <c r="AW169" i="1" l="1"/>
  <c r="AW170" i="1" s="1"/>
  <c r="F7" i="17"/>
  <c r="E7" i="17"/>
  <c r="D7" i="17"/>
  <c r="C7" i="17"/>
  <c r="B58" i="17"/>
  <c r="D33" i="17"/>
  <c r="B52" i="17"/>
  <c r="B53" i="17"/>
  <c r="B54" i="17"/>
  <c r="B55" i="17"/>
  <c r="B56" i="17"/>
  <c r="B57" i="17"/>
  <c r="B35" i="17"/>
  <c r="B36" i="17"/>
  <c r="B37" i="17"/>
  <c r="B38" i="17"/>
  <c r="B39" i="17"/>
  <c r="B40" i="17"/>
  <c r="B41" i="17"/>
  <c r="B42" i="17"/>
  <c r="B43" i="17"/>
  <c r="B44" i="17"/>
  <c r="B45" i="17"/>
  <c r="B46" i="17"/>
  <c r="B47" i="17"/>
  <c r="B48" i="17"/>
  <c r="B49" i="17"/>
  <c r="B50" i="17"/>
  <c r="B51" i="17"/>
  <c r="B34" i="17"/>
  <c r="H34" i="17" s="1"/>
  <c r="B33" i="17"/>
  <c r="B32" i="17"/>
  <c r="B31" i="17"/>
  <c r="B9" i="17"/>
  <c r="B10" i="17"/>
  <c r="B11" i="17"/>
  <c r="B12" i="17"/>
  <c r="B13" i="17"/>
  <c r="B14" i="17"/>
  <c r="B15" i="17"/>
  <c r="B16" i="17"/>
  <c r="B17" i="17"/>
  <c r="B18" i="17"/>
  <c r="B19" i="17"/>
  <c r="B20" i="17"/>
  <c r="B21" i="17"/>
  <c r="B22" i="17"/>
  <c r="B23" i="17"/>
  <c r="B24" i="17"/>
  <c r="B25" i="17"/>
  <c r="B26" i="17"/>
  <c r="B27" i="17"/>
  <c r="B28" i="17"/>
  <c r="B29" i="17"/>
  <c r="B30" i="17"/>
  <c r="H6" i="17"/>
  <c r="G6" i="17"/>
  <c r="F6" i="17"/>
  <c r="E6" i="17"/>
  <c r="D6" i="17"/>
  <c r="C6" i="17"/>
  <c r="B6" i="17"/>
  <c r="B5" i="17"/>
  <c r="C46" i="17" l="1"/>
  <c r="E46" i="17"/>
  <c r="F46" i="17"/>
  <c r="D46" i="17"/>
  <c r="C38" i="17"/>
  <c r="E38" i="17"/>
  <c r="D38" i="17"/>
  <c r="F38" i="17"/>
  <c r="C53" i="17"/>
  <c r="H53" i="17"/>
  <c r="F53" i="17"/>
  <c r="E53" i="17"/>
  <c r="D53" i="17"/>
  <c r="C45" i="17"/>
  <c r="F45" i="17"/>
  <c r="E45" i="17"/>
  <c r="D45" i="17"/>
  <c r="C37" i="17"/>
  <c r="D37" i="17"/>
  <c r="F37" i="17"/>
  <c r="E37" i="17"/>
  <c r="C52" i="17"/>
  <c r="F52" i="17"/>
  <c r="H52" i="17"/>
  <c r="E52" i="17"/>
  <c r="D52" i="17"/>
  <c r="C34" i="17"/>
  <c r="F34" i="17"/>
  <c r="E34" i="17"/>
  <c r="D34" i="17"/>
  <c r="C44" i="17"/>
  <c r="F44" i="17"/>
  <c r="E44" i="17"/>
  <c r="D44" i="17"/>
  <c r="C36" i="17"/>
  <c r="F36" i="17"/>
  <c r="E36" i="17"/>
  <c r="D36" i="17"/>
  <c r="C51" i="17"/>
  <c r="H51" i="17"/>
  <c r="D51" i="17"/>
  <c r="F51" i="17"/>
  <c r="E51" i="17"/>
  <c r="C43" i="17"/>
  <c r="E43" i="17"/>
  <c r="F43" i="17"/>
  <c r="D43" i="17"/>
  <c r="C35" i="17"/>
  <c r="H35" i="17"/>
  <c r="E35" i="17"/>
  <c r="D35" i="17"/>
  <c r="F35" i="17"/>
  <c r="C58" i="17"/>
  <c r="F58" i="17"/>
  <c r="E58" i="17"/>
  <c r="D58" i="17"/>
  <c r="H58" i="17"/>
  <c r="C50" i="17"/>
  <c r="F50" i="17"/>
  <c r="D50" i="17"/>
  <c r="E50" i="17"/>
  <c r="H50" i="17"/>
  <c r="C42" i="17"/>
  <c r="F42" i="17"/>
  <c r="E42" i="17"/>
  <c r="D42" i="17"/>
  <c r="C57" i="17"/>
  <c r="E57" i="17"/>
  <c r="D57" i="17"/>
  <c r="H57" i="17"/>
  <c r="F57" i="17"/>
  <c r="C49" i="17"/>
  <c r="E49" i="17"/>
  <c r="D49" i="17"/>
  <c r="H49" i="17"/>
  <c r="F49" i="17"/>
  <c r="C41" i="17"/>
  <c r="F41" i="17"/>
  <c r="D41" i="17"/>
  <c r="E41" i="17"/>
  <c r="C56" i="17"/>
  <c r="E56" i="17"/>
  <c r="D56" i="17"/>
  <c r="H56" i="17"/>
  <c r="F56" i="17"/>
  <c r="C48" i="17"/>
  <c r="E48" i="17"/>
  <c r="D48" i="17"/>
  <c r="H48" i="17"/>
  <c r="F48" i="17"/>
  <c r="C40" i="17"/>
  <c r="E40" i="17"/>
  <c r="D40" i="17"/>
  <c r="F40" i="17"/>
  <c r="C55" i="17"/>
  <c r="F55" i="17"/>
  <c r="H55" i="17"/>
  <c r="E55" i="17"/>
  <c r="D55" i="17"/>
  <c r="C47" i="17"/>
  <c r="F47" i="17"/>
  <c r="E47" i="17"/>
  <c r="D47" i="17"/>
  <c r="C39" i="17"/>
  <c r="F39" i="17"/>
  <c r="D39" i="17"/>
  <c r="E39" i="17"/>
  <c r="C54" i="17"/>
  <c r="H54" i="17"/>
  <c r="D54" i="17"/>
  <c r="F54" i="17"/>
  <c r="E54" i="17"/>
  <c r="E22" i="17"/>
  <c r="D22" i="17"/>
  <c r="C22" i="17"/>
  <c r="F22" i="17"/>
  <c r="D29" i="17"/>
  <c r="C29" i="17"/>
  <c r="F29" i="17"/>
  <c r="E29" i="17"/>
  <c r="D21" i="17"/>
  <c r="C21" i="17"/>
  <c r="E21" i="17"/>
  <c r="F21" i="17"/>
  <c r="D13" i="17"/>
  <c r="C13" i="17"/>
  <c r="E13" i="17"/>
  <c r="F13" i="17"/>
  <c r="C28" i="17"/>
  <c r="D28" i="17"/>
  <c r="F28" i="17"/>
  <c r="E28" i="17"/>
  <c r="C20" i="17"/>
  <c r="F20" i="17"/>
  <c r="D20" i="17"/>
  <c r="E20" i="17"/>
  <c r="C12" i="17"/>
  <c r="D12" i="17"/>
  <c r="F12" i="17"/>
  <c r="E12" i="17"/>
  <c r="F27" i="17"/>
  <c r="E27" i="17"/>
  <c r="D27" i="17"/>
  <c r="C27" i="17"/>
  <c r="F19" i="17"/>
  <c r="C19" i="17"/>
  <c r="E19" i="17"/>
  <c r="D19" i="17"/>
  <c r="C11" i="17"/>
  <c r="F11" i="17"/>
  <c r="E11" i="17"/>
  <c r="D11" i="17"/>
  <c r="E30" i="17"/>
  <c r="D30" i="17"/>
  <c r="C30" i="17"/>
  <c r="F30" i="17"/>
  <c r="F26" i="17"/>
  <c r="E26" i="17"/>
  <c r="D26" i="17"/>
  <c r="C26" i="17"/>
  <c r="F18" i="17"/>
  <c r="E18" i="17"/>
  <c r="D18" i="17"/>
  <c r="C18" i="17"/>
  <c r="F10" i="17"/>
  <c r="E10" i="17"/>
  <c r="D10" i="17"/>
  <c r="C10" i="17"/>
  <c r="E14" i="17"/>
  <c r="D14" i="17"/>
  <c r="C14" i="17"/>
  <c r="F14" i="17"/>
  <c r="F25" i="17"/>
  <c r="E25" i="17"/>
  <c r="D25" i="17"/>
  <c r="C25" i="17"/>
  <c r="F17" i="17"/>
  <c r="E17" i="17"/>
  <c r="D17" i="17"/>
  <c r="C17" i="17"/>
  <c r="F24" i="17"/>
  <c r="E24" i="17"/>
  <c r="D24" i="17"/>
  <c r="C24" i="17"/>
  <c r="F16" i="17"/>
  <c r="E16" i="17"/>
  <c r="D16" i="17"/>
  <c r="C16" i="17"/>
  <c r="F31" i="17"/>
  <c r="E31" i="17"/>
  <c r="D31" i="17"/>
  <c r="C31" i="17"/>
  <c r="F9" i="17"/>
  <c r="E9" i="17"/>
  <c r="D9" i="17"/>
  <c r="C9" i="17"/>
  <c r="F23" i="17"/>
  <c r="E23" i="17"/>
  <c r="D23" i="17"/>
  <c r="C23" i="17"/>
  <c r="F15" i="17"/>
  <c r="E15" i="17"/>
  <c r="D15" i="17"/>
  <c r="C15" i="17"/>
  <c r="L60" i="1"/>
  <c r="H45" i="17" s="1"/>
  <c r="I93" i="15" l="1"/>
  <c r="I94" i="15"/>
  <c r="I95" i="15"/>
  <c r="I96" i="15"/>
  <c r="I97" i="15"/>
  <c r="I98" i="15"/>
  <c r="I99" i="15"/>
  <c r="I100" i="15"/>
  <c r="I52" i="15"/>
  <c r="I53" i="15"/>
  <c r="I54" i="15"/>
  <c r="I55" i="15"/>
  <c r="I56" i="15"/>
  <c r="I57" i="15"/>
  <c r="I58" i="15"/>
  <c r="I59" i="15"/>
  <c r="I60" i="15"/>
  <c r="I61" i="15"/>
  <c r="I62" i="15"/>
  <c r="I63" i="15"/>
  <c r="I64" i="15"/>
  <c r="I65" i="15"/>
  <c r="I66" i="15"/>
  <c r="I67" i="15"/>
  <c r="I68" i="15"/>
  <c r="I69" i="15"/>
  <c r="I51" i="15"/>
  <c r="N56" i="1"/>
  <c r="N57" i="1"/>
  <c r="N58" i="1"/>
  <c r="N59" i="1"/>
  <c r="N60" i="1"/>
  <c r="N61" i="1"/>
  <c r="N62" i="1"/>
  <c r="N63" i="1"/>
  <c r="N64" i="1"/>
  <c r="N65" i="1"/>
  <c r="N66" i="1"/>
  <c r="N67" i="1"/>
  <c r="N68" i="1"/>
  <c r="N69" i="1"/>
  <c r="N70" i="1"/>
  <c r="N71" i="1"/>
  <c r="N72" i="1"/>
  <c r="N73" i="1"/>
  <c r="N55" i="1"/>
  <c r="N49" i="1"/>
  <c r="O49" i="1" s="1"/>
  <c r="O67" i="1" l="1"/>
  <c r="O59" i="1"/>
  <c r="O65" i="1"/>
  <c r="O57" i="1"/>
  <c r="O73" i="1"/>
  <c r="O72" i="1"/>
  <c r="O64" i="1"/>
  <c r="O56" i="1"/>
  <c r="O63" i="1"/>
  <c r="O66" i="1"/>
  <c r="O55" i="1"/>
  <c r="O71" i="1"/>
  <c r="O70" i="1"/>
  <c r="O62" i="1"/>
  <c r="O69" i="1"/>
  <c r="O61" i="1"/>
  <c r="O58" i="1"/>
  <c r="O68" i="1"/>
  <c r="O60" i="1"/>
  <c r="I27" i="1"/>
  <c r="I26" i="1"/>
  <c r="I31" i="1"/>
  <c r="I41" i="1"/>
  <c r="I33" i="1"/>
  <c r="I40" i="1"/>
  <c r="I36" i="1"/>
  <c r="I28" i="1"/>
  <c r="I32" i="1"/>
  <c r="I42" i="1"/>
  <c r="I38" i="1"/>
  <c r="I34" i="1"/>
  <c r="I30" i="1"/>
  <c r="I37" i="1"/>
  <c r="I44" i="1"/>
  <c r="I43" i="1"/>
  <c r="I39" i="1"/>
  <c r="I35" i="1"/>
  <c r="I29" i="1"/>
  <c r="I22" i="1"/>
  <c r="I23" i="1"/>
  <c r="I24" i="1"/>
  <c r="I21" i="1"/>
  <c r="I25" i="1"/>
  <c r="I46" i="1" l="1"/>
  <c r="J9" i="15" l="1"/>
  <c r="K28" i="15" s="1"/>
  <c r="L12" i="15"/>
  <c r="D170" i="15"/>
  <c r="H55" i="15" s="1"/>
  <c r="C177" i="15"/>
  <c r="D188" i="15"/>
  <c r="D191" i="15"/>
  <c r="D192" i="15"/>
  <c r="K31" i="15" l="1"/>
  <c r="C31" i="15" s="1"/>
  <c r="H51" i="15"/>
  <c r="J1048551" i="15"/>
  <c r="I1048552" i="15" s="1"/>
  <c r="D196" i="15"/>
  <c r="D197" i="15" s="1"/>
  <c r="H86" i="1"/>
  <c r="G1048547" i="15" l="1"/>
  <c r="G1048548" i="15"/>
  <c r="G1048550" i="15"/>
  <c r="G1048551" i="15"/>
  <c r="M27" i="1"/>
  <c r="G1048552" i="15"/>
  <c r="G1048553" i="15"/>
  <c r="G1048549" i="15"/>
  <c r="M20" i="1"/>
  <c r="G1048546" i="15"/>
  <c r="G31" i="15"/>
  <c r="E31" i="15"/>
  <c r="F31" i="15"/>
  <c r="D31" i="15"/>
  <c r="H75" i="15"/>
  <c r="I75" i="15"/>
  <c r="J75" i="15" s="1"/>
  <c r="M26" i="1"/>
  <c r="M25" i="1"/>
  <c r="M23" i="1"/>
  <c r="M21" i="1"/>
  <c r="M24" i="1"/>
  <c r="M22" i="1"/>
  <c r="L51" i="1" l="1"/>
  <c r="L52" i="1"/>
  <c r="H37" i="17" s="1"/>
  <c r="L53" i="1"/>
  <c r="H38" i="17" s="1"/>
  <c r="L54" i="1"/>
  <c r="H39" i="17" s="1"/>
  <c r="L55" i="1"/>
  <c r="H40" i="17" s="1"/>
  <c r="L56" i="1"/>
  <c r="H41" i="17" s="1"/>
  <c r="L57" i="1"/>
  <c r="H42" i="17" s="1"/>
  <c r="L58" i="1"/>
  <c r="H43" i="17" s="1"/>
  <c r="L59" i="1"/>
  <c r="H44" i="17" s="1"/>
  <c r="L61" i="1"/>
  <c r="H46" i="17" s="1"/>
  <c r="L62" i="1"/>
  <c r="H47" i="17" s="1"/>
  <c r="L63" i="1"/>
  <c r="L64" i="1"/>
  <c r="L65" i="1"/>
  <c r="L66" i="1"/>
  <c r="L67" i="1"/>
  <c r="L68" i="1"/>
  <c r="L70" i="1"/>
  <c r="L71" i="1"/>
  <c r="L72" i="1"/>
  <c r="B46" i="1"/>
  <c r="B74" i="1"/>
  <c r="L74" i="1" l="1"/>
  <c r="L76" i="1" s="1"/>
  <c r="H36" i="17"/>
  <c r="H60" i="17" l="1"/>
  <c r="C8" i="1"/>
  <c r="AA150" i="1"/>
  <c r="J55" i="15" l="1"/>
  <c r="H59" i="15"/>
  <c r="J59" i="15" s="1"/>
  <c r="H58" i="15"/>
  <c r="J58" i="15" s="1"/>
  <c r="H56" i="15"/>
  <c r="J56" i="15" s="1"/>
  <c r="H54" i="15"/>
  <c r="J54" i="15" s="1"/>
  <c r="H53" i="15"/>
  <c r="J53" i="15" s="1"/>
  <c r="H57" i="15"/>
  <c r="J57" i="15" s="1"/>
  <c r="H68" i="15"/>
  <c r="J68" i="15" s="1"/>
  <c r="H60" i="15"/>
  <c r="J60" i="15" s="1"/>
  <c r="H69" i="15"/>
  <c r="J69" i="15" s="1"/>
  <c r="H61" i="15"/>
  <c r="J61" i="15" s="1"/>
  <c r="H67" i="15"/>
  <c r="J67" i="15" s="1"/>
  <c r="J51" i="15"/>
  <c r="H52" i="15"/>
  <c r="J52" i="15" s="1"/>
  <c r="L9" i="15"/>
  <c r="C28" i="15" s="1"/>
  <c r="K102" i="10"/>
  <c r="K101" i="10"/>
  <c r="K1899" i="11" s="1"/>
  <c r="E54" i="12"/>
  <c r="E53" i="12"/>
  <c r="E52" i="12"/>
  <c r="E51" i="12"/>
  <c r="E50" i="12"/>
  <c r="C49" i="12"/>
  <c r="E49" i="12" s="1"/>
  <c r="C48" i="12"/>
  <c r="E48" i="12" s="1"/>
  <c r="E47" i="12"/>
  <c r="C46" i="12"/>
  <c r="E46" i="12" s="1"/>
  <c r="C45" i="12"/>
  <c r="E45" i="12" s="1"/>
  <c r="C44" i="12"/>
  <c r="E44" i="12" s="1"/>
  <c r="G43" i="12"/>
  <c r="E43" i="12"/>
  <c r="G42" i="12"/>
  <c r="E42" i="12"/>
  <c r="G41" i="12"/>
  <c r="C41" i="12"/>
  <c r="E41" i="12" s="1"/>
  <c r="C40" i="12"/>
  <c r="E40" i="12" s="1"/>
  <c r="E39" i="12"/>
  <c r="E36" i="12"/>
  <c r="E34" i="12"/>
  <c r="E31" i="12"/>
  <c r="E30" i="12"/>
  <c r="E29" i="12"/>
  <c r="E28" i="12"/>
  <c r="E25" i="12"/>
  <c r="E24" i="12"/>
  <c r="E22" i="12"/>
  <c r="E20" i="12"/>
  <c r="E18" i="12"/>
  <c r="E17" i="12"/>
  <c r="E15" i="12"/>
  <c r="E14" i="12"/>
  <c r="E11" i="12"/>
  <c r="E10" i="12"/>
  <c r="E9" i="12"/>
  <c r="E8" i="12"/>
  <c r="E7" i="12"/>
  <c r="K7074" i="11"/>
  <c r="N7074" i="11" s="1"/>
  <c r="K7073" i="11"/>
  <c r="N7073" i="11" s="1"/>
  <c r="N7067" i="11"/>
  <c r="N7068" i="11" s="1"/>
  <c r="N7061" i="11"/>
  <c r="N7060" i="11"/>
  <c r="N7059" i="11"/>
  <c r="N7058" i="11"/>
  <c r="N7053" i="11"/>
  <c r="K6987" i="11"/>
  <c r="N6987" i="11" s="1"/>
  <c r="N6988" i="11" s="1"/>
  <c r="L6991" i="11" s="1"/>
  <c r="N6991" i="11" s="1"/>
  <c r="N6992" i="11" s="1"/>
  <c r="N6981" i="11"/>
  <c r="N6982" i="11" s="1"/>
  <c r="N6975" i="11"/>
  <c r="N6974" i="11"/>
  <c r="N6973" i="11"/>
  <c r="N6972" i="11"/>
  <c r="N6966" i="11"/>
  <c r="N6967" i="11" s="1"/>
  <c r="K6901" i="11"/>
  <c r="N6901" i="11" s="1"/>
  <c r="K6900" i="11"/>
  <c r="N6900" i="11" s="1"/>
  <c r="N6894" i="11"/>
  <c r="N6895" i="11" s="1"/>
  <c r="N6887" i="11"/>
  <c r="N6886" i="11"/>
  <c r="N6885" i="11"/>
  <c r="N6884" i="11"/>
  <c r="N6883" i="11"/>
  <c r="N6882" i="11"/>
  <c r="N6881" i="11"/>
  <c r="N6880" i="11"/>
  <c r="N6879" i="11"/>
  <c r="N6878" i="11"/>
  <c r="N6872" i="11"/>
  <c r="N6871" i="11"/>
  <c r="N6870" i="11"/>
  <c r="N6869" i="11"/>
  <c r="N6868" i="11"/>
  <c r="N6863" i="11"/>
  <c r="K6803" i="11"/>
  <c r="N6803" i="11" s="1"/>
  <c r="K6802" i="11"/>
  <c r="N6802" i="11" s="1"/>
  <c r="N6796" i="11"/>
  <c r="N6795" i="11"/>
  <c r="N6789" i="11"/>
  <c r="N6788" i="11"/>
  <c r="N6787" i="11"/>
  <c r="N6786" i="11"/>
  <c r="N6785" i="11"/>
  <c r="N6784" i="11"/>
  <c r="N6783" i="11"/>
  <c r="N6782" i="11"/>
  <c r="N6781" i="11"/>
  <c r="N6780" i="11"/>
  <c r="N6774" i="11"/>
  <c r="N6773" i="11"/>
  <c r="N6772" i="11"/>
  <c r="N6771" i="11"/>
  <c r="N6770" i="11"/>
  <c r="K6705" i="11"/>
  <c r="N6705" i="11" s="1"/>
  <c r="N6706" i="11" s="1"/>
  <c r="L6709" i="11" s="1"/>
  <c r="N6709" i="11" s="1"/>
  <c r="N6710" i="11" s="1"/>
  <c r="N6700" i="11"/>
  <c r="N6693" i="11"/>
  <c r="N6692" i="11"/>
  <c r="N6691" i="11"/>
  <c r="N6686" i="11"/>
  <c r="N6623" i="11"/>
  <c r="N6624" i="11" s="1"/>
  <c r="K6615" i="11"/>
  <c r="N6615" i="11" s="1"/>
  <c r="N6616" i="11" s="1"/>
  <c r="L6619" i="11" s="1"/>
  <c r="N6619" i="11" s="1"/>
  <c r="N6620" i="11" s="1"/>
  <c r="N6610" i="11"/>
  <c r="N6598" i="11"/>
  <c r="K6532" i="11"/>
  <c r="N6532" i="11" s="1"/>
  <c r="N6533" i="11" s="1"/>
  <c r="L6536" i="11" s="1"/>
  <c r="N6536" i="11" s="1"/>
  <c r="N6537" i="11" s="1"/>
  <c r="N6527" i="11"/>
  <c r="N6520" i="11"/>
  <c r="N6519" i="11"/>
  <c r="N6518" i="11"/>
  <c r="N6517" i="11"/>
  <c r="N6516" i="11"/>
  <c r="N6515" i="11"/>
  <c r="N6510" i="11"/>
  <c r="K6444" i="11"/>
  <c r="N6444" i="11" s="1"/>
  <c r="N6445" i="11" s="1"/>
  <c r="L6448" i="11" s="1"/>
  <c r="N6448" i="11" s="1"/>
  <c r="N6449" i="11" s="1"/>
  <c r="N6439" i="11"/>
  <c r="N6432" i="11"/>
  <c r="N6431" i="11"/>
  <c r="N6430" i="11"/>
  <c r="N6429" i="11"/>
  <c r="N6428" i="11"/>
  <c r="N6427" i="11"/>
  <c r="N6422" i="11"/>
  <c r="K6356" i="11"/>
  <c r="N6356" i="11" s="1"/>
  <c r="N6357" i="11" s="1"/>
  <c r="L6360" i="11" s="1"/>
  <c r="N6360" i="11" s="1"/>
  <c r="N6361" i="11" s="1"/>
  <c r="N6351" i="11"/>
  <c r="N6344" i="11"/>
  <c r="N6343" i="11"/>
  <c r="N6342" i="11"/>
  <c r="N6341" i="11"/>
  <c r="N6340" i="11"/>
  <c r="N6339" i="11"/>
  <c r="N6334" i="11"/>
  <c r="K6268" i="11"/>
  <c r="N6268" i="11" s="1"/>
  <c r="N6269" i="11" s="1"/>
  <c r="L6272" i="11" s="1"/>
  <c r="N6272" i="11" s="1"/>
  <c r="N6273" i="11" s="1"/>
  <c r="N6263" i="11"/>
  <c r="N6256" i="11"/>
  <c r="N6255" i="11"/>
  <c r="N6254" i="11"/>
  <c r="N6249" i="11"/>
  <c r="K6183" i="11"/>
  <c r="N6183" i="11" s="1"/>
  <c r="N6184" i="11" s="1"/>
  <c r="L6187" i="11" s="1"/>
  <c r="N6187" i="11" s="1"/>
  <c r="N6188" i="11" s="1"/>
  <c r="N6178" i="11"/>
  <c r="N6171" i="11"/>
  <c r="N6170" i="11"/>
  <c r="N6169" i="11"/>
  <c r="N6163" i="11"/>
  <c r="N6164" i="11" s="1"/>
  <c r="K6098" i="11"/>
  <c r="N6098" i="11" s="1"/>
  <c r="N6099" i="11" s="1"/>
  <c r="L6102" i="11" s="1"/>
  <c r="N6102" i="11" s="1"/>
  <c r="N6103" i="11" s="1"/>
  <c r="N6093" i="11"/>
  <c r="N6086" i="11"/>
  <c r="N6085" i="11"/>
  <c r="N6079" i="11"/>
  <c r="N6080" i="11" s="1"/>
  <c r="K6014" i="11"/>
  <c r="N6014" i="11" s="1"/>
  <c r="N6015" i="11" s="1"/>
  <c r="L6018" i="11" s="1"/>
  <c r="N6018" i="11" s="1"/>
  <c r="N6019" i="11" s="1"/>
  <c r="N6009" i="11"/>
  <c r="N5997" i="11"/>
  <c r="K5931" i="11"/>
  <c r="N5931" i="11" s="1"/>
  <c r="N5932" i="11" s="1"/>
  <c r="L5935" i="11" s="1"/>
  <c r="N5935" i="11" s="1"/>
  <c r="N5936" i="11" s="1"/>
  <c r="N5926" i="11"/>
  <c r="N5914" i="11"/>
  <c r="K5848" i="11"/>
  <c r="N5848" i="11" s="1"/>
  <c r="N5849" i="11" s="1"/>
  <c r="L5852" i="11" s="1"/>
  <c r="N5852" i="11" s="1"/>
  <c r="N5853" i="11" s="1"/>
  <c r="N5843" i="11"/>
  <c r="N5831" i="11"/>
  <c r="K5765" i="11"/>
  <c r="N5765" i="11" s="1"/>
  <c r="N5766" i="11" s="1"/>
  <c r="L5769" i="11" s="1"/>
  <c r="N5769" i="11" s="1"/>
  <c r="N5770" i="11" s="1"/>
  <c r="N5760" i="11"/>
  <c r="N5748" i="11"/>
  <c r="K5682" i="11"/>
  <c r="N5682" i="11" s="1"/>
  <c r="N5683" i="11" s="1"/>
  <c r="L5686" i="11" s="1"/>
  <c r="N5686" i="11" s="1"/>
  <c r="N5687" i="11" s="1"/>
  <c r="N5677" i="11"/>
  <c r="N5665" i="11"/>
  <c r="K5599" i="11"/>
  <c r="N5599" i="11" s="1"/>
  <c r="N5600" i="11" s="1"/>
  <c r="L5603" i="11" s="1"/>
  <c r="N5603" i="11" s="1"/>
  <c r="N5604" i="11" s="1"/>
  <c r="N5594" i="11"/>
  <c r="N5587" i="11"/>
  <c r="N5586" i="11"/>
  <c r="N5585" i="11"/>
  <c r="N5580" i="11"/>
  <c r="K5514" i="11"/>
  <c r="N5514" i="11" s="1"/>
  <c r="N5515" i="11" s="1"/>
  <c r="L5518" i="11" s="1"/>
  <c r="N5518" i="11" s="1"/>
  <c r="N5519" i="11" s="1"/>
  <c r="N5509" i="11"/>
  <c r="N5502" i="11"/>
  <c r="N5501" i="11"/>
  <c r="N5500" i="11"/>
  <c r="N5495" i="11"/>
  <c r="K5429" i="11"/>
  <c r="N5429" i="11" s="1"/>
  <c r="K5428" i="11"/>
  <c r="N5428" i="11" s="1"/>
  <c r="K5427" i="11"/>
  <c r="N5427" i="11" s="1"/>
  <c r="K5426" i="11"/>
  <c r="N5426" i="11" s="1"/>
  <c r="N5420" i="11"/>
  <c r="N5421" i="11" s="1"/>
  <c r="N5414" i="11"/>
  <c r="N5413" i="11"/>
  <c r="N5407" i="11"/>
  <c r="N5406" i="11"/>
  <c r="N5405" i="11"/>
  <c r="N5404" i="11"/>
  <c r="N5403" i="11"/>
  <c r="K5338" i="11"/>
  <c r="N5338" i="11" s="1"/>
  <c r="N5339" i="11" s="1"/>
  <c r="L5342" i="11" s="1"/>
  <c r="N5342" i="11" s="1"/>
  <c r="N5343" i="11" s="1"/>
  <c r="N5333" i="11"/>
  <c r="N5326" i="11"/>
  <c r="N5325" i="11"/>
  <c r="N5320" i="11"/>
  <c r="K5254" i="11"/>
  <c r="N5254" i="11" s="1"/>
  <c r="N5255" i="11" s="1"/>
  <c r="L5258" i="11" s="1"/>
  <c r="N5258" i="11" s="1"/>
  <c r="N5259" i="11" s="1"/>
  <c r="N5249" i="11"/>
  <c r="N5242" i="11"/>
  <c r="N5241" i="11"/>
  <c r="N5236" i="11"/>
  <c r="K5170" i="11"/>
  <c r="N5170" i="11" s="1"/>
  <c r="N5171" i="11" s="1"/>
  <c r="L5174" i="11" s="1"/>
  <c r="N5174" i="11" s="1"/>
  <c r="N5175" i="11" s="1"/>
  <c r="N5165" i="11"/>
  <c r="N5158" i="11"/>
  <c r="N5157" i="11"/>
  <c r="N5156" i="11"/>
  <c r="N5155" i="11"/>
  <c r="N5149" i="11"/>
  <c r="N5150" i="11" s="1"/>
  <c r="K5084" i="11"/>
  <c r="N5084" i="11" s="1"/>
  <c r="N5085" i="11" s="1"/>
  <c r="L5088" i="11" s="1"/>
  <c r="N5088" i="11" s="1"/>
  <c r="N5089" i="11" s="1"/>
  <c r="N5079" i="11"/>
  <c r="N5072" i="11"/>
  <c r="N5071" i="11"/>
  <c r="N5070" i="11"/>
  <c r="N5064" i="11"/>
  <c r="N5065" i="11" s="1"/>
  <c r="K4999" i="11"/>
  <c r="N4999" i="11" s="1"/>
  <c r="N5000" i="11" s="1"/>
  <c r="L5003" i="11" s="1"/>
  <c r="N5003" i="11" s="1"/>
  <c r="N5004" i="11" s="1"/>
  <c r="N4994" i="11"/>
  <c r="N4987" i="11"/>
  <c r="N4986" i="11"/>
  <c r="K4915" i="11"/>
  <c r="N4915" i="11" s="1"/>
  <c r="N4916" i="11" s="1"/>
  <c r="L4919" i="11" s="1"/>
  <c r="N4919" i="11" s="1"/>
  <c r="N4920" i="11" s="1"/>
  <c r="N4909" i="11"/>
  <c r="N4910" i="11" s="1"/>
  <c r="N4903" i="11"/>
  <c r="N4902" i="11"/>
  <c r="N4901" i="11"/>
  <c r="N4900" i="11"/>
  <c r="K4829" i="11"/>
  <c r="N4829" i="11" s="1"/>
  <c r="N4830" i="11" s="1"/>
  <c r="L4833" i="11" s="1"/>
  <c r="N4833" i="11" s="1"/>
  <c r="N4834" i="11" s="1"/>
  <c r="N4824" i="11"/>
  <c r="N4817" i="11"/>
  <c r="N4816" i="11"/>
  <c r="N4748" i="11"/>
  <c r="N4749" i="11" s="1"/>
  <c r="N4745" i="11"/>
  <c r="N4739" i="11"/>
  <c r="N4733" i="11"/>
  <c r="N4664" i="11"/>
  <c r="N4665" i="11" s="1"/>
  <c r="K4656" i="11"/>
  <c r="N4656" i="11" s="1"/>
  <c r="N4657" i="11" s="1"/>
  <c r="L4660" i="11" s="1"/>
  <c r="N4660" i="11" s="1"/>
  <c r="N4661" i="11" s="1"/>
  <c r="N4650" i="11"/>
  <c r="N4651" i="11" s="1"/>
  <c r="N4644" i="11"/>
  <c r="N4643" i="11"/>
  <c r="N4642" i="11"/>
  <c r="N4641" i="11"/>
  <c r="K4569" i="11"/>
  <c r="N4569" i="11" s="1"/>
  <c r="N4570" i="11" s="1"/>
  <c r="L4573" i="11" s="1"/>
  <c r="N4573" i="11" s="1"/>
  <c r="N4574" i="11" s="1"/>
  <c r="N4564" i="11"/>
  <c r="N4556" i="11"/>
  <c r="N4558" i="11" s="1"/>
  <c r="K4484" i="11"/>
  <c r="N4484" i="11" s="1"/>
  <c r="N4485" i="11" s="1"/>
  <c r="L4488" i="11" s="1"/>
  <c r="N4488" i="11" s="1"/>
  <c r="N4489" i="11" s="1"/>
  <c r="N4479" i="11"/>
  <c r="N4471" i="11"/>
  <c r="N4473" i="11" s="1"/>
  <c r="K4399" i="11"/>
  <c r="N4399" i="11" s="1"/>
  <c r="N4400" i="11" s="1"/>
  <c r="L4403" i="11" s="1"/>
  <c r="N4403" i="11" s="1"/>
  <c r="N4404" i="11" s="1"/>
  <c r="N4393" i="11"/>
  <c r="N4394" i="11" s="1"/>
  <c r="N4387" i="11"/>
  <c r="N4386" i="11"/>
  <c r="K4314" i="11"/>
  <c r="N4314" i="11" s="1"/>
  <c r="N4315" i="11" s="1"/>
  <c r="L4318" i="11" s="1"/>
  <c r="N4318" i="11" s="1"/>
  <c r="N4319" i="11" s="1"/>
  <c r="N4308" i="11"/>
  <c r="N4309" i="11" s="1"/>
  <c r="N4302" i="11"/>
  <c r="N4301" i="11"/>
  <c r="K4229" i="11"/>
  <c r="N4229" i="11" s="1"/>
  <c r="N4230" i="11" s="1"/>
  <c r="L4233" i="11" s="1"/>
  <c r="N4233" i="11" s="1"/>
  <c r="N4234" i="11" s="1"/>
  <c r="N4223" i="11"/>
  <c r="N4224" i="11" s="1"/>
  <c r="N4217" i="11"/>
  <c r="N4216" i="11"/>
  <c r="K4144" i="11"/>
  <c r="N4144" i="11" s="1"/>
  <c r="N4145" i="11" s="1"/>
  <c r="L4148" i="11" s="1"/>
  <c r="N4148" i="11" s="1"/>
  <c r="N4149" i="11" s="1"/>
  <c r="N4139" i="11"/>
  <c r="N4132" i="11"/>
  <c r="N4131" i="11"/>
  <c r="N4130" i="11"/>
  <c r="N4124" i="11"/>
  <c r="N4123" i="11"/>
  <c r="N4122" i="11"/>
  <c r="N4121" i="11"/>
  <c r="N4120" i="11"/>
  <c r="N4119" i="11"/>
  <c r="N4058" i="11"/>
  <c r="N4059" i="11" s="1"/>
  <c r="K4049" i="11"/>
  <c r="N4049" i="11" s="1"/>
  <c r="N4050" i="11" s="1"/>
  <c r="L4053" i="11" s="1"/>
  <c r="N4053" i="11" s="1"/>
  <c r="N4054" i="11" s="1"/>
  <c r="N4044" i="11"/>
  <c r="N4037" i="11"/>
  <c r="N4036" i="11"/>
  <c r="N4035" i="11"/>
  <c r="N4029" i="11"/>
  <c r="N4028" i="11"/>
  <c r="N4027" i="11"/>
  <c r="N4026" i="11"/>
  <c r="N4025" i="11"/>
  <c r="N4024" i="11"/>
  <c r="N4023" i="11"/>
  <c r="K3957" i="11"/>
  <c r="N3957" i="11" s="1"/>
  <c r="N3958" i="11" s="1"/>
  <c r="L3961" i="11" s="1"/>
  <c r="N3961" i="11" s="1"/>
  <c r="N3962" i="11" s="1"/>
  <c r="N3952" i="11"/>
  <c r="N3945" i="11"/>
  <c r="N3944" i="11"/>
  <c r="N3943" i="11"/>
  <c r="N3937" i="11"/>
  <c r="N3936" i="11"/>
  <c r="N3935" i="11"/>
  <c r="N3934" i="11"/>
  <c r="N3933" i="11"/>
  <c r="N3932" i="11"/>
  <c r="N3931" i="11"/>
  <c r="K3865" i="11"/>
  <c r="N3865" i="11" s="1"/>
  <c r="N3866" i="11" s="1"/>
  <c r="L3869" i="11" s="1"/>
  <c r="N3869" i="11" s="1"/>
  <c r="N3870" i="11" s="1"/>
  <c r="N3860" i="11"/>
  <c r="N3853" i="11"/>
  <c r="N3852" i="11"/>
  <c r="N3851" i="11"/>
  <c r="N3850" i="11"/>
  <c r="N3849" i="11"/>
  <c r="N3843" i="11"/>
  <c r="N3842" i="11"/>
  <c r="K3776" i="11"/>
  <c r="N3776" i="11" s="1"/>
  <c r="N3777" i="11" s="1"/>
  <c r="L3780" i="11" s="1"/>
  <c r="N3780" i="11" s="1"/>
  <c r="N3781" i="11" s="1"/>
  <c r="N3771" i="11"/>
  <c r="N3764" i="11"/>
  <c r="N3763" i="11"/>
  <c r="N3762" i="11"/>
  <c r="N3756" i="11"/>
  <c r="N3757" i="11" s="1"/>
  <c r="K3690" i="11"/>
  <c r="N3690" i="11" s="1"/>
  <c r="N3691" i="11" s="1"/>
  <c r="L3694" i="11" s="1"/>
  <c r="N3694" i="11" s="1"/>
  <c r="N3695" i="11" s="1"/>
  <c r="N3685" i="11"/>
  <c r="N3678" i="11"/>
  <c r="N3677" i="11"/>
  <c r="N3676" i="11"/>
  <c r="N3675" i="11"/>
  <c r="N3674" i="11"/>
  <c r="N3668" i="11"/>
  <c r="N3667" i="11"/>
  <c r="N3666" i="11"/>
  <c r="N3665" i="11"/>
  <c r="N3664" i="11"/>
  <c r="K3598" i="11"/>
  <c r="N3598" i="11" s="1"/>
  <c r="N3599" i="11" s="1"/>
  <c r="L3602" i="11" s="1"/>
  <c r="N3602" i="11" s="1"/>
  <c r="N3603" i="11" s="1"/>
  <c r="N3593" i="11"/>
  <c r="N3586" i="11"/>
  <c r="N3585" i="11"/>
  <c r="N3579" i="11"/>
  <c r="N3578" i="11"/>
  <c r="N3577" i="11"/>
  <c r="N3576" i="11"/>
  <c r="N3575" i="11"/>
  <c r="K3509" i="11"/>
  <c r="N3509" i="11" s="1"/>
  <c r="N3510" i="11" s="1"/>
  <c r="L3513" i="11" s="1"/>
  <c r="N3513" i="11" s="1"/>
  <c r="N3514" i="11" s="1"/>
  <c r="N3504" i="11"/>
  <c r="N3497" i="11"/>
  <c r="N3496" i="11"/>
  <c r="N3490" i="11"/>
  <c r="N3489" i="11"/>
  <c r="N3488" i="11"/>
  <c r="N3487" i="11"/>
  <c r="N3486" i="11"/>
  <c r="K3420" i="11"/>
  <c r="N3420" i="11" s="1"/>
  <c r="N3421" i="11" s="1"/>
  <c r="L3424" i="11" s="1"/>
  <c r="N3424" i="11" s="1"/>
  <c r="N3425" i="11" s="1"/>
  <c r="N3415" i="11"/>
  <c r="N3408" i="11"/>
  <c r="N3407" i="11"/>
  <c r="N3401" i="11"/>
  <c r="N3400" i="11"/>
  <c r="N3399" i="11"/>
  <c r="N3398" i="11"/>
  <c r="N3397" i="11"/>
  <c r="K3331" i="11"/>
  <c r="N3331" i="11" s="1"/>
  <c r="N3332" i="11" s="1"/>
  <c r="L3335" i="11" s="1"/>
  <c r="N3335" i="11" s="1"/>
  <c r="N3336" i="11" s="1"/>
  <c r="N3326" i="11"/>
  <c r="N3319" i="11"/>
  <c r="N3318" i="11"/>
  <c r="N3312" i="11"/>
  <c r="N3311" i="11"/>
  <c r="N3310" i="11"/>
  <c r="N3309" i="11"/>
  <c r="N3308" i="11"/>
  <c r="K3242" i="11"/>
  <c r="N3242" i="11" s="1"/>
  <c r="N3243" i="11" s="1"/>
  <c r="L3246" i="11" s="1"/>
  <c r="N3246" i="11" s="1"/>
  <c r="N3247" i="11" s="1"/>
  <c r="N3237" i="11"/>
  <c r="N3230" i="11"/>
  <c r="N3229" i="11"/>
  <c r="N3222" i="11"/>
  <c r="N3224" i="11" s="1"/>
  <c r="Q3163" i="11"/>
  <c r="P3160" i="11"/>
  <c r="K3156" i="11"/>
  <c r="N3156" i="11" s="1"/>
  <c r="N3157" i="11" s="1"/>
  <c r="L3160" i="11" s="1"/>
  <c r="N3160" i="11" s="1"/>
  <c r="N3161" i="11" s="1"/>
  <c r="N3151" i="11"/>
  <c r="N3144" i="11"/>
  <c r="N3143" i="11"/>
  <c r="N3142" i="11"/>
  <c r="N3141" i="11"/>
  <c r="N3134" i="11"/>
  <c r="N3136" i="11" s="1"/>
  <c r="K3068" i="11"/>
  <c r="N3068" i="11" s="1"/>
  <c r="N3069" i="11" s="1"/>
  <c r="L3072" i="11" s="1"/>
  <c r="N3072" i="11" s="1"/>
  <c r="N3073" i="11" s="1"/>
  <c r="N3063" i="11"/>
  <c r="N3056" i="11"/>
  <c r="N3055" i="11"/>
  <c r="N3050" i="11"/>
  <c r="K2982" i="11"/>
  <c r="N2982" i="11" s="1"/>
  <c r="N2983" i="11" s="1"/>
  <c r="L2986" i="11" s="1"/>
  <c r="N2986" i="11" s="1"/>
  <c r="N2987" i="11" s="1"/>
  <c r="N2976" i="11"/>
  <c r="N2977" i="11" s="1"/>
  <c r="N2970" i="11"/>
  <c r="N2969" i="11"/>
  <c r="N2964" i="11"/>
  <c r="K2896" i="11"/>
  <c r="N2896" i="11" s="1"/>
  <c r="N2897" i="11" s="1"/>
  <c r="L2900" i="11" s="1"/>
  <c r="N2900" i="11" s="1"/>
  <c r="N2901" i="11" s="1"/>
  <c r="N2891" i="11"/>
  <c r="N2884" i="11"/>
  <c r="N2883" i="11"/>
  <c r="N2876" i="11"/>
  <c r="N2878" i="11" s="1"/>
  <c r="N2814" i="11"/>
  <c r="N2815" i="11" s="1"/>
  <c r="N2810" i="11"/>
  <c r="K2805" i="11"/>
  <c r="N2805" i="11" s="1"/>
  <c r="N2806" i="11" s="1"/>
  <c r="L2809" i="11" s="1"/>
  <c r="N2809" i="11" s="1"/>
  <c r="N2800" i="11"/>
  <c r="N2793" i="11"/>
  <c r="N2792" i="11"/>
  <c r="N2785" i="11"/>
  <c r="N2787" i="11" s="1"/>
  <c r="N2723" i="11"/>
  <c r="N2724" i="11" s="1"/>
  <c r="N2719" i="11"/>
  <c r="K2714" i="11"/>
  <c r="N2714" i="11" s="1"/>
  <c r="N2715" i="11" s="1"/>
  <c r="L2718" i="11" s="1"/>
  <c r="N2718" i="11" s="1"/>
  <c r="N2709" i="11"/>
  <c r="N2702" i="11"/>
  <c r="N2701" i="11"/>
  <c r="N2694" i="11"/>
  <c r="N2696" i="11" s="1"/>
  <c r="N2632" i="11"/>
  <c r="N2633" i="11" s="1"/>
  <c r="K2624" i="11"/>
  <c r="N2624" i="11" s="1"/>
  <c r="K2623" i="11"/>
  <c r="N2623" i="11" s="1"/>
  <c r="N2618" i="11"/>
  <c r="N2611" i="11"/>
  <c r="N2610" i="11"/>
  <c r="N2603" i="11"/>
  <c r="N2602" i="11"/>
  <c r="N2601" i="11"/>
  <c r="N2600" i="11"/>
  <c r="N2538" i="11"/>
  <c r="N2539" i="11" s="1"/>
  <c r="K2530" i="11"/>
  <c r="N2530" i="11" s="1"/>
  <c r="K2529" i="11"/>
  <c r="N2529" i="11" s="1"/>
  <c r="N2524" i="11"/>
  <c r="N2517" i="11"/>
  <c r="N2516" i="11"/>
  <c r="N2509" i="11"/>
  <c r="N2508" i="11"/>
  <c r="N2507" i="11"/>
  <c r="N2506" i="11"/>
  <c r="N2444" i="11"/>
  <c r="N2445" i="11" s="1"/>
  <c r="K2436" i="11"/>
  <c r="N2436" i="11" s="1"/>
  <c r="K2435" i="11"/>
  <c r="N2435" i="11" s="1"/>
  <c r="N2430" i="11"/>
  <c r="N2423" i="11"/>
  <c r="N2422" i="11"/>
  <c r="N2415" i="11"/>
  <c r="N2414" i="11"/>
  <c r="N2413" i="11"/>
  <c r="N2412" i="11"/>
  <c r="N2350" i="11"/>
  <c r="N2351" i="11" s="1"/>
  <c r="K2342" i="11"/>
  <c r="N2342" i="11" s="1"/>
  <c r="K2341" i="11"/>
  <c r="N2341" i="11" s="1"/>
  <c r="N2336" i="11"/>
  <c r="N2329" i="11"/>
  <c r="N2328" i="11"/>
  <c r="N2321" i="11"/>
  <c r="N2320" i="11"/>
  <c r="N2319" i="11"/>
  <c r="N2318" i="11"/>
  <c r="N2256" i="11"/>
  <c r="N2257" i="11" s="1"/>
  <c r="K2248" i="11"/>
  <c r="N2248" i="11" s="1"/>
  <c r="K2247" i="11"/>
  <c r="N2247" i="11" s="1"/>
  <c r="N2242" i="11"/>
  <c r="N2235" i="11"/>
  <c r="N2234" i="11"/>
  <c r="N2227" i="11"/>
  <c r="N2226" i="11"/>
  <c r="N2225" i="11"/>
  <c r="N2224" i="11"/>
  <c r="N2162" i="11"/>
  <c r="N2163" i="11" s="1"/>
  <c r="K2153" i="11"/>
  <c r="N2153" i="11" s="1"/>
  <c r="N2155" i="11" s="1"/>
  <c r="N2147" i="11"/>
  <c r="N2148" i="11" s="1"/>
  <c r="N2142" i="11"/>
  <c r="N2135" i="11"/>
  <c r="N2071" i="11"/>
  <c r="N2072" i="11" s="1"/>
  <c r="K2062" i="11"/>
  <c r="N2062" i="11" s="1"/>
  <c r="N2064" i="11" s="1"/>
  <c r="N2056" i="11"/>
  <c r="N2057" i="11" s="1"/>
  <c r="N2051" i="11"/>
  <c r="N2044" i="11"/>
  <c r="N1980" i="11"/>
  <c r="N1981" i="11" s="1"/>
  <c r="K1971" i="11"/>
  <c r="N1971" i="11" s="1"/>
  <c r="N1973" i="11" s="1"/>
  <c r="N1965" i="11"/>
  <c r="N1966" i="11" s="1"/>
  <c r="N1960" i="11"/>
  <c r="N1953" i="11"/>
  <c r="N1889" i="11"/>
  <c r="N1890" i="11" s="1"/>
  <c r="K1880" i="11"/>
  <c r="N1880" i="11" s="1"/>
  <c r="N1882" i="11" s="1"/>
  <c r="N1874" i="11"/>
  <c r="N1875" i="11" s="1"/>
  <c r="N1869" i="11"/>
  <c r="N1862" i="11"/>
  <c r="N1798" i="11"/>
  <c r="N1799" i="11" s="1"/>
  <c r="K1789" i="11"/>
  <c r="N1789" i="11" s="1"/>
  <c r="N1791" i="11" s="1"/>
  <c r="N1783" i="11"/>
  <c r="N1784" i="11" s="1"/>
  <c r="N1778" i="11"/>
  <c r="N1771" i="11"/>
  <c r="N1707" i="11"/>
  <c r="N1708" i="11" s="1"/>
  <c r="K1698" i="11"/>
  <c r="N1698" i="11" s="1"/>
  <c r="N1700" i="11" s="1"/>
  <c r="N1692" i="11"/>
  <c r="N1693" i="11" s="1"/>
  <c r="N1687" i="11"/>
  <c r="N1680" i="11"/>
  <c r="K1610" i="11"/>
  <c r="N1610" i="11" s="1"/>
  <c r="N1612" i="11" s="1"/>
  <c r="L1615" i="11" s="1"/>
  <c r="N1615" i="11" s="1"/>
  <c r="N1617" i="11" s="1"/>
  <c r="N1597" i="11"/>
  <c r="N1599" i="11" s="1"/>
  <c r="N1592" i="11"/>
  <c r="K1522" i="11"/>
  <c r="N1522" i="11" s="1"/>
  <c r="N1524" i="11" s="1"/>
  <c r="L1527" i="11" s="1"/>
  <c r="N1527" i="11" s="1"/>
  <c r="N1529" i="11" s="1"/>
  <c r="N1509" i="11"/>
  <c r="N1511" i="11" s="1"/>
  <c r="N1502" i="11"/>
  <c r="N1504" i="11" s="1"/>
  <c r="K1434" i="11"/>
  <c r="N1434" i="11" s="1"/>
  <c r="N1436" i="11" s="1"/>
  <c r="L1439" i="11" s="1"/>
  <c r="N1439" i="11" s="1"/>
  <c r="N1441" i="11" s="1"/>
  <c r="N1421" i="11"/>
  <c r="N1420" i="11"/>
  <c r="N1419" i="11"/>
  <c r="N1412" i="11"/>
  <c r="N1414" i="11" s="1"/>
  <c r="N1350" i="11"/>
  <c r="N1351" i="11" s="1"/>
  <c r="K1341" i="11"/>
  <c r="N1341" i="11" s="1"/>
  <c r="K1340" i="11"/>
  <c r="N1340" i="11" s="1"/>
  <c r="N1326" i="11"/>
  <c r="N1328" i="11" s="1"/>
  <c r="N1319" i="11"/>
  <c r="N1321" i="11" s="1"/>
  <c r="N1257" i="11"/>
  <c r="N1258" i="11" s="1"/>
  <c r="K1247" i="11"/>
  <c r="N1247" i="11" s="1"/>
  <c r="N1249" i="11" s="1"/>
  <c r="N1235" i="11"/>
  <c r="N1227" i="11"/>
  <c r="N1226" i="11"/>
  <c r="N1225" i="11"/>
  <c r="N1224" i="11"/>
  <c r="N1162" i="11"/>
  <c r="N1163" i="11" s="1"/>
  <c r="K1152" i="11"/>
  <c r="N1152" i="11" s="1"/>
  <c r="N1154" i="11" s="1"/>
  <c r="L1157" i="11" s="1"/>
  <c r="N1157" i="11" s="1"/>
  <c r="N1159" i="11" s="1"/>
  <c r="N1140" i="11"/>
  <c r="N1133" i="11"/>
  <c r="K1063" i="11"/>
  <c r="N1063" i="11" s="1"/>
  <c r="N1065" i="11" s="1"/>
  <c r="L1068" i="11" s="1"/>
  <c r="N1068" i="11" s="1"/>
  <c r="N1070" i="11" s="1"/>
  <c r="N1051" i="11"/>
  <c r="N1044" i="11"/>
  <c r="N980" i="11"/>
  <c r="N981" i="11" s="1"/>
  <c r="K971" i="11"/>
  <c r="N971" i="11" s="1"/>
  <c r="K970" i="11"/>
  <c r="N970" i="11" s="1"/>
  <c r="N957" i="11"/>
  <c r="N956" i="11"/>
  <c r="N949" i="11"/>
  <c r="N951" i="11" s="1"/>
  <c r="N887" i="11"/>
  <c r="N888" i="11" s="1"/>
  <c r="K877" i="11"/>
  <c r="N877" i="11" s="1"/>
  <c r="N879" i="11" s="1"/>
  <c r="L882" i="11" s="1"/>
  <c r="N882" i="11" s="1"/>
  <c r="N884" i="11" s="1"/>
  <c r="N865" i="11"/>
  <c r="N855" i="11"/>
  <c r="N858" i="11" s="1"/>
  <c r="N793" i="11"/>
  <c r="N794" i="11" s="1"/>
  <c r="K783" i="11"/>
  <c r="N783" i="11" s="1"/>
  <c r="N785" i="11" s="1"/>
  <c r="L788" i="11" s="1"/>
  <c r="N788" i="11" s="1"/>
  <c r="N790" i="11" s="1"/>
  <c r="N771" i="11"/>
  <c r="N761" i="11"/>
  <c r="N764" i="11" s="1"/>
  <c r="N699" i="11"/>
  <c r="N700" i="11" s="1"/>
  <c r="K689" i="11"/>
  <c r="N689" i="11" s="1"/>
  <c r="N691" i="11" s="1"/>
  <c r="L694" i="11" s="1"/>
  <c r="N694" i="11" s="1"/>
  <c r="N696" i="11" s="1"/>
  <c r="N677" i="11"/>
  <c r="N667" i="11"/>
  <c r="N670" i="11" s="1"/>
  <c r="N605" i="11"/>
  <c r="N606" i="11" s="1"/>
  <c r="N600" i="11"/>
  <c r="N602" i="11" s="1"/>
  <c r="K595" i="11"/>
  <c r="N595" i="11" s="1"/>
  <c r="N597" i="11" s="1"/>
  <c r="N583" i="11"/>
  <c r="N573" i="11"/>
  <c r="N576" i="11" s="1"/>
  <c r="N511" i="11"/>
  <c r="N512" i="11" s="1"/>
  <c r="N506" i="11"/>
  <c r="N508" i="11" s="1"/>
  <c r="K501" i="11"/>
  <c r="N501" i="11" s="1"/>
  <c r="N503" i="11" s="1"/>
  <c r="N489" i="11"/>
  <c r="N479" i="11"/>
  <c r="N482" i="11" s="1"/>
  <c r="N417" i="11"/>
  <c r="N418" i="11" s="1"/>
  <c r="N412" i="11"/>
  <c r="N414" i="11" s="1"/>
  <c r="K407" i="11"/>
  <c r="N407" i="11" s="1"/>
  <c r="N409" i="11" s="1"/>
  <c r="N395" i="11"/>
  <c r="N388" i="11"/>
  <c r="N322" i="11"/>
  <c r="N324" i="11" s="1"/>
  <c r="K317" i="11"/>
  <c r="N317" i="11" s="1"/>
  <c r="N319" i="11" s="1"/>
  <c r="N304" i="11"/>
  <c r="N303" i="11"/>
  <c r="N302" i="11"/>
  <c r="N301" i="11"/>
  <c r="N296" i="11"/>
  <c r="N231" i="11"/>
  <c r="N232" i="11" s="1"/>
  <c r="N226" i="11"/>
  <c r="N228" i="11" s="1"/>
  <c r="K221" i="11"/>
  <c r="N221" i="11" s="1"/>
  <c r="N223" i="11" s="1"/>
  <c r="N209" i="11"/>
  <c r="N202" i="11"/>
  <c r="N137" i="11"/>
  <c r="N139" i="11" s="1"/>
  <c r="K132" i="11"/>
  <c r="N132" i="11" s="1"/>
  <c r="N134" i="11" s="1"/>
  <c r="N118" i="11"/>
  <c r="N120" i="11" s="1"/>
  <c r="N50" i="11"/>
  <c r="N52" i="11" s="1"/>
  <c r="K46" i="11"/>
  <c r="N46" i="11" s="1"/>
  <c r="N47" i="11" s="1"/>
  <c r="N33" i="11"/>
  <c r="N32" i="11"/>
  <c r="N25" i="11"/>
  <c r="N24" i="11"/>
  <c r="E1" i="2"/>
  <c r="E2" i="2" s="1"/>
  <c r="E28" i="2"/>
  <c r="O162" i="1"/>
  <c r="BG160" i="1"/>
  <c r="BF160" i="1"/>
  <c r="BE160" i="1"/>
  <c r="BB160" i="1"/>
  <c r="BA160" i="1"/>
  <c r="AY160" i="1"/>
  <c r="BG159" i="1"/>
  <c r="BF159" i="1"/>
  <c r="BE159" i="1"/>
  <c r="BB159" i="1"/>
  <c r="BA159" i="1"/>
  <c r="AY159" i="1"/>
  <c r="BG158" i="1"/>
  <c r="BF158" i="1"/>
  <c r="BE158" i="1"/>
  <c r="BB158" i="1"/>
  <c r="BA158" i="1"/>
  <c r="AY158" i="1"/>
  <c r="BG157" i="1"/>
  <c r="BF157" i="1"/>
  <c r="BE157" i="1"/>
  <c r="BB157" i="1"/>
  <c r="BA157" i="1"/>
  <c r="AM156" i="1"/>
  <c r="BM153" i="1"/>
  <c r="AY153" i="1"/>
  <c r="BQ152" i="1"/>
  <c r="BM152" i="1"/>
  <c r="AY152" i="1"/>
  <c r="AM152" i="1"/>
  <c r="BQ151" i="1"/>
  <c r="BM151" i="1"/>
  <c r="AY151" i="1"/>
  <c r="AM151" i="1"/>
  <c r="BQ150" i="1"/>
  <c r="BG150" i="1"/>
  <c r="BF150" i="1"/>
  <c r="BE150" i="1"/>
  <c r="BB150" i="1"/>
  <c r="BA150" i="1"/>
  <c r="BQ149" i="1"/>
  <c r="G117" i="1"/>
  <c r="G116" i="1"/>
  <c r="G115" i="1"/>
  <c r="G114" i="1"/>
  <c r="H112" i="1"/>
  <c r="G112" i="1"/>
  <c r="G111" i="1"/>
  <c r="G110" i="1"/>
  <c r="G109" i="1"/>
  <c r="B93" i="1"/>
  <c r="H89" i="1"/>
  <c r="N54" i="1"/>
  <c r="N53" i="1"/>
  <c r="N52" i="1"/>
  <c r="N51" i="1"/>
  <c r="N50" i="1"/>
  <c r="P54" i="1" l="1"/>
  <c r="O54" i="1"/>
  <c r="P51" i="1"/>
  <c r="O51" i="1"/>
  <c r="P53" i="1"/>
  <c r="O53" i="1"/>
  <c r="O52" i="1"/>
  <c r="P52" i="1"/>
  <c r="P50" i="1"/>
  <c r="O50" i="1"/>
  <c r="P67" i="1"/>
  <c r="P73" i="1"/>
  <c r="P63" i="1"/>
  <c r="P70" i="1"/>
  <c r="P58" i="1"/>
  <c r="P72" i="1"/>
  <c r="P68" i="1"/>
  <c r="P65" i="1"/>
  <c r="P55" i="1"/>
  <c r="P69" i="1"/>
  <c r="P62" i="1"/>
  <c r="P64" i="1"/>
  <c r="P60" i="1"/>
  <c r="P57" i="1"/>
  <c r="P71" i="1"/>
  <c r="P61" i="1"/>
  <c r="P66" i="1"/>
  <c r="P56" i="1"/>
  <c r="P59" i="1"/>
  <c r="F28" i="15"/>
  <c r="G28" i="15"/>
  <c r="N3231" i="11"/>
  <c r="N3250" i="11" s="1"/>
  <c r="P3250" i="11" s="1"/>
  <c r="Q3250" i="11" s="1"/>
  <c r="N5415" i="11"/>
  <c r="N6902" i="11"/>
  <c r="L6905" i="11" s="1"/>
  <c r="N6905" i="11" s="1"/>
  <c r="N6906" i="11" s="1"/>
  <c r="N27" i="11"/>
  <c r="N6775" i="11"/>
  <c r="N2612" i="11"/>
  <c r="N3498" i="11"/>
  <c r="N2703" i="11"/>
  <c r="N2794" i="11"/>
  <c r="N3057" i="11"/>
  <c r="N3076" i="11" s="1"/>
  <c r="N3320" i="11"/>
  <c r="N3409" i="11"/>
  <c r="N3844" i="11"/>
  <c r="N3946" i="11"/>
  <c r="N4030" i="11"/>
  <c r="N4038" i="11"/>
  <c r="N4904" i="11"/>
  <c r="N4922" i="11" s="1"/>
  <c r="P4922" i="11" s="1"/>
  <c r="Q4922" i="11" s="1"/>
  <c r="N5073" i="11"/>
  <c r="N5091" i="11" s="1"/>
  <c r="P5091" i="11" s="1"/>
  <c r="Q5091" i="11" s="1"/>
  <c r="N5689" i="11"/>
  <c r="P5689" i="11" s="1"/>
  <c r="Q5689" i="11" s="1"/>
  <c r="N6021" i="11"/>
  <c r="P6021" i="11" s="1"/>
  <c r="Q6021" i="11" s="1"/>
  <c r="N6797" i="11"/>
  <c r="N5243" i="11"/>
  <c r="N5261" i="11" s="1"/>
  <c r="P5261" i="11" s="1"/>
  <c r="Q5261" i="11" s="1"/>
  <c r="N3938" i="11"/>
  <c r="N5159" i="11"/>
  <c r="N5177" i="11" s="1"/>
  <c r="P5177" i="11" s="1"/>
  <c r="Q5177" i="11" s="1"/>
  <c r="N5938" i="11"/>
  <c r="P5938" i="11" s="1"/>
  <c r="Q5938" i="11" s="1"/>
  <c r="N1342" i="11"/>
  <c r="L1345" i="11" s="1"/>
  <c r="N1345" i="11" s="1"/>
  <c r="N1347" i="11" s="1"/>
  <c r="N1620" i="11"/>
  <c r="N2229" i="11"/>
  <c r="N2236" i="11"/>
  <c r="N2343" i="11"/>
  <c r="L2346" i="11" s="1"/>
  <c r="N2346" i="11" s="1"/>
  <c r="N2347" i="11" s="1"/>
  <c r="N2531" i="11"/>
  <c r="L2534" i="11" s="1"/>
  <c r="N2534" i="11" s="1"/>
  <c r="N2535" i="11" s="1"/>
  <c r="N4577" i="11"/>
  <c r="P4577" i="11" s="1"/>
  <c r="Q4577" i="11" s="1"/>
  <c r="N2330" i="11"/>
  <c r="N2518" i="11"/>
  <c r="N5503" i="11"/>
  <c r="N5521" i="11" s="1"/>
  <c r="P5521" i="11" s="1"/>
  <c r="Q5521" i="11" s="1"/>
  <c r="N5855" i="11"/>
  <c r="P5855" i="11" s="1"/>
  <c r="Q5855" i="11" s="1"/>
  <c r="N6172" i="11"/>
  <c r="N6190" i="11" s="1"/>
  <c r="P6190" i="11" s="1"/>
  <c r="Q6190" i="11" s="1"/>
  <c r="N6627" i="11"/>
  <c r="P6627" i="11" s="1"/>
  <c r="Q6627" i="11" s="1"/>
  <c r="N6694" i="11"/>
  <c r="N6712" i="11" s="1"/>
  <c r="P6712" i="11" s="1"/>
  <c r="Q6712" i="11" s="1"/>
  <c r="N7062" i="11"/>
  <c r="E37" i="12"/>
  <c r="N1228" i="11"/>
  <c r="N1422" i="11"/>
  <c r="N1444" i="11" s="1"/>
  <c r="N3402" i="11"/>
  <c r="N3491" i="11"/>
  <c r="N4645" i="11"/>
  <c r="N4667" i="11" s="1"/>
  <c r="P4665" i="11" s="1"/>
  <c r="Q4665" i="11" s="1"/>
  <c r="N4752" i="11"/>
  <c r="P4752" i="11" s="1"/>
  <c r="F28" i="2"/>
  <c r="N1073" i="11"/>
  <c r="N2323" i="11"/>
  <c r="N2437" i="11"/>
  <c r="L2440" i="11" s="1"/>
  <c r="N2440" i="11" s="1"/>
  <c r="N2441" i="11" s="1"/>
  <c r="N2511" i="11"/>
  <c r="N2605" i="11"/>
  <c r="N2811" i="11"/>
  <c r="N2885" i="11"/>
  <c r="N2904" i="11" s="1"/>
  <c r="N4218" i="11"/>
  <c r="N4237" i="11" s="1"/>
  <c r="N4303" i="11"/>
  <c r="N4322" i="11" s="1"/>
  <c r="P4322" i="11" s="1"/>
  <c r="Q4322" i="11" s="1"/>
  <c r="N4388" i="11"/>
  <c r="N4407" i="11" s="1"/>
  <c r="P4407" i="11" s="1"/>
  <c r="Q4407" i="11" s="1"/>
  <c r="N4988" i="11"/>
  <c r="N5006" i="11" s="1"/>
  <c r="P5006" i="11" s="1"/>
  <c r="Q5006" i="11" s="1"/>
  <c r="N5327" i="11"/>
  <c r="N5345" i="11" s="1"/>
  <c r="P5345" i="11" s="1"/>
  <c r="Q5345" i="11" s="1"/>
  <c r="N6345" i="11"/>
  <c r="N6363" i="11" s="1"/>
  <c r="P6363" i="11" s="1"/>
  <c r="Q6363" i="11" s="1"/>
  <c r="N6433" i="11"/>
  <c r="N6451" i="11" s="1"/>
  <c r="P6451" i="11" s="1"/>
  <c r="Q6451" i="11" s="1"/>
  <c r="N6521" i="11"/>
  <c r="N6539" i="11" s="1"/>
  <c r="P6539" i="11" s="1"/>
  <c r="Q6539" i="11" s="1"/>
  <c r="N305" i="11"/>
  <c r="N327" i="11" s="1"/>
  <c r="N3313" i="11"/>
  <c r="N5408" i="11"/>
  <c r="N958" i="11"/>
  <c r="N2417" i="11"/>
  <c r="N2424" i="11"/>
  <c r="N2720" i="11"/>
  <c r="N2971" i="11"/>
  <c r="N2990" i="11" s="1"/>
  <c r="N3580" i="11"/>
  <c r="N3669" i="11"/>
  <c r="N3679" i="11"/>
  <c r="N3765" i="11"/>
  <c r="N3784" i="11" s="1"/>
  <c r="P3781" i="11" s="1"/>
  <c r="Q3781" i="11" s="1"/>
  <c r="N3854" i="11"/>
  <c r="N4125" i="11"/>
  <c r="N5588" i="11"/>
  <c r="N5606" i="11" s="1"/>
  <c r="P5606" i="11" s="1"/>
  <c r="Q5606" i="11" s="1"/>
  <c r="F25" i="2"/>
  <c r="F21" i="2"/>
  <c r="N972" i="11"/>
  <c r="L975" i="11" s="1"/>
  <c r="N975" i="11" s="1"/>
  <c r="N977" i="11" s="1"/>
  <c r="E55" i="12"/>
  <c r="F27" i="2"/>
  <c r="N3145" i="11"/>
  <c r="N3164" i="11" s="1"/>
  <c r="N3587" i="11"/>
  <c r="N4818" i="11"/>
  <c r="N4836" i="11" s="1"/>
  <c r="P4836" i="11" s="1"/>
  <c r="Q4836" i="11" s="1"/>
  <c r="N6087" i="11"/>
  <c r="N6105" i="11" s="1"/>
  <c r="P6105" i="11" s="1"/>
  <c r="Q6105" i="11" s="1"/>
  <c r="N6257" i="11"/>
  <c r="N6275" i="11" s="1"/>
  <c r="P6275" i="11" s="1"/>
  <c r="Q6275" i="11" s="1"/>
  <c r="N6790" i="11"/>
  <c r="N6804" i="11"/>
  <c r="L6807" i="11" s="1"/>
  <c r="N6807" i="11" s="1"/>
  <c r="N6808" i="11" s="1"/>
  <c r="N6889" i="11"/>
  <c r="N515" i="11"/>
  <c r="Q3160" i="11"/>
  <c r="N5772" i="11"/>
  <c r="P5772" i="11" s="1"/>
  <c r="Q5772" i="11" s="1"/>
  <c r="N34" i="11"/>
  <c r="N6976" i="11"/>
  <c r="N6994" i="11" s="1"/>
  <c r="P6994" i="11" s="1"/>
  <c r="Q6994" i="11" s="1"/>
  <c r="N4492" i="11"/>
  <c r="P4492" i="11" s="1"/>
  <c r="Q4492" i="11" s="1"/>
  <c r="N421" i="11"/>
  <c r="N609" i="11"/>
  <c r="N2249" i="11"/>
  <c r="L2252" i="11" s="1"/>
  <c r="N2252" i="11" s="1"/>
  <c r="N2253" i="11" s="1"/>
  <c r="N2625" i="11"/>
  <c r="L2628" i="11" s="1"/>
  <c r="N2628" i="11" s="1"/>
  <c r="N2629" i="11" s="1"/>
  <c r="N4133" i="11"/>
  <c r="N6873" i="11"/>
  <c r="N7075" i="11"/>
  <c r="L7078" i="11" s="1"/>
  <c r="N7078" i="11" s="1"/>
  <c r="N7079" i="11" s="1"/>
  <c r="K521" i="11"/>
  <c r="P49" i="1"/>
  <c r="K1990" i="11"/>
  <c r="K1450" i="11"/>
  <c r="K4328" i="11"/>
  <c r="K6816" i="11"/>
  <c r="K6281" i="11"/>
  <c r="K2360" i="11"/>
  <c r="K1538" i="11"/>
  <c r="K2266" i="11"/>
  <c r="K3434" i="11"/>
  <c r="K6457" i="11"/>
  <c r="K6369" i="11"/>
  <c r="K333" i="11"/>
  <c r="K241" i="11"/>
  <c r="K2996" i="11"/>
  <c r="K2910" i="11"/>
  <c r="K4243" i="11"/>
  <c r="K5944" i="11"/>
  <c r="K6545" i="11"/>
  <c r="K615" i="11"/>
  <c r="K709" i="11"/>
  <c r="K2642" i="11"/>
  <c r="K2081" i="11"/>
  <c r="K5351" i="11"/>
  <c r="K5778" i="11"/>
  <c r="K3523" i="11"/>
  <c r="K6633" i="11"/>
  <c r="K1267" i="11"/>
  <c r="K4584" i="11"/>
  <c r="K2267" i="11"/>
  <c r="K428" i="11"/>
  <c r="K3435" i="11"/>
  <c r="K5945" i="11"/>
  <c r="K4843" i="11"/>
  <c r="K1173" i="11"/>
  <c r="K4244" i="11"/>
  <c r="K1361" i="11"/>
  <c r="K1268" i="11"/>
  <c r="K5184" i="11"/>
  <c r="K4159" i="11"/>
  <c r="K7088" i="11"/>
  <c r="K6370" i="11"/>
  <c r="K3791" i="11"/>
  <c r="K5696" i="11"/>
  <c r="K242" i="11"/>
  <c r="K6028" i="11"/>
  <c r="K148" i="11"/>
  <c r="K3346" i="11"/>
  <c r="K6817" i="11"/>
  <c r="K710" i="11"/>
  <c r="K5527" i="11"/>
  <c r="K3612" i="11"/>
  <c r="K4413" i="11"/>
  <c r="K5183" i="11"/>
  <c r="K7087" i="11"/>
  <c r="K4158" i="11"/>
  <c r="K1360" i="11"/>
  <c r="K60" i="11"/>
  <c r="K990" i="11"/>
  <c r="K4673" i="11"/>
  <c r="K6719" i="11"/>
  <c r="K5012" i="11"/>
  <c r="K3171" i="11"/>
  <c r="K2824" i="11"/>
  <c r="K2548" i="11"/>
  <c r="K2172" i="11"/>
  <c r="K991" i="11"/>
  <c r="K2911" i="11"/>
  <c r="K4329" i="11"/>
  <c r="K4929" i="11"/>
  <c r="K5013" i="11"/>
  <c r="K6112" i="11"/>
  <c r="K5352" i="11"/>
  <c r="K6634" i="11"/>
  <c r="K6282" i="11"/>
  <c r="K4067" i="11"/>
  <c r="K3345" i="11"/>
  <c r="K1900" i="11"/>
  <c r="K3704" i="11"/>
  <c r="K4498" i="11"/>
  <c r="K5612" i="11"/>
  <c r="K5267" i="11"/>
  <c r="K6111" i="11"/>
  <c r="K5695" i="11"/>
  <c r="K6718" i="11"/>
  <c r="K4842" i="11"/>
  <c r="K4068" i="11"/>
  <c r="K2455" i="11"/>
  <c r="K6914" i="11"/>
  <c r="K4928" i="11"/>
  <c r="K147" i="11"/>
  <c r="K427" i="11"/>
  <c r="K1808" i="11"/>
  <c r="K1626" i="11"/>
  <c r="K3972" i="11"/>
  <c r="K1080" i="11"/>
  <c r="K2643" i="11"/>
  <c r="K522" i="11"/>
  <c r="K1809" i="11"/>
  <c r="K4414" i="11"/>
  <c r="K3879" i="11"/>
  <c r="K3082" i="11"/>
  <c r="K2733" i="11"/>
  <c r="K2454" i="11"/>
  <c r="K1991" i="11"/>
  <c r="K898" i="11"/>
  <c r="K616" i="11"/>
  <c r="K3257" i="11"/>
  <c r="K4674" i="11"/>
  <c r="K5443" i="11"/>
  <c r="K5098" i="11"/>
  <c r="K6197" i="11"/>
  <c r="K5528" i="11"/>
  <c r="K6458" i="11"/>
  <c r="K5861" i="11"/>
  <c r="K3971" i="11"/>
  <c r="K3705" i="11"/>
  <c r="K3170" i="11"/>
  <c r="K1717" i="11"/>
  <c r="K1079" i="11"/>
  <c r="K3790" i="11"/>
  <c r="K4583" i="11"/>
  <c r="K4758" i="11"/>
  <c r="K5442" i="11"/>
  <c r="K6196" i="11"/>
  <c r="K6027" i="11"/>
  <c r="K7000" i="11"/>
  <c r="K3083" i="11"/>
  <c r="K2361" i="11"/>
  <c r="K1172" i="11"/>
  <c r="K5097" i="11"/>
  <c r="K897" i="11"/>
  <c r="K3256" i="11"/>
  <c r="K803" i="11"/>
  <c r="K61" i="11"/>
  <c r="K2997" i="11"/>
  <c r="K2734" i="11"/>
  <c r="K1539" i="11"/>
  <c r="K2082" i="11"/>
  <c r="K4499" i="11"/>
  <c r="K4759" i="11"/>
  <c r="K1627" i="11"/>
  <c r="K804" i="11"/>
  <c r="K334" i="11"/>
  <c r="K3613" i="11"/>
  <c r="K5779" i="11"/>
  <c r="K5268" i="11"/>
  <c r="K7001" i="11"/>
  <c r="K5613" i="11"/>
  <c r="K5862" i="11"/>
  <c r="K6915" i="11"/>
  <c r="K1451" i="11"/>
  <c r="K6546" i="11"/>
  <c r="K3524" i="11"/>
  <c r="K2549" i="11"/>
  <c r="K3880" i="11"/>
  <c r="K2825" i="11"/>
  <c r="K1718" i="11"/>
  <c r="K2173" i="11"/>
  <c r="F24" i="2"/>
  <c r="N141" i="11"/>
  <c r="N703" i="11"/>
  <c r="N1532" i="11"/>
  <c r="L1794" i="11"/>
  <c r="N1794" i="11" s="1"/>
  <c r="N1795" i="11" s="1"/>
  <c r="N1802" i="11" s="1"/>
  <c r="N235" i="11"/>
  <c r="N797" i="11"/>
  <c r="N1166" i="11"/>
  <c r="L1703" i="11"/>
  <c r="N1703" i="11" s="1"/>
  <c r="N1704" i="11" s="1"/>
  <c r="N1711" i="11" s="1"/>
  <c r="L1976" i="11"/>
  <c r="N1976" i="11" s="1"/>
  <c r="N1977" i="11" s="1"/>
  <c r="N1984" i="11" s="1"/>
  <c r="L1252" i="11"/>
  <c r="N1252" i="11" s="1"/>
  <c r="N1254" i="11" s="1"/>
  <c r="L2158" i="11"/>
  <c r="N2158" i="11" s="1"/>
  <c r="N2159" i="11" s="1"/>
  <c r="N2166" i="11" s="1"/>
  <c r="N891" i="11"/>
  <c r="L1885" i="11"/>
  <c r="N1885" i="11" s="1"/>
  <c r="N1886" i="11" s="1"/>
  <c r="N1893" i="11" s="1"/>
  <c r="L2067" i="11"/>
  <c r="N2067" i="11" s="1"/>
  <c r="N2068" i="11" s="1"/>
  <c r="N2075" i="11" s="1"/>
  <c r="N5430" i="11"/>
  <c r="J70" i="15"/>
  <c r="J30" i="15" s="1"/>
  <c r="K30" i="15" s="1"/>
  <c r="L3256" i="11" l="1"/>
  <c r="L4329" i="11"/>
  <c r="D28" i="15"/>
  <c r="N2448" i="11"/>
  <c r="L2454" i="11" s="1"/>
  <c r="L1079" i="11"/>
  <c r="L1080" i="11"/>
  <c r="L4328" i="11"/>
  <c r="N2727" i="11"/>
  <c r="L2733" i="11" s="1"/>
  <c r="L428" i="11"/>
  <c r="L6633" i="11"/>
  <c r="L3257" i="11"/>
  <c r="L5695" i="11"/>
  <c r="E28" i="15"/>
  <c r="D30" i="15"/>
  <c r="G30" i="15"/>
  <c r="C30" i="15"/>
  <c r="E30" i="15"/>
  <c r="F30" i="15"/>
  <c r="L7000" i="11"/>
  <c r="L6282" i="11"/>
  <c r="L3171" i="11"/>
  <c r="L4674" i="11"/>
  <c r="N3339" i="11"/>
  <c r="P3336" i="11" s="1"/>
  <c r="Q3336" i="11" s="1"/>
  <c r="L5861" i="11"/>
  <c r="L4584" i="11"/>
  <c r="N4152" i="11"/>
  <c r="P4152" i="11" s="1"/>
  <c r="Q4152" i="11" s="1"/>
  <c r="N3517" i="11"/>
  <c r="P3517" i="11" s="1"/>
  <c r="Q3517" i="11" s="1"/>
  <c r="L1451" i="11"/>
  <c r="L2911" i="11"/>
  <c r="L6028" i="11"/>
  <c r="N1261" i="11"/>
  <c r="L1268" i="11" s="1"/>
  <c r="L5862" i="11"/>
  <c r="L1627" i="11"/>
  <c r="L6027" i="11"/>
  <c r="L4583" i="11"/>
  <c r="L1626" i="11"/>
  <c r="N54" i="11"/>
  <c r="L60" i="11" s="1"/>
  <c r="N3428" i="11"/>
  <c r="P3428" i="11" s="1"/>
  <c r="Q3428" i="11" s="1"/>
  <c r="L7001" i="11"/>
  <c r="L4499" i="11"/>
  <c r="L427" i="11"/>
  <c r="L4498" i="11"/>
  <c r="L4843" i="11"/>
  <c r="N3965" i="11"/>
  <c r="P3965" i="11" s="1"/>
  <c r="Q3965" i="11" s="1"/>
  <c r="N2542" i="11"/>
  <c r="L2549" i="11" s="1"/>
  <c r="E56" i="12"/>
  <c r="N1354" i="11"/>
  <c r="L1361" i="11" s="1"/>
  <c r="L4414" i="11"/>
  <c r="L4758" i="11"/>
  <c r="L5945" i="11"/>
  <c r="N2818" i="11"/>
  <c r="L2825" i="11" s="1"/>
  <c r="N4061" i="11"/>
  <c r="P4061" i="11" s="1"/>
  <c r="Q4061" i="11" s="1"/>
  <c r="L4928" i="11"/>
  <c r="L4842" i="11"/>
  <c r="L6634" i="11"/>
  <c r="L4929" i="11"/>
  <c r="L2910" i="11"/>
  <c r="N3873" i="11"/>
  <c r="P3873" i="11" s="1"/>
  <c r="Q3873" i="11" s="1"/>
  <c r="L5268" i="11"/>
  <c r="L5098" i="11"/>
  <c r="L3083" i="11"/>
  <c r="L5097" i="11"/>
  <c r="L5527" i="11"/>
  <c r="L3082" i="11"/>
  <c r="L5267" i="11"/>
  <c r="L5696" i="11"/>
  <c r="L5528" i="11"/>
  <c r="L5352" i="11"/>
  <c r="L5944" i="11"/>
  <c r="L6197" i="11"/>
  <c r="L6369" i="11"/>
  <c r="N984" i="11"/>
  <c r="L991" i="11" s="1"/>
  <c r="N6810" i="11"/>
  <c r="P6810" i="11" s="1"/>
  <c r="Q6810" i="11" s="1"/>
  <c r="N3606" i="11"/>
  <c r="P3606" i="11" s="1"/>
  <c r="Q3606" i="11" s="1"/>
  <c r="N2354" i="11"/>
  <c r="L2360" i="11" s="1"/>
  <c r="L6196" i="11"/>
  <c r="L3170" i="11"/>
  <c r="L3791" i="11"/>
  <c r="L6545" i="11"/>
  <c r="L521" i="11"/>
  <c r="L522" i="11"/>
  <c r="L5183" i="11"/>
  <c r="L5184" i="11"/>
  <c r="L1450" i="11"/>
  <c r="F29" i="2"/>
  <c r="F30" i="2" s="1"/>
  <c r="L6546" i="11"/>
  <c r="L4759" i="11"/>
  <c r="L3790" i="11"/>
  <c r="L6718" i="11"/>
  <c r="L6719" i="11"/>
  <c r="L4413" i="11"/>
  <c r="L6370" i="11"/>
  <c r="L6281" i="11"/>
  <c r="L334" i="11"/>
  <c r="L333" i="11"/>
  <c r="L5612" i="11"/>
  <c r="L2997" i="11"/>
  <c r="L6112" i="11"/>
  <c r="L4673" i="11"/>
  <c r="L5778" i="11"/>
  <c r="N3698" i="11"/>
  <c r="P3698" i="11" s="1"/>
  <c r="Q3698" i="11" s="1"/>
  <c r="L5613" i="11"/>
  <c r="L5351" i="11"/>
  <c r="L615" i="11"/>
  <c r="L616" i="11"/>
  <c r="L6111" i="11"/>
  <c r="L5013" i="11"/>
  <c r="L5779" i="11"/>
  <c r="L6458" i="11"/>
  <c r="L5012" i="11"/>
  <c r="L2996" i="11"/>
  <c r="L6457" i="11"/>
  <c r="N6908" i="11"/>
  <c r="P6908" i="11" s="1"/>
  <c r="Q6908" i="11" s="1"/>
  <c r="L1539" i="11"/>
  <c r="Q3164" i="11"/>
  <c r="P3164" i="11"/>
  <c r="N2260" i="11"/>
  <c r="L2267" i="11" s="1"/>
  <c r="N2636" i="11"/>
  <c r="L2642" i="11" s="1"/>
  <c r="L1991" i="11"/>
  <c r="N7081" i="11"/>
  <c r="P7081" i="11" s="1"/>
  <c r="Q7081" i="11" s="1"/>
  <c r="L1538" i="11"/>
  <c r="L1990" i="11"/>
  <c r="L241" i="11"/>
  <c r="L1808" i="11"/>
  <c r="L1809" i="11"/>
  <c r="L2082" i="11"/>
  <c r="L2081" i="11"/>
  <c r="L2173" i="11"/>
  <c r="L2172" i="11"/>
  <c r="P4237" i="11"/>
  <c r="Q4237" i="11" s="1"/>
  <c r="L4243" i="11"/>
  <c r="L803" i="11"/>
  <c r="L804" i="11"/>
  <c r="L898" i="11"/>
  <c r="L897" i="11"/>
  <c r="L4244" i="11"/>
  <c r="L1717" i="11"/>
  <c r="L1718" i="11"/>
  <c r="L148" i="11"/>
  <c r="L147" i="11"/>
  <c r="L709" i="11"/>
  <c r="L710" i="11"/>
  <c r="L242" i="11"/>
  <c r="L5433" i="11"/>
  <c r="N5433" i="11" s="1"/>
  <c r="N5434" i="11" s="1"/>
  <c r="N5436" i="11" s="1"/>
  <c r="L1900" i="11"/>
  <c r="L1899" i="11"/>
  <c r="L1172" i="11"/>
  <c r="L1173" i="11"/>
  <c r="L2734" i="11" l="1"/>
  <c r="L61" i="11"/>
  <c r="L2455" i="11"/>
  <c r="L4159" i="11"/>
  <c r="L3612" i="11"/>
  <c r="L3523" i="11"/>
  <c r="L2548" i="11"/>
  <c r="L4158" i="11"/>
  <c r="L3346" i="11"/>
  <c r="L1267" i="11"/>
  <c r="L3345" i="11"/>
  <c r="L3524" i="11"/>
  <c r="L1360" i="11"/>
  <c r="L990" i="11"/>
  <c r="L6816" i="11"/>
  <c r="L3435" i="11"/>
  <c r="L3434" i="11"/>
  <c r="L3972" i="11"/>
  <c r="L3971" i="11"/>
  <c r="L3880" i="11"/>
  <c r="L2266" i="11"/>
  <c r="L3613" i="11"/>
  <c r="L2824" i="11"/>
  <c r="L3879" i="11"/>
  <c r="L4068" i="11"/>
  <c r="L4067" i="11"/>
  <c r="L2643" i="11"/>
  <c r="L2361" i="11"/>
  <c r="L6817" i="11"/>
  <c r="L6914" i="11"/>
  <c r="L3704" i="11"/>
  <c r="L3705" i="11"/>
  <c r="L6915" i="11"/>
  <c r="L7088" i="11"/>
  <c r="L7087" i="11"/>
  <c r="L5443" i="11"/>
  <c r="L5442" i="11"/>
  <c r="P5436" i="11"/>
  <c r="Q5436" i="11" s="1"/>
  <c r="K100" i="10" l="1"/>
  <c r="K1078" i="11" s="1"/>
  <c r="L1078" i="11" s="1"/>
  <c r="N1081" i="11" s="1"/>
  <c r="N1083" i="11" s="1"/>
  <c r="J23" i="10" s="1"/>
  <c r="K23" i="10" s="1"/>
  <c r="K5694" i="11" l="1"/>
  <c r="L5694" i="11" s="1"/>
  <c r="N5697" i="11" s="1"/>
  <c r="N5699" i="11" s="1"/>
  <c r="J75" i="10" s="1"/>
  <c r="K75" i="10" s="1"/>
  <c r="K2909" i="11"/>
  <c r="L2909" i="11" s="1"/>
  <c r="N2912" i="11" s="1"/>
  <c r="N2914" i="11" s="1"/>
  <c r="J43" i="10" s="1"/>
  <c r="K43" i="10" s="1"/>
  <c r="K1449" i="11"/>
  <c r="L1449" i="11" s="1"/>
  <c r="N1452" i="11" s="1"/>
  <c r="N1454" i="11" s="1"/>
  <c r="J27" i="10" s="1"/>
  <c r="K27" i="10" s="1"/>
  <c r="K5350" i="11"/>
  <c r="L5350" i="11" s="1"/>
  <c r="N5353" i="11" s="1"/>
  <c r="N5355" i="11" s="1"/>
  <c r="J71" i="10" s="1"/>
  <c r="K71" i="10" s="1"/>
  <c r="K3970" i="11"/>
  <c r="L3970" i="11" s="1"/>
  <c r="N3973" i="11" s="1"/>
  <c r="N3975" i="11" s="1"/>
  <c r="J55" i="10" s="1"/>
  <c r="K55" i="10" s="1"/>
  <c r="K2547" i="11"/>
  <c r="L2547" i="11" s="1"/>
  <c r="N2550" i="11" s="1"/>
  <c r="N2552" i="11" s="1"/>
  <c r="J39" i="10" s="1"/>
  <c r="K39" i="10" s="1"/>
  <c r="K59" i="11"/>
  <c r="L59" i="11" s="1"/>
  <c r="N62" i="11" s="1"/>
  <c r="N64" i="11" s="1"/>
  <c r="J12" i="10" s="1"/>
  <c r="K12" i="10" s="1"/>
  <c r="K426" i="11"/>
  <c r="L426" i="11" s="1"/>
  <c r="N429" i="11" s="1"/>
  <c r="N431" i="11" s="1"/>
  <c r="J16" i="10" s="1"/>
  <c r="K16" i="10" s="1"/>
  <c r="K802" i="11"/>
  <c r="L802" i="11" s="1"/>
  <c r="N805" i="11" s="1"/>
  <c r="N807" i="11" s="1"/>
  <c r="J20" i="10" s="1"/>
  <c r="K20" i="10" s="1"/>
  <c r="K1171" i="11"/>
  <c r="L1171" i="11" s="1"/>
  <c r="N1174" i="11" s="1"/>
  <c r="N1176" i="11" s="1"/>
  <c r="J24" i="10" s="1"/>
  <c r="K24" i="10" s="1"/>
  <c r="K1537" i="11"/>
  <c r="L1537" i="11" s="1"/>
  <c r="N1540" i="11" s="1"/>
  <c r="N1542" i="11" s="1"/>
  <c r="J28" i="10" s="1"/>
  <c r="K28" i="10" s="1"/>
  <c r="K1898" i="11"/>
  <c r="L1898" i="11" s="1"/>
  <c r="N1901" i="11" s="1"/>
  <c r="N1903" i="11" s="1"/>
  <c r="J32" i="10" s="1"/>
  <c r="K32" i="10" s="1"/>
  <c r="K2265" i="11"/>
  <c r="L2265" i="11" s="1"/>
  <c r="N2268" i="11" s="1"/>
  <c r="N2270" i="11" s="1"/>
  <c r="J36" i="10" s="1"/>
  <c r="K36" i="10" s="1"/>
  <c r="K2641" i="11"/>
  <c r="L2641" i="11" s="1"/>
  <c r="N2644" i="11" s="1"/>
  <c r="N2646" i="11" s="1"/>
  <c r="J40" i="10" s="1"/>
  <c r="K40" i="10" s="1"/>
  <c r="K2995" i="11"/>
  <c r="L2995" i="11" s="1"/>
  <c r="N2998" i="11" s="1"/>
  <c r="N3000" i="11" s="1"/>
  <c r="J44" i="10" s="1"/>
  <c r="K44" i="10" s="1"/>
  <c r="K3344" i="11"/>
  <c r="L3344" i="11" s="1"/>
  <c r="N3347" i="11" s="1"/>
  <c r="N3349" i="11" s="1"/>
  <c r="J48" i="10" s="1"/>
  <c r="K48" i="10" s="1"/>
  <c r="K3703" i="11"/>
  <c r="L3703" i="11" s="1"/>
  <c r="N3706" i="11" s="1"/>
  <c r="N3708" i="11" s="1"/>
  <c r="J52" i="10" s="1"/>
  <c r="K52" i="10" s="1"/>
  <c r="K4066" i="11"/>
  <c r="L4066" i="11" s="1"/>
  <c r="N4069" i="11" s="1"/>
  <c r="N4071" i="11" s="1"/>
  <c r="J56" i="10" s="1"/>
  <c r="K56" i="10" s="1"/>
  <c r="K4412" i="11"/>
  <c r="L4412" i="11" s="1"/>
  <c r="N4415" i="11" s="1"/>
  <c r="N4417" i="11" s="1"/>
  <c r="J60" i="10" s="1"/>
  <c r="K60" i="10" s="1"/>
  <c r="K4757" i="11"/>
  <c r="L4757" i="11" s="1"/>
  <c r="N4760" i="11" s="1"/>
  <c r="N4762" i="11" s="1"/>
  <c r="J64" i="10" s="1"/>
  <c r="K64" i="10" s="1"/>
  <c r="K5096" i="11"/>
  <c r="L5096" i="11" s="1"/>
  <c r="N5099" i="11" s="1"/>
  <c r="N5101" i="11" s="1"/>
  <c r="J68" i="10" s="1"/>
  <c r="K68" i="10" s="1"/>
  <c r="K5441" i="11"/>
  <c r="L5441" i="11" s="1"/>
  <c r="N5444" i="11" s="1"/>
  <c r="N5446" i="11" s="1"/>
  <c r="J72" i="10" s="1"/>
  <c r="K72" i="10" s="1"/>
  <c r="K5777" i="11"/>
  <c r="L5777" i="11" s="1"/>
  <c r="N5780" i="11" s="1"/>
  <c r="N5782" i="11" s="1"/>
  <c r="J76" i="10" s="1"/>
  <c r="K76" i="10" s="1"/>
  <c r="K6110" i="11"/>
  <c r="L6110" i="11" s="1"/>
  <c r="N6113" i="11" s="1"/>
  <c r="N6115" i="11" s="1"/>
  <c r="J80" i="10" s="1"/>
  <c r="K80" i="10" s="1"/>
  <c r="K6195" i="11"/>
  <c r="L6195" i="11" s="1"/>
  <c r="N6198" i="11" s="1"/>
  <c r="N6200" i="11" s="1"/>
  <c r="J81" i="10" s="1"/>
  <c r="K81" i="10" s="1"/>
  <c r="K6280" i="11"/>
  <c r="L6280" i="11" s="1"/>
  <c r="N6283" i="11" s="1"/>
  <c r="N6285" i="11" s="1"/>
  <c r="J82" i="10" s="1"/>
  <c r="K82" i="10" s="1"/>
  <c r="K6368" i="11"/>
  <c r="L6368" i="11" s="1"/>
  <c r="N6371" i="11" s="1"/>
  <c r="N6373" i="11" s="1"/>
  <c r="J83" i="10" s="1"/>
  <c r="K83" i="10" s="1"/>
  <c r="K6456" i="11"/>
  <c r="L6456" i="11" s="1"/>
  <c r="N6459" i="11" s="1"/>
  <c r="N6461" i="11" s="1"/>
  <c r="J84" i="10" s="1"/>
  <c r="K84" i="10" s="1"/>
  <c r="K6544" i="11"/>
  <c r="L6544" i="11" s="1"/>
  <c r="N6547" i="11" s="1"/>
  <c r="N6549" i="11" s="1"/>
  <c r="J85" i="10" s="1"/>
  <c r="K85" i="10" s="1"/>
  <c r="K6632" i="11"/>
  <c r="L6632" i="11" s="1"/>
  <c r="N6635" i="11" s="1"/>
  <c r="N6637" i="11" s="1"/>
  <c r="J86" i="10" s="1"/>
  <c r="K86" i="10" s="1"/>
  <c r="K6717" i="11"/>
  <c r="L6717" i="11" s="1"/>
  <c r="N6720" i="11" s="1"/>
  <c r="N6722" i="11" s="1"/>
  <c r="J87" i="10" s="1"/>
  <c r="K87" i="10" s="1"/>
  <c r="K6815" i="11"/>
  <c r="L6815" i="11" s="1"/>
  <c r="N6818" i="11" s="1"/>
  <c r="N6820" i="11" s="1"/>
  <c r="J88" i="10" s="1"/>
  <c r="K88" i="10" s="1"/>
  <c r="K6913" i="11"/>
  <c r="L6913" i="11" s="1"/>
  <c r="N6916" i="11" s="1"/>
  <c r="N6918" i="11" s="1"/>
  <c r="J89" i="10" s="1"/>
  <c r="K89" i="10" s="1"/>
  <c r="K6999" i="11"/>
  <c r="L6999" i="11" s="1"/>
  <c r="N7002" i="11" s="1"/>
  <c r="N7004" i="11" s="1"/>
  <c r="J90" i="10" s="1"/>
  <c r="K90" i="10" s="1"/>
  <c r="K7086" i="11"/>
  <c r="L7086" i="11" s="1"/>
  <c r="N7089" i="11" s="1"/>
  <c r="N7091" i="11" s="1"/>
  <c r="J91" i="10" s="1"/>
  <c r="K91" i="10" s="1"/>
  <c r="K146" i="11"/>
  <c r="L146" i="11" s="1"/>
  <c r="N149" i="11" s="1"/>
  <c r="N151" i="11" s="1"/>
  <c r="J13" i="10" s="1"/>
  <c r="K13" i="10" s="1"/>
  <c r="K520" i="11"/>
  <c r="L520" i="11" s="1"/>
  <c r="N523" i="11" s="1"/>
  <c r="N525" i="11" s="1"/>
  <c r="J17" i="10" s="1"/>
  <c r="K17" i="10" s="1"/>
  <c r="K896" i="11"/>
  <c r="L896" i="11" s="1"/>
  <c r="N899" i="11" s="1"/>
  <c r="N901" i="11" s="1"/>
  <c r="J21" i="10" s="1"/>
  <c r="K21" i="10" s="1"/>
  <c r="K1266" i="11"/>
  <c r="L1266" i="11" s="1"/>
  <c r="N1269" i="11" s="1"/>
  <c r="N1271" i="11" s="1"/>
  <c r="J25" i="10" s="1"/>
  <c r="K25" i="10" s="1"/>
  <c r="K1625" i="11"/>
  <c r="L1625" i="11" s="1"/>
  <c r="N1628" i="11" s="1"/>
  <c r="N1630" i="11" s="1"/>
  <c r="J29" i="10" s="1"/>
  <c r="K29" i="10" s="1"/>
  <c r="K1989" i="11"/>
  <c r="L1989" i="11" s="1"/>
  <c r="N1992" i="11" s="1"/>
  <c r="N1994" i="11" s="1"/>
  <c r="J33" i="10" s="1"/>
  <c r="K33" i="10" s="1"/>
  <c r="K2359" i="11"/>
  <c r="L2359" i="11" s="1"/>
  <c r="N2362" i="11" s="1"/>
  <c r="N2364" i="11" s="1"/>
  <c r="J37" i="10" s="1"/>
  <c r="K37" i="10" s="1"/>
  <c r="K2732" i="11"/>
  <c r="L2732" i="11" s="1"/>
  <c r="N2735" i="11" s="1"/>
  <c r="N2737" i="11" s="1"/>
  <c r="J41" i="10" s="1"/>
  <c r="K41" i="10" s="1"/>
  <c r="K3081" i="11"/>
  <c r="L3081" i="11" s="1"/>
  <c r="N3084" i="11" s="1"/>
  <c r="N3086" i="11" s="1"/>
  <c r="J45" i="10" s="1"/>
  <c r="K45" i="10" s="1"/>
  <c r="K3433" i="11"/>
  <c r="L3433" i="11" s="1"/>
  <c r="N3436" i="11" s="1"/>
  <c r="N3438" i="11" s="1"/>
  <c r="J49" i="10" s="1"/>
  <c r="K49" i="10" s="1"/>
  <c r="K3789" i="11"/>
  <c r="L3789" i="11" s="1"/>
  <c r="N3792" i="11" s="1"/>
  <c r="N3794" i="11" s="1"/>
  <c r="J53" i="10" s="1"/>
  <c r="K53" i="10" s="1"/>
  <c r="K4157" i="11"/>
  <c r="L4157" i="11" s="1"/>
  <c r="N4160" i="11" s="1"/>
  <c r="N4162" i="11" s="1"/>
  <c r="J57" i="10" s="1"/>
  <c r="K57" i="10" s="1"/>
  <c r="K4497" i="11"/>
  <c r="L4497" i="11" s="1"/>
  <c r="N4500" i="11" s="1"/>
  <c r="N4502" i="11" s="1"/>
  <c r="J61" i="10" s="1"/>
  <c r="K61" i="10" s="1"/>
  <c r="K4841" i="11"/>
  <c r="L4841" i="11" s="1"/>
  <c r="N4844" i="11" s="1"/>
  <c r="N4846" i="11" s="1"/>
  <c r="J65" i="10" s="1"/>
  <c r="K65" i="10" s="1"/>
  <c r="K5182" i="11"/>
  <c r="L5182" i="11" s="1"/>
  <c r="N5185" i="11" s="1"/>
  <c r="N5187" i="11" s="1"/>
  <c r="J69" i="10" s="1"/>
  <c r="K69" i="10" s="1"/>
  <c r="K5526" i="11"/>
  <c r="L5526" i="11" s="1"/>
  <c r="N5529" i="11" s="1"/>
  <c r="N5531" i="11" s="1"/>
  <c r="J73" i="10" s="1"/>
  <c r="K73" i="10" s="1"/>
  <c r="K5860" i="11"/>
  <c r="L5860" i="11" s="1"/>
  <c r="N5863" i="11" s="1"/>
  <c r="N5865" i="11" s="1"/>
  <c r="J77" i="10" s="1"/>
  <c r="K77" i="10" s="1"/>
  <c r="K240" i="11"/>
  <c r="L240" i="11" s="1"/>
  <c r="N243" i="11" s="1"/>
  <c r="N245" i="11" s="1"/>
  <c r="J14" i="10" s="1"/>
  <c r="K14" i="10" s="1"/>
  <c r="K614" i="11"/>
  <c r="L614" i="11" s="1"/>
  <c r="N617" i="11" s="1"/>
  <c r="N619" i="11" s="1"/>
  <c r="J18" i="10" s="1"/>
  <c r="K18" i="10" s="1"/>
  <c r="K989" i="11"/>
  <c r="L989" i="11" s="1"/>
  <c r="N992" i="11" s="1"/>
  <c r="N994" i="11" s="1"/>
  <c r="J22" i="10" s="1"/>
  <c r="K22" i="10" s="1"/>
  <c r="K1359" i="11"/>
  <c r="L1359" i="11" s="1"/>
  <c r="N1362" i="11" s="1"/>
  <c r="N1364" i="11" s="1"/>
  <c r="J26" i="10" s="1"/>
  <c r="K26" i="10" s="1"/>
  <c r="K1716" i="11"/>
  <c r="L1716" i="11" s="1"/>
  <c r="N1719" i="11" s="1"/>
  <c r="N1721" i="11" s="1"/>
  <c r="J30" i="10" s="1"/>
  <c r="K30" i="10" s="1"/>
  <c r="K2080" i="11"/>
  <c r="L2080" i="11" s="1"/>
  <c r="N2083" i="11" s="1"/>
  <c r="N2085" i="11" s="1"/>
  <c r="J34" i="10" s="1"/>
  <c r="K34" i="10" s="1"/>
  <c r="K2453" i="11"/>
  <c r="L2453" i="11" s="1"/>
  <c r="N2456" i="11" s="1"/>
  <c r="N2458" i="11" s="1"/>
  <c r="J38" i="10" s="1"/>
  <c r="K38" i="10" s="1"/>
  <c r="K2823" i="11"/>
  <c r="L2823" i="11" s="1"/>
  <c r="N2826" i="11" s="1"/>
  <c r="N2828" i="11" s="1"/>
  <c r="J42" i="10" s="1"/>
  <c r="K42" i="10" s="1"/>
  <c r="K3169" i="11"/>
  <c r="L3169" i="11" s="1"/>
  <c r="N3172" i="11" s="1"/>
  <c r="N3174" i="11" s="1"/>
  <c r="J46" i="10" s="1"/>
  <c r="K46" i="10" s="1"/>
  <c r="K3522" i="11"/>
  <c r="L3522" i="11" s="1"/>
  <c r="N3525" i="11" s="1"/>
  <c r="N3527" i="11" s="1"/>
  <c r="J50" i="10" s="1"/>
  <c r="K50" i="10" s="1"/>
  <c r="K3878" i="11"/>
  <c r="L3878" i="11" s="1"/>
  <c r="N3881" i="11" s="1"/>
  <c r="N3883" i="11" s="1"/>
  <c r="J54" i="10" s="1"/>
  <c r="K54" i="10" s="1"/>
  <c r="K4242" i="11"/>
  <c r="L4242" i="11" s="1"/>
  <c r="N4245" i="11" s="1"/>
  <c r="N4247" i="11" s="1"/>
  <c r="J58" i="10" s="1"/>
  <c r="K58" i="10" s="1"/>
  <c r="K4582" i="11"/>
  <c r="L4582" i="11" s="1"/>
  <c r="N4585" i="11" s="1"/>
  <c r="N4587" i="11" s="1"/>
  <c r="J62" i="10" s="1"/>
  <c r="K62" i="10" s="1"/>
  <c r="K4927" i="11"/>
  <c r="L4927" i="11" s="1"/>
  <c r="N4930" i="11" s="1"/>
  <c r="N4932" i="11" s="1"/>
  <c r="J66" i="10" s="1"/>
  <c r="K66" i="10" s="1"/>
  <c r="K5266" i="11"/>
  <c r="L5266" i="11" s="1"/>
  <c r="N5269" i="11" s="1"/>
  <c r="N5271" i="11" s="1"/>
  <c r="J70" i="10" s="1"/>
  <c r="K70" i="10" s="1"/>
  <c r="K5611" i="11"/>
  <c r="L5611" i="11" s="1"/>
  <c r="N5614" i="11" s="1"/>
  <c r="N5616" i="11" s="1"/>
  <c r="J74" i="10" s="1"/>
  <c r="K74" i="10" s="1"/>
  <c r="K5943" i="11"/>
  <c r="L5943" i="11" s="1"/>
  <c r="N5946" i="11" s="1"/>
  <c r="N5948" i="11" s="1"/>
  <c r="J78" i="10" s="1"/>
  <c r="K78" i="10" s="1"/>
  <c r="K4327" i="11"/>
  <c r="L4327" i="11" s="1"/>
  <c r="N4330" i="11" s="1"/>
  <c r="N4332" i="11" s="1"/>
  <c r="J59" i="10" s="1"/>
  <c r="K59" i="10" s="1"/>
  <c r="K5011" i="11"/>
  <c r="L5011" i="11" s="1"/>
  <c r="N5014" i="11" s="1"/>
  <c r="N5016" i="11" s="1"/>
  <c r="J67" i="10" s="1"/>
  <c r="K67" i="10" s="1"/>
  <c r="K3611" i="11"/>
  <c r="L3611" i="11" s="1"/>
  <c r="N3614" i="11" s="1"/>
  <c r="N3616" i="11" s="1"/>
  <c r="J51" i="10" s="1"/>
  <c r="K51" i="10" s="1"/>
  <c r="K2171" i="11"/>
  <c r="L2171" i="11" s="1"/>
  <c r="N2174" i="11" s="1"/>
  <c r="N2176" i="11" s="1"/>
  <c r="J35" i="10" s="1"/>
  <c r="K35" i="10" s="1"/>
  <c r="K708" i="11"/>
  <c r="L708" i="11" s="1"/>
  <c r="N711" i="11" s="1"/>
  <c r="N713" i="11" s="1"/>
  <c r="J19" i="10" s="1"/>
  <c r="K19" i="10" s="1"/>
  <c r="K103" i="10"/>
  <c r="K6026" i="11"/>
  <c r="L6026" i="11" s="1"/>
  <c r="N6029" i="11" s="1"/>
  <c r="N6031" i="11" s="1"/>
  <c r="J79" i="10" s="1"/>
  <c r="K79" i="10" s="1"/>
  <c r="K4672" i="11"/>
  <c r="L4672" i="11" s="1"/>
  <c r="N4675" i="11" s="1"/>
  <c r="N4677" i="11" s="1"/>
  <c r="J63" i="10" s="1"/>
  <c r="K63" i="10" s="1"/>
  <c r="K3255" i="11"/>
  <c r="L3255" i="11" s="1"/>
  <c r="N3258" i="11" s="1"/>
  <c r="N3260" i="11" s="1"/>
  <c r="J47" i="10" s="1"/>
  <c r="K47" i="10" s="1"/>
  <c r="K1807" i="11"/>
  <c r="L1807" i="11" s="1"/>
  <c r="N1810" i="11" s="1"/>
  <c r="N1812" i="11" s="1"/>
  <c r="J31" i="10" s="1"/>
  <c r="K31" i="10" s="1"/>
  <c r="K332" i="11"/>
  <c r="L332" i="11" s="1"/>
  <c r="N335" i="11" s="1"/>
  <c r="N337" i="11" s="1"/>
  <c r="J15" i="10" s="1"/>
  <c r="K15" i="10" s="1"/>
  <c r="K92" i="10" l="1"/>
  <c r="P96" i="10" s="1"/>
  <c r="R74" i="15" l="1"/>
  <c r="T74" i="15" s="1"/>
  <c r="G74" i="15" s="1"/>
  <c r="G76" i="15"/>
  <c r="G77" i="15"/>
  <c r="G78" i="15"/>
  <c r="G79" i="15"/>
  <c r="G80" i="15"/>
  <c r="G81" i="15"/>
  <c r="G82" i="15"/>
  <c r="G83" i="15"/>
  <c r="G84" i="15"/>
  <c r="G85" i="15"/>
  <c r="G86" i="15"/>
  <c r="H86" i="15" s="1"/>
  <c r="G87" i="15"/>
  <c r="H87" i="15" s="1"/>
  <c r="G88" i="15"/>
  <c r="H88" i="15" s="1"/>
  <c r="G89" i="15"/>
  <c r="H89" i="15" s="1"/>
  <c r="G90" i="15"/>
  <c r="G91" i="15"/>
  <c r="G92" i="15"/>
  <c r="H92" i="15" s="1"/>
  <c r="H74" i="15" l="1"/>
  <c r="I74" i="15"/>
  <c r="J74" i="15" s="1"/>
  <c r="H85" i="15"/>
  <c r="H83" i="15"/>
  <c r="H82" i="15"/>
  <c r="H81" i="15"/>
  <c r="H80" i="15"/>
  <c r="H79" i="15"/>
  <c r="H78" i="15"/>
  <c r="H77" i="15"/>
  <c r="H76" i="15"/>
  <c r="I91" i="15"/>
  <c r="J91" i="15" s="1"/>
  <c r="H91" i="15"/>
  <c r="I80" i="15"/>
  <c r="J80" i="15" s="1"/>
  <c r="I85" i="15"/>
  <c r="J85" i="15" s="1"/>
  <c r="I78" i="15"/>
  <c r="J78" i="15" s="1"/>
  <c r="I86" i="15"/>
  <c r="J86" i="15" s="1"/>
  <c r="I90" i="15"/>
  <c r="J90" i="15" s="1"/>
  <c r="H90" i="15"/>
  <c r="I77" i="15"/>
  <c r="J77" i="15" s="1"/>
  <c r="I83" i="15"/>
  <c r="J83" i="15" s="1"/>
  <c r="I88" i="15"/>
  <c r="J88" i="15" s="1"/>
  <c r="I87" i="15"/>
  <c r="J87" i="15" s="1"/>
  <c r="I82" i="15"/>
  <c r="J82" i="15" s="1"/>
  <c r="I92" i="15"/>
  <c r="J92" i="15" s="1"/>
  <c r="I89" i="15"/>
  <c r="J89" i="15" s="1"/>
  <c r="H84" i="15"/>
  <c r="I84" i="15"/>
  <c r="J84" i="15" s="1"/>
  <c r="I81" i="15"/>
  <c r="J81" i="15" s="1"/>
  <c r="I79" i="15"/>
  <c r="J79" i="15" s="1"/>
  <c r="I76" i="15"/>
  <c r="J76" i="15" s="1"/>
  <c r="J101" i="15" l="1"/>
  <c r="J29" i="15" l="1"/>
  <c r="K29" i="15" s="1"/>
  <c r="C29" i="15" s="1"/>
  <c r="C32" i="15" s="1"/>
  <c r="C34" i="15" s="1"/>
  <c r="E29" i="15" l="1"/>
  <c r="E32" i="15" s="1"/>
  <c r="E34" i="15" s="1"/>
  <c r="K33" i="15"/>
  <c r="D29" i="15"/>
  <c r="D32" i="15" s="1"/>
  <c r="D34" i="15" s="1"/>
  <c r="G29" i="15"/>
  <c r="G32" i="15" s="1"/>
  <c r="G34" i="15" s="1"/>
  <c r="F29" i="15"/>
  <c r="F32" i="15" s="1"/>
  <c r="F34" i="15" s="1"/>
  <c r="L117" i="1" l="1"/>
  <c r="H62" i="20" l="1"/>
  <c r="H63" i="20" s="1"/>
  <c r="H64" i="20" s="1"/>
  <c r="F116" i="1" l="1"/>
  <c r="L91" i="1" l="1"/>
  <c r="J42" i="15" s="1"/>
  <c r="K42" i="15" s="1"/>
  <c r="G42" i="15" s="1"/>
  <c r="E42" i="15" l="1"/>
  <c r="F42" i="15"/>
  <c r="C42" i="15"/>
  <c r="D42" i="15"/>
  <c r="E39" i="15" l="1"/>
  <c r="D39" i="15"/>
  <c r="G39" i="15"/>
  <c r="F39" i="15"/>
  <c r="F38" i="15"/>
  <c r="G38" i="15"/>
  <c r="D38" i="15"/>
  <c r="E38" i="15"/>
  <c r="F43" i="15"/>
  <c r="E43" i="15"/>
  <c r="G43" i="15"/>
  <c r="D43" i="15"/>
  <c r="D37" i="15"/>
  <c r="G37" i="15"/>
  <c r="F40" i="15"/>
  <c r="D40" i="15"/>
  <c r="G40" i="15"/>
  <c r="E40" i="15"/>
  <c r="F37" i="15"/>
  <c r="E37" i="15"/>
  <c r="G41" i="15"/>
  <c r="E41" i="15"/>
  <c r="D41" i="15"/>
  <c r="F41" i="15"/>
  <c r="F44" i="15" l="1"/>
  <c r="F45" i="15" s="1"/>
  <c r="F46" i="15" s="1"/>
  <c r="G44" i="15"/>
  <c r="G45" i="15" s="1"/>
  <c r="G46" i="15" s="1"/>
  <c r="E44" i="15"/>
  <c r="E45" i="15" s="1"/>
  <c r="E46" i="15" s="1"/>
  <c r="D44" i="15"/>
  <c r="D45" i="15" s="1"/>
  <c r="D46" i="15" s="1"/>
  <c r="K29" i="1" l="1"/>
  <c r="L29" i="1" s="1"/>
  <c r="H16" i="17" s="1"/>
  <c r="K40" i="1"/>
  <c r="K33" i="1"/>
  <c r="L33" i="1" s="1"/>
  <c r="H20" i="17" s="1"/>
  <c r="K31" i="1"/>
  <c r="K41" i="1"/>
  <c r="L41" i="1" s="1"/>
  <c r="H28" i="17" s="1"/>
  <c r="K44" i="1"/>
  <c r="L44" i="1" s="1"/>
  <c r="H31" i="17" s="1"/>
  <c r="K38" i="1"/>
  <c r="L38" i="1" s="1"/>
  <c r="H25" i="17" s="1"/>
  <c r="K28" i="1"/>
  <c r="L28" i="1" s="1"/>
  <c r="H15" i="17" s="1"/>
  <c r="K45" i="1"/>
  <c r="L45" i="1" s="1"/>
  <c r="K43" i="1"/>
  <c r="G30" i="17" s="1"/>
  <c r="K36" i="1"/>
  <c r="G23" i="17" s="1"/>
  <c r="K32" i="1"/>
  <c r="L32" i="1" s="1"/>
  <c r="H19" i="17" s="1"/>
  <c r="K39" i="1"/>
  <c r="L39" i="1" s="1"/>
  <c r="H26" i="17" s="1"/>
  <c r="K42" i="1"/>
  <c r="G29" i="17" s="1"/>
  <c r="K30" i="1"/>
  <c r="G17" i="17" s="1"/>
  <c r="K37" i="1"/>
  <c r="G24" i="17" s="1"/>
  <c r="K35" i="1"/>
  <c r="L35" i="1" s="1"/>
  <c r="H22" i="17" s="1"/>
  <c r="L40" i="1"/>
  <c r="H27" i="17" s="1"/>
  <c r="G27" i="17"/>
  <c r="G18" i="17"/>
  <c r="L31" i="1"/>
  <c r="H18" i="17" s="1"/>
  <c r="G26" i="17" l="1"/>
  <c r="G16" i="17"/>
  <c r="L42" i="1"/>
  <c r="H29" i="17" s="1"/>
  <c r="L36" i="1"/>
  <c r="H23" i="17" s="1"/>
  <c r="G22" i="17"/>
  <c r="G15" i="17"/>
  <c r="G25" i="17"/>
  <c r="L43" i="1"/>
  <c r="H30" i="17" s="1"/>
  <c r="G20" i="17"/>
  <c r="L37" i="1"/>
  <c r="H24" i="17" s="1"/>
  <c r="G19" i="17"/>
  <c r="G28" i="17"/>
  <c r="G31" i="17"/>
  <c r="L30" i="1"/>
  <c r="H17" i="17" s="1"/>
  <c r="K34" i="1"/>
  <c r="L34" i="1" s="1"/>
  <c r="H21" i="17" s="1"/>
  <c r="G21" i="17" l="1"/>
  <c r="H65" i="20"/>
  <c r="H66" i="20"/>
  <c r="C7" i="1"/>
  <c r="C9" i="1"/>
  <c r="C10" i="1"/>
  <c r="C11" i="1"/>
  <c r="C12" i="1"/>
  <c r="G12" i="1"/>
  <c r="C13" i="1"/>
  <c r="K20" i="1"/>
  <c r="L20" i="1"/>
  <c r="K21" i="1"/>
  <c r="L21" i="1"/>
  <c r="K22" i="1"/>
  <c r="L22" i="1"/>
  <c r="K23" i="1"/>
  <c r="L23" i="1"/>
  <c r="K24" i="1"/>
  <c r="L24" i="1"/>
  <c r="K25" i="1"/>
  <c r="L25" i="1"/>
  <c r="K26" i="1"/>
  <c r="L26" i="1"/>
  <c r="K27" i="1"/>
  <c r="L27" i="1"/>
  <c r="L46" i="1"/>
  <c r="L75" i="1"/>
  <c r="L77" i="1"/>
  <c r="L78" i="1"/>
  <c r="L79" i="1"/>
  <c r="L80" i="1"/>
  <c r="L81" i="1"/>
  <c r="L86" i="1"/>
  <c r="D87" i="1"/>
  <c r="H87" i="1"/>
  <c r="L87" i="1"/>
  <c r="D88" i="1"/>
  <c r="H88" i="1"/>
  <c r="L88" i="1"/>
  <c r="L89" i="1"/>
  <c r="L90" i="1"/>
  <c r="L92" i="1"/>
  <c r="L93" i="1"/>
  <c r="F109" i="1"/>
  <c r="J109" i="1"/>
  <c r="F110" i="1"/>
  <c r="J110" i="1"/>
  <c r="F111" i="1"/>
  <c r="J111" i="1"/>
  <c r="L111" i="1"/>
  <c r="F112" i="1"/>
  <c r="J112" i="1"/>
  <c r="L112" i="1"/>
  <c r="J113" i="1"/>
  <c r="F114" i="1"/>
  <c r="J114" i="1"/>
  <c r="L114" i="1"/>
  <c r="J115" i="1"/>
  <c r="J116" i="1"/>
  <c r="L116" i="1"/>
  <c r="N116" i="1"/>
  <c r="F117" i="1"/>
  <c r="J117" i="1"/>
  <c r="N117" i="1"/>
  <c r="L118" i="1"/>
  <c r="L119" i="1"/>
  <c r="L120" i="1"/>
  <c r="AK148" i="1"/>
  <c r="BO153" i="1"/>
  <c r="BQ153" i="1"/>
  <c r="BR153" i="1"/>
  <c r="BS153" i="1"/>
  <c r="BO154" i="1"/>
  <c r="C37" i="15"/>
  <c r="J37" i="15"/>
  <c r="K37" i="15"/>
  <c r="C38" i="15"/>
  <c r="J38" i="15"/>
  <c r="K38" i="15"/>
  <c r="C39" i="15"/>
  <c r="J39" i="15"/>
  <c r="K39" i="15"/>
  <c r="C40" i="15"/>
  <c r="J40" i="15"/>
  <c r="K40" i="15"/>
  <c r="C41" i="15"/>
  <c r="J41" i="15"/>
  <c r="K41" i="15"/>
  <c r="C43" i="15"/>
  <c r="J43" i="15"/>
  <c r="K43" i="15"/>
  <c r="C44" i="15"/>
  <c r="C45" i="15"/>
  <c r="C46" i="15"/>
  <c r="G7" i="17"/>
  <c r="H7" i="17"/>
  <c r="G8" i="17"/>
  <c r="H8" i="17"/>
  <c r="G9" i="17"/>
  <c r="H9" i="17"/>
  <c r="G10" i="17"/>
  <c r="H10" i="17"/>
  <c r="G11" i="17"/>
  <c r="H11" i="17"/>
  <c r="G12" i="17"/>
  <c r="H12" i="17"/>
  <c r="G13" i="17"/>
  <c r="H13" i="17"/>
  <c r="G14" i="17"/>
  <c r="H14" i="17"/>
  <c r="H59" i="17"/>
  <c r="H61" i="17"/>
  <c r="H62" i="17"/>
  <c r="H63" i="17"/>
  <c r="H64" i="17"/>
  <c r="H65" i="17"/>
  <c r="K94" i="10"/>
  <c r="K95" i="10"/>
  <c r="K9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tc={6DB3EF26-AFDA-4F3C-BBB9-ED39E8D65D2B}</author>
    <author>tc={3BDFE2E4-9C8F-4EB6-8A40-3B75A076396A}</author>
  </authors>
  <commentList>
    <comment ref="Z152" authorId="0" shapeId="0" xr:uid="{00000000-0006-0000-00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Estos valores se actualizan con la tabla de dotación que esta en el archivo de factor prestacional costos directos, se tienen en cuenta los valores que estan subrayados en azul claro</t>
      </text>
    </comment>
    <comment ref="AA159" authorId="1" shapeId="0" xr:uid="{00000000-0006-0000-00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Se divide por el valor promedio de un salario profesional</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78305381</author>
    <author xml:space="preserve">Recursos Informaticos </author>
    <author>Ana Cecilia Herrera Romero</author>
  </authors>
  <commentList>
    <comment ref="E18" authorId="0" shapeId="0" xr:uid="{00000000-0006-0000-0A00-000001000000}">
      <text>
        <r>
          <rPr>
            <b/>
            <sz val="9"/>
            <color indexed="81"/>
            <rFont val="Tahoma"/>
            <family val="2"/>
          </rPr>
          <t>78305381:</t>
        </r>
        <r>
          <rPr>
            <sz val="9"/>
            <color indexed="81"/>
            <rFont val="Tahoma"/>
            <family val="2"/>
          </rPr>
          <t xml:space="preserve">
un kg son 10 m2 para cubrir grava, arena etc
</t>
        </r>
      </text>
    </comment>
    <comment ref="A23" authorId="1" shapeId="0" xr:uid="{00000000-0006-0000-0A00-000002000000}">
      <text>
        <r>
          <rPr>
            <b/>
            <sz val="8"/>
            <color indexed="81"/>
            <rFont val="Tahoma"/>
            <family val="2"/>
          </rPr>
          <t>Recursos Informaticos :</t>
        </r>
        <r>
          <rPr>
            <sz val="8"/>
            <color indexed="81"/>
            <rFont val="Tahoma"/>
            <family val="2"/>
          </rPr>
          <t xml:space="preserve">
Cotización S&amp;E a Febrero 2014</t>
        </r>
      </text>
    </comment>
    <comment ref="A24" authorId="2" shapeId="0" xr:uid="{00000000-0006-0000-0A00-000003000000}">
      <text>
        <r>
          <rPr>
            <sz val="9"/>
            <color indexed="81"/>
            <rFont val="Tahoma"/>
            <family val="2"/>
          </rPr>
          <t xml:space="preserve">
*INICIO DE OBRA
*FIN DE OBRA
*ENTRADA Y SALIDA DE VOLQUETAS
*DISCULPE LAS MOLESTIAS OCASIONADAS
*SENDERO PEATONAL</t>
        </r>
      </text>
    </comment>
    <comment ref="A25" authorId="2" shapeId="0" xr:uid="{00000000-0006-0000-0A00-000004000000}">
      <text>
        <r>
          <rPr>
            <sz val="9"/>
            <color indexed="81"/>
            <rFont val="Tahoma"/>
            <family val="2"/>
          </rPr>
          <t xml:space="preserve">
ROMBO - FONDO NARANJA
*TRABAJOS EN LA VÍA
* MAQUINARIA EN LA VÍA
*BANDERERO
ROMBO - FONDO AMARILLO
*CUALQUIERA QUE APLIQUE Y SE REQUIERA SEGÚN EL MANUAL DE SEÑALIZACIÓN VIAL. CÓDIGOS DE LS SP-01 A LA SP-67.</t>
        </r>
      </text>
    </comment>
  </commentList>
</comments>
</file>

<file path=xl/sharedStrings.xml><?xml version="1.0" encoding="utf-8"?>
<sst xmlns="http://schemas.openxmlformats.org/spreadsheetml/2006/main" count="8598" uniqueCount="905">
  <si>
    <t>Celda editable o con lista desplegable</t>
  </si>
  <si>
    <t>Objeto:</t>
  </si>
  <si>
    <t>Plazo (Meses):</t>
  </si>
  <si>
    <t xml:space="preserve"> Le aplica exoneración de aportes. Art  114-1 ET?</t>
  </si>
  <si>
    <t>Descricpión</t>
  </si>
  <si>
    <t>Detalle Descripción</t>
  </si>
  <si>
    <t>Nivel Riesgo 
ARL</t>
  </si>
  <si>
    <t>Cantidad</t>
  </si>
  <si>
    <t>Salario</t>
  </si>
  <si>
    <t>F.P</t>
  </si>
  <si>
    <t>Plazo 
(Meses)</t>
  </si>
  <si>
    <t>Valor Total</t>
  </si>
  <si>
    <t>III</t>
  </si>
  <si>
    <t>VALORES DE REFERENCIA</t>
  </si>
  <si>
    <t>Unidad de Medida</t>
  </si>
  <si>
    <t>Valor Unitario</t>
  </si>
  <si>
    <t>Otros Gastos</t>
  </si>
  <si>
    <t>Descripción</t>
  </si>
  <si>
    <t xml:space="preserve">Valor </t>
  </si>
  <si>
    <t xml:space="preserve">Impuestos, tasas y contribuciones </t>
  </si>
  <si>
    <t>(1) Aplica / No aplica  por Cuantia Contrato?</t>
  </si>
  <si>
    <t xml:space="preserve">(2) Aplica otra exclusión
 diferente a la cuantía? </t>
  </si>
  <si>
    <t>Observación</t>
  </si>
  <si>
    <t>Valida (1) y (2)
Aplica/No aplica</t>
  </si>
  <si>
    <t>Tasa</t>
  </si>
  <si>
    <t xml:space="preserve">Gravamen a los movimientos Financieros -GMF-  Art. 115 ET Deducible 50% </t>
  </si>
  <si>
    <t>Aplica gravamen</t>
  </si>
  <si>
    <t>No</t>
  </si>
  <si>
    <t>Estampilla Procultura  - Capítulo XVIII Acuerdo 066/2017</t>
  </si>
  <si>
    <t>Estampilla Adulto Mayor  - Capítulo XIX Acuerdo 066/2017</t>
  </si>
  <si>
    <t>Estampilla U de A  - Capítulo XX Acuerdo 066/2017</t>
  </si>
  <si>
    <t>Aplica_estampilla</t>
  </si>
  <si>
    <t>No aplica exclusión</t>
  </si>
  <si>
    <t xml:space="preserve">Contribución Especial  Artículo 11 del Decreto 399 de 2011 y el inciso 2 del artículo 6 de la Ley 1106 de 2006 </t>
  </si>
  <si>
    <t>Si</t>
  </si>
  <si>
    <t>Aplica/ No aplica</t>
  </si>
  <si>
    <t>VALOR ASEGURADO</t>
  </si>
  <si>
    <t>Vigencia Póliza</t>
  </si>
  <si>
    <t>%</t>
  </si>
  <si>
    <t>VALOR</t>
  </si>
  <si>
    <t>Plazo del contrato (Meses)</t>
  </si>
  <si>
    <t>Meses Adicionales</t>
  </si>
  <si>
    <t>Buen manejo y correcta inversión del anticipo</t>
  </si>
  <si>
    <t>Devolución del pago anticipado</t>
  </si>
  <si>
    <t>Cumplimiento del contrato</t>
  </si>
  <si>
    <t>Pago de salarios, prestaciones sociales legales e indemnizaciones laborales</t>
  </si>
  <si>
    <t>Estabilidad y calidad de la obra</t>
  </si>
  <si>
    <t>Calidad del servicio</t>
  </si>
  <si>
    <t>Calidad y correcto funcionamiento de los bienes</t>
  </si>
  <si>
    <t>Responsabilidad Civil Extracontractual</t>
  </si>
  <si>
    <t>Todo riesgo y Construcción</t>
  </si>
  <si>
    <t>Recurso Humano</t>
  </si>
  <si>
    <t>Salarios</t>
  </si>
  <si>
    <t>Transporte</t>
  </si>
  <si>
    <t>Auxilio de transporte</t>
  </si>
  <si>
    <t>Vigilancia</t>
  </si>
  <si>
    <t>Clase de riesgo</t>
  </si>
  <si>
    <t>Valor Inicial</t>
  </si>
  <si>
    <t>Desde</t>
  </si>
  <si>
    <t>Hasta</t>
  </si>
  <si>
    <t>Dotación</t>
  </si>
  <si>
    <t>inidrecto</t>
  </si>
  <si>
    <t xml:space="preserve">Desde </t>
  </si>
  <si>
    <t>Valor asesgurado RCE</t>
  </si>
  <si>
    <t>I</t>
  </si>
  <si>
    <t>IMPUESTOS TASAS Y CONTRIBUCIONES</t>
  </si>
  <si>
    <t>Base</t>
  </si>
  <si>
    <t>Tarifa</t>
  </si>
  <si>
    <t>Columna1</t>
  </si>
  <si>
    <t>Si aplica exclusión</t>
  </si>
  <si>
    <t>SMMLV</t>
  </si>
  <si>
    <t>II</t>
  </si>
  <si>
    <t xml:space="preserve">* Gravamen a los movimientos Financieros -GMF-  Art. 115 ET Deducible 50% </t>
  </si>
  <si>
    <t>No_aplica_estampilla</t>
  </si>
  <si>
    <t>IV</t>
  </si>
  <si>
    <t>Factor Prestacional (Prestaciones Sociales, Aportes Seguridad Social y Parafiscales)</t>
  </si>
  <si>
    <t>V</t>
  </si>
  <si>
    <t>Salario:</t>
  </si>
  <si>
    <t>Concepto</t>
  </si>
  <si>
    <t>Porcentaje</t>
  </si>
  <si>
    <t>valor contrato</t>
  </si>
  <si>
    <t xml:space="preserve">Prima Anual </t>
  </si>
  <si>
    <t xml:space="preserve">Cesantías Anual </t>
  </si>
  <si>
    <t xml:space="preserve">Interés a la Cesantía </t>
  </si>
  <si>
    <t>AM</t>
  </si>
  <si>
    <t xml:space="preserve">Vacaciones Anual </t>
  </si>
  <si>
    <t>Valor hora Camioneta</t>
  </si>
  <si>
    <t>Salud (EPS) *</t>
  </si>
  <si>
    <t xml:space="preserve">24 horas 30 dias al mes medio humano sin armas </t>
  </si>
  <si>
    <t xml:space="preserve">Pensiones (AFP) </t>
  </si>
  <si>
    <t xml:space="preserve">Caja de Compensación </t>
  </si>
  <si>
    <t>Sena *</t>
  </si>
  <si>
    <t>ICBF *</t>
  </si>
  <si>
    <t>ARL</t>
  </si>
  <si>
    <t>TOTAL FACTOR PRESTACIONAL (%)</t>
  </si>
  <si>
    <t>FACTOR PRESTACIONAL</t>
  </si>
  <si>
    <t>Mensajero</t>
  </si>
  <si>
    <t xml:space="preserve">(*) De acuerdo con el artículo 114-1 del Estatuto Tributario, adicionado por el artículo 65 de la Ley 1819 de 2016, exonera del pago de las cotizaciones al Sistema General de Seguridad Social en Salud y del pago de los Aportes Parafiscales a favor del Servicio Nacional del Aprendizaje (SENA), del Instituto Colombiano de Bienestar Familiar (ICBF); entre otros, a las sociedades y personas jurídicas y asimiladas contribuyentes declarantes del impuesto sobre la renta y complementario, correspondientes a los trabajadores que devenguen, individualmente considerados, menos de diez (10) salarios mínimos mensuales legales vigentes.
</t>
  </si>
  <si>
    <t>Secretaria</t>
  </si>
  <si>
    <t>Propuesta corredor de Seguros</t>
  </si>
  <si>
    <t>Por ser un gasto reembolsable se propone presupuestar con la tasa máxima</t>
  </si>
  <si>
    <t>Básico sin experiencia</t>
  </si>
  <si>
    <t>% de Dedicación</t>
  </si>
  <si>
    <t>10 SMMLV</t>
  </si>
  <si>
    <t>Anexo - Factor Prestacional (Prestaciones Sociales, Aportes Seguridad Social y Parafiscales)</t>
  </si>
  <si>
    <t>Le aplica la exoneración de aportes. Art  114-1 ET?</t>
  </si>
  <si>
    <t xml:space="preserve">Cargo: </t>
  </si>
  <si>
    <t>Salario ($)</t>
  </si>
  <si>
    <t>Prima</t>
  </si>
  <si>
    <t>Cesantías</t>
  </si>
  <si>
    <t>Intereses a las Cesantías</t>
  </si>
  <si>
    <t>Vacaciones</t>
  </si>
  <si>
    <t>Total Factor Prestacional (%)</t>
  </si>
  <si>
    <t>* Articulo 114-1 Estatuto Tributario</t>
  </si>
  <si>
    <t>Valor promedio mt 2  -estrato 4-</t>
  </si>
  <si>
    <t xml:space="preserve">No </t>
  </si>
  <si>
    <t>Elaboró:</t>
  </si>
  <si>
    <t>Revisó:</t>
  </si>
  <si>
    <t>Poliza RCE (Validación del % o SMMLV de acuerdo con la cuantia del proceso Decreto 1082/2015</t>
  </si>
  <si>
    <t>Valor asegurado</t>
  </si>
  <si>
    <t xml:space="preserve"> % ó SMMLV. Artículo 2.2.1.2.3.1.17</t>
  </si>
  <si>
    <t>Inversión Ambiental - Socioambiental - Valor fijo-</t>
  </si>
  <si>
    <t>Celdas editables</t>
  </si>
  <si>
    <t>"CONSTRUCCIÓN DE OBRAS DE ESTABILIZACION, CONTENCIÓN Y COMPLEMENTARIAS PARA LA SEGURIDAD VIAL DEL MUNICIPIO DE MEDELLÍN”.</t>
  </si>
  <si>
    <t>SECRETARÍA DE SUMINISTROS Y SERVICIOS</t>
  </si>
  <si>
    <t>LICITACIÓN PÚBLICA 007000XXXX DE 2019</t>
  </si>
  <si>
    <t>FORMULARIO 1</t>
  </si>
  <si>
    <t>PRESUPUESTO OFICIAL</t>
  </si>
  <si>
    <t>Nº</t>
  </si>
  <si>
    <t>ITEM DE PAGO</t>
  </si>
  <si>
    <t xml:space="preserve">ESPECIFICACIONES </t>
  </si>
  <si>
    <t>DESCRIPCION</t>
  </si>
  <si>
    <t>UND.</t>
  </si>
  <si>
    <t>CANTIDAD</t>
  </si>
  <si>
    <t>VALOR UNITARIO</t>
  </si>
  <si>
    <t xml:space="preserve">VALOR TOTAL                                </t>
  </si>
  <si>
    <t>GENERAL</t>
  </si>
  <si>
    <t>PARTICULAR</t>
  </si>
  <si>
    <t>Localización, trazado y replanteo del proyecto. Se utilizará equipo de precisión, personal experto. Se hará con la frecuencia que lo indique la interventoría. Incluye demarcación con pintura, línea de trazado, corte de piso, libretas, planos.</t>
  </si>
  <si>
    <t>día</t>
  </si>
  <si>
    <t>Suministro, transporte y colocación de plástico polietileno negro. Incluye preparación de la superficie y todos los demás elementos necesarios para su correcta aplicación.</t>
  </si>
  <si>
    <t>m2</t>
  </si>
  <si>
    <t xml:space="preserve">Retiro de pasamanos.  Incluye: Cargue, transporte y botada, recuperación de los materiales aprovechables o su transporte hasta el sitio que lo indique la interventoría </t>
  </si>
  <si>
    <t>m</t>
  </si>
  <si>
    <t>Instalación de CERRAMIENTO PROVISIONAL en tela verde con una altura de 2,1 m. Incluye suministro, transporte e instalación de la tela, estructura en madera común,  excavación manual en cualquier material y todos los demás elementos necesarios para su correcta instalación.</t>
  </si>
  <si>
    <t>Desmonte y Limpieza. Incluye: Cargue, transporte y botada de escombros</t>
  </si>
  <si>
    <t xml:space="preserve">Demolición de concreto de cualquier tipo de resistencia y en cualquier estructura.  Incluye cargue, transporte y botada de material hasta el sitio que lo indique la interventoría </t>
  </si>
  <si>
    <t>m3</t>
  </si>
  <si>
    <t xml:space="preserve">Demolición de andenes o pisos de cualquier espesor. INCLUYE ENTRESUELO, retiro de: tapas de medidores de acueducto cualquier diámetro,  tapas de energía, tapas cajas de teléfonos, cargue, transporte y botada de escombros. </t>
  </si>
  <si>
    <t xml:space="preserve">Demolición de andenes o pisos de cualquier espesor. NO INCLUYE ENTRESUELO, retiro de: tapas de medidores de acueducto cualquier diámetro,  tapas de energía, tapas cajas de teléfonos, cargue, transporte y botada de escombros. </t>
  </si>
  <si>
    <t>Demolición cunetas y cordones de concreto de cualquier tamaño y resistencia. Incluye cargue, transporte y botada de material</t>
  </si>
  <si>
    <t>Demolición de carpeta asfáltica cualquier espesor. Incluye picada en tamaños máximos de 40 cm, acopio, cargue y transporte a la planta de reciclaje de la SIF.</t>
  </si>
  <si>
    <t>Remoción de gaviones manualmente y reconstrucción de los gaviones con la misma piedra removida. Incluye corte de malla de gaviones, carga y transporte de piedra al punto final de disposición</t>
  </si>
  <si>
    <t>Excavación MANUAL de 0 a 2 m en material heterogéneo, bajo cualquier grado de humedad. medido en sitio. No incluye entibado, ni botada de material.</t>
  </si>
  <si>
    <t>Corte de talud en material heterogéneo h=variable medido en sitio. Incluye cargue, transporte y botada de material en botaderos oficiales. Manual</t>
  </si>
  <si>
    <t xml:space="preserve">Excavación en roca con cuña hidráulica para pilas  incluye, cargue, transporte y botada de material. </t>
  </si>
  <si>
    <t>Excavación en roca cemento demoledor no explosivo CRAS. Incluye cemento demoledor a una dosificación de 7 kg por metro cubico, desembombe, cargue, transporte y botada a donde lo indique la interventoría. Se pagará como roca compacta. Se deben seguir las recomendaciones del productor y garantizar la aplicación de personal autorizado. se medirá como roca compacta</t>
  </si>
  <si>
    <t>Construcción de Entibado temporal en madera. Incluye todo lo necesario para su correcto funcionamiento.</t>
  </si>
  <si>
    <t>Llenos en arenilla compactados mecánicamente hasta obtener una densidad del 95% de la máxima obtenida en el ensayo del Próctor modificado.</t>
  </si>
  <si>
    <t>Suministro, transporte y colocación de triturado o material granular de 3/4" - 1 1/2" para filtro o cama de triturado, medido en sitio.</t>
  </si>
  <si>
    <t>Cargue manual,  transporte y botada de material proveniente de las excavaciones. Medido en sitio. Incluye derecho a botadero, en sitios oficiales o donde lo indique la interventoría.(Zona 1- nororiental)</t>
  </si>
  <si>
    <t>Cargue manual,  transporte y botada de material proveniente de las excavaciones. Medido en sitio. Incluye derecho a botadero, en sitios oficiales o donde lo indique la interventoría.(Zona 3- centro oriental)</t>
  </si>
  <si>
    <t>Cargue manual,  transporte y botada de material proveniente de las excavaciones. Medido en sitio. Incluye derecho a botadero, en sitios oficiales o donde lo indique la interventoría.(Zona 4- centro occidental)</t>
  </si>
  <si>
    <t>Cargue manual,  transporte y botada de material proveniente de las excavaciones. Medido en sitio. Incluye derecho a botadero, en sitios oficiales o donde lo indique la interventoría.(Zona 5- suroriental)</t>
  </si>
  <si>
    <t>Cargue manual,  transporte y botada de material proveniente de las excavaciones. Medido en sitio. Incluye derecho a botadero, en sitios oficiales o donde lo indique la interventoría.(Zona 6- suroccidental)</t>
  </si>
  <si>
    <t>Cargue manual,  transporte y botada de material proveniente de las excavaciones. Medido en sitio. Incluye derecho a botadero, en sitios oficiales o donde lo indique la interventoría.(Corregimiento de San Cristóbal)</t>
  </si>
  <si>
    <t>Excavación para pilas (ø exterior = 1.20m.), De 0 a 2 m . Incluye anillos de revestimiento en concreto de 17.5 Mpa. de e=10 cm, cargue, transporte y botada de material.</t>
  </si>
  <si>
    <t>Excavación para pilas (ø exterior = 1.20m.), De 2 a 4 m . Incluye anillos de revestimiento en concreto de 17.5 Mpa. de e=10 cm, cargue, transporte y botada de material.</t>
  </si>
  <si>
    <t>Excavación para pilas (ø exterior = 1.20m.), De 4 a 6 m . Incluye anillos de revestimiento en concreto de 17.5 Mpa. de e=10 cm, cargue, transporte y botada de material.</t>
  </si>
  <si>
    <t>Excavación para pilas (ø exterior = 1.20m.), De 6 a 8 m . Incluye anillos de revestimiento en concreto de 17.5 Mpa. de e=10 cm, cargue, transporte y botada de material.</t>
  </si>
  <si>
    <t>Excavación para pilas (ø exterior = 1.20m.), De 8 a 10 m . Incluye anillos de revestimiento en concreto de 17.5 Mpa. de e=10 cm, cargue, transporte y botada de material.</t>
  </si>
  <si>
    <t>Suministro, transporte y colocación de concreto de 21 Mpa para pilotes. Incluye excavación, cargue, transporte y botada. Φ 40 cm</t>
  </si>
  <si>
    <t>Suministro, transporte y colocación de concreto de 21 Mpa para pilotes. Incluye excavación, cargue, transporte y botada. Según diseño. Φ 60 cm</t>
  </si>
  <si>
    <t>Suministro, transporte y colocación de Concreto de 21 Mpa para Pilas . Incluye mano de obra, formaletas de ser necesario. No incluye refuerzo, según diseño.</t>
  </si>
  <si>
    <t xml:space="preserve">Suministro, transporte y colocación de Concreto 21 Mpa Ciclópeo para Fundación o lleno 40% piedra. </t>
  </si>
  <si>
    <t>Suministro, transporte y colocación de Concreto de 14 Mpa. para solados. E= 5 cm</t>
  </si>
  <si>
    <t>Suministro, transporte y colocación de Concreto de 28 Mpa para viga cabezal. (Ancho entre 1.0 -1.5 m y h= 0,5) Incluye mano de obra, formaletas de ser necesario. No incluye refuerzo, según diseño.</t>
  </si>
  <si>
    <t xml:space="preserve">Suministro, transporte y colocación de Concreto de 21 Mpa para vigas de amarre de fundación.  Según diseño. Incluye formaleta y vibrado. No incluye refuerzo. </t>
  </si>
  <si>
    <t>Vigas aéreas en concreto de 21 Mpa a la vista de 30x30 cm. No incluye refuerzo, según diseño</t>
  </si>
  <si>
    <t>Suministro, transporte y colocación de concreto de 21 Mpa para viga aérea a la vista de 30 x 40 cm. No incluye refuerzo, según diseño</t>
  </si>
  <si>
    <t>Suministro, transporte y colocación de concreto de 21 Mpa para viga aérea a la vista de 30 x 50 cm. No incluye refuerzo, según diseño</t>
  </si>
  <si>
    <t>Suministro, transporte y colocación de concreto de 21 Mpa para viga aérea a la vista de 30 x 60 cm. No incluye refuerzo, según diseño</t>
  </si>
  <si>
    <t>Suministro, transporte y colocación de Concreto de 21 Mpa a la vista  para muros y vástagos.  Incluye lloraderos en tubería PVC 2" de ser necesarios. Según diseño. No incluye refuerzo</t>
  </si>
  <si>
    <t>Concreto de 21 Mpa para fundación de muro y vigas de amarre.  Según diseño. No incluye refuerzo</t>
  </si>
  <si>
    <t>Construcción de andén en concreto de 21 Mpa. e=0.08 m. juntas cada 1.5 m. vaciado alternado , acabado tipo metro. según diseño, incluye entresuelo en piedra e=0.15 m. y 0.05 m. de arenilla compactadas. No incluye refuerzo</t>
  </si>
  <si>
    <t>Construcción de losa maciza en concreto de 21 Mpa aérea. según diseño. (Espesor= 10 cm)</t>
  </si>
  <si>
    <t>Construcción de losa maciza en concreto de 21 Mpa aérea. según diseño. (Espesor= 15 cm)</t>
  </si>
  <si>
    <t>Construcción de Columnas en concreto a la vista de 21 Mpa. No incluye refuerzo.  Según diseño</t>
  </si>
  <si>
    <t>Recinte en concreto de 21 Mpa ciclópeo 50% piedra, espesor 20/30 cm. Incluye todo lo necesario para su correcta construcción</t>
  </si>
  <si>
    <t xml:space="preserve">Suministro, transporte, corte, figuración y colocación de acero de refuerzo de : Fy = 420 Mpa. (4.200 kg/cm²).
</t>
  </si>
  <si>
    <t>kg</t>
  </si>
  <si>
    <t>Suministro, transporte y colocación de malla electro soldada Tipo D50.</t>
  </si>
  <si>
    <t>Suministro, transporte e instalación de tubería perforada para filtro PVC Ø=4" corrugada sin filtro y las respectivas conexiones. Incluye todo lo necesario para su correcta colocación</t>
  </si>
  <si>
    <t>Suministro, transporte y colocación de geotextil NT 2500 para filtro o equivalente . Incluye todo lo necesario para su correcta colocación</t>
  </si>
  <si>
    <t>Suministro, colocación y anclaje de defensa vial. Comprende tramo recto de 4.13 m y tramo terminal en lámina galvanizada en caliente por inmersión posterior a su fabricación conforme a las normas NTC 2076 y NTC 3320, grado 50; poste o paral de 1,80 x 0,14 x 0,06 m, que cumpla normas invias 730 y AASHTO M 180; incluye tornillos de 5/8" x 1 1/4, tuercas y arandelas, incluye además pintura electrostatica en polvo y todo lo demás para su correcta instalación.</t>
  </si>
  <si>
    <t>Ensayos de cilindros a compresión</t>
  </si>
  <si>
    <t>un</t>
  </si>
  <si>
    <t>Construcción  de  cuneta  en semicircular en  concreto de 17.5 Mpa. Desarrollo 0.55 m, espesor 0.08 m. Según diseño SIF. No incluye refuerzo</t>
  </si>
  <si>
    <t>Construcción de cuneta triangular en concreto de 21 Mpa, espesor 10 cm y desarrollo 65 cm. Incluye entresuelo 10 cm y ajustes de pavimento o concreto donde sea necesario. No incluye refuerzo. Según diseño</t>
  </si>
  <si>
    <t>Construcción de cuneta contra talud en concreto de 21 Mpa de 0.90 m de ancho, espesor 0.10 m. No incluye refuerzo.según diseño SIF, Municipio de Medellín</t>
  </si>
  <si>
    <t>Construcción de muro de contención en gaviones, incluye canasta triple torsión, alambre galvanizado, piedra para gavión, asesoria técnica y demás materiales para su ejecución. Según diseño y especificaciones técnicas exigidas por INVIAS.</t>
  </si>
  <si>
    <t>Escalas sobre entresuelo en concreto de 21 Mpa.  El entresuelo se pagará en su ítem respectivo Según detalle SIF Municipio de Medellín</t>
  </si>
  <si>
    <t>Acomodación de piedra de entresuelo y arenilla para adecuación de superficie, espesor de 0,15 m.</t>
  </si>
  <si>
    <t>Suministro, transporte y colocación de cinta para junta de muros tipo PVC (sello elástico para juntas sometidas opresión hidrostática). Ancho 22 cm</t>
  </si>
  <si>
    <t>Suministro, transporte y aplicación de mezcla asfáltica en caliente tipo densa MDC 19 que cumpla con el Artículo 450-13 de la norma INVIAS 2013, incluye:  imprimación, colocación con terminadora (finisher)  y compactación. Su medida de pago será metro cúbico compacto medido en sitio.</t>
  </si>
  <si>
    <t>Construcción  de  sumideros  tipo  A. Incluye malla de protección de ser necesario. Según diseño</t>
  </si>
  <si>
    <t>Suministro, transporte y colocación de mortero 1:3 de 0.08 m de espesor para recubrimiento de talud .Incluye suministro e instalación de doble malla de gallinero. Incluye  instalación de malla electro soldada D-50 e instalación de  barras de anclaje de  acero No.3 de 420 MPa  en forma de  U de 2.00 m de longitud total, espaciada cada 0.90 m. Aditivo impermeabilizante integral para morteros a una dosificación de 0.5 kg/m2, mano obra y todo lo necesario para su correcta construcción.  ( No incluye suministro del acero de los anclajes, ni suministro de la malla electro soldada)</t>
  </si>
  <si>
    <t>Acarreo interno de acero  para lugares de difícil acceso, pendiente y/o escalas. Se pagará según lo aprobado por la interventoría. Distancia mayor a  100 m.</t>
  </si>
  <si>
    <t>Acarreo interno - Longitud de 0 a 50 m</t>
  </si>
  <si>
    <t>Acarreo interno - Longitud de 50 a 100 m</t>
  </si>
  <si>
    <t>Acarreo interno - Longitud de 100 a 200 m</t>
  </si>
  <si>
    <t>Acarreo interno - Longitud  mayor de 200 m</t>
  </si>
  <si>
    <t>Construcción de cordón vaciado en concreto de 21 Mpa. De 15 x 45  cm, recto.  Incluye formaleta y todo lo necesario para su correcta construcción.</t>
  </si>
  <si>
    <t>Construcción de muro-cordón en concreto de 21 Mpa.  Según diseño SIF Municipio de Medellín. No incluye excavación.</t>
  </si>
  <si>
    <t>Construcción de cárcamo en concreto de 21 mpa. Incluye rejilla metálica con varilla de 3/4". dimensiones 30x25 medidas internas, muros de 10 cm. Según diseño. La excavación y acero se pagara en su ítem respectivo.</t>
  </si>
  <si>
    <t>Suministro, transporte e  instalación  de  tubería   PVC  para aguas negras- sanitaria Ø = 8". Incluye bocas y accesorios. La excavación y los llenos se pagaran en su ítem respectivo.</t>
  </si>
  <si>
    <t>Suministro, transporte e  instalación  de  tubería   PVC  para aguas negras- sanitaria Ø = 6". Incluye bocas y accesorios. La excavación y los llenos se pagarán en su ítem respectivo.</t>
  </si>
  <si>
    <t>Suministro, transporte e  instalación  de  tubería   PVC  para aguas negras- sanitaria Ø = 4". Incluye bocas y accesorios. La excavación y los llenos se pagarán en su ítem respectivo.</t>
  </si>
  <si>
    <t>Desmonte y retiro de red interna de servicios públicos (Acueducto, alcantarillado y eléctrica). Incluye: Cargue, transporte y botada de escombros hasta el sitio que lo indique la interventoría</t>
  </si>
  <si>
    <t>Construcción de caja de inspección y/o empalme de 80x80x80 cm medidas internas(L=0.8m) en concreto de 17.5 mpa, espesor 10 cm.  Incluye tapa y herraje. Según diseño SIF Municipio de Medellín</t>
  </si>
  <si>
    <t>Suministro, transporte  y  colocación de Pasamanos en tubería  agua de acero galvanizado sin rosca de D= 2", Incluye tubería agua de acero galvanizada sin rosca de D= 3/4 a 0,10m de distancia, soldadura en todas las uniones MIC0.30,   2 capas con epoxi poliamida y su respectivo catalizador color a definir. Incluye tubos verticales de diámetro  3/4"calibre 14 cada 0,20 m , y 2 tubos verticales cada 2 metros de 2"calibre 16  y fijación con platinas 0.10x0.15x1/4" y 4 pernos de expansión de 1" con una longitud mínima de 3" y/o concreto de 21 Mpa en caso de ser necesario. Todo lo necesario para su correcto anclaje y fijación. ver detalle 016 (OOPP).pasamanos en tubería galvanizada tipo acueducto.</t>
  </si>
  <si>
    <t>Suministro, transporte y colocación de Pasamanos en tubería 2" galvanizada calibre 16 tipo acueducto. H= 0.90 m. Incluye soldadura en todas las uniones MIC0.30,  wash primer, pintura esmalte color a definir, 2 manos. Incluye tubos verticales de diámetro  3/4"calibre 14 cada 0,10 m , y 2 tubos verticales cada 2.10 metros de 2"calibre 16  y empotramiento al cordón de concreto o fijación con platinas 0.10x0.15x1/4" y 4 pernos de expansión de 1" con una longitud mínima de 3" y/o concreto de 21 Mpa en caso de ser necesario. Todo lo necesario para su correcto anclaje y fijación. ver detalle 030 (SIF).</t>
  </si>
  <si>
    <t>Construcción de contenedor de raíces U350, incluye viga de fundación en concreto de 17.5 mpa (20x20m), muro en bloque de concreto (15x20x40m). No incluye marco para alcorque, refuerzo, excavación. Según detalle de MEP</t>
  </si>
  <si>
    <t>Suministro y colocación de grama macana capote mínimo 5cm</t>
  </si>
  <si>
    <t>Subtotal</t>
  </si>
  <si>
    <t>No Modificar</t>
  </si>
  <si>
    <t>Pólizas - Gasto Reembolsable-</t>
  </si>
  <si>
    <t>VALOR TOTAL</t>
  </si>
  <si>
    <t>costo directo</t>
  </si>
  <si>
    <t xml:space="preserve">VALOR TOTAL EN LETRAS: </t>
  </si>
  <si>
    <r>
      <t>NOTA 1:</t>
    </r>
    <r>
      <rPr>
        <sz val="12"/>
        <rFont val="Arial"/>
        <family val="2"/>
      </rPr>
      <t xml:space="preserve"> El valor definido por la Entidad por concepto de pólizas es un valor fijo y no podrá ser modificado en el presente formulario so pena de rechazo, la entidad reconocerá al contratista el valor real efectivamente causado por este concepto (Gasto Reembolsable), para el efecto, el contratista deberá presentar los documentos que soporten el valor facturado por las garantías, que en todo caso no podrá ser superior al valor presupuestado por la Entidad.</t>
    </r>
  </si>
  <si>
    <t>PORCENTAJE</t>
  </si>
  <si>
    <t>ADMINISTRACION</t>
  </si>
  <si>
    <t>A=</t>
  </si>
  <si>
    <t xml:space="preserve">IMPREVISTO
</t>
  </si>
  <si>
    <t>I=</t>
  </si>
  <si>
    <t xml:space="preserve">UTILIDAD
</t>
  </si>
  <si>
    <t>U=</t>
  </si>
  <si>
    <t>TOTAL A.I.U</t>
  </si>
  <si>
    <t>A.I.U.=</t>
  </si>
  <si>
    <r>
      <rPr>
        <b/>
        <sz val="12"/>
        <rFont val="Arial"/>
        <family val="2"/>
      </rPr>
      <t>NOTA 3:</t>
    </r>
    <r>
      <rPr>
        <sz val="12"/>
        <rFont val="Arial"/>
        <family val="2"/>
      </rPr>
      <t xml:space="preserve"> Se debe tener en cuenta que el PRECIO UNITARIO incluye el valor de A.I.U. </t>
    </r>
  </si>
  <si>
    <r>
      <rPr>
        <b/>
        <sz val="12"/>
        <rFont val="Arial"/>
        <family val="2"/>
      </rPr>
      <t>NOTA 4:</t>
    </r>
    <r>
      <rPr>
        <sz val="12"/>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</si>
  <si>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NOMBRE DEL PROPONENTE: ______________________________________
REPRESENTANTE LEGAL (nombre y firma):_________________________
FECHA:_________________________                    </t>
  </si>
  <si>
    <r>
      <rPr>
        <b/>
        <sz val="12"/>
        <rFont val="Arial"/>
        <family val="2"/>
      </rPr>
      <t>NOTA 5:</t>
    </r>
    <r>
      <rPr>
        <sz val="12"/>
        <rFont val="Arial"/>
        <family val="2"/>
      </rPr>
      <t xml:space="preserve"> El A.I.U y su discriminación deben estar en porcentaje (%). </t>
    </r>
  </si>
  <si>
    <t>SECRETARIA DE INFRAESTRUCTURA FISICA</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</si>
  <si>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</si>
  <si>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</si>
  <si>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</si>
  <si>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</si>
  <si>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</si>
  <si>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</si>
  <si>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</si>
  <si>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</si>
  <si>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</si>
  <si>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</si>
  <si>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</si>
  <si>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</si>
  <si>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</si>
  <si>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</si>
  <si>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</si>
  <si>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</si>
  <si>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</si>
  <si>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</si>
  <si>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</si>
  <si>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</si>
  <si>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</si>
  <si>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 xml:space="preserve">Nivel de precisión </t>
  </si>
  <si>
    <t>Equipo</t>
  </si>
  <si>
    <t>Estación total</t>
  </si>
  <si>
    <t>SUBTOTAL $</t>
  </si>
  <si>
    <t>II. MATERIALES</t>
  </si>
  <si>
    <t>PRECIO UNIT.</t>
  </si>
  <si>
    <t>Larguero 2" x 2" x 3 m.</t>
  </si>
  <si>
    <t>Un</t>
  </si>
  <si>
    <t>Clavo común de 1 1/2". Caja x 500gr.</t>
  </si>
  <si>
    <t>lb</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</si>
  <si>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</si>
  <si>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</si>
  <si>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</si>
  <si>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</si>
  <si>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</si>
  <si>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</si>
  <si>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</si>
  <si>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</si>
  <si>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</si>
  <si>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</si>
  <si>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</si>
  <si>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Comisión de Topografía (Topógrafo + 2 cadeneros)</t>
  </si>
  <si>
    <t xml:space="preserve">Herramienta </t>
  </si>
  <si>
    <t>Herramienta menor (5% MO)</t>
  </si>
  <si>
    <t>(%)mo</t>
  </si>
  <si>
    <t>TOTAL COSTO DIRECTO $</t>
  </si>
  <si>
    <t>V. COSTOS INDIRECTOS</t>
  </si>
  <si>
    <t xml:space="preserve">IMPREVISTOS </t>
  </si>
  <si>
    <t>UTILIDAD</t>
  </si>
  <si>
    <t>Precio Unitario Total Aproximado al peso $</t>
  </si>
  <si>
    <t>Firma</t>
  </si>
  <si>
    <t xml:space="preserve">Nombre:  </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</si>
  <si>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</si>
  <si>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</si>
  <si>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</si>
  <si>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</si>
  <si>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</si>
  <si>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</si>
  <si>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</si>
  <si>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Nombre:</t>
  </si>
  <si>
    <t>Representante Legal del Interventor o su Apoderado</t>
  </si>
  <si>
    <t>Plastico polietileno negro</t>
  </si>
  <si>
    <t>oficial + 1 ayudante</t>
  </si>
  <si>
    <t xml:space="preserve"> Instalación de CERRAMIENTO PROVISIONAL en tela verde con una altura de 2,1 m. Incluye suministro, transporte e instalación de la tela, estructura en madera común,  excavación manual en cualquier material y todos los demás elementos necesarios para su correcta instalación.</t>
  </si>
  <si>
    <t>Estacon en madera común</t>
  </si>
  <si>
    <t>Clavos</t>
  </si>
  <si>
    <t>Tela verde para cerramiento (ancho 2.10m)</t>
  </si>
  <si>
    <t xml:space="preserve">Grapa para clavar alambre </t>
  </si>
  <si>
    <t xml:space="preserve"> Desmonte y Limpieza. Incluye: Cargue, transporte y botada de escombros</t>
  </si>
  <si>
    <t>Ayudante</t>
  </si>
  <si>
    <t>Compresor  con manguera de 40 m, martillo, punta, combustible (combustible y operador)</t>
  </si>
  <si>
    <t>Demolición de andenes o pisos de cualquier espesor. INCLUYE ENTRESUELO, retiro de: tapas de medidores de acueducto cualquier diámetro,  tapas de energía, tapas cajas de teléfonos, cargue, transporte y botada de escombros.</t>
  </si>
  <si>
    <t xml:space="preserve"> Demolición cunetas y cordones de concreto de cualquier tamaño y resistencia. Incluye cargue, transporte y botada de material</t>
  </si>
  <si>
    <t>Telera 0.90 x1.35 m</t>
  </si>
  <si>
    <t>Alambre galvanizado para gavión</t>
  </si>
  <si>
    <t>Gavión 1 x 1 x 1</t>
  </si>
  <si>
    <t>Oficial + 1 ayudante</t>
  </si>
  <si>
    <t>Excavación en roca con cuña hidráulica para pilas  incluye, cargue, transporte y botada de material.</t>
  </si>
  <si>
    <t>Equipo de cuña hidráulica</t>
  </si>
  <si>
    <t>Motobomba sumergible 2"</t>
  </si>
  <si>
    <t>Molinete</t>
  </si>
  <si>
    <t>Can zunchado (Alquiler)</t>
  </si>
  <si>
    <t>Equipo de perforación</t>
  </si>
  <si>
    <t>Cras-Demoledor no explosivo</t>
  </si>
  <si>
    <t>Minero-cras</t>
  </si>
  <si>
    <t>Taco madera común redondo</t>
  </si>
  <si>
    <t>Tabla madera común - 0.18 x 3 m., espesor 1"</t>
  </si>
  <si>
    <t>Rana y/o placa vibratoria (Incluye combustible)</t>
  </si>
  <si>
    <t>Arenilla (Incluye transporte)</t>
  </si>
  <si>
    <t>Triturado 3/4" - 1 1/2" (Incluye transporte)</t>
  </si>
  <si>
    <t>Volqueta</t>
  </si>
  <si>
    <t>Oficial + 1 ayudante (cargue botada)</t>
  </si>
  <si>
    <t>Auxiliar</t>
  </si>
  <si>
    <t>Derecho a botadero</t>
  </si>
  <si>
    <t>Vibrador eléctrico o gasolina</t>
  </si>
  <si>
    <t>Motobomba 2" (Incluye manguera flexible 20 m)</t>
  </si>
  <si>
    <t>Concreto 2500 psi - 17.5 mpa</t>
  </si>
  <si>
    <t>Can madera común</t>
  </si>
  <si>
    <t xml:space="preserve">Oficial + 1 ayudante </t>
  </si>
  <si>
    <t>Oficial + 3 ayudante</t>
  </si>
  <si>
    <t>Pala hoyadora</t>
  </si>
  <si>
    <t xml:space="preserve"> Suministro, transporte y colocación de concreto de 21 Mpa para pilotes. Incluye excavación, cargue, transporte y botada. Según diseño. Φ 60 cm</t>
  </si>
  <si>
    <t>Concreto 3000 psi - 21 mpa</t>
  </si>
  <si>
    <t>Piedra entresuelo</t>
  </si>
  <si>
    <t>Concreto 2000 psi - 14 mpa</t>
  </si>
  <si>
    <t>Concreto 4000 psi - 28 mpa</t>
  </si>
  <si>
    <t>Larguero 2" x 4" x 3 m</t>
  </si>
  <si>
    <t>Formaleta Super T - 1.53 x 2.44 m - 19 mm</t>
  </si>
  <si>
    <t xml:space="preserve">  Suministro, transporte y colocación de Concreto de 21 Mpa para vigas de amarre de fundación.  Según diseño. Incluye formaleta y vibrado. No incluye refuerzo. </t>
  </si>
  <si>
    <t>Cercha metálica 3 mt</t>
  </si>
  <si>
    <t>Taco metálico hasta 3.3 m</t>
  </si>
  <si>
    <t>Sección completa andamio 1.20 x 1.50 m</t>
  </si>
  <si>
    <t>Tensor</t>
  </si>
  <si>
    <t>Taco metálico extra largo 4.5 - 5.5 m</t>
  </si>
  <si>
    <t>Chapeta tensora</t>
  </si>
  <si>
    <t>Tubería PVC - Sanitaria Ø 2"</t>
  </si>
  <si>
    <t>Concreto de 21 Mpa para fundación de muro y vigas de amarre.  Según diseño. No incluye refuerzoIncluye lloraderos en tubería PVC 2" de ser necesarios. Según diseño. No incluye refuerzo</t>
  </si>
  <si>
    <t>Concreto 3000 psi-21 Mpa, trabajo nocturno</t>
  </si>
  <si>
    <t>Piedra entresuelo (Incluye transporte)</t>
  </si>
  <si>
    <t>Pluma Grua - 60 mts</t>
  </si>
  <si>
    <t>Acarreo Interno menor de 100 m.</t>
  </si>
  <si>
    <t>III. TRANSPORTE</t>
  </si>
  <si>
    <t>Oficial + 1 ayudante, trabajo nocturno</t>
  </si>
  <si>
    <t xml:space="preserve"> Suministro, transporte, corte, figuración y colocación de acero de refuerzo de : Fy = 420 Mpa. (4.200 kg/cm²).</t>
  </si>
  <si>
    <t>Acero de refuerzo</t>
  </si>
  <si>
    <t>Alambre negro</t>
  </si>
  <si>
    <t>Transporte Acero</t>
  </si>
  <si>
    <t>Malla electrosoldada D-50</t>
  </si>
  <si>
    <t>Tubería perforada filtro 4" - 100 mm</t>
  </si>
  <si>
    <t>Oficial obra negra</t>
  </si>
  <si>
    <t xml:space="preserve">Geotextil  NT 2500 </t>
  </si>
  <si>
    <t>Terminal o tramo final 0.71 m galv.</t>
  </si>
  <si>
    <t>Paral h: 1.8 m,  incluye  tornilleria, galv.</t>
  </si>
  <si>
    <t>Tramo recto (long. 4.13 m) galv.+ pint. Elect.</t>
  </si>
  <si>
    <t>Transporte de materiales</t>
  </si>
  <si>
    <t>Cargue manual,  transporte y botada de material proveniente de las excavaciones. Medido en sitio. Incluye derecho a botadero, en sitios oficiales o donde lo indique la interventoría.</t>
  </si>
  <si>
    <t>Ensayo de compresion cilindro</t>
  </si>
  <si>
    <t>Tabla madera común - 0.18 x 3 m.</t>
  </si>
  <si>
    <t>Arenilla</t>
  </si>
  <si>
    <t>Cinta PVC A-22 - Sello elástico para juntas sometidas a presión hidrostatica</t>
  </si>
  <si>
    <t>Carro Imprimador</t>
  </si>
  <si>
    <t>Compactador de llantas</t>
  </si>
  <si>
    <t>Vibrocompactador SD-70 o CA-15</t>
  </si>
  <si>
    <t>Finisher</t>
  </si>
  <si>
    <t>Mezcla asfaltica  MDC-19 Invias</t>
  </si>
  <si>
    <t>Emulsión asfáltica</t>
  </si>
  <si>
    <t>gal</t>
  </si>
  <si>
    <t>8 Ayudantes</t>
  </si>
  <si>
    <t>2 Oficiales Rastrilleros</t>
  </si>
  <si>
    <t>Oficial  obra negra</t>
  </si>
  <si>
    <t>Reja metálica para sumidero tipo A tipo 2 (40 x 60 cm, con 2 travesias)</t>
  </si>
  <si>
    <t>Mortero 1:3</t>
  </si>
  <si>
    <t>Malla gallinero</t>
  </si>
  <si>
    <t>Aditivo impermeabilizante integral para hormigón y mortero (TOXEMENT 1A - SIKA 1 o similar)</t>
  </si>
  <si>
    <t>2 ayudantes</t>
  </si>
  <si>
    <t xml:space="preserve"> ayudante</t>
  </si>
  <si>
    <t>ayudante</t>
  </si>
  <si>
    <t>Tapa rejilla cárcamo 40x40x8 cm prefabricada</t>
  </si>
  <si>
    <t>Tubería PVC - Sanitaria Ø 8"</t>
  </si>
  <si>
    <t>Codo PVC - 90° - 8" - Sanitario - CXC</t>
  </si>
  <si>
    <t>Unión PVC - 8" - Sanitaria</t>
  </si>
  <si>
    <t>Tee PVC - 8" Sanitaria</t>
  </si>
  <si>
    <t>Soldadura PVC</t>
  </si>
  <si>
    <t>1/4 gal</t>
  </si>
  <si>
    <t>Limpiador PVC</t>
  </si>
  <si>
    <t>g/4</t>
  </si>
  <si>
    <t>Tee PVC - 6" Sanitaria</t>
  </si>
  <si>
    <t>Codo PVC - 90° - 6" - Sanitario - CXC</t>
  </si>
  <si>
    <t>Tubería PVC - Sanitaria Ø 6"</t>
  </si>
  <si>
    <t>Unión PVC - 6" - Sanitaria</t>
  </si>
  <si>
    <t>Tee PVC - 4" Sanitaria</t>
  </si>
  <si>
    <t>Unión PVC - 4" - Sanitaria</t>
  </si>
  <si>
    <t>Codo PVC - 90° - 4" - Sanitario - CXC</t>
  </si>
  <si>
    <t>Tubería PVC - Sanitaria Ø 4"</t>
  </si>
  <si>
    <t>1/4 g/4</t>
  </si>
  <si>
    <t xml:space="preserve"> Desmonte y retiro de red interna de servicios públicos (Acueducto, alcantarillado y eléctrica). Incluye: Cargue, transporte y botada de escombros hasta el sitio que lo indique la interventoría</t>
  </si>
  <si>
    <t xml:space="preserve"> Construcción de caja de inspección y/o empalme de 80x80x80 cm medidas internas(L=0.8m) en concreto de 17.5 mpa, espesor 10 cm.  Incluye tapa y herraje. Según diseño SIF Municipio de Medellín</t>
  </si>
  <si>
    <t>Herraje tapa- caja de inspección 80 x 80 cm</t>
  </si>
  <si>
    <t xml:space="preserve"> Suministro, transporte  y  colocación de Pasamanos en tubería  agua de acero galvanizado sin rosca de D= 2", Incluye tubería agua de acero galvanizada sin rosca de D= 3/4 a 0,10m de distancia, soldadura en todas las uniones MIC0.30,   2 capas con epoxi poliamida y su respectivo catalizador color a definir. Incluye tubos verticales de diámetro  3/4"calibre 14 cada 0,20 m , y 2 tubos verticales cada 2 metros de 2"calibre 16  y fijación con platinas 0.10x0.15x1/4" y 4 pernos de expansión de 1" con una longitud mínima de 3" y/o concreto de 21 Mpa en caso de ser necesario. Todo lo necesario para su correcto anclaje y fijación. ver detalle 016 (OOPP).pasamanos en tubería galvanizada tipo acueducto.</t>
  </si>
  <si>
    <t xml:space="preserve">Pulidora manual (alquiler) </t>
  </si>
  <si>
    <t>Taladro percutor</t>
  </si>
  <si>
    <t>Planta Electrica de 15 Kva</t>
  </si>
  <si>
    <t>Extensión Eléctrica (50m)</t>
  </si>
  <si>
    <t>Equipo Soldador</t>
  </si>
  <si>
    <t>Tubería galvanizada 3/4" - pasamanos</t>
  </si>
  <si>
    <t>Masilla</t>
  </si>
  <si>
    <t>gl</t>
  </si>
  <si>
    <t>Platina 0.10 m. x 0.15 m. x 1/4"</t>
  </si>
  <si>
    <t>Soldadura 6011</t>
  </si>
  <si>
    <t>Pernos</t>
  </si>
  <si>
    <t>Pintura anticorrosivo verde</t>
  </si>
  <si>
    <t>Tubería galvanizada 2" - pasamanos</t>
  </si>
  <si>
    <t>Wash primer - pintura - acondicionador</t>
  </si>
  <si>
    <t>cuarto</t>
  </si>
  <si>
    <t xml:space="preserve">Pintura esmalte base aceite </t>
  </si>
  <si>
    <t>Cuadrilla Cerrajería</t>
  </si>
  <si>
    <t>Oficial obra blanca + ayudante</t>
  </si>
  <si>
    <t xml:space="preserve"> Suministro, transporte y colocación de Pasamanos en tubería 2" galvanizada calibre 16 tipo acueducto. H= 0.90 m. Incluye soldadura en todas las uniones MIC0.30,  wash primer, pintura esmalte color a definir, 2 manos. Incluye tubos verticales de diámetro  3/4"calibre 14 cada 0,10 m , y 2 tubos verticales cada 2.10 metros de 2"calibre 16  y empotramiento al cordón de concreto o fijación con platinas 0.10x0.15x1/4" y 4 pernos de expansión de 1" con una longitud mínima de 3" y/o concreto de 21 Mpa en caso de ser necesario. Todo lo necesario para su correcto anclaje y fijación. ver detalle 030 (SIF).</t>
  </si>
  <si>
    <t>Bloque de concreto 15 x 20 x 40 - R13</t>
  </si>
  <si>
    <t>Mortero 1:5</t>
  </si>
  <si>
    <t>Transporte de bloque de 15</t>
  </si>
  <si>
    <t xml:space="preserve"> Suministro, transporte y siembra de gramas tipo macana, Braquiaria, Kicuyo para control de erosión de taludes.</t>
  </si>
  <si>
    <t>Riego, 10 litros al momento de la siembra y mínimo por 30 días según lluvias y hasta recibo final de la obra.</t>
  </si>
  <si>
    <t>it</t>
  </si>
  <si>
    <t>Tierra preparada con enmienda orgánico mineral composición garantizada (50kilos/m3)</t>
  </si>
  <si>
    <t>Cobertura tipo braquiaria, mecana, kicuyo, etc</t>
  </si>
  <si>
    <t>Micorriza 100gr, fertilización elementos mayores tipo (30-10-30) + menores, 150 gr al mantenimiento un mes despues, manejo fitosanitario. Ver especificación SIF</t>
  </si>
  <si>
    <t>Transporte  insumos, residuos (organicos, escombros, basuras)</t>
  </si>
  <si>
    <t>Ing. Forestal  o agrónomo con experiencia certificada en la actividad de 1 año</t>
  </si>
  <si>
    <t>Jardinero</t>
  </si>
  <si>
    <t>CONSTRUCCIÓN DE OBRAS DE ESTABILIZACIÓN PARA LA SEGURIDAD VIAL</t>
  </si>
  <si>
    <t xml:space="preserve">Plazo: </t>
  </si>
  <si>
    <t>Costo:</t>
  </si>
  <si>
    <t>GESTIÓN SOCIAL Y COMUNICACIONAL</t>
  </si>
  <si>
    <t xml:space="preserve">Información  y divulgación </t>
  </si>
  <si>
    <t>Logística reuniones comunidad (inicio, avance y finalización), incluyen alquiler video beam, refreigerios para 30 personas).</t>
  </si>
  <si>
    <t>Logística reuniones Comité Ciudadano de Obra (incluye refrigerio para 15 personas).</t>
  </si>
  <si>
    <t>Volantes según manual de identidad (14x21 cm, bond 90 gr, tintas 4x1)</t>
  </si>
  <si>
    <t>Afiche según manual de identidad (50x35 cm, bond 90 gr, tintas 4x0)</t>
  </si>
  <si>
    <t>Valla tipo tijera 1 x 1 m en lamina galvanizada calibre 24 impresa en screen pintura</t>
  </si>
  <si>
    <t xml:space="preserve">GESTIÓN AMBIENTAL </t>
  </si>
  <si>
    <t>Manejo de Residuos Sólidos</t>
  </si>
  <si>
    <t>Canecas de 5 galones (para ubicar en campamentos y distribuidos en frentes de obra)</t>
  </si>
  <si>
    <t>Canecas de 55 galones (para ubicar en campamentos y distribuidos en frentes de obra)</t>
  </si>
  <si>
    <t>Almacenamiento adecuado de materiales de construcción</t>
  </si>
  <si>
    <t>Teleras 1,20 x 0,70 m</t>
  </si>
  <si>
    <t>Plástico Negro, calibre 4 y ancho de 2 m.</t>
  </si>
  <si>
    <t>Manejo del Recurso Hídrico</t>
  </si>
  <si>
    <t>Malla tipo polisombra color azúl para proteger sumideros (Rollo por 200 m x 1,50 m ancho)</t>
  </si>
  <si>
    <t>Abanderados</t>
  </si>
  <si>
    <r>
      <t>Paleta de pare y siga reflectividad grado diamante (45 x 45 cm, con paral)</t>
    </r>
    <r>
      <rPr>
        <b/>
        <sz val="9"/>
        <color indexed="10"/>
        <rFont val="Arial"/>
        <family val="2"/>
      </rPr>
      <t>*</t>
    </r>
    <r>
      <rPr>
        <sz val="9"/>
        <color indexed="8"/>
        <rFont val="Arial"/>
        <family val="2"/>
      </rPr>
      <t xml:space="preserve"> </t>
    </r>
  </si>
  <si>
    <t>Señalización vial y desvios</t>
  </si>
  <si>
    <r>
      <t>Señales informativas según manual de señalización vial, 0,60 x 1,20 m fija</t>
    </r>
    <r>
      <rPr>
        <b/>
        <sz val="9"/>
        <color indexed="10"/>
        <rFont val="Arial"/>
        <family val="2"/>
      </rPr>
      <t>*</t>
    </r>
  </si>
  <si>
    <r>
      <t>Señales preventivas según manual de señalización vial, 75 x 75, móvil usada en vías secundarias</t>
    </r>
    <r>
      <rPr>
        <b/>
        <sz val="9"/>
        <color indexed="10"/>
        <rFont val="Arial"/>
        <family val="2"/>
      </rPr>
      <t>*</t>
    </r>
  </si>
  <si>
    <t>SEGURIDAD INDUSTRIAL Y SALUD  OCUPACIONAL</t>
  </si>
  <si>
    <t>Ubicación y dotación de campamentos</t>
  </si>
  <si>
    <r>
      <t>Camilla emergencia polietileno 185 cm x 0.45 cm</t>
    </r>
    <r>
      <rPr>
        <b/>
        <sz val="9"/>
        <color indexed="10"/>
        <rFont val="Arial"/>
        <family val="2"/>
      </rPr>
      <t>*</t>
    </r>
  </si>
  <si>
    <t xml:space="preserve">Extintor ABC 10 LB </t>
  </si>
  <si>
    <t>Alquiler de baño Estandar con 1 limpieza por semana (atiende a 8 personas)</t>
  </si>
  <si>
    <t>mes</t>
  </si>
  <si>
    <t>Botiquín cruz roja de primeros auxilios ref 115 en lona</t>
  </si>
  <si>
    <t>Transporte de personal, Materiales y Equipos</t>
  </si>
  <si>
    <t>Lona para vehículo (volqueta o camión) de 1,00 x 1,50 m, impresión injekt resistente a la intemperie</t>
  </si>
  <si>
    <t>Imagen Institucional</t>
  </si>
  <si>
    <t>Chalecos para director, ingenieros, residentes, auxiliares</t>
  </si>
  <si>
    <t>Total Aplicación Guía Socioambiental</t>
  </si>
  <si>
    <t>IMPLEMENTACION PLAN DE MANEJO DE TRANSITO (PMT)</t>
  </si>
  <si>
    <t xml:space="preserve">Señales informativa, reglamentarias y preventivas. Dimensiones y características según lo establecido por el Manual de Señalización Vial  2015 (*). </t>
  </si>
  <si>
    <t>Paleta de pare y siga Dimensiones y características según lo establecido por el Manual de Señalización Vial 2015</t>
  </si>
  <si>
    <t>Maletín (2,0 x 1,0 m) . (Alquiler)</t>
  </si>
  <si>
    <t>Balizas (1,4 m)</t>
  </si>
  <si>
    <t>Barricadas</t>
  </si>
  <si>
    <t>Conos (0,90 m de altura, material plástico color naranja, lámina reflectiva tipo IV)</t>
  </si>
  <si>
    <t>Faro luminoso (flasher)</t>
  </si>
  <si>
    <t>Cinta Señalización Naranja (calibre 4, rollo por 500 m)</t>
  </si>
  <si>
    <t>Malla tipo polisombra color naranja (Rollo por 100 m, ancho de 1,50 m)</t>
  </si>
  <si>
    <t>Malla plástica naranja (polietileno de alta densidad, rollo por 50 m, ancho 1,40 m)</t>
  </si>
  <si>
    <t xml:space="preserve">Teleras 1,35m x 0,90 m </t>
  </si>
  <si>
    <t>Auxiliar de tránsito, incluida dotación, diurno</t>
  </si>
  <si>
    <t>personas/mes</t>
  </si>
  <si>
    <t>Auxiliar de tránsito, incluida dotación, nocturno</t>
  </si>
  <si>
    <t>Capacitación y entrenamiento para auxiliares de tránsito para obras en vías</t>
  </si>
  <si>
    <t xml:space="preserve">Pasacalles </t>
  </si>
  <si>
    <t>Permiso de ocupación de vía Secretaría de Movilidad.</t>
  </si>
  <si>
    <t>Total implementacion plan de manejo de transito (PMT)</t>
  </si>
  <si>
    <t>TOTAL Aplicación Guía Socioambiental +implementacion plan de manejo de transito (PMT)</t>
  </si>
  <si>
    <t>Nota</t>
  </si>
  <si>
    <t>1. Dentro del Factor Prestacional debe incluirse la dotación contemplada por la ley y los elementos de Protección Personal -EPP según la naturaleza del riesgo al que este sometido el trabajador.</t>
  </si>
  <si>
    <r>
      <t xml:space="preserve">2. </t>
    </r>
    <r>
      <rPr>
        <b/>
        <sz val="12"/>
        <color indexed="10"/>
        <rFont val="Arial"/>
        <family val="2"/>
      </rPr>
      <t>*</t>
    </r>
    <r>
      <rPr>
        <sz val="9"/>
        <color indexed="8"/>
        <rFont val="Arial"/>
        <family val="2"/>
      </rPr>
      <t>Implementos nuevos, no reintegrables a la Secretaria de Infraestructura Física; se reconocera  un porcentaje de su valor comercial</t>
    </r>
  </si>
  <si>
    <t>3. El personal socioambiental esta cargado dentro del personal administrativo de la obra</t>
  </si>
  <si>
    <t>4. El personal que conforma la brigada ambiental esta cargado dentro del personal administrativo de la obra y se encarga de las labores de aseo, orden y limpieza y las de abanderado cuando la situación asi  lo exija</t>
  </si>
  <si>
    <r>
      <rPr>
        <b/>
        <sz val="9"/>
        <color indexed="8"/>
        <rFont val="Arial"/>
        <family val="2"/>
      </rPr>
      <t xml:space="preserve">5. </t>
    </r>
    <r>
      <rPr>
        <sz val="9"/>
        <color indexed="8"/>
        <rFont val="Arial"/>
        <family val="2"/>
      </rPr>
      <t>Los costos en que incurra el contratista por el manejo socioambiental del proyecto deberán incluirse en los costos indirectos de administración del contrato, el proponente deberá diligenciar este formulario teniendo en cuenta que el CONTENIDO MINIMO del mismo será el correspondiente al formato oficial, so pena del rechazo de su propuesta, no obstante, el oferente según el análisis del proceso constructivo podrá aumentar las cantidades. El hecho de que el contratista no estipule en el A.U., el valor de la gestión ambiental representado en el ítem aplicación de la guía socioambiental, no lo exime del cumplimiento de la legislación ambiental vigente que le sea aplicable y no podrá solicitar pago adicional alguno por este concepto, pues todo quedará cubierto con lo que cotizó en los costos indirectos.</t>
    </r>
  </si>
  <si>
    <r>
      <t>6. La operación se soporta en cuatro</t>
    </r>
    <r>
      <rPr>
        <b/>
        <sz val="9"/>
        <color indexed="8"/>
        <rFont val="Arial"/>
        <family val="2"/>
      </rPr>
      <t xml:space="preserve"> (4)</t>
    </r>
    <r>
      <rPr>
        <sz val="9"/>
        <color indexed="8"/>
        <rFont val="Arial"/>
        <family val="2"/>
      </rPr>
      <t xml:space="preserve"> cuadrillas por 9 trabjadores cada una y para un tiempo de 4 </t>
    </r>
    <r>
      <rPr>
        <b/>
        <sz val="9"/>
        <color indexed="8"/>
        <rFont val="Arial"/>
        <family val="2"/>
      </rPr>
      <t>MESES</t>
    </r>
  </si>
  <si>
    <t>Proyectó:</t>
  </si>
  <si>
    <t>Ingeniero responsable</t>
  </si>
  <si>
    <r>
      <rPr>
        <b/>
        <sz val="12"/>
        <rFont val="Arial"/>
        <family val="2"/>
      </rPr>
      <t>NOTA 2:</t>
    </r>
    <r>
      <rPr>
        <sz val="12"/>
        <rFont val="Arial"/>
        <family val="2"/>
      </rPr>
      <t xml:space="preserve"> El valor total presupuestado por la entidad por concepto de la aplicación de la guía socio ambiental reflejada en el anexo ambiental es un valor fijo y será demostrable. No podrá ser modificado so pena de rechazo. Lo anterior, con la finalidad  de ser ejecutados en la proporción requerida y durante los tiempos en que se presenten las necesidades que cada uno de ellos busca satisfacer. Dichas actividades serán reconocidas a cargo de reembolso de gastos</t>
    </r>
  </si>
  <si>
    <t>A - Costos directos de personal (Profesional, tecnólogo y técnico)</t>
  </si>
  <si>
    <t>ANALISIS DEL FACTOR MULTIPLICADOR</t>
  </si>
  <si>
    <t>VALOR BASICO DE LA NOMINA</t>
  </si>
  <si>
    <t>Valor antes de IVA</t>
  </si>
  <si>
    <t>Plazo (meses)</t>
  </si>
  <si>
    <t>Salario Básico</t>
  </si>
  <si>
    <t>Prestaciones Sociales</t>
  </si>
  <si>
    <t>Prima Anual</t>
  </si>
  <si>
    <t>Cesantías anual</t>
  </si>
  <si>
    <t>Interés a las cesantías</t>
  </si>
  <si>
    <t>Subtotal 2 - Prestaciones Sociales</t>
  </si>
  <si>
    <t>CALCULO DE OTROS COSTOS Y SU INCIDENCIA EN EL FACTOR MULTIPLICADOR</t>
  </si>
  <si>
    <t>Costos Indirectos</t>
  </si>
  <si>
    <t>VALOR ESTABLECIDO</t>
  </si>
  <si>
    <t>Hasta 3 SMMLV</t>
  </si>
  <si>
    <t>Se debe tener en cuenta que este tope es mensual y se paga por la duración del proyecto.</t>
  </si>
  <si>
    <t>Se cancela un solo valor por todo el proyecto</t>
  </si>
  <si>
    <t>Calculable</t>
  </si>
  <si>
    <t>Se define el tipo de personal que se va a reconocer y se calcula según la tabla adjunta</t>
  </si>
  <si>
    <t>Subtotal 3 - Costos Indirectos</t>
  </si>
  <si>
    <t>Impuestos y otras contribuciones</t>
  </si>
  <si>
    <t>4/1000 antes de IVA. Deducible 50% según Art. 115 Estatuto Tributario.</t>
  </si>
  <si>
    <t>1% antes de IVA</t>
  </si>
  <si>
    <t>2% Antes de IVA</t>
  </si>
  <si>
    <t>Para Contratos con valor superior a 1500 SMMLV</t>
  </si>
  <si>
    <t>0,5 % Antes de IVA</t>
  </si>
  <si>
    <t>Subtotal 5 - Impuestos y otras contribuciones</t>
  </si>
  <si>
    <t>Total 1+2+3+4+5</t>
  </si>
  <si>
    <t xml:space="preserve">Factor Multiplicador : </t>
  </si>
  <si>
    <t>Personal administrativo, técnico y no técnico, no facturable</t>
  </si>
  <si>
    <t>Nota: Estos valores de equipos de oficina para uso del proyeto, es un reconocimiento a los equipos de la empresa como tal, más no los equipos que estan en la obra directamente.</t>
  </si>
  <si>
    <t>Descripción / Detalle</t>
  </si>
  <si>
    <t>Unidad</t>
  </si>
  <si>
    <t>valor antes de IVA</t>
  </si>
  <si>
    <t>IVA</t>
  </si>
  <si>
    <t xml:space="preserve">Honorarios (...% de (1+2+3)) el porcentaje no podrá ser superior a 12%  </t>
  </si>
  <si>
    <t xml:space="preserve">No podrá ser superior al </t>
  </si>
  <si>
    <t xml:space="preserve">B - Otros Costos directos </t>
  </si>
  <si>
    <r>
      <t xml:space="preserve">Costo directo de personal incluido Factor Multiplicador </t>
    </r>
    <r>
      <rPr>
        <b/>
        <sz val="12"/>
        <color theme="4"/>
        <rFont val="Arial"/>
        <family val="2"/>
      </rPr>
      <t>(A)</t>
    </r>
  </si>
  <si>
    <r>
      <t xml:space="preserve">Otros costos directos </t>
    </r>
    <r>
      <rPr>
        <b/>
        <sz val="12"/>
        <color rgb="FF0070C0"/>
        <rFont val="Arial"/>
        <family val="2"/>
      </rPr>
      <t>(B)</t>
    </r>
  </si>
  <si>
    <t>Abogado</t>
  </si>
  <si>
    <t>Equipo de oficina central</t>
  </si>
  <si>
    <t>Observaciones</t>
  </si>
  <si>
    <t>Número de computadores de la oficina</t>
  </si>
  <si>
    <t>computador dura 2 años</t>
  </si>
  <si>
    <t>básico, contabilidad, progamación de obra, autocad o revis, project, que progamas tiene?</t>
  </si>
  <si>
    <t>cotizar sillas en el mercado, para pagarle un porcentaje, o depresiación</t>
  </si>
  <si>
    <t>cotizar impresora y se le paga igual</t>
  </si>
  <si>
    <t>FM</t>
  </si>
  <si>
    <t>Gerente de la empresa</t>
  </si>
  <si>
    <t xml:space="preserve">Contador </t>
  </si>
  <si>
    <t>Revisor fiscal</t>
  </si>
  <si>
    <t>Profesional de licitaciones</t>
  </si>
  <si>
    <t>Auxiliar adminsitrativo</t>
  </si>
  <si>
    <t>profesional Ambiental</t>
  </si>
  <si>
    <t>profesional social</t>
  </si>
  <si>
    <t>Item / Descripción</t>
  </si>
  <si>
    <t>Especificaciones Técnicas</t>
  </si>
  <si>
    <t>Mesa Para Televisor en Madera Aglomerada</t>
  </si>
  <si>
    <t>Mesa para Televisor en madera aglomerada dimensiones 1.00m ancho, 0.68m alto</t>
  </si>
  <si>
    <t>Mesa Redonda Grande</t>
  </si>
  <si>
    <t>Mesa redonda para reuniones en madecor, superficie en tablex de 25 mm, enchapada en fórmica y biselada en PVC; estructura metálicaen pedestal y base circular o patas con tapones de caucho antideslizante, en pintura electroestática en polvo horneable. Diámetro 150 cm y altura de 75 cm. Garantía 12 meses o superior</t>
  </si>
  <si>
    <t>Silla Ergonómica  con Brazos</t>
  </si>
  <si>
    <t>Silla ergonómica giratoria. con brazos en T, espaldar alto, mecanismo neumático, con contacto permanente.
Asiento:  En espuna de alta densidad preormado, Cubierta externa en polipropileno negro texturizado, 46 cm ancho x 44 cm de profundidad, cubierta interna  en polipropileno sin texturizar con acabado anatómico.
Espaldar: en espuma de alta densidad preormada,  Soporte espaldar  (platina) graduable en acero terminado en pintura electrostática, con perilla  y recubierta en fuelle plástico en negro texturizado semi-mate. Espesor 2 mm x 3 cm. de ancho. Cubierta externa en polipropileno negro texturizado, estructura interna en polipropileno sin textura. Mecanismo de contacto permanente en acero y recubrimiento plástico negro mate texturizado, con ángulo del espaldar ajustable a través de perilla lateral.  Angulo variable de 15°.
Base:   En  Nylon P.A. 6.6 reforzada 30% en fibra de vidrio, de cinco (5) aspas curvadas, acabado negro texturizado. 
Brazos:   Ajustables en T,   en Nylon negro texturizado y lámina de acero Escualizables, en T de 90°,  lámina de acero desde el inicio o es decir desde el plato de la base que soporta todo el asiento.
Ruedas: En  Nylon negro texturizado, doble carreta para alto impacto, capacidad  de carga por rueda de 40 Kg. Dimensiones:   Diámetro por rueda de 50 mm, Diámetro cuello 38 mm, Diámetro perno 11 mm.
Columna:   A gas, con regulación de graduación de altura a gas (nitrógeno comprimido).  Carrera de 35 mm, Tubo de cono reducido.  Acabado:   Cromado/negro, texturizado mate. Dimensiones:   Diámetro tuvo 50 mm. Cono morse superior 28 mm, Cono morse inferior 50 mm, Altura del cono reducido 93 mm, Longitud del tubo 239 mm. 
Mecanismo: En acero con recubrimiento en plástico,  altura graduable mediante sistema “up-down”.  Angulo del espaldar ajustable por medio de eleve lateral. Acabado:   Negro Texturizado Dimensiones:   Angulo variable de 21° (5° al frente y 16° atrás con respecto a la vertical).
Tapizado: Paño de Hilat  o similar resistente a la abrasión, encogimiento y antialérgico. Color:   Verde escorial plus esmeralda. Debe mirarse la muestra de esta silla en la oficina 626 con el supervisor del contrato y la que entregue el proveedor debe ser exactamente igual a la muestra. Garantía 12 meses o superior</t>
  </si>
  <si>
    <t>Silla Ergonómica Ejecutiva sin Descansa Cabeza</t>
  </si>
  <si>
    <t xml:space="preserve">Espaldar graduable en altura 65mm y Asiento tapizados en malla de poliester nylón y elastomeríco, antitranspirante, deslizante y transparente de alta resistencia, con lo cual se disipa de forma más eficiente el calor y brinda mayor comodidad al usuario de la silla, graduable en altura 65mm, basculante 90°-100°-110°. Brazos giratorios con líneas refinadas, graduables en altura, los apoyos de los codos y del ante-brazo están hechos de un material acolchado. Soporte Lumbar de actividad separada, el cual se adapta a la curvatura de la espalda del usuario y le brinda alivio a la tensión muscular de la zona.
Silla de Lujo Giratoria, soporte del plato y de los brazos en metal cromado, con base araña en metal cromado de cinco aspas, con rodachinas de doble rueda con recubrimiento en neopreno.
</t>
  </si>
  <si>
    <t xml:space="preserve">Silla Interlocutora Abollonada </t>
  </si>
  <si>
    <t>Silla  fija con espaldar plástico negro y asiento tapizado abollonado en paño (los colores se definirán con el proveedor y la dependencia al iniciar el contrato), espuma laminada densidad 40, con 3 cm de espesor, con  cuatro (4) patas en tubo de acero  ovalado, calibre 16 reforzado con soldadura MIG altamente resistente, con tapones de caucho antideslizante, acabado en pintura electrostática negra, altura del asiento al borde superior del   espaldar de 40 a 43 cms. Dimensiones asiento ancho x largo 46 cms x 43 cms, espaldar ancho x largo 46 cms x 33 cms, altura del piso al asiento 46 cms. Propiedades de los materiales: resistencia al fuego, a la abrasión, a la tensión, a la rotura, al rasgado, a los solventes, a la luz, al lavado, a la decoloración. Garantía 12 meses o superior.</t>
  </si>
  <si>
    <t>Tablero en Corcho y Marco en Aluminio</t>
  </si>
  <si>
    <t>Tablero de corcho de 1,5 cm de grosor, con marco de aluminio de 2 cm de ancho, con cantoneras de protección, debe de incluir kit de fijación e instalación. Medidas: 80x 100 cms. Garantía 12 meses o superior.</t>
  </si>
  <si>
    <t>Cantidades</t>
  </si>
  <si>
    <t>Depreciación (meses)</t>
  </si>
  <si>
    <t>Valor total antes de IVA</t>
  </si>
  <si>
    <t>Impresora Láser</t>
  </si>
  <si>
    <t>Salario sin FP y sin FM</t>
  </si>
  <si>
    <t xml:space="preserve">Costos oficina central del contratista </t>
  </si>
  <si>
    <t>Personal administrativo, técnico y no técnico, no facturable, entrenamiento de personal, capacitación y actualización técnica(cursos, seminarios, congresos).</t>
  </si>
  <si>
    <t>SI.ERROR(BUSCARV(E26;Tabla2;2;FALSO);"")</t>
  </si>
  <si>
    <t>Hora</t>
  </si>
  <si>
    <t>Día</t>
  </si>
  <si>
    <t>Mes</t>
  </si>
  <si>
    <t>Global</t>
  </si>
  <si>
    <t>Se define el valor a reconocer y se calcula según la tabla adjunta</t>
  </si>
  <si>
    <t>valor total</t>
  </si>
  <si>
    <t>N° SMMLV</t>
  </si>
  <si>
    <t>Honorarios mes</t>
  </si>
  <si>
    <t>Nivel de 
responsabilidad</t>
  </si>
  <si>
    <t>Escalafón</t>
  </si>
  <si>
    <t>7 de 10</t>
  </si>
  <si>
    <t>5 de 8</t>
  </si>
  <si>
    <t>3 de 5</t>
  </si>
  <si>
    <t>2 de 4</t>
  </si>
  <si>
    <t>1 de 3</t>
  </si>
  <si>
    <t>0 de 2</t>
  </si>
  <si>
    <t>A</t>
  </si>
  <si>
    <t>B</t>
  </si>
  <si>
    <t>C</t>
  </si>
  <si>
    <t>D</t>
  </si>
  <si>
    <t>E</t>
  </si>
  <si>
    <t>F</t>
  </si>
  <si>
    <t>G</t>
  </si>
  <si>
    <t>H</t>
  </si>
  <si>
    <t>Profesional Pregrado Residente (C)</t>
  </si>
  <si>
    <t>Profesional Pregrado Residente (D)</t>
  </si>
  <si>
    <t>Tecnólogo (E)</t>
  </si>
  <si>
    <t>Técnico (F)</t>
  </si>
  <si>
    <t>Técnico (G)</t>
  </si>
  <si>
    <t>Auxiliar (H)</t>
  </si>
  <si>
    <t>Factor prestacional</t>
  </si>
  <si>
    <t>Por Salarios</t>
  </si>
  <si>
    <t>Totalmente responsable, tanto administrativa como técnicamente del proyecto. Establece las políticas y los controles financieros</t>
  </si>
  <si>
    <t>Responsable de tomar decisiones técnicas con reporte a una instancia superior.</t>
  </si>
  <si>
    <t>Asesora, elabora estudios independientes, realiza análisis, interpreta y concluye, con verificación de un director</t>
  </si>
  <si>
    <t>La toma de decisiones están fijadas por medio de guías.</t>
  </si>
  <si>
    <t>Decisiones rutinarias y están previstas en manuales de procedimientos</t>
  </si>
  <si>
    <t>Apoyan en campos específicos.</t>
  </si>
  <si>
    <t>Nivel de responsabilidad en un Proyecto de Obra</t>
  </si>
  <si>
    <t>&lt; = 2 SMMLV</t>
  </si>
  <si>
    <t xml:space="preserve">&gt; 2 SMMLV &lt; 10 SMMLV </t>
  </si>
  <si>
    <t xml:space="preserve">&gt; 10 SMMLV </t>
  </si>
  <si>
    <t/>
  </si>
  <si>
    <t>Porcentaje dentro del factor</t>
  </si>
  <si>
    <t>Valor dentro del factor</t>
  </si>
  <si>
    <t xml:space="preserve">                                                       Experiencia
Nivel de responsabilidad</t>
  </si>
  <si>
    <t>NOTAS:</t>
  </si>
  <si>
    <t>VALOR A RECONOCER en SMMLV</t>
  </si>
  <si>
    <t>Total</t>
  </si>
  <si>
    <t>Profesional Especialista Coordinador (A)</t>
  </si>
  <si>
    <t>Profesional Especialista Director (B)</t>
  </si>
  <si>
    <t>Responsable de tomar decisiones administrativas y técnicas.</t>
  </si>
  <si>
    <t>Estampilla Pro Deporte y Recreación - Acuerdo 18 de 2020</t>
  </si>
  <si>
    <t>1,3% Antes de IVA</t>
  </si>
  <si>
    <t>Asesoria legal, administrativa, financiera y contable.</t>
  </si>
  <si>
    <t>Valor parcial</t>
  </si>
  <si>
    <t>SUBTOTAL</t>
  </si>
  <si>
    <t>TOTAL PÓLIZAS - GASTO ESTIMADO COMPROBABLE -</t>
  </si>
  <si>
    <r>
      <rPr>
        <b/>
        <sz val="12"/>
        <color rgb="FF0070C0"/>
        <rFont val="Arial"/>
        <family val="2"/>
      </rPr>
      <t>Pólizas</t>
    </r>
    <r>
      <rPr>
        <b/>
        <sz val="12"/>
        <rFont val="Arial"/>
        <family val="2"/>
      </rPr>
      <t xml:space="preserve"> - Gasto estimado comprobable- </t>
    </r>
    <r>
      <rPr>
        <b/>
        <sz val="12"/>
        <color rgb="FF0070C0"/>
        <rFont val="Arial"/>
        <family val="2"/>
      </rPr>
      <t>(F)</t>
    </r>
  </si>
  <si>
    <t>8. Las asesorías técnicas especializadas contempla los honorarios correspondientes a profesionales especialistas, la idoneidad y honorarios de los profesionales asesores será revisada y aprobada por la supervisión del contrato.</t>
  </si>
  <si>
    <r>
      <t xml:space="preserve">TOTAL COSTOS DIRECTOS INCLUIDO IVA  </t>
    </r>
    <r>
      <rPr>
        <b/>
        <sz val="12"/>
        <color rgb="FF0070C0"/>
        <rFont val="Arial"/>
        <family val="2"/>
      </rPr>
      <t>(C + D)=(E)</t>
    </r>
  </si>
  <si>
    <r>
      <t xml:space="preserve">SUBTOTAL COSTOS DIRECTOS </t>
    </r>
    <r>
      <rPr>
        <b/>
        <sz val="12"/>
        <color rgb="FF0070C0"/>
        <rFont val="Arial"/>
        <family val="2"/>
      </rPr>
      <t>(A + B)= (C)</t>
    </r>
  </si>
  <si>
    <r>
      <t xml:space="preserve">COSTO TOTAL </t>
    </r>
    <r>
      <rPr>
        <b/>
        <sz val="12"/>
        <color rgb="FF0070C0"/>
        <rFont val="Arial"/>
        <family val="2"/>
      </rPr>
      <t>(E+ F)</t>
    </r>
    <r>
      <rPr>
        <b/>
        <sz val="12"/>
        <color theme="1"/>
        <rFont val="Arial"/>
        <family val="2"/>
      </rPr>
      <t xml:space="preserve"> </t>
    </r>
    <r>
      <rPr>
        <b/>
        <sz val="12"/>
        <color rgb="FF0070C0"/>
        <rFont val="Arial"/>
        <family val="2"/>
      </rPr>
      <t>=(G)</t>
    </r>
  </si>
  <si>
    <t>Costo directo de personal incluido Factor Multiplicador (A)</t>
  </si>
  <si>
    <t>Otros costos directos (B)</t>
  </si>
  <si>
    <t>IVA (C * 19%) =(D)</t>
  </si>
  <si>
    <t>TOTAL COSTOS DIRECTOS INCLUIDO IVA  (C + D)=(E)</t>
  </si>
  <si>
    <t>Pólizas - Gasto estimado comprobable- (F)</t>
  </si>
  <si>
    <t>COSTO TOTAL (E+ F) =(G)</t>
  </si>
  <si>
    <t>SUBTOTAL COSTOS DIRECTOS (A + B)= (C)</t>
  </si>
  <si>
    <r>
      <t xml:space="preserve">Costo directo de personal incluido Factor Multiplicador </t>
    </r>
    <r>
      <rPr>
        <sz val="11"/>
        <color rgb="FF0070C0"/>
        <rFont val="Calibri"/>
        <family val="2"/>
        <scheme val="minor"/>
      </rPr>
      <t>(A)</t>
    </r>
  </si>
  <si>
    <r>
      <t xml:space="preserve">Otros costos directos </t>
    </r>
    <r>
      <rPr>
        <sz val="11"/>
        <color rgb="FF0070C0"/>
        <rFont val="Calibri"/>
        <family val="2"/>
        <scheme val="minor"/>
      </rPr>
      <t>(B)</t>
    </r>
  </si>
  <si>
    <r>
      <t xml:space="preserve">SUBTOTAL COSTOS DIRECTOS </t>
    </r>
    <r>
      <rPr>
        <sz val="11"/>
        <color rgb="FF0070C0"/>
        <rFont val="Calibri"/>
        <family val="2"/>
        <scheme val="minor"/>
      </rPr>
      <t>(A + B)= (C)</t>
    </r>
  </si>
  <si>
    <r>
      <t xml:space="preserve">Pólizas - Gasto estimado comprobable- </t>
    </r>
    <r>
      <rPr>
        <sz val="11"/>
        <color rgb="FF0070C0"/>
        <rFont val="Calibri"/>
        <family val="2"/>
        <scheme val="minor"/>
      </rPr>
      <t>(F)</t>
    </r>
  </si>
  <si>
    <r>
      <t xml:space="preserve">COSTO TOTAL </t>
    </r>
    <r>
      <rPr>
        <b/>
        <sz val="10"/>
        <color rgb="FF0070C0"/>
        <rFont val="Arial"/>
        <family val="2"/>
      </rPr>
      <t>(E+ F) =(G)</t>
    </r>
  </si>
  <si>
    <r>
      <t xml:space="preserve">IVA </t>
    </r>
    <r>
      <rPr>
        <sz val="11"/>
        <color rgb="FF0070C0"/>
        <rFont val="Calibri"/>
        <family val="2"/>
        <scheme val="minor"/>
      </rPr>
      <t>(C * 19%) = (D)</t>
    </r>
  </si>
  <si>
    <r>
      <t xml:space="preserve">IVA </t>
    </r>
    <r>
      <rPr>
        <b/>
        <sz val="12"/>
        <color rgb="FF0070C0"/>
        <rFont val="Arial"/>
        <family val="2"/>
      </rPr>
      <t>(C * 19%) =(D)</t>
    </r>
  </si>
  <si>
    <r>
      <rPr>
        <b/>
        <sz val="10"/>
        <rFont val="Calibri"/>
        <family val="2"/>
        <scheme val="minor"/>
      </rPr>
      <t>1.</t>
    </r>
    <r>
      <rPr>
        <sz val="10"/>
        <rFont val="Calibri"/>
        <family val="2"/>
        <scheme val="minor"/>
      </rPr>
      <t xml:space="preserve"> Los costos de personal y sus recargos por horas extras se reembolsarán según la dedicación efectiva que hubiere tenido en la ejecución de los trabajos.</t>
    </r>
  </si>
  <si>
    <r>
      <rPr>
        <b/>
        <sz val="10"/>
        <rFont val="Calibri"/>
        <family val="2"/>
        <scheme val="minor"/>
      </rPr>
      <t>3.</t>
    </r>
    <r>
      <rPr>
        <sz val="10"/>
        <rFont val="Calibri"/>
        <family val="2"/>
        <scheme val="minor"/>
      </rPr>
      <t xml:space="preserve"> Valores proyectados al año de presentación de la propuesta.</t>
    </r>
  </si>
  <si>
    <r>
      <rPr>
        <b/>
        <sz val="10"/>
        <rFont val="Calibri"/>
        <family val="2"/>
        <scheme val="minor"/>
      </rPr>
      <t>4.</t>
    </r>
    <r>
      <rPr>
        <sz val="10"/>
        <rFont val="Calibri"/>
        <family val="2"/>
        <scheme val="minor"/>
      </rPr>
      <t xml:space="preserve"> El valor definido por la Entidad por concepto de pólizas es un valor estimado que deberá ser comprobable por el contratista en el momento de presentar la primer factura o documento equivalente.</t>
    </r>
  </si>
  <si>
    <r>
      <rPr>
        <b/>
        <sz val="10"/>
        <rFont val="Calibri"/>
        <family val="2"/>
        <scheme val="minor"/>
      </rPr>
      <t>5.</t>
    </r>
    <r>
      <rPr>
        <sz val="10"/>
        <rFont val="Calibri"/>
        <family val="2"/>
        <scheme val="minor"/>
      </rPr>
      <t xml:space="preserve"> Durante la ejecución del contrato el proponente podría tener personal con distintos regímenes prestacionales ( ej. personal con sueldos inferiores a 2 SMMLV, superiores a 10 SMMLV o pensionados), se podrán establecer distintos factores multiplicadores para el equipo de trabajo definido en los COSTOS DIRECTOS DE PERSONAL teniendo en cuenta las circunstancias particulares de cada uno de estos, en todo caso, el Factor Multiplicador (FM) definido por el proponente para el personal no podra ser superior al establecido por la entidad para cada uno de estos en el presupuesto oficial. </t>
    </r>
  </si>
  <si>
    <r>
      <rPr>
        <b/>
        <sz val="10"/>
        <rFont val="Calibri"/>
        <family val="2"/>
        <scheme val="minor"/>
      </rPr>
      <t>6.</t>
    </r>
    <r>
      <rPr>
        <sz val="10"/>
        <rFont val="Calibri"/>
        <family val="2"/>
        <scheme val="minor"/>
      </rPr>
      <t xml:space="preserve"> El valor unitario de cada item ofertado en la propuesta económica no podra superar el valor unitario establecido para cada ítem del presupuesto oficial, ni se podrá dejar de ofertar cualquiera de estos.</t>
    </r>
  </si>
  <si>
    <r>
      <rPr>
        <b/>
        <sz val="10"/>
        <rFont val="Calibri"/>
        <family val="2"/>
        <scheme val="minor"/>
      </rPr>
      <t>7.</t>
    </r>
    <r>
      <rPr>
        <sz val="10"/>
        <rFont val="Calibri"/>
        <family val="2"/>
        <scheme val="minor"/>
      </rPr>
      <t xml:space="preserve"> Los valores de los items de otros costos directos cuya unidad es ESTIMADO son fijos y corresponden a montos con los cuales se atenderán las actividades correspondientes, los cuales se pagarán según el concepto de la nota 2.</t>
    </r>
  </si>
  <si>
    <t>FORMULARIO 1 - PROPUESTA ECONÓMICA</t>
  </si>
  <si>
    <r>
      <rPr>
        <b/>
        <sz val="10"/>
        <rFont val="Calibri"/>
        <family val="2"/>
        <scheme val="minor"/>
      </rPr>
      <t>3.</t>
    </r>
    <r>
      <rPr>
        <sz val="10"/>
        <rFont val="Calibri"/>
        <family val="2"/>
        <scheme val="minor"/>
      </rPr>
      <t xml:space="preserve"> Valores proyectados al año de presentación de la propuesta económica.</t>
    </r>
  </si>
  <si>
    <t>% de Dedicación
(2)</t>
  </si>
  <si>
    <t>Salario
(3)</t>
  </si>
  <si>
    <t>Plazo 
(Meses)
(4)</t>
  </si>
  <si>
    <t>FM
(5)</t>
  </si>
  <si>
    <t>Valor Total ($)
(1*2*3*4*5) = (6)</t>
  </si>
  <si>
    <r>
      <t>Costo directo de personal incluido Factor Multiplicador - SUMATORIA DE (6) =</t>
    </r>
    <r>
      <rPr>
        <sz val="11"/>
        <color rgb="FF0070C0"/>
        <rFont val="Calibri"/>
        <family val="2"/>
        <scheme val="minor"/>
      </rPr>
      <t xml:space="preserve"> (A)</t>
    </r>
  </si>
  <si>
    <t>Cantidad
(7)</t>
  </si>
  <si>
    <t>Valor Unitario ($)
(8)</t>
  </si>
  <si>
    <t>Valor Total ($)
(7*8*9) = (10)</t>
  </si>
  <si>
    <r>
      <t xml:space="preserve">Otros costos directos -  SUMATORIA DE (10) = </t>
    </r>
    <r>
      <rPr>
        <sz val="11"/>
        <color rgb="FF0070C0"/>
        <rFont val="Calibri"/>
        <family val="2"/>
        <scheme val="minor"/>
      </rPr>
      <t>(B)</t>
    </r>
  </si>
  <si>
    <r>
      <t xml:space="preserve">TOTAL COSTOS DIRECTOS INCLUIDO IVA  </t>
    </r>
    <r>
      <rPr>
        <sz val="11"/>
        <color rgb="FF0070C0"/>
        <rFont val="Calibri"/>
        <family val="2"/>
        <scheme val="minor"/>
      </rPr>
      <t>(C + D)=(E)</t>
    </r>
  </si>
  <si>
    <t>Celda editable para presentar la propuesta económica</t>
  </si>
  <si>
    <r>
      <rPr>
        <b/>
        <sz val="10"/>
        <rFont val="Calibri"/>
        <family val="2"/>
        <scheme val="minor"/>
      </rPr>
      <t>8.</t>
    </r>
    <r>
      <rPr>
        <sz val="10"/>
        <rFont val="Calibri"/>
        <family val="2"/>
        <scheme val="minor"/>
      </rPr>
      <t xml:space="preserve"> Las asesorías técnicas especializadas contempla los honorarios correspondientes a profesionales especialistas, la idoneidad y honorarios de los profesionales asesores será revisada y aprobada por la supervisión del contrato.</t>
    </r>
  </si>
  <si>
    <r>
      <rPr>
        <b/>
        <sz val="10"/>
        <rFont val="Calibri"/>
        <family val="2"/>
        <scheme val="minor"/>
      </rPr>
      <t>9.</t>
    </r>
    <r>
      <rPr>
        <sz val="10"/>
        <rFont val="Calibri"/>
        <family val="2"/>
        <scheme val="minor"/>
      </rPr>
      <t xml:space="preserve">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</si>
  <si>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r>
      <rPr>
        <b/>
        <sz val="10"/>
        <rFont val="Calibri"/>
        <family val="2"/>
        <scheme val="minor"/>
      </rPr>
      <t>9.</t>
    </r>
    <r>
      <rPr>
        <sz val="10"/>
        <rFont val="Calibri"/>
        <family val="2"/>
        <scheme val="minor"/>
      </rPr>
      <t xml:space="preserve"> Durante la ejecución del contrato la Entidad tendrá potestad de realizar deducciones y efectuar las respectivas multas y sanciones a las que haya lugar en las siguientes ocasiones:          
• Si se evidencia personal pensionado y dentro del factor multiplicador se reconoce dicha prestación
• Si se comprueba que el contratista está exonerado del pago de los aportes a SALUD (a cargo del empleador 8,5%), SENA (2%), ICBF (3%), y se está haciendo reconocimiento por estos dentro del factor multiplicador.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interventoría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</si>
  <si>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Nombre y firma del representante legal del proponente</t>
  </si>
  <si>
    <t>Nombre del proponente</t>
  </si>
  <si>
    <t>Otros costos directos</t>
  </si>
  <si>
    <t>Transporte: Vehículo con especificaciones definidas en el presupuesto, cuando es subcontratado con un tercero o con el personal.</t>
  </si>
  <si>
    <t>Auxilio para equipos de impresión, incluye suministro de tinta, de acuerdo con la especificación requerida por la entidad.</t>
  </si>
  <si>
    <t>Auxilio por celulares - equipo y  consumo-.</t>
  </si>
  <si>
    <t>Transporte: Vehículo con especificaciones definidas en el presupuesto, cuando es suministrado directamente por el contratista.</t>
  </si>
  <si>
    <t>Auxilio para gastos de papeleria, fotocopias y otros.</t>
  </si>
  <si>
    <t>Auxilio articulos de aseo y cafeteria.</t>
  </si>
  <si>
    <t>Auxilio para la implementación del protocolo de bioseguridad.</t>
  </si>
  <si>
    <t>Auxilio para elementos de primeros auxilios (camillas, extintores, kit de primeros auxilio, inmovilizadores, señalación preventiva y alarma de emergencia, sonora y visual).</t>
  </si>
  <si>
    <t>Ensayos de laboratorio.</t>
  </si>
  <si>
    <t>Comisión topográfica.</t>
  </si>
  <si>
    <t>Auxilio de transporte.</t>
  </si>
  <si>
    <t>Otro.</t>
  </si>
  <si>
    <t>Coordinador de interventoría.</t>
  </si>
  <si>
    <t>Director de interventoría.</t>
  </si>
  <si>
    <t>Residente de interventoría.</t>
  </si>
  <si>
    <t>Profesional arquitecto.</t>
  </si>
  <si>
    <t>Profesional ingeniero civil.</t>
  </si>
  <si>
    <t>Profesional Ingeniero electricista.</t>
  </si>
  <si>
    <t>Profesional ingeniero de control de calidad.</t>
  </si>
  <si>
    <t>Profesional ambiental.</t>
  </si>
  <si>
    <t>Profesional social.</t>
  </si>
  <si>
    <t>Profesional seguridad y salud en el trabajo -SST.</t>
  </si>
  <si>
    <t>Profesional Ingeniero forestal.</t>
  </si>
  <si>
    <t>Profesional Ingeniero químico.</t>
  </si>
  <si>
    <t>Profesional Biólogo.</t>
  </si>
  <si>
    <t>Profesional Abogado.</t>
  </si>
  <si>
    <t>Profesional Administrador de empresas.</t>
  </si>
  <si>
    <t>Tecnólogo en obras civiles.</t>
  </si>
  <si>
    <t>Tecnólogo ambiental.</t>
  </si>
  <si>
    <t>Tecnólogo social.</t>
  </si>
  <si>
    <t>Tecnólogo seguridad y salud en el trabajo – SST.</t>
  </si>
  <si>
    <t>Tecnólogo administrativo.</t>
  </si>
  <si>
    <t>Secretaria o auxiliar administrativo.</t>
  </si>
  <si>
    <t>Estimado</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</si>
  <si>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publicaciones, representación y promoción, costos de preparación y edición de propuestas, gastos de viaje, gastos de representación).</t>
  </si>
  <si>
    <t>Cantidad
(1)</t>
  </si>
  <si>
    <r>
      <rPr>
        <b/>
        <sz val="10"/>
        <rFont val="Calibri"/>
        <family val="2"/>
        <scheme val="minor"/>
      </rPr>
      <t>2.</t>
    </r>
    <r>
      <rPr>
        <sz val="10"/>
        <rFont val="Calibri"/>
        <family val="2"/>
        <scheme val="minor"/>
      </rPr>
      <t xml:space="preserve"> Los otros costos directos diferentes a costos directos de personal se pagarán de la siguiente forma: 
- </t>
    </r>
    <r>
      <rPr>
        <b/>
        <sz val="10"/>
        <rFont val="Calibri"/>
        <family val="2"/>
        <scheme val="minor"/>
      </rPr>
      <t>Demostrables:</t>
    </r>
    <r>
      <rPr>
        <sz val="10"/>
        <rFont val="Calibri"/>
        <family val="2"/>
        <scheme val="minor"/>
      </rPr>
      <t xml:space="preserve">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a los valores  ofertados en la propuesta económica.
- </t>
    </r>
    <r>
      <rPr>
        <b/>
        <sz val="10"/>
        <rFont val="Calibri"/>
        <family val="2"/>
        <scheme val="minor"/>
      </rPr>
      <t>Comprobable:</t>
    </r>
    <r>
      <rPr>
        <sz val="10"/>
        <rFont val="Calibri"/>
        <family val="2"/>
        <scheme val="minor"/>
      </rPr>
      <t xml:space="preserv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a la factura o documento presentado, sin superar lo ofertado en la propuesta económica.
En todo caso los otros costos directos  deberán estar ajustados a los precios de mercado.</t>
    </r>
  </si>
  <si>
    <r>
      <rPr>
        <b/>
        <sz val="10"/>
        <rFont val="Calibri"/>
        <family val="2"/>
        <scheme val="minor"/>
      </rPr>
      <t>2.</t>
    </r>
    <r>
      <rPr>
        <sz val="10"/>
        <rFont val="Calibri"/>
        <family val="2"/>
        <scheme val="minor"/>
      </rPr>
      <t xml:space="preserve"> Los otros costos directos diferentes a costos directos de personal se pagarán de la siguiente forma: 
- </t>
    </r>
    <r>
      <rPr>
        <b/>
        <sz val="10"/>
        <rFont val="Calibri"/>
        <family val="2"/>
        <scheme val="minor"/>
      </rPr>
      <t>Demostrables:</t>
    </r>
    <r>
      <rPr>
        <sz val="10"/>
        <rFont val="Calibri"/>
        <family val="2"/>
        <scheme val="minor"/>
      </rPr>
      <t xml:space="preserve">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t>
    </r>
    <r>
      <rPr>
        <b/>
        <sz val="10"/>
        <rFont val="Calibri"/>
        <family val="2"/>
        <scheme val="minor"/>
      </rPr>
      <t>Comprobable:</t>
    </r>
    <r>
      <rPr>
        <sz val="10"/>
        <rFont val="Calibri"/>
        <family val="2"/>
        <scheme val="minor"/>
      </rPr>
      <t xml:space="preserv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costos directos  deberán estar ajustados a los precios de mercado.</t>
    </r>
  </si>
  <si>
    <t>Archivador horizontal metálico de dos gavetas</t>
  </si>
  <si>
    <t>2 gavetas, Riel de full extensión, con posibilidad de extracción total del cajón, sistema antivuelco, debe soportar mínimo 40 Kg por cajón para carpetas colgantes, sistema de cierre una gaveta a la vez, con sistema de seguridad en cada cajón y una chapa con dos llaves, debe tener guía de identificación en cada gaveta, lámina coll rolled, mínimo calibre  20, correderas y fuerzas en lámina coll rolled, mínimo calibre 16, el cuerpo de acero soldado, pintado en epoxi gris nopal o color seleccionado por la dependencia en el momento del inicio del contrato, sistema de archivo horizontal, con medidas externas de: 50 cm ± 0,5 cm de profundidad, ancho 80 cm ± 0,5 cm y altura 70 cm ± 0,5 cm. Garantía 12 meses o superior</t>
  </si>
  <si>
    <t>Locker metálico 6 puesto</t>
  </si>
  <si>
    <t>Metálico de 6 compartimentos, con medidas de 180 cms de alto, por 93 cms de ancho, por 30 cms de profundidad,  con rejilla de ventilación y portacandado, pintura electrostática en polvo horneable, 2 locker verticales x 3 horizontales, , material del fabricación lámina calibre 24 cold rolled, el locker debe tener patas en acero calibre 12  que soporten peso aproximado de  250 kg, cada locker debe tener en el interior y en la parte superior un gancho doble para colgar objetos,  Garantía 12 meses o superior.</t>
  </si>
  <si>
    <t>Estante para almacenamiento de dos cuerpos</t>
  </si>
  <si>
    <t>Estantes para almacenamiento de 2 cuerpos y 6 niveles altura: 200 a 220 cm. Estructura (marco rígido) + entrepaños metálicos + tapas laterales y superior. Cinco entrepaños horizontales de carga frontal graduables en altura. Lámina de acero cold rolled calibre 16-20. Sistema de graduación perforado o con ranura como parte integral del mueble. Se admite pines. Base. Zócalo Niveladores ,metálicos. Entrepaños: Acero cold rolled calibre 20, recubiertos con pintura electrostática. Color: Negro *Observaciones: cantos termo fundido en el mismo material Color: Negro, gris (se especifica en el pedido).</t>
  </si>
  <si>
    <t>Puesto de trabajo</t>
  </si>
  <si>
    <r>
      <t xml:space="preserve">Puestos de trabajo tipología “L” de área de 1.50 x 1.35, 1,80*1,35 que consta de: 1 superficie recta  de 1.50x.60, 1 superficie recta de 1.20x.60, 1 cajonera metálica 2 cajones con rieles, 2 bases metálicas para los costados  de 45 redondas, 1 base metálica redonda, con niveladores de altura, tapa faldas, 1 bandeja metálica para soporte del porta teclado a 45 grados, </t>
    </r>
    <r>
      <rPr>
        <sz val="10"/>
        <rFont val="Arial"/>
        <family val="2"/>
      </rPr>
      <t>silla ergonómica giratoria con brazos en T,</t>
    </r>
    <r>
      <rPr>
        <sz val="10"/>
        <color theme="1"/>
        <rFont val="Arial"/>
        <family val="2"/>
      </rPr>
      <t xml:space="preserve"> espaldar alto, mecanismo neumático, con contacto permanente tapizada y todos los herrajes necesarios para una correcta instalación  y funcionamiento de un puesto de trabajo auto soportado. Incluida Suministro, transporte e instalación de los puestos de trabajo.</t>
    </r>
  </si>
  <si>
    <t>En madera  de roble en su totalidad de 200 cm ± 1 cm  x 80 cm ± 1 cm y de 75  cm ± 1 cm  de altura, acabado natural con laca catalizada transparente semimate.  Garantía 12 meses o superior.
Madera seca con un contenido de humedad entre 12%Ch a 14%Ch</t>
  </si>
  <si>
    <t>Mesa rectangular en madera 1 para reuniones y otra para zona común</t>
  </si>
  <si>
    <t>Silla interlocutora abollonada fija sin brazo</t>
  </si>
  <si>
    <t>Silla fija con espaldar plástico negro y asiento tapizado abollonado en paño (los colores se definirán con el proveedor y la dependencia al iniciar el contrato), espuma laminada densidad 40, con 3 cm de espesor, con  cuatro (4) patas en tubo  ovalado, mínimo calibre 16 reforzado con soldadura MIG altamente resistente, con tapones antideslizante, acabado en pintura electrostática negra, altura del espaldar desde el piso al borde superior del   espaldar de 82 cm ± 1 cm. Dimensiones asiento en su cubierta externa en polipropileno negro texturizado ancho x largo 46 cm x 43 cm  ± 1 cm, espaldar ancho x largo 46 cm x 33 cm  ± 1 cm, altura del piso al asiento 45 cm  ± 1 cm (medido en la parte frontal del asiento en el centro del asiento, desde el piso hasta el borde superior de la cubierta externa en polipropileno). Propiedades de los materiales: resistencia al fuego, a la abrasión, a la tensión, a la rotura, al rasgado, a los solventes, a la luz, al lavado, a la decoloración. Garantía 12 meses o superior.</t>
  </si>
  <si>
    <t>Espaldar graduadle en altura  de 50 a 55 mm y en proximidad. Asiento graducle en altura ( de 40 a 50 cm) y proximidad tapizados en malla de poliéster nylon y elastomeríco, antitranspirante, deslizante y transparente de alta resistencia, con lo cual se disipa de forma más eficiente el calor y brinda mayor comodidad al usuario de la silla, basculante 90°-100°.110° Brazos giratorios con líneas refinadas, graduables en altura, los apoyos de los codos y del antebrazo están hechos de un material acolchado poliuretano.
Soporte Lumbar de actividad separada, el cual se adapta a la curvatura de la espalda del usuario y le brinda alivio a la tensión muscular de la zona Silla de Lujo Giratoria,  con base araña en metal cromado de cinco aspas, con rodachinas de doble rueda con recubrimiento en neopreno para piso duro Garantía 3 años</t>
  </si>
  <si>
    <t xml:space="preserve">Tablero acrilico </t>
  </si>
  <si>
    <t>Tablero acrilico blanco con medidas de 120 ancho X 80 alto, incluye porta borrador, marco en PVC y laminado en la superficie</t>
  </si>
  <si>
    <t>Televisor para proyectar</t>
  </si>
  <si>
    <t>Televisor de 50 pulgadas 4k ultra HD Smart TV, con conexiones bluetooth, entrada usb, entrada HDMI, control remoto.</t>
  </si>
  <si>
    <t>Basureras - Punto ecológico -</t>
  </si>
  <si>
    <t>Suministro de puntos Ecológicos de 53 LT, medidas: alto 121 cm, largo 103 cm, ancho 44 cm.</t>
  </si>
  <si>
    <t xml:space="preserve">Computador </t>
  </si>
  <si>
    <t xml:space="preserve">Win pro 64, bits worstation, procesador intermedia HDD + SSD 1 TB 7200 RPM + 256 GB Pcle, con memoria ram 32 gb 2x 16, Incluye tarjeta gráfica de 8GB - 4x para productividad intermedia </t>
  </si>
  <si>
    <t xml:space="preserve">Impresora láser o led a color multifuncional, volumen de 10.000 páginas mensuales </t>
  </si>
  <si>
    <t>Aplica</t>
  </si>
  <si>
    <r>
      <t xml:space="preserve">SUBTOTAL COSTOS DIRECTOS </t>
    </r>
    <r>
      <rPr>
        <sz val="11"/>
        <color rgb="FF0070C0"/>
        <rFont val="Calibri"/>
        <family val="2"/>
        <scheme val="minor"/>
      </rPr>
      <t>(A + B)= ©</t>
    </r>
  </si>
  <si>
    <t>FP</t>
  </si>
  <si>
    <t>Duración</t>
  </si>
  <si>
    <t>PRESUPUESTO PÓLIZAS - GASTO ESTIMADO COMPROBABLE -</t>
  </si>
  <si>
    <t>Duración
(9)</t>
  </si>
  <si>
    <t>No.</t>
  </si>
  <si>
    <t>Categoría</t>
  </si>
  <si>
    <t>Experiencia General
(años mínimos)</t>
  </si>
  <si>
    <t>Experiencia Específica
(años mínimos)</t>
  </si>
  <si>
    <t>Matriz 4 - Lineamientos de requisitos del personal - Interventoría de obra pública de infraestructura de transporte</t>
  </si>
  <si>
    <t>Categoria 1 y 2</t>
  </si>
  <si>
    <t>Categoria 4</t>
  </si>
  <si>
    <t>Categoria 3</t>
  </si>
  <si>
    <t>Categoria 5</t>
  </si>
  <si>
    <t>Categoria 6</t>
  </si>
  <si>
    <t>Categoria 7</t>
  </si>
  <si>
    <t>&gt;= 8  Años</t>
  </si>
  <si>
    <t>&gt;= 10  &gt; 12 años</t>
  </si>
  <si>
    <t>&gt;= 6  Años</t>
  </si>
  <si>
    <t>&gt;= 4  Años</t>
  </si>
  <si>
    <t>&gt;= 2  años</t>
  </si>
  <si>
    <t>&gt; 0 &lt; 2 años</t>
  </si>
  <si>
    <t>Presupuesto 2022 sin IVA</t>
  </si>
  <si>
    <r>
      <rPr>
        <b/>
        <sz val="10"/>
        <rFont val="Calibri"/>
        <family val="2"/>
        <scheme val="minor"/>
      </rPr>
      <t>4.</t>
    </r>
    <r>
      <rPr>
        <sz val="10"/>
        <rFont val="Calibri"/>
        <family val="2"/>
        <scheme val="minor"/>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</si>
  <si>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t>Profesional Contador público o financiero.</t>
  </si>
  <si>
    <t>Tecnólogo electricista.</t>
  </si>
  <si>
    <t>Auxilio de arrendamiento de oficina.</t>
  </si>
  <si>
    <t>Auxilio de servicios públicos oficina del proyecto (energía, acueducto, gas, telefonía, internet).</t>
  </si>
  <si>
    <t>Auxilio para instalaciones provisionales (Construcción de campamentos, adecuación de campamento, alquiler de contenedores).</t>
  </si>
  <si>
    <t>Auxilio para alquiler de equipos de computo con software licenciado de acuerdo con la especificación requerida por la entidad.</t>
  </si>
  <si>
    <t>Auxilio muebles y dotación de la oficina.</t>
  </si>
  <si>
    <t>Estudios y asesorías juridicas, contables y técnicas especializadas.</t>
  </si>
  <si>
    <t>Elementos de protección personal EPP para personal de la administración</t>
  </si>
  <si>
    <t>Elementos de protección</t>
  </si>
  <si>
    <t>Valor mes</t>
  </si>
  <si>
    <t>Comentario</t>
  </si>
  <si>
    <t>Casco con barbuquejo</t>
  </si>
  <si>
    <t>Un casco al año</t>
  </si>
  <si>
    <t>Gafa de protección</t>
  </si>
  <si>
    <t>Tres gafas al año</t>
  </si>
  <si>
    <t>Protectores auditivos</t>
  </si>
  <si>
    <t>Cuatro al año</t>
  </si>
  <si>
    <t>Botas punteras tipo cuero</t>
  </si>
  <si>
    <t>Dos al año</t>
  </si>
  <si>
    <t>% mes</t>
  </si>
  <si>
    <t>Valor promedio de los salarios de profesionales</t>
  </si>
  <si>
    <t>Valor al año</t>
  </si>
  <si>
    <t xml:space="preserve">Dotación </t>
  </si>
  <si>
    <t>Chaqueta profesionales (según manual de uniformes)</t>
  </si>
  <si>
    <t>Profesional social</t>
  </si>
  <si>
    <t>Profesional Ambiental</t>
  </si>
  <si>
    <t>Pro Deporte y Recreación - Acuerdo 18 de 2020</t>
  </si>
  <si>
    <t>IPC 2023</t>
  </si>
  <si>
    <t>SMMLV AÑO 2024</t>
  </si>
  <si>
    <t>VALORES DE REFERENCIA 2023</t>
  </si>
  <si>
    <t>TOPE 2 SMMLV</t>
  </si>
  <si>
    <t>Fecha de elaboración presupuesto</t>
  </si>
  <si>
    <t>Estampilla Pro - Innovación - Art. 29 Ley 2286 de 2023 (Acuerdo 93 de 2023)</t>
  </si>
  <si>
    <t>Estampilla para la Justicia Familiar - Art. 22 Ley 2126 de 2021 (Acuerdo 93 de 2023)</t>
  </si>
  <si>
    <t>AÑO 2024</t>
  </si>
  <si>
    <t>Valor básico de la Nómina</t>
  </si>
  <si>
    <t>Plazo (Meses)</t>
  </si>
  <si>
    <t>Profesional Arquitecto.</t>
  </si>
  <si>
    <t>Coordinador de Interventoría.</t>
  </si>
  <si>
    <t>Director de Interventoría.</t>
  </si>
  <si>
    <t>Residente de Interventoría.</t>
  </si>
  <si>
    <t>Profesional Ingeniero civil.</t>
  </si>
  <si>
    <t>Profesional Ingeniero de control de calidad.</t>
  </si>
  <si>
    <t>Profesional Ambiental.</t>
  </si>
  <si>
    <t>Profesional Social.</t>
  </si>
  <si>
    <t>Profesional Seguridad y Salud en el Trabajo -SST.</t>
  </si>
  <si>
    <t>Profesional Ingeniero Forestal.</t>
  </si>
  <si>
    <t>Profesional Ingeniero Químico.</t>
  </si>
  <si>
    <t>Profesional Contador Público o Financiero.</t>
  </si>
  <si>
    <t>Profesional Administrador de Empresas.</t>
  </si>
  <si>
    <t>Tecnólogo en Obras Civiles.</t>
  </si>
  <si>
    <t>Tecnólogo Ambiental.</t>
  </si>
  <si>
    <t>Tecnólogo Social.</t>
  </si>
  <si>
    <t>Tecnólogo Seguridad y Salud en el Trabajo -SST.</t>
  </si>
  <si>
    <t>Tecnólogo Administrativo.</t>
  </si>
  <si>
    <t>Tecnólogo Electricista.</t>
  </si>
  <si>
    <t>Secretaria o Auxiliar Administrativo.</t>
  </si>
  <si>
    <t>Valor Contrato en  SMMLV</t>
  </si>
  <si>
    <t>VALORES TABLA SALARIOS BASE 2023</t>
  </si>
  <si>
    <t>2% antes de IVA</t>
  </si>
  <si>
    <t>Aplica a todos los contratos</t>
  </si>
  <si>
    <t>Exclusiones</t>
  </si>
  <si>
    <t>No aplica a contratos de Urgencia Manifiesta</t>
  </si>
  <si>
    <t>COMENTARIOS</t>
  </si>
  <si>
    <t>EXCLUSIONES</t>
  </si>
  <si>
    <t>Contratos de Urgencia Manifiesta</t>
  </si>
  <si>
    <t>Contratos de Urgencia Manifiesta, con entidades públicas, ESAL, Administración Delegada sobre Honorarios los 1500 SMMLV</t>
  </si>
  <si>
    <t>Aplica independiente del valor,  antes de IVA</t>
  </si>
  <si>
    <t>Aplica a contratos directos, independiente del Valor, antes de IVA</t>
  </si>
  <si>
    <t>Prestación de Servicios menor a 20 SMMLV</t>
  </si>
  <si>
    <t>Prestación de Servicios menor a 10 SMMLV</t>
  </si>
  <si>
    <t>Tipo de Contrato</t>
  </si>
  <si>
    <t>Concurso de Méritos</t>
  </si>
  <si>
    <t>Límite Cuantía SMMLV - Estampillas</t>
  </si>
  <si>
    <t>Valores 2023</t>
  </si>
  <si>
    <t>VALORES 2023</t>
  </si>
  <si>
    <t>VALORES PROYECTADOS 2024</t>
  </si>
  <si>
    <t>VALORES PROYECTADOS 2024 (IPC 9,28%)</t>
  </si>
  <si>
    <t>Aplica exclusión</t>
  </si>
  <si>
    <t>Nota: El modelo contiene referencias circulares, por lo tanto se debe tener activo el cálculo iterativo de las fórmulas.</t>
  </si>
  <si>
    <t>Elementos de Protección Personal y examenes de Ingreso y Egreso</t>
  </si>
  <si>
    <t>Muebles, dotación y equipos de oficina (software y hardware), pago programas, sistematización  y actualización tecnológica, rack, papelería y útiles  de oficina, fotocopias.</t>
  </si>
  <si>
    <t>Profesional de apoyo en Ingeniería y/o Arquitectura</t>
  </si>
  <si>
    <t>Examen médico de ingreso</t>
  </si>
  <si>
    <t>Examen médico de egreso</t>
  </si>
  <si>
    <t>Responsable de tomar decisiones administrativas y técnicas con reporte a una instancia superior.</t>
  </si>
  <si>
    <t>Valor Total Exámenes</t>
  </si>
  <si>
    <t>Promedio Salarios para EPP y Exámenes Médicos</t>
  </si>
  <si>
    <t>Porcentaje en FP</t>
  </si>
  <si>
    <t>Fecha de la versión: 06 de marzo de 2024</t>
  </si>
  <si>
    <t xml:space="preserve">Aplica para contratos cuyo valor supere los 1500 SMMLV </t>
  </si>
  <si>
    <t>Aplica para contratos cuyo valor supere los 1500 SMMLV</t>
  </si>
  <si>
    <r>
      <t xml:space="preserve">Auxilio de transporte. </t>
    </r>
    <r>
      <rPr>
        <b/>
        <sz val="14"/>
        <color rgb="FFFF0000"/>
        <rFont val="Calibri"/>
        <family val="2"/>
        <scheme val="minor"/>
      </rPr>
      <t>(Para profesionales y técnologos que visitan los frentes de obra)</t>
    </r>
  </si>
  <si>
    <t>Auxilio para gastos de papeleria, impresiones, fotocopias y otros.</t>
  </si>
  <si>
    <t xml:space="preserve"> - Camioneta 4x4 o 4 X2 Doble Cabina, modelo 2019 o superior (Incluye conductor, seguridad social y gastos de rodamiento)</t>
  </si>
  <si>
    <t>Chaqueta profesionales y personal de obra (según manual de identidad gráfica)</t>
  </si>
  <si>
    <t>Especialista para PMT.</t>
  </si>
  <si>
    <t xml:space="preserve"> INTERVENTORÍA TÉCNICA, ADMINSTRATIVA, FINANCIERA, Y LEGAL AL MANTENIMIENTO Y RENOVACIÓN DE OBRAS ELÉCTRICAS Y ELECTROMECÁNICAS EN LAS SEDES PROPIAS DEL DISTRITO</t>
  </si>
  <si>
    <t>Ing Electricista</t>
  </si>
  <si>
    <t>Ing Electromecanico</t>
  </si>
  <si>
    <t>Ambiental</t>
  </si>
  <si>
    <t>SST</t>
  </si>
  <si>
    <t>Técnico administrativo</t>
  </si>
  <si>
    <t>Técnico electricista</t>
  </si>
  <si>
    <t>Horas extras</t>
  </si>
  <si>
    <t>Alquiler de vehiculo</t>
  </si>
  <si>
    <t>Diagnostico sistema AA CAD</t>
  </si>
  <si>
    <t>Diseño de automatización y control de UMAs CAD</t>
  </si>
  <si>
    <t>Diseño sistema inyección aire parqueadero CAD</t>
  </si>
  <si>
    <t>Diseños electricos oficinas Movilidad</t>
  </si>
  <si>
    <t>Diagnostico sistema extración piso 13 CAD</t>
  </si>
  <si>
    <t>Diseño sistema de respalo electrico centro de monitoreo Datacenter</t>
  </si>
  <si>
    <t>Diseño repotenciación circuitos electricos piso 5 terraza</t>
  </si>
  <si>
    <t>Diseño reubicación sistema aire acondicionado auditorios A y B</t>
  </si>
  <si>
    <t>Según necesidad</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</si>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</sst>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quot;$&quot;#,##0.00;[Red]\-&quot;$&quot;#,##0.00"/>
    <numFmt numFmtId="166" formatCode="_-&quot;$&quot;* #,##0_-;\-&quot;$&quot;* #,##0_-;_-&quot;$&quot;* &quot;-&quot;_-;_-@_-"/>
    <numFmt numFmtId="167" formatCode="_-&quot;$&quot;* #,##0.00_-;\-&quot;$&quot;* #,##0.00_-;_-&quot;$&quot;* &quot;-&quot;??_-;_-@_-"/>
    <numFmt numFmtId="168" formatCode="_(&quot;$&quot;* #,##0.00_);_(&quot;$&quot;* \(#,##0.00\);_(&quot;$&quot;* &quot;-&quot;??_);_(@_)"/>
    <numFmt numFmtId="169" formatCode="_(&quot;$&quot;* #,##0_);_(&quot;$&quot;* \(#,##0\);_(&quot;$&quot;* &quot;-&quot;??_);_(@_)"/>
    <numFmt numFmtId="170" formatCode="_(* #,##0.00_);_(* \(#,##0.00\);_(* &quot;-&quot;??_);_(@_)"/>
    <numFmt numFmtId="171" formatCode="_-&quot;$&quot;* #,##0_-;\-&quot;$&quot;* #,##0_-;_-&quot;$&quot;* &quot;-&quot;??_-;_-@_-"/>
    <numFmt numFmtId="172" formatCode="_(* #,##0_);_(* \(#,##0\);_(* &quot;-&quot;??_);_(@_)"/>
    <numFmt numFmtId="173" formatCode="0.000%"/>
    <numFmt numFmtId="174" formatCode="_-* #,##0_-;\-* #,##0_-;_-* &quot;-&quot;??_-;_-@_-"/>
    <numFmt numFmtId="175" formatCode="_-&quot;$&quot;* #,##0.000_-;\-&quot;$&quot;* #,##0.000_-;_-&quot;$&quot;* &quot;-&quot;???_-;_-@_-"/>
    <numFmt numFmtId="176" formatCode="#,##0.000000"/>
    <numFmt numFmtId="177" formatCode="0.00000%"/>
    <numFmt numFmtId="178" formatCode="_(&quot;$&quot;\ * #,##0.00_);_(&quot;$&quot;\ * \(#,##0.00\);_(&quot;$&quot;\ * &quot;-&quot;??_);_(@_)"/>
    <numFmt numFmtId="179" formatCode="#,##0.0"/>
    <numFmt numFmtId="180" formatCode="0.000"/>
    <numFmt numFmtId="181" formatCode="_ &quot;$&quot;\ * #,##0_ ;_ &quot;$&quot;\ * \-#,##0_ ;_ &quot;$&quot;\ * &quot;-&quot;_ ;_ @_ "/>
    <numFmt numFmtId="182" formatCode="_([$$-240A]\ * #,##0_);_([$$-240A]\ * \(#,##0\);_([$$-240A]\ * &quot;-&quot;??_);_(@_)"/>
    <numFmt numFmtId="183" formatCode="_ [$$-240A]\ * #,##0.00_ ;_ [$$-240A]\ * \-#,##0.00_ ;_ [$$-240A]\ * &quot;-&quot;??_ ;_ @_ "/>
    <numFmt numFmtId="184" formatCode="&quot;$&quot;\ #,##0.00;[Red]&quot;$&quot;\ \-#,##0.00"/>
    <numFmt numFmtId="185" formatCode="&quot;$&quot;\ #,##0.00_);\(&quot;$&quot;\ #,##0.00\)"/>
    <numFmt numFmtId="186" formatCode="&quot;$&quot;\ #,##0.00"/>
    <numFmt numFmtId="187" formatCode="_-[$$-240A]\ * #,##0.00_ ;_-[$$-240A]\ * \-#,##0.00\ ;_-[$$-240A]\ * &quot;-&quot;??_ ;_-@_ "/>
    <numFmt numFmtId="188" formatCode="_-* #,##0.00\ &quot;Pts&quot;_-;\-* #,##0.00\ &quot;Pts&quot;_-;_-* &quot;-&quot;??\ &quot;Pts&quot;_-;_-@_-"/>
    <numFmt numFmtId="189" formatCode="_([$$-240A]\ * #,##0.00_);_([$$-240A]\ * \(#,##0.00\);_([$$-240A]\ * &quot;-&quot;??_);_(@_)"/>
    <numFmt numFmtId="190" formatCode="_-[$$-240A]* #,##0.00_-;\-[$$-240A]* #,##0.00_-;_-[$$-240A]* &quot;-&quot;??_-;_-@_-"/>
    <numFmt numFmtId="191" formatCode="0#.00\ \L\t"/>
    <numFmt numFmtId="192" formatCode="_ * #,##0.00_ ;_ * \-#,##0.00_ ;_ * &quot;-&quot;??_ ;_ @_ "/>
    <numFmt numFmtId="193" formatCode="_ * #,##0_ ;_ * \-#,##0_ ;_ * &quot;-&quot;??_ ;_ @_ "/>
    <numFmt numFmtId="194" formatCode="0.000000"/>
    <numFmt numFmtId="195" formatCode="_-* #,##0.00\ _€_-;\-* #,##0.00\ _€_-;_-* &quot;-&quot;??\ _€_-;_-@_-"/>
    <numFmt numFmtId="196" formatCode="_-&quot;$&quot;* #,##0.0_-;\-&quot;$&quot;* #,##0.0_-;_-&quot;$&quot;* &quot;-&quot;_-;_-@_-"/>
    <numFmt numFmtId="197" formatCode="_ * #,##0.0_ ;_ * \-#,##0.0_ ;_ * &quot;-&quot;??_ ;_ @_ "/>
    <numFmt numFmtId="198" formatCode="_-* #,##0\ _€_-;\-* #,##0\ _€_-;_-* &quot;-&quot;??\ _€_-;_-@_-"/>
    <numFmt numFmtId="199" formatCode="_-* #,##0.0000\ _€_-;\-* #,##0.0000\ _€_-;_-* &quot;-&quot;??\ _€_-;_-@_-"/>
    <numFmt numFmtId="200" formatCode="_(&quot;$&quot;\ * #,##0_);_(&quot;$&quot;\ * \(#,##0\);_(&quot;$&quot;\ * &quot;-&quot;??_);_(@_)"/>
    <numFmt numFmtId="201" formatCode="0.00000000"/>
    <numFmt numFmtId="202" formatCode="_([$$-240A]\ * #,##0_);_([$$-240A]\ * \(#,##0\);_([$$-240A]\ * &quot;-&quot;_);_(@_)"/>
    <numFmt numFmtId="203" formatCode="_(* #,##0_);_(* \(#,##0\);_(* &quot;-&quot;???_);_(@_)"/>
    <numFmt numFmtId="204" formatCode="&quot;$&quot;\ #,##0"/>
    <numFmt numFmtId="205" formatCode="#,##0.000"/>
    <numFmt numFmtId="206" formatCode="0.0%"/>
    <numFmt numFmtId="207" formatCode="_-* #,##0.0_-;\-* #,##0.0_-;_-* &quot;-&quot;_-;_-@_-"/>
    <numFmt numFmtId="208" formatCode="0.0"/>
    <numFmt numFmtId="209" formatCode="_ &quot;$&quot;\ * #,##0.00_ ;_ &quot;$&quot;\ * \-#,##0.00_ ;_ &quot;$&quot;\ * &quot;-&quot;??_ ;_ @_ "/>
    <numFmt numFmtId="210" formatCode="_ &quot;$&quot;\ * #,##0_ ;_ &quot;$&quot;\ * \-#,##0_ ;_ &quot;$&quot;\ * &quot;-&quot;??_ ;_ @_ "/>
    <numFmt numFmtId="211" formatCode="0.0000"/>
    <numFmt numFmtId="212" formatCode="##0"/>
    <numFmt numFmtId="213" formatCode="_-* #,##0\ _P_t_s_-;\-* #,##0\ _P_t_s_-;_-* &quot;-&quot;??\ _P_t_s_-;_-@_-"/>
    <numFmt numFmtId="214" formatCode="0.00%;\-0.00%;&quot;&quot;"/>
    <numFmt numFmtId="215" formatCode="&quot;$&quot;#,##0\ ;\(&quot;$&quot;#,##0\)"/>
    <numFmt numFmtId="216" formatCode="\$#,##0\ ;&quot;($&quot;#,##0\)"/>
    <numFmt numFmtId="217" formatCode="\(0%\)"/>
    <numFmt numFmtId="218" formatCode="_ [$€-2]\ * #,##0.00_ ;_ [$€-2]\ * \-#,##0.00_ ;_ [$€-2]\ * &quot;-&quot;??_ "/>
    <numFmt numFmtId="219" formatCode=";;"/>
    <numFmt numFmtId="220" formatCode="d\ \d\e\ mmmm\ \d\e\ yyyy"/>
    <numFmt numFmtId="221" formatCode="0%;\-0%;&quot;&quot;"/>
    <numFmt numFmtId="222" formatCode="#0&quot;.&quot;000&quot;´&quot;000&quot;.&quot;000"/>
    <numFmt numFmtId="223" formatCode="##0&quot;.&quot;000"/>
    <numFmt numFmtId="224" formatCode="##0&quot;´&quot;000&quot;.&quot;000"/>
    <numFmt numFmtId="225" formatCode="_([$$-240A]\ * #,##0.00_);_([$$-240A]\ * \(#,##0.00\);_([$$-240A]\ * \-??_);_(@_)"/>
    <numFmt numFmtId="226" formatCode="_ * #,##0.000_ ;_ * \-#,##0.000_ ;_ * \-??_ ;_ @_ "/>
    <numFmt numFmtId="227" formatCode="0.0%;\-0.0%;&quot;&quot;"/>
    <numFmt numFmtId="228" formatCode="_(* #,##0.00_);_(* \(#,##0.00\);_(* \-??_);_(@_)"/>
    <numFmt numFmtId="229" formatCode="_ * #,##0.00_ ;_ * \-#,##0.00_ ;_ * \-??_ ;_ @_ "/>
    <numFmt numFmtId="230" formatCode="#0&quot;.&quot;"/>
    <numFmt numFmtId="231" formatCode="_ * #,##0_ ;_ * \-#,##0_ ;_ * &quot;-&quot;_ ;_ @_ "/>
    <numFmt numFmtId="232" formatCode="[$$-2C0A]#,##0.00"/>
    <numFmt numFmtId="233" formatCode="_-* #,##0\ _P_t_a_-;\-* #,##0\ _P_t_a_-;_-* &quot;-&quot;\ _P_t_a_-;_-@_-"/>
    <numFmt numFmtId="234" formatCode="&quot;$&quot;\ #,##0;&quot;$&quot;\ \-#,##0"/>
    <numFmt numFmtId="235" formatCode="_-* #,##0\ _P_t_s_-;\-* #,##0\ _P_t_s_-;_-* &quot;-&quot;\ _P_t_s_-;_-@_-"/>
    <numFmt numFmtId="236" formatCode="#,##0_ ;\-#,##0\ "/>
    <numFmt numFmtId="237" formatCode="_-* #,##0.00\ _P_t_s_-;\-* #,##0.00\ _P_t_s_-;_-* &quot;-&quot;??\ _P_t_s_-;_-@_-"/>
    <numFmt numFmtId="238" formatCode="&quot;$&quot;\ #,##0.00000000000"/>
    <numFmt numFmtId="239" formatCode="_-* #,##0.00\ _P_t_a_-;\-* #,##0.00\ _P_t_a_-;_-* &quot;-&quot;??\ _P_t_a_-;_-@_-"/>
    <numFmt numFmtId="240" formatCode="_-* #,##0.00\ _p_t_a_-;\-* #,##0.00\ _p_t_a_-;_-* &quot;-&quot;??\ _p_t_a_-;_-@_-"/>
    <numFmt numFmtId="241" formatCode="#,##0.0000"/>
    <numFmt numFmtId="242" formatCode="#,##0.00&quot;$&quot;;[Red]\-#,##0.00&quot;$&quot;"/>
    <numFmt numFmtId="243" formatCode="&quot;Categoría&quot;\ 0"/>
    <numFmt numFmtId="244" formatCode="0\ &quot;años&quot;"/>
    <numFmt numFmtId="245" formatCode="_-* #,##0.000_-;\-* #,##0.000_-;_-* &quot;-&quot;_-;_-@_-"/>
  </numFmts>
  <fonts count="128">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1"/>
      <name val="Arial"/>
      <family val="2"/>
    </font>
    <font>
      <b/>
      <sz val="14"/>
      <color theme="1"/>
      <name val="Arial"/>
      <family val="2"/>
    </font>
    <font>
      <b/>
      <sz val="12"/>
      <name val="Arial"/>
      <family val="2"/>
    </font>
    <font>
      <b/>
      <sz val="11"/>
      <color theme="0"/>
      <name val="Arial"/>
      <family val="2"/>
    </font>
    <font>
      <b/>
      <sz val="11"/>
      <color theme="1"/>
      <name val="Arial"/>
      <family val="2"/>
    </font>
    <font>
      <b/>
      <sz val="18"/>
      <color theme="0"/>
      <name val="Arial"/>
      <family val="2"/>
    </font>
    <font>
      <b/>
      <sz val="14"/>
      <color theme="0"/>
      <name val="Arial"/>
      <family val="2"/>
    </font>
    <font>
      <b/>
      <sz val="10"/>
      <color theme="0"/>
      <name val="Arial"/>
      <family val="2"/>
    </font>
    <font>
      <b/>
      <sz val="10"/>
      <color theme="1"/>
      <name val="Arial"/>
      <family val="2"/>
    </font>
    <font>
      <sz val="10"/>
      <color theme="1"/>
      <name val="Arial"/>
      <family val="2"/>
    </font>
    <font>
      <b/>
      <sz val="12"/>
      <color theme="1"/>
      <name val="Arial"/>
      <family val="2"/>
    </font>
    <font>
      <sz val="10"/>
      <name val="Arial"/>
      <family val="2"/>
    </font>
    <font>
      <b/>
      <sz val="12"/>
      <color theme="4"/>
      <name val="Arial"/>
      <family val="2"/>
    </font>
    <font>
      <sz val="12"/>
      <color theme="1"/>
      <name val="Arial"/>
      <family val="2"/>
    </font>
    <font>
      <b/>
      <sz val="14"/>
      <name val="Arial"/>
      <family val="2"/>
    </font>
    <font>
      <sz val="14"/>
      <color theme="1"/>
      <name val="Arial"/>
      <family val="2"/>
    </font>
    <font>
      <b/>
      <sz val="12"/>
      <color rgb="FFFF0000"/>
      <name val="Arial"/>
      <family val="2"/>
    </font>
    <font>
      <b/>
      <sz val="12"/>
      <color theme="0"/>
      <name val="Calibri"/>
      <family val="2"/>
      <scheme val="minor"/>
    </font>
    <font>
      <sz val="8"/>
      <color theme="1"/>
      <name val="Calibri"/>
      <family val="2"/>
      <scheme val="minor"/>
    </font>
    <font>
      <sz val="11"/>
      <name val="Arial"/>
      <family val="2"/>
    </font>
    <font>
      <b/>
      <sz val="10"/>
      <color rgb="FF000000"/>
      <name val="Arial"/>
      <family val="2"/>
    </font>
    <font>
      <b/>
      <sz val="10"/>
      <name val="Arial"/>
      <family val="2"/>
    </font>
    <font>
      <sz val="11"/>
      <color rgb="FF000000"/>
      <name val="Calibri"/>
      <family val="2"/>
    </font>
    <font>
      <sz val="7"/>
      <color theme="1"/>
      <name val="Arial"/>
      <family val="2"/>
    </font>
    <font>
      <sz val="8"/>
      <name val="Calibri"/>
      <family val="2"/>
      <scheme val="minor"/>
    </font>
    <font>
      <sz val="26"/>
      <color theme="1"/>
      <name val="Calibri"/>
      <family val="2"/>
      <scheme val="minor"/>
    </font>
    <font>
      <b/>
      <sz val="22"/>
      <color theme="1"/>
      <name val="Calibri"/>
      <family val="2"/>
      <scheme val="minor"/>
    </font>
    <font>
      <b/>
      <u/>
      <sz val="14"/>
      <color theme="1"/>
      <name val="Arial"/>
      <family val="2"/>
    </font>
    <font>
      <b/>
      <sz val="12"/>
      <color rgb="FF000000"/>
      <name val="Arial"/>
      <family val="2"/>
    </font>
    <font>
      <b/>
      <sz val="12"/>
      <color theme="0"/>
      <name val="Arial"/>
      <family val="2"/>
    </font>
    <font>
      <sz val="12"/>
      <name val="Arial"/>
      <family val="2"/>
    </font>
    <font>
      <sz val="12"/>
      <color theme="0"/>
      <name val="Arial"/>
      <family val="2"/>
    </font>
    <font>
      <sz val="12"/>
      <color rgb="FF000000"/>
      <name val="Arial"/>
      <family val="2"/>
    </font>
    <font>
      <sz val="10"/>
      <color theme="1"/>
      <name val="Calibri"/>
      <family val="2"/>
      <scheme val="minor"/>
    </font>
    <font>
      <sz val="9"/>
      <color theme="1"/>
      <name val="Arial"/>
      <family val="2"/>
    </font>
    <font>
      <sz val="9"/>
      <name val="Arial"/>
      <family val="2"/>
    </font>
    <font>
      <b/>
      <sz val="9"/>
      <name val="Arial"/>
      <family val="2"/>
    </font>
    <font>
      <sz val="10"/>
      <color theme="0"/>
      <name val="Arial"/>
      <family val="2"/>
    </font>
    <font>
      <b/>
      <u/>
      <sz val="16"/>
      <name val="Calibri"/>
      <family val="2"/>
      <scheme val="minor"/>
    </font>
    <font>
      <b/>
      <sz val="11"/>
      <color rgb="FFFF0000"/>
      <name val="Calibri"/>
      <family val="2"/>
      <scheme val="minor"/>
    </font>
    <font>
      <u/>
      <sz val="14"/>
      <name val="Arial"/>
      <family val="2"/>
    </font>
    <font>
      <sz val="12"/>
      <color rgb="FFFF0000"/>
      <name val="Arial"/>
      <family val="2"/>
    </font>
    <font>
      <sz val="12"/>
      <color rgb="FF00B050"/>
      <name val="Arial"/>
      <family val="2"/>
    </font>
    <font>
      <sz val="10"/>
      <name val="Arial"/>
      <family val="2"/>
    </font>
    <font>
      <sz val="10"/>
      <name val="Arial Narrow"/>
      <family val="2"/>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vertAlign val="superscript"/>
      <sz val="8"/>
      <name val="Arial Narrow"/>
      <family val="2"/>
    </font>
    <font>
      <sz val="8"/>
      <name val="Arial Narrow"/>
      <family val="2"/>
    </font>
    <font>
      <sz val="5"/>
      <name val="Arial Narrow"/>
      <family val="2"/>
    </font>
    <font>
      <sz val="12"/>
      <name val="Arial Narrow"/>
      <family val="2"/>
    </font>
    <font>
      <sz val="10"/>
      <color rgb="FFFF0000"/>
      <name val="Arial Narrow"/>
      <family val="2"/>
    </font>
    <font>
      <sz val="9"/>
      <color indexed="8"/>
      <name val="Arial"/>
      <family val="2"/>
    </font>
    <font>
      <b/>
      <sz val="12"/>
      <color indexed="8"/>
      <name val="Arial"/>
      <family val="2"/>
    </font>
    <font>
      <b/>
      <sz val="10"/>
      <color indexed="8"/>
      <name val="Arial"/>
      <family val="2"/>
    </font>
    <font>
      <sz val="10"/>
      <color indexed="8"/>
      <name val="Arial"/>
      <family val="2"/>
    </font>
    <font>
      <b/>
      <sz val="9"/>
      <color indexed="8"/>
      <name val="Arial"/>
      <family val="2"/>
    </font>
    <font>
      <b/>
      <sz val="11"/>
      <name val="Arial"/>
      <family val="2"/>
    </font>
    <font>
      <sz val="11"/>
      <color indexed="8"/>
      <name val="Calibri"/>
      <family val="2"/>
    </font>
    <font>
      <b/>
      <sz val="9"/>
      <color indexed="10"/>
      <name val="Arial"/>
      <family val="2"/>
    </font>
    <font>
      <b/>
      <sz val="11"/>
      <color indexed="8"/>
      <name val="Arial"/>
      <family val="2"/>
    </font>
    <font>
      <sz val="10"/>
      <color theme="1"/>
      <name val="Arial Narrow"/>
      <family val="2"/>
    </font>
    <font>
      <b/>
      <sz val="12"/>
      <color indexed="10"/>
      <name val="Arial"/>
      <family val="2"/>
    </font>
    <font>
      <b/>
      <sz val="9"/>
      <color indexed="81"/>
      <name val="Tahoma"/>
      <family val="2"/>
    </font>
    <font>
      <sz val="9"/>
      <color indexed="81"/>
      <name val="Tahoma"/>
      <family val="2"/>
    </font>
    <font>
      <b/>
      <sz val="8"/>
      <color indexed="81"/>
      <name val="Tahoma"/>
      <family val="2"/>
    </font>
    <font>
      <sz val="8"/>
      <color indexed="81"/>
      <name val="Tahoma"/>
      <family val="2"/>
    </font>
    <font>
      <sz val="10"/>
      <name val="Arial"/>
      <family val="2"/>
    </font>
    <font>
      <u/>
      <sz val="10"/>
      <color theme="10"/>
      <name val="Arial"/>
      <family val="2"/>
    </font>
    <font>
      <b/>
      <sz val="12"/>
      <color rgb="FF0070C0"/>
      <name val="Arial"/>
      <family val="2"/>
    </font>
    <font>
      <sz val="11"/>
      <color theme="0"/>
      <name val="Calibri"/>
      <family val="2"/>
      <scheme val="minor"/>
    </font>
    <font>
      <sz val="11"/>
      <name val="Calibri"/>
      <family val="2"/>
      <scheme val="minor"/>
    </font>
    <font>
      <sz val="8"/>
      <name val="Arial"/>
      <family val="2"/>
    </font>
    <font>
      <b/>
      <sz val="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0"/>
      <color indexed="24"/>
      <name val="Modern"/>
      <family val="3"/>
      <charset val="255"/>
    </font>
    <font>
      <sz val="12"/>
      <color indexed="24"/>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sz val="11"/>
      <color indexed="8"/>
      <name val="Helvetica Neue"/>
    </font>
    <font>
      <b/>
      <sz val="10"/>
      <color indexed="24"/>
      <name val="Modern"/>
      <family val="3"/>
    </font>
    <font>
      <b/>
      <sz val="18"/>
      <color indexed="24"/>
      <name val="Arial"/>
      <family val="2"/>
    </font>
    <font>
      <b/>
      <sz val="12"/>
      <color indexed="24"/>
      <name val="Arial"/>
      <family val="2"/>
    </font>
    <font>
      <sz val="10"/>
      <name val="MS Sans Serif"/>
      <family val="2"/>
    </font>
    <font>
      <u/>
      <sz val="10"/>
      <color theme="4" tint="-0.249977111117893"/>
      <name val="Arial"/>
      <family val="2"/>
    </font>
    <font>
      <sz val="11"/>
      <color rgb="FFFF0000"/>
      <name val="Calibri"/>
      <family val="2"/>
      <scheme val="minor"/>
    </font>
    <font>
      <b/>
      <sz val="10"/>
      <color theme="1"/>
      <name val="Calibri"/>
      <family val="2"/>
      <scheme val="minor"/>
    </font>
    <font>
      <sz val="11"/>
      <color rgb="FF0070C0"/>
      <name val="Calibri"/>
      <family val="2"/>
      <scheme val="minor"/>
    </font>
    <font>
      <b/>
      <sz val="10"/>
      <color rgb="FF0070C0"/>
      <name val="Arial"/>
      <family val="2"/>
    </font>
    <font>
      <sz val="10"/>
      <name val="Calibri"/>
      <family val="2"/>
      <scheme val="minor"/>
    </font>
    <font>
      <b/>
      <sz val="10"/>
      <name val="Calibri"/>
      <family val="2"/>
      <scheme val="minor"/>
    </font>
    <font>
      <b/>
      <sz val="14"/>
      <color theme="0"/>
      <name val="Calibri"/>
      <family val="2"/>
      <scheme val="minor"/>
    </font>
    <font>
      <sz val="14"/>
      <color theme="1"/>
      <name val="Calibri"/>
      <family val="2"/>
      <scheme val="minor"/>
    </font>
    <font>
      <b/>
      <sz val="14"/>
      <color rgb="FFFF0000"/>
      <name val="Calibri"/>
      <family val="2"/>
      <scheme val="minor"/>
    </font>
    <font>
      <b/>
      <sz val="14"/>
      <color theme="1"/>
      <name val="Calibri"/>
      <family val="2"/>
      <scheme val="minor"/>
    </font>
    <font>
      <sz val="16"/>
      <name val="Arial"/>
      <family val="2"/>
    </font>
    <font>
      <sz val="20"/>
      <name val="Arial"/>
      <family val="2"/>
    </font>
    <font>
      <b/>
      <sz val="20"/>
      <color theme="0"/>
      <name val="Calibri"/>
      <family val="2"/>
      <scheme val="minor"/>
    </font>
    <font>
      <sz val="18"/>
      <color rgb="FF000000"/>
      <name val="Arial"/>
      <family val="2"/>
    </font>
    <font>
      <sz val="11"/>
      <color theme="0"/>
      <name val="Arial"/>
      <family val="2"/>
    </font>
    <font>
      <b/>
      <sz val="13"/>
      <color theme="0"/>
      <name val="Calibri"/>
      <family val="2"/>
      <scheme val="minor"/>
    </font>
  </fonts>
  <fills count="68">
    <fill>
      <patternFill patternType="none"/>
    </fill>
    <fill>
      <patternFill patternType="gray125"/>
    </fill>
    <fill>
      <patternFill patternType="solid">
        <fgColor rgb="FFFFFFCC"/>
        <bgColor auto="1"/>
      </patternFill>
    </fill>
    <fill>
      <patternFill patternType="solid">
        <fgColor theme="0"/>
        <bgColor indexed="64"/>
      </patternFill>
    </fill>
    <fill>
      <patternFill patternType="solid">
        <fgColor rgb="FFC00000"/>
        <bgColor indexed="64"/>
      </patternFill>
    </fill>
    <fill>
      <patternFill patternType="solid">
        <fgColor rgb="FFFFFFCC"/>
        <bgColor indexed="64"/>
      </patternFill>
    </fill>
    <fill>
      <gradientFill degree="90">
        <stop position="0">
          <color theme="0" tint="-5.0965910824915313E-2"/>
        </stop>
        <stop position="1">
          <color theme="0" tint="-0.1490218817712943"/>
        </stop>
      </gradientFill>
    </fill>
    <fill>
      <patternFill patternType="solid">
        <fgColor theme="7" tint="0.79998168889431442"/>
        <bgColor indexed="64"/>
      </patternFill>
    </fill>
    <fill>
      <patternFill patternType="solid">
        <fgColor rgb="FFFFFF66"/>
        <bgColor indexed="64"/>
      </patternFill>
    </fill>
    <fill>
      <patternFill patternType="solid">
        <fgColor rgb="FFFFFF97"/>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rgb="FF9A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indexed="22"/>
        <bgColor indexed="64"/>
      </patternFill>
    </fill>
    <fill>
      <patternFill patternType="solid">
        <fgColor theme="9"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theme="1" tint="0.499984740745262"/>
        <bgColor indexed="64"/>
      </patternFill>
    </fill>
    <fill>
      <patternFill patternType="solid">
        <fgColor theme="2" tint="-9.9978637043366805E-2"/>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FFFF00"/>
        <bgColor auto="1"/>
      </patternFill>
    </fill>
  </fills>
  <borders count="179">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theme="0" tint="-0.14996795556505021"/>
      </right>
      <top style="thin">
        <color theme="0" tint="-0.14993743705557422"/>
      </top>
      <bottom style="medium">
        <color theme="0" tint="-0.14996795556505021"/>
      </bottom>
      <diagonal/>
    </border>
    <border>
      <left style="medium">
        <color theme="0" tint="-0.14996795556505021"/>
      </left>
      <right style="thin">
        <color theme="0" tint="-0.14996795556505021"/>
      </right>
      <top style="medium">
        <color theme="0" tint="-0.14996795556505021"/>
      </top>
      <bottom style="thin">
        <color theme="0" tint="-0.14996795556505021"/>
      </bottom>
      <diagonal/>
    </border>
    <border>
      <left style="medium">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medium">
        <color theme="0" tint="-0.24994659260841701"/>
      </right>
      <top style="thin">
        <color theme="0" tint="-0.14996795556505021"/>
      </top>
      <bottom style="thin">
        <color theme="0" tint="-0.14996795556505021"/>
      </bottom>
      <diagonal/>
    </border>
    <border>
      <left style="medium">
        <color theme="0" tint="-0.14996795556505021"/>
      </left>
      <right style="thin">
        <color theme="0" tint="-0.14996795556505021"/>
      </right>
      <top style="thin">
        <color theme="0" tint="-0.14996795556505021"/>
      </top>
      <bottom style="medium">
        <color theme="0" tint="-0.24994659260841701"/>
      </bottom>
      <diagonal/>
    </border>
    <border>
      <left style="medium">
        <color theme="0" tint="-0.14996795556505021"/>
      </left>
      <right style="thin">
        <color theme="0" tint="-0.24994659260841701"/>
      </right>
      <top style="medium">
        <color theme="0" tint="-0.14996795556505021"/>
      </top>
      <bottom style="thin">
        <color theme="0" tint="-0.24994659260841701"/>
      </bottom>
      <diagonal/>
    </border>
    <border>
      <left/>
      <right style="thin">
        <color theme="0" tint="-0.24994659260841701"/>
      </right>
      <top style="medium">
        <color theme="0" tint="-0.14996795556505021"/>
      </top>
      <bottom style="thin">
        <color theme="0" tint="-0.24994659260841701"/>
      </bottom>
      <diagonal/>
    </border>
    <border>
      <left style="thin">
        <color theme="0" tint="-0.24994659260841701"/>
      </left>
      <right style="thin">
        <color theme="0" tint="-0.24994659260841701"/>
      </right>
      <top style="medium">
        <color theme="0" tint="-0.14996795556505021"/>
      </top>
      <bottom style="thin">
        <color theme="0" tint="-0.24994659260841701"/>
      </bottom>
      <diagonal/>
    </border>
    <border>
      <left style="thin">
        <color theme="0" tint="-0.24994659260841701"/>
      </left>
      <right style="medium">
        <color theme="0" tint="-0.24994659260841701"/>
      </right>
      <top style="medium">
        <color theme="0" tint="-0.14996795556505021"/>
      </top>
      <bottom style="thin">
        <color theme="0" tint="-0.24994659260841701"/>
      </bottom>
      <diagonal/>
    </border>
    <border>
      <left style="medium">
        <color theme="0" tint="-0.1499679555650502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14996795556505021"/>
      </left>
      <right style="thin">
        <color theme="0" tint="-0.24994659260841701"/>
      </right>
      <top style="thin">
        <color theme="0" tint="-0.14996795556505021"/>
      </top>
      <bottom style="thin">
        <color theme="0" tint="-0.24994659260841701"/>
      </bottom>
      <diagonal/>
    </border>
    <border>
      <left style="thin">
        <color theme="0" tint="-0.24994659260841701"/>
      </left>
      <right style="thin">
        <color theme="0" tint="-0.24994659260841701"/>
      </right>
      <top style="thin">
        <color theme="0" tint="-0.14996795556505021"/>
      </top>
      <bottom style="thin">
        <color theme="0" tint="-0.24994659260841701"/>
      </bottom>
      <diagonal/>
    </border>
    <border>
      <left style="thin">
        <color theme="0" tint="-0.14996795556505021"/>
      </left>
      <right style="thin">
        <color theme="0" tint="-0.1499679555650502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14996795556505021"/>
      </top>
      <bottom style="thin">
        <color theme="0" tint="-0.24994659260841701"/>
      </bottom>
      <diagonal/>
    </border>
    <border>
      <left/>
      <right/>
      <top style="thin">
        <color theme="0" tint="-0.14996795556505021"/>
      </top>
      <bottom style="thin">
        <color theme="0" tint="-0.24994659260841701"/>
      </bottom>
      <diagonal/>
    </border>
    <border>
      <left/>
      <right style="thin">
        <color theme="0" tint="-0.24994659260841701"/>
      </right>
      <top style="thin">
        <color theme="0" tint="-0.14996795556505021"/>
      </top>
      <bottom style="thin">
        <color theme="0" tint="-0.24994659260841701"/>
      </bottom>
      <diagonal/>
    </border>
    <border>
      <left/>
      <right/>
      <top style="thin">
        <color theme="0" tint="-0.24994659260841701"/>
      </top>
      <bottom style="thin">
        <color theme="0" tint="-0.24994659260841701"/>
      </bottom>
      <diagonal/>
    </border>
    <border>
      <left style="medium">
        <color theme="0" tint="-0.14996795556505021"/>
      </left>
      <right/>
      <top style="thin">
        <color theme="0" tint="-0.24994659260841701"/>
      </top>
      <bottom style="thin">
        <color theme="0" tint="-0.24994659260841701"/>
      </bottom>
      <diagonal/>
    </border>
    <border>
      <left/>
      <right style="medium">
        <color theme="0" tint="-0.24994659260841701"/>
      </right>
      <top style="thin">
        <color theme="0" tint="-0.24994659260841701"/>
      </top>
      <bottom style="thin">
        <color theme="0" tint="-0.24994659260841701"/>
      </bottom>
      <diagonal/>
    </border>
    <border>
      <left style="thin">
        <color theme="0" tint="-0.14996795556505021"/>
      </left>
      <right style="medium">
        <color theme="0" tint="-0.24994659260841701"/>
      </right>
      <top style="thin">
        <color theme="0" tint="-0.24994659260841701"/>
      </top>
      <bottom style="thin">
        <color theme="0" tint="-0.24994659260841701"/>
      </bottom>
      <diagonal/>
    </border>
    <border>
      <left/>
      <right style="thin">
        <color theme="0" tint="-0.1499679555650502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medium">
        <color theme="0" tint="-0.14996795556505021"/>
      </left>
      <right/>
      <top style="medium">
        <color theme="0" tint="-0.14996795556505021"/>
      </top>
      <bottom style="thin">
        <color theme="0" tint="-0.24994659260841701"/>
      </bottom>
      <diagonal/>
    </border>
    <border>
      <left/>
      <right/>
      <top style="medium">
        <color theme="0" tint="-0.14996795556505021"/>
      </top>
      <bottom style="thin">
        <color theme="0" tint="-0.24994659260841701"/>
      </bottom>
      <diagonal/>
    </border>
    <border>
      <left/>
      <right style="medium">
        <color theme="0" tint="-0.24994659260841701"/>
      </right>
      <top style="medium">
        <color theme="0" tint="-0.14996795556505021"/>
      </top>
      <bottom style="thin">
        <color theme="0" tint="-0.24994659260841701"/>
      </bottom>
      <diagonal/>
    </border>
    <border>
      <left style="medium">
        <color theme="0" tint="-0.14996795556505021"/>
      </left>
      <right style="thin">
        <color theme="0" tint="-0.1499679555650502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24994659260841701"/>
      </top>
      <bottom/>
      <diagonal/>
    </border>
    <border>
      <left style="thin">
        <color theme="0" tint="-0.14996795556505021"/>
      </left>
      <right style="thin">
        <color theme="0" tint="-0.14996795556505021"/>
      </right>
      <top/>
      <bottom style="thin">
        <color theme="0" tint="-0.24994659260841701"/>
      </bottom>
      <diagonal/>
    </border>
    <border>
      <left style="medium">
        <color theme="0" tint="-0.14996795556505021"/>
      </left>
      <right/>
      <top style="thin">
        <color theme="0" tint="-0.24994659260841701"/>
      </top>
      <bottom style="medium">
        <color theme="0" tint="-0.24994659260841701"/>
      </bottom>
      <diagonal/>
    </border>
    <border>
      <left/>
      <right/>
      <top style="thin">
        <color theme="0" tint="-0.24994659260841701"/>
      </top>
      <bottom style="medium">
        <color theme="0" tint="-0.24994659260841701"/>
      </bottom>
      <diagonal/>
    </border>
    <border>
      <left/>
      <right style="thin">
        <color theme="0" tint="-0.14996795556505021"/>
      </right>
      <top style="thin">
        <color theme="0" tint="-0.24994659260841701"/>
      </top>
      <bottom style="medium">
        <color theme="0" tint="-0.24994659260841701"/>
      </bottom>
      <diagonal/>
    </border>
    <border>
      <left style="thin">
        <color theme="0" tint="-0.14996795556505021"/>
      </left>
      <right style="medium">
        <color theme="0" tint="-0.24994659260841701"/>
      </right>
      <top style="thin">
        <color theme="0" tint="-0.24994659260841701"/>
      </top>
      <bottom style="medium">
        <color theme="0" tint="-0.2499465926084170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right/>
      <top/>
      <bottom style="thin">
        <color auto="1"/>
      </bottom>
      <diagonal/>
    </border>
    <border>
      <left style="medium">
        <color theme="0" tint="-0.14996795556505021"/>
      </left>
      <right/>
      <top style="medium">
        <color theme="0" tint="-0.14993743705557422"/>
      </top>
      <bottom/>
      <diagonal/>
    </border>
    <border>
      <left/>
      <right/>
      <top style="medium">
        <color theme="0" tint="-0.14993743705557422"/>
      </top>
      <bottom/>
      <diagonal/>
    </border>
    <border>
      <left/>
      <right style="medium">
        <color theme="0" tint="-0.14996795556505021"/>
      </right>
      <top style="medium">
        <color theme="0" tint="-0.14993743705557422"/>
      </top>
      <bottom/>
      <diagonal/>
    </border>
    <border>
      <left style="medium">
        <color theme="0" tint="-0.14996795556505021"/>
      </left>
      <right/>
      <top/>
      <bottom/>
      <diagonal/>
    </border>
    <border>
      <left/>
      <right style="medium">
        <color theme="0" tint="-0.14996795556505021"/>
      </right>
      <top/>
      <bottom/>
      <diagonal/>
    </border>
    <border>
      <left style="medium">
        <color theme="0" tint="-0.14996795556505021"/>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theme="0" tint="-0.14996795556505021"/>
      </left>
      <right style="thin">
        <color theme="0" tint="-0.14996795556505021"/>
      </right>
      <top style="thin">
        <color theme="0" tint="-0.14996795556505021"/>
      </top>
      <bottom/>
      <diagonal/>
    </border>
    <border>
      <left/>
      <right/>
      <top/>
      <bottom style="thin">
        <color theme="0" tint="-0.24994659260841701"/>
      </bottom>
      <diagonal/>
    </border>
    <border>
      <left/>
      <right/>
      <top style="thin">
        <color indexed="64"/>
      </top>
      <bottom style="thin">
        <color indexed="64"/>
      </bottom>
      <diagonal/>
    </border>
    <border>
      <left style="thin">
        <color indexed="64"/>
      </left>
      <right/>
      <top/>
      <bottom/>
      <diagonal/>
    </border>
    <border>
      <left style="thin">
        <color theme="0" tint="-0.14996795556505021"/>
      </left>
      <right/>
      <top style="thin">
        <color theme="0" tint="-0.24994659260841701"/>
      </top>
      <bottom style="thin">
        <color theme="0" tint="-0.249977111117893"/>
      </bottom>
      <diagonal/>
    </border>
    <border>
      <left/>
      <right style="medium">
        <color theme="0" tint="-0.24994659260841701"/>
      </right>
      <top style="thin">
        <color theme="0" tint="-0.24994659260841701"/>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theme="0" tint="-0.24994659260841701"/>
      </left>
      <right/>
      <top style="medium">
        <color theme="0" tint="-0.14996795556505021"/>
      </top>
      <bottom style="thin">
        <color theme="0" tint="-0.24994659260841701"/>
      </bottom>
      <diagonal/>
    </border>
    <border>
      <left style="thin">
        <color theme="0" tint="-0.14996795556505021"/>
      </left>
      <right/>
      <top style="thin">
        <color theme="0" tint="-0.24994659260841701"/>
      </top>
      <bottom style="thin">
        <color theme="0" tint="-0.24994659260841701"/>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diagonalDown="1">
      <left style="thin">
        <color theme="0" tint="-0.24994659260841701"/>
      </left>
      <right style="thin">
        <color indexed="64"/>
      </right>
      <top style="thin">
        <color theme="0" tint="-0.24994659260841701"/>
      </top>
      <bottom/>
      <diagonal style="thin">
        <color theme="0" tint="-0.24994659260841701"/>
      </diagonal>
    </border>
    <border diagonalDown="1">
      <left style="thin">
        <color theme="0" tint="-0.24994659260841701"/>
      </left>
      <right style="thin">
        <color indexed="64"/>
      </right>
      <top/>
      <bottom style="thin">
        <color theme="0" tint="-0.24994659260841701"/>
      </bottom>
      <diagonal style="thin">
        <color theme="0" tint="-0.24994659260841701"/>
      </diagonal>
    </border>
    <border>
      <left style="thin">
        <color indexed="64"/>
      </left>
      <right style="thin">
        <color indexed="64"/>
      </right>
      <top style="thin">
        <color theme="0" tint="-0.24994659260841701"/>
      </top>
      <bottom/>
      <diagonal/>
    </border>
    <border>
      <left style="thin">
        <color indexed="64"/>
      </left>
      <right style="thin">
        <color indexed="64"/>
      </right>
      <top/>
      <bottom style="thin">
        <color theme="0" tint="-0.24994659260841701"/>
      </bottom>
      <diagonal/>
    </border>
    <border>
      <left style="thin">
        <color theme="0" tint="-0.24994659260841701"/>
      </left>
      <right/>
      <top/>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auto="1"/>
      </right>
      <top style="thin">
        <color theme="0" tint="-0.24994659260841701"/>
      </top>
      <bottom/>
      <diagonal/>
    </border>
    <border>
      <left style="thin">
        <color theme="0" tint="-0.24994659260841701"/>
      </left>
      <right style="thin">
        <color auto="1"/>
      </right>
      <top/>
      <bottom style="thin">
        <color auto="1"/>
      </bottom>
      <diagonal/>
    </border>
    <border>
      <left style="medium">
        <color theme="0" tint="-0.14996795556505021"/>
      </left>
      <right/>
      <top style="thin">
        <color theme="0" tint="-0.24994659260841701"/>
      </top>
      <bottom/>
      <diagonal/>
    </border>
    <border>
      <left/>
      <right/>
      <top style="thin">
        <color theme="0" tint="-0.2499465926084170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theme="0" tint="-0.14996795556505021"/>
      </left>
      <right style="medium">
        <color theme="0" tint="-0.14996795556505021"/>
      </right>
      <top/>
      <bottom style="medium">
        <color theme="0" tint="-0.14996795556505021"/>
      </bottom>
      <diagonal/>
    </border>
    <border>
      <left/>
      <right/>
      <top/>
      <bottom style="thin">
        <color theme="0" tint="-0.34998626667073579"/>
      </bottom>
      <diagonal/>
    </border>
    <border>
      <left style="medium">
        <color theme="0" tint="-0.14996795556505021"/>
      </left>
      <right/>
      <top/>
      <bottom style="thin">
        <color theme="0" tint="-0.14993743705557422"/>
      </bottom>
      <diagonal/>
    </border>
    <border>
      <left/>
      <right/>
      <top style="thin">
        <color theme="0" tint="-0.24994659260841701"/>
      </top>
      <bottom style="medium">
        <color indexed="64"/>
      </bottom>
      <diagonal/>
    </border>
    <border>
      <left style="thin">
        <color theme="0" tint="-0.14996795556505021"/>
      </left>
      <right style="medium">
        <color theme="0" tint="-0.24994659260841701"/>
      </right>
      <top style="thin">
        <color theme="0" tint="-0.2499465926084170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hair">
        <color indexed="64"/>
      </left>
      <right style="hair">
        <color indexed="64"/>
      </right>
      <top style="hair">
        <color indexed="64"/>
      </top>
      <bottom style="hair">
        <color indexed="64"/>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14996795556505021"/>
      </left>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medium">
        <color theme="0" tint="-0.14996795556505021"/>
      </left>
      <right/>
      <top style="medium">
        <color theme="0" tint="-0.14996795556505021"/>
      </top>
      <bottom/>
      <diagonal/>
    </border>
    <border>
      <left/>
      <right/>
      <top style="medium">
        <color theme="0" tint="-0.14996795556505021"/>
      </top>
      <bottom/>
      <diagonal/>
    </border>
    <border>
      <left style="thin">
        <color theme="0" tint="-4.9989318521683403E-2"/>
      </left>
      <right style="medium">
        <color theme="0" tint="-0.14996795556505021"/>
      </right>
      <top style="medium">
        <color theme="0" tint="-0.14996795556505021"/>
      </top>
      <bottom style="medium">
        <color theme="0" tint="-0.14996795556505021"/>
      </bottom>
      <diagonal/>
    </border>
    <border>
      <left/>
      <right style="thin">
        <color theme="0" tint="-4.9989318521683403E-2"/>
      </right>
      <top style="medium">
        <color theme="0" tint="-0.14996795556505021"/>
      </top>
      <bottom style="medium">
        <color theme="0" tint="-0.14996795556505021"/>
      </bottom>
      <diagonal/>
    </border>
    <border>
      <left style="medium">
        <color theme="0" tint="-0.14993743705557422"/>
      </left>
      <right style="thin">
        <color theme="0" tint="-4.9989318521683403E-2"/>
      </right>
      <top style="medium">
        <color theme="0" tint="-0.14993743705557422"/>
      </top>
      <bottom style="medium">
        <color theme="0" tint="-0.14993743705557422"/>
      </bottom>
      <diagonal/>
    </border>
    <border>
      <left style="thin">
        <color theme="0" tint="-4.9989318521683403E-2"/>
      </left>
      <right style="medium">
        <color theme="0" tint="-0.14993743705557422"/>
      </right>
      <top style="medium">
        <color theme="0" tint="-0.14993743705557422"/>
      </top>
      <bottom style="medium">
        <color theme="0" tint="-0.14993743705557422"/>
      </bottom>
      <diagonal/>
    </border>
    <border>
      <left/>
      <right style="thin">
        <color theme="0" tint="-0.24994659260841701"/>
      </right>
      <top/>
      <bottom/>
      <diagonal/>
    </border>
    <border>
      <left/>
      <right style="thin">
        <color theme="0" tint="-0.24994659260841701"/>
      </right>
      <top/>
      <bottom style="thin">
        <color theme="0" tint="-0.24994659260841701"/>
      </bottom>
      <diagonal/>
    </border>
    <border>
      <left style="thin">
        <color theme="4" tint="0.39997558519241921"/>
      </left>
      <right/>
      <top style="thin">
        <color theme="4" tint="0.39997558519241921"/>
      </top>
      <bottom/>
      <diagonal/>
    </border>
    <border>
      <left style="medium">
        <color theme="0" tint="-0.14996795556505021"/>
      </left>
      <right style="medium">
        <color theme="0" tint="-0.14996795556505021"/>
      </right>
      <top style="medium">
        <color theme="0" tint="-0.14996795556505021"/>
      </top>
      <bottom/>
      <diagonal/>
    </border>
    <border>
      <left style="medium">
        <color theme="0" tint="-0.14993743705557422"/>
      </left>
      <right style="medium">
        <color theme="0" tint="-0.14993743705557422"/>
      </right>
      <top style="medium">
        <color theme="0" tint="-0.14993743705557422"/>
      </top>
      <bottom style="medium">
        <color theme="0" tint="-0.14993743705557422"/>
      </bottom>
      <diagonal/>
    </border>
  </borders>
  <cellStyleXfs count="13790">
    <xf numFmtId="0" fontId="0" fillId="0" borderId="0"/>
    <xf numFmtId="170"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1" fillId="0" borderId="0"/>
    <xf numFmtId="0" fontId="15" fillId="0" borderId="0"/>
    <xf numFmtId="9" fontId="15" fillId="0" borderId="0" applyFont="0" applyFill="0" applyBorder="0" applyAlignment="0" applyProtection="0"/>
    <xf numFmtId="42" fontId="1" fillId="0" borderId="0" applyFont="0" applyFill="0" applyBorder="0" applyAlignment="0" applyProtection="0"/>
    <xf numFmtId="0" fontId="1" fillId="0" borderId="0"/>
    <xf numFmtId="0" fontId="15" fillId="0" borderId="0"/>
    <xf numFmtId="9" fontId="26" fillId="0" borderId="0" applyFont="0" applyFill="0" applyBorder="0" applyAlignment="0" applyProtection="0"/>
    <xf numFmtId="167" fontId="1" fillId="0" borderId="0" applyFont="0" applyFill="0" applyBorder="0" applyAlignment="0" applyProtection="0"/>
    <xf numFmtId="0" fontId="1" fillId="0" borderId="0"/>
    <xf numFmtId="0" fontId="26" fillId="0" borderId="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0" fontId="1" fillId="0" borderId="0" applyFont="0" applyFill="0" applyBorder="0" applyAlignment="0" applyProtection="0"/>
    <xf numFmtId="0" fontId="1" fillId="0" borderId="0"/>
    <xf numFmtId="0" fontId="1" fillId="0" borderId="0"/>
    <xf numFmtId="0" fontId="15" fillId="0" borderId="0"/>
    <xf numFmtId="170" fontId="1" fillId="0" borderId="0" applyFont="0" applyFill="0" applyBorder="0" applyAlignment="0" applyProtection="0"/>
    <xf numFmtId="0" fontId="1" fillId="0" borderId="0"/>
    <xf numFmtId="0" fontId="15" fillId="0" borderId="0"/>
    <xf numFmtId="181" fontId="15" fillId="0" borderId="0" applyFont="0" applyFill="0" applyBorder="0" applyAlignment="0" applyProtection="0"/>
    <xf numFmtId="0" fontId="15" fillId="0" borderId="0"/>
    <xf numFmtId="184" fontId="15" fillId="0" borderId="0" applyFont="0" applyFill="0" applyBorder="0" applyAlignment="0" applyProtection="0"/>
    <xf numFmtId="0" fontId="15" fillId="0" borderId="0"/>
    <xf numFmtId="0" fontId="15" fillId="0" borderId="0"/>
    <xf numFmtId="188" fontId="15" fillId="0" borderId="0" applyFont="0" applyFill="0" applyBorder="0" applyAlignment="0" applyProtection="0"/>
    <xf numFmtId="0" fontId="15" fillId="0" borderId="0"/>
    <xf numFmtId="191" fontId="15" fillId="0" borderId="0" applyFont="0" applyFill="0" applyBorder="0" applyAlignment="0" applyProtection="0"/>
    <xf numFmtId="9" fontId="15" fillId="0" borderId="0" applyFont="0" applyFill="0" applyBorder="0" applyAlignment="0" applyProtection="0"/>
    <xf numFmtId="0" fontId="47" fillId="0" borderId="0"/>
    <xf numFmtId="192" fontId="15" fillId="0" borderId="0" applyFont="0" applyFill="0" applyBorder="0" applyAlignment="0" applyProtection="0"/>
    <xf numFmtId="0" fontId="49" fillId="0" borderId="0" applyNumberFormat="0" applyFill="0" applyBorder="0" applyAlignment="0" applyProtection="0">
      <alignment vertical="top"/>
      <protection locked="0"/>
    </xf>
    <xf numFmtId="0" fontId="52" fillId="0" borderId="0"/>
    <xf numFmtId="166"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5" fillId="0" borderId="0"/>
    <xf numFmtId="178" fontId="67" fillId="0" borderId="0" applyFont="0" applyFill="0" applyBorder="0" applyAlignment="0" applyProtection="0"/>
    <xf numFmtId="178" fontId="67" fillId="0" borderId="0" applyFont="0" applyFill="0" applyBorder="0" applyAlignment="0" applyProtection="0"/>
    <xf numFmtId="0" fontId="1" fillId="0" borderId="0"/>
    <xf numFmtId="0" fontId="15" fillId="0" borderId="0"/>
    <xf numFmtId="0" fontId="76" fillId="0" borderId="0"/>
    <xf numFmtId="178" fontId="1" fillId="0" borderId="0" applyFont="0" applyFill="0" applyBorder="0" applyAlignment="0" applyProtection="0"/>
    <xf numFmtId="178" fontId="15" fillId="0" borderId="0" applyFont="0" applyFill="0" applyBorder="0" applyAlignment="0" applyProtection="0"/>
    <xf numFmtId="170" fontId="15" fillId="0" borderId="0" applyFont="0" applyFill="0" applyBorder="0" applyAlignment="0" applyProtection="0"/>
    <xf numFmtId="0" fontId="77" fillId="0" borderId="0" applyNumberFormat="0" applyFill="0" applyBorder="0" applyAlignment="0" applyProtection="0"/>
    <xf numFmtId="0" fontId="1" fillId="0" borderId="0"/>
    <xf numFmtId="0" fontId="15" fillId="0" borderId="0"/>
    <xf numFmtId="41" fontId="1" fillId="0" borderId="0" applyFont="0" applyFill="0" applyBorder="0" applyAlignment="0" applyProtection="0"/>
    <xf numFmtId="42" fontId="1" fillId="0" borderId="0" applyFont="0" applyFill="0" applyBorder="0" applyAlignment="0" applyProtection="0"/>
    <xf numFmtId="0" fontId="67" fillId="20" borderId="0" applyNumberFormat="0" applyBorder="0" applyAlignment="0" applyProtection="0"/>
    <xf numFmtId="0" fontId="67" fillId="21" borderId="0" applyNumberFormat="0" applyBorder="0" applyAlignment="0" applyProtection="0"/>
    <xf numFmtId="0" fontId="67" fillId="22"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67" fillId="25"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26"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7"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8"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0"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1" borderId="0" applyNumberFormat="0" applyBorder="0" applyAlignment="0" applyProtection="0"/>
    <xf numFmtId="0" fontId="67" fillId="32" borderId="0" applyNumberFormat="0" applyBorder="0" applyAlignment="0" applyProtection="0"/>
    <xf numFmtId="0" fontId="67" fillId="33" borderId="0" applyNumberFormat="0" applyBorder="0" applyAlignment="0" applyProtection="0"/>
    <xf numFmtId="0" fontId="67" fillId="34" borderId="0" applyNumberFormat="0" applyBorder="0" applyAlignment="0" applyProtection="0"/>
    <xf numFmtId="0" fontId="67" fillId="23" borderId="0" applyNumberFormat="0" applyBorder="0" applyAlignment="0" applyProtection="0"/>
    <xf numFmtId="0" fontId="67" fillId="32" borderId="0" applyNumberFormat="0" applyBorder="0" applyAlignment="0" applyProtection="0"/>
    <xf numFmtId="0" fontId="67" fillId="35"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7"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38"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29"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6"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67" fillId="39" borderId="0" applyNumberFormat="0" applyBorder="0" applyAlignment="0" applyProtection="0"/>
    <xf numFmtId="0" fontId="83" fillId="40" borderId="0" applyNumberFormat="0" applyBorder="0" applyAlignment="0" applyProtection="0"/>
    <xf numFmtId="0" fontId="83" fillId="33" borderId="0" applyNumberFormat="0" applyBorder="0" applyAlignment="0" applyProtection="0"/>
    <xf numFmtId="0" fontId="83" fillId="34"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44" borderId="0" applyNumberFormat="0" applyBorder="0" applyAlignment="0" applyProtection="0"/>
    <xf numFmtId="0" fontId="83" fillId="44" borderId="0" applyNumberFormat="0" applyBorder="0" applyAlignment="0" applyProtection="0"/>
    <xf numFmtId="0" fontId="83" fillId="44" borderId="0" applyNumberFormat="0" applyBorder="0" applyAlignment="0" applyProtection="0"/>
    <xf numFmtId="0" fontId="83" fillId="44" borderId="0" applyNumberFormat="0" applyBorder="0" applyAlignment="0" applyProtection="0"/>
    <xf numFmtId="0" fontId="83" fillId="44" borderId="0" applyNumberFormat="0" applyBorder="0" applyAlignment="0" applyProtection="0"/>
    <xf numFmtId="0" fontId="83" fillId="37" borderId="0" applyNumberFormat="0" applyBorder="0" applyAlignment="0" applyProtection="0"/>
    <xf numFmtId="0" fontId="83" fillId="37" borderId="0" applyNumberFormat="0" applyBorder="0" applyAlignment="0" applyProtection="0"/>
    <xf numFmtId="0" fontId="83" fillId="37" borderId="0" applyNumberFormat="0" applyBorder="0" applyAlignment="0" applyProtection="0"/>
    <xf numFmtId="0" fontId="83" fillId="37" borderId="0" applyNumberFormat="0" applyBorder="0" applyAlignment="0" applyProtection="0"/>
    <xf numFmtId="0" fontId="83" fillId="37"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38"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7"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3" fillId="50"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51" borderId="0" applyNumberFormat="0" applyBorder="0" applyAlignment="0" applyProtection="0"/>
    <xf numFmtId="0" fontId="90" fillId="21" borderId="0" applyNumberFormat="0" applyBorder="0" applyAlignment="0" applyProtection="0"/>
    <xf numFmtId="0" fontId="84" fillId="28" borderId="0" applyNumberFormat="0" applyBorder="0" applyAlignment="0" applyProtection="0"/>
    <xf numFmtId="0" fontId="84" fillId="28" borderId="0" applyNumberFormat="0" applyBorder="0" applyAlignment="0" applyProtection="0"/>
    <xf numFmtId="0" fontId="84" fillId="28" borderId="0" applyNumberFormat="0" applyBorder="0" applyAlignment="0" applyProtection="0"/>
    <xf numFmtId="0" fontId="84" fillId="28" borderId="0" applyNumberFormat="0" applyBorder="0" applyAlignment="0" applyProtection="0"/>
    <xf numFmtId="0" fontId="84" fillId="28" borderId="0" applyNumberFormat="0" applyBorder="0" applyAlignment="0" applyProtection="0"/>
    <xf numFmtId="0" fontId="85" fillId="52" borderId="142" applyNumberFormat="0" applyAlignment="0" applyProtection="0"/>
    <xf numFmtId="0" fontId="85" fillId="53" borderId="142" applyNumberFormat="0" applyAlignment="0" applyProtection="0"/>
    <xf numFmtId="0" fontId="85" fillId="53" borderId="142" applyNumberFormat="0" applyAlignment="0" applyProtection="0"/>
    <xf numFmtId="0" fontId="85" fillId="53" borderId="142" applyNumberFormat="0" applyAlignment="0" applyProtection="0"/>
    <xf numFmtId="0" fontId="85" fillId="53" borderId="142" applyNumberFormat="0" applyAlignment="0" applyProtection="0"/>
    <xf numFmtId="0" fontId="85" fillId="53" borderId="142" applyNumberFormat="0" applyAlignment="0" applyProtection="0"/>
    <xf numFmtId="0" fontId="86" fillId="55" borderId="143" applyNumberFormat="0" applyAlignment="0" applyProtection="0"/>
    <xf numFmtId="0" fontId="86" fillId="55" borderId="143" applyNumberFormat="0" applyAlignment="0" applyProtection="0"/>
    <xf numFmtId="0" fontId="86" fillId="55" borderId="143" applyNumberFormat="0" applyAlignment="0" applyProtection="0"/>
    <xf numFmtId="0" fontId="86" fillId="55" borderId="143" applyNumberFormat="0" applyAlignment="0" applyProtection="0"/>
    <xf numFmtId="0" fontId="86" fillId="55" borderId="143" applyNumberFormat="0" applyAlignment="0" applyProtection="0"/>
    <xf numFmtId="0" fontId="87" fillId="0" borderId="144" applyNumberFormat="0" applyFill="0" applyAlignment="0" applyProtection="0"/>
    <xf numFmtId="0" fontId="87" fillId="0" borderId="144" applyNumberFormat="0" applyFill="0" applyAlignment="0" applyProtection="0"/>
    <xf numFmtId="0" fontId="87" fillId="0" borderId="144" applyNumberFormat="0" applyFill="0" applyAlignment="0" applyProtection="0"/>
    <xf numFmtId="0" fontId="87" fillId="0" borderId="144" applyNumberFormat="0" applyFill="0" applyAlignment="0" applyProtection="0"/>
    <xf numFmtId="0" fontId="87" fillId="0" borderId="144" applyNumberFormat="0" applyFill="0" applyAlignment="0" applyProtection="0"/>
    <xf numFmtId="0" fontId="86" fillId="54" borderId="143" applyNumberFormat="0" applyAlignment="0" applyProtection="0"/>
    <xf numFmtId="212" fontId="81" fillId="0" borderId="79">
      <alignment horizontal="right"/>
    </xf>
    <xf numFmtId="2" fontId="81" fillId="0" borderId="0"/>
    <xf numFmtId="180" fontId="81" fillId="0" borderId="0"/>
    <xf numFmtId="211" fontId="82" fillId="0" borderId="0"/>
    <xf numFmtId="213" fontId="15" fillId="0" borderId="0">
      <protection locked="0"/>
    </xf>
    <xf numFmtId="41" fontId="15" fillId="0" borderId="0" applyFont="0" applyFill="0" applyBorder="0" applyAlignment="0" applyProtection="0"/>
    <xf numFmtId="43" fontId="15" fillId="0" borderId="0" applyFont="0" applyFill="0" applyBorder="0" applyAlignment="0" applyProtection="0"/>
    <xf numFmtId="3" fontId="100" fillId="0" borderId="0" applyFont="0" applyFill="0" applyBorder="0" applyAlignment="0" applyProtection="0"/>
    <xf numFmtId="3" fontId="15" fillId="0" borderId="0" applyFill="0" applyBorder="0" applyAlignment="0" applyProtection="0"/>
    <xf numFmtId="3" fontId="15" fillId="0" borderId="0" applyFill="0" applyBorder="0" applyAlignment="0" applyProtection="0"/>
    <xf numFmtId="3" fontId="15" fillId="0" borderId="0" applyFill="0" applyBorder="0" applyAlignment="0" applyProtection="0"/>
    <xf numFmtId="214" fontId="15" fillId="0" borderId="0">
      <protection locked="0"/>
    </xf>
    <xf numFmtId="42" fontId="15" fillId="0" borderId="0" applyFont="0" applyFill="0" applyBorder="0" applyAlignment="0" applyProtection="0"/>
    <xf numFmtId="44" fontId="15" fillId="0" borderId="0" applyFont="0" applyFill="0" applyBorder="0" applyAlignment="0" applyProtection="0"/>
    <xf numFmtId="215" fontId="100" fillId="0" borderId="0" applyFont="0" applyFill="0" applyBorder="0" applyAlignment="0" applyProtection="0"/>
    <xf numFmtId="216" fontId="15" fillId="0" borderId="0" applyFill="0" applyBorder="0" applyAlignment="0" applyProtection="0"/>
    <xf numFmtId="216" fontId="15" fillId="0" borderId="0" applyFill="0" applyBorder="0" applyAlignment="0" applyProtection="0"/>
    <xf numFmtId="216" fontId="15" fillId="0" borderId="0" applyFill="0" applyBorder="0" applyAlignment="0" applyProtection="0"/>
    <xf numFmtId="217" fontId="15" fillId="0" borderId="0">
      <protection locked="0"/>
    </xf>
    <xf numFmtId="0" fontId="15" fillId="0" borderId="0" applyFill="0" applyBorder="0" applyAlignment="0" applyProtection="0"/>
    <xf numFmtId="0" fontId="15"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15" fillId="0" borderId="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83" fillId="56" borderId="0" applyNumberFormat="0" applyBorder="0" applyAlignment="0" applyProtection="0"/>
    <xf numFmtId="0" fontId="83" fillId="56" borderId="0" applyNumberFormat="0" applyBorder="0" applyAlignment="0" applyProtection="0"/>
    <xf numFmtId="0" fontId="83" fillId="56" borderId="0" applyNumberFormat="0" applyBorder="0" applyAlignment="0" applyProtection="0"/>
    <xf numFmtId="0" fontId="83" fillId="56" borderId="0" applyNumberFormat="0" applyBorder="0" applyAlignment="0" applyProtection="0"/>
    <xf numFmtId="0" fontId="83" fillId="56"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7"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58"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5"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46"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3" fillId="59" borderId="0" applyNumberFormat="0" applyBorder="0" applyAlignment="0" applyProtection="0"/>
    <xf numFmtId="0" fontId="89" fillId="31" borderId="142" applyNumberFormat="0" applyAlignment="0" applyProtection="0"/>
    <xf numFmtId="0" fontId="89" fillId="31" borderId="142" applyNumberFormat="0" applyAlignment="0" applyProtection="0"/>
    <xf numFmtId="0" fontId="89" fillId="31" borderId="142" applyNumberFormat="0" applyAlignment="0" applyProtection="0"/>
    <xf numFmtId="0" fontId="89" fillId="31" borderId="142" applyNumberFormat="0" applyAlignment="0" applyProtection="0"/>
    <xf numFmtId="0" fontId="89" fillId="31" borderId="142" applyNumberFormat="0" applyAlignment="0" applyProtection="0"/>
    <xf numFmtId="0" fontId="64" fillId="0" borderId="0">
      <alignment vertical="top"/>
    </xf>
    <xf numFmtId="218" fontId="15"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218" fontId="15" fillId="0" borderId="0" applyFont="0" applyFill="0" applyBorder="0" applyAlignment="0" applyProtection="0"/>
    <xf numFmtId="0" fontId="94" fillId="0" borderId="0" applyNumberFormat="0" applyFill="0" applyBorder="0" applyAlignment="0" applyProtection="0"/>
    <xf numFmtId="219" fontId="102" fillId="0" borderId="0">
      <protection locked="0"/>
    </xf>
    <xf numFmtId="219" fontId="102" fillId="0" borderId="0">
      <protection locked="0"/>
    </xf>
    <xf numFmtId="219" fontId="102" fillId="0" borderId="0">
      <protection locked="0"/>
    </xf>
    <xf numFmtId="219" fontId="102" fillId="0" borderId="0">
      <protection locked="0"/>
    </xf>
    <xf numFmtId="219" fontId="102" fillId="0" borderId="0">
      <protection locked="0"/>
    </xf>
    <xf numFmtId="219" fontId="102" fillId="0" borderId="0">
      <protection locked="0"/>
    </xf>
    <xf numFmtId="219" fontId="102" fillId="0" borderId="0">
      <protection locked="0"/>
    </xf>
    <xf numFmtId="220" fontId="15" fillId="0" borderId="0">
      <protection locked="0"/>
    </xf>
    <xf numFmtId="2" fontId="15" fillId="0" borderId="0" applyFill="0" applyBorder="0" applyAlignment="0" applyProtection="0"/>
    <xf numFmtId="2" fontId="15"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2" fontId="15" fillId="0" borderId="0" applyFill="0" applyBorder="0" applyAlignment="0" applyProtection="0"/>
    <xf numFmtId="0" fontId="84" fillId="22" borderId="0" applyNumberFormat="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88" fillId="0" borderId="145" applyNumberFormat="0" applyFill="0" applyAlignment="0" applyProtection="0"/>
    <xf numFmtId="0" fontId="88" fillId="0" borderId="0" applyNumberFormat="0" applyFill="0" applyBorder="0" applyAlignment="0" applyProtection="0"/>
    <xf numFmtId="221" fontId="15" fillId="0" borderId="0">
      <protection locked="0"/>
    </xf>
    <xf numFmtId="221" fontId="15" fillId="0" borderId="0">
      <protection locked="0"/>
    </xf>
    <xf numFmtId="0" fontId="77" fillId="0" borderId="0" applyNumberFormat="0" applyFill="0" applyBorder="0" applyAlignment="0" applyProtection="0">
      <alignment vertical="top"/>
      <protection locked="0"/>
    </xf>
    <xf numFmtId="0" fontId="90" fillId="27" borderId="0" applyNumberFormat="0" applyBorder="0" applyAlignment="0" applyProtection="0"/>
    <xf numFmtId="0" fontId="90" fillId="27" borderId="0" applyNumberFormat="0" applyBorder="0" applyAlignment="0" applyProtection="0"/>
    <xf numFmtId="0" fontId="90" fillId="27" borderId="0" applyNumberFormat="0" applyBorder="0" applyAlignment="0" applyProtection="0"/>
    <xf numFmtId="0" fontId="90" fillId="27" borderId="0" applyNumberFormat="0" applyBorder="0" applyAlignment="0" applyProtection="0"/>
    <xf numFmtId="0" fontId="90" fillId="27" borderId="0" applyNumberFormat="0" applyBorder="0" applyAlignment="0" applyProtection="0"/>
    <xf numFmtId="0" fontId="89" fillId="25" borderId="142" applyNumberFormat="0" applyAlignment="0" applyProtection="0"/>
    <xf numFmtId="0" fontId="87" fillId="0" borderId="144" applyNumberFormat="0" applyFill="0" applyAlignment="0" applyProtection="0"/>
    <xf numFmtId="222" fontId="81" fillId="0" borderId="0">
      <alignment horizontal="right"/>
    </xf>
    <xf numFmtId="223" fontId="81" fillId="0" borderId="0" applyFont="0" applyFill="0" applyBorder="0" applyAlignment="0">
      <alignment horizontal="center"/>
    </xf>
    <xf numFmtId="2" fontId="15" fillId="0" borderId="0" applyBorder="0"/>
    <xf numFmtId="2" fontId="15" fillId="0" borderId="0" applyBorder="0"/>
    <xf numFmtId="2" fontId="15" fillId="0" borderId="0" applyBorder="0"/>
    <xf numFmtId="2" fontId="15" fillId="0" borderId="0" applyBorder="0"/>
    <xf numFmtId="4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224"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67" fillId="0" borderId="0" applyFont="0" applyFill="0" applyBorder="0" applyAlignment="0" applyProtection="0"/>
    <xf numFmtId="208" fontId="6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195" fontId="67" fillId="0" borderId="0" applyFont="0" applyFill="0" applyBorder="0" applyAlignment="0" applyProtection="0"/>
    <xf numFmtId="195" fontId="67"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2"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42" fontId="15" fillId="0" borderId="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224" fontId="15" fillId="0" borderId="0" applyFont="0" applyFill="0" applyBorder="0" applyAlignment="0" applyProtection="0"/>
    <xf numFmtId="195" fontId="67" fillId="0" borderId="0" applyFont="0" applyFill="0" applyBorder="0" applyAlignment="0" applyProtection="0"/>
    <xf numFmtId="195" fontId="67" fillId="0" borderId="0" applyFont="0" applyFill="0" applyBorder="0" applyAlignment="0" applyProtection="0"/>
    <xf numFmtId="225" fontId="15" fillId="0" borderId="0" applyFill="0" applyBorder="0" applyAlignment="0" applyProtection="0"/>
    <xf numFmtId="192" fontId="15"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43" fontId="67" fillId="0" borderId="0" applyFont="0" applyFill="0" applyBorder="0" applyAlignment="0" applyProtection="0"/>
    <xf numFmtId="208" fontId="15" fillId="0" borderId="0" applyFont="0" applyFill="0" applyBorder="0" applyAlignment="0" applyProtection="0"/>
    <xf numFmtId="226" fontId="15" fillId="0" borderId="0" applyFill="0" applyBorder="0" applyAlignment="0" applyProtection="0"/>
    <xf numFmtId="226" fontId="15" fillId="0" borderId="0" applyFill="0" applyBorder="0" applyAlignment="0" applyProtection="0"/>
    <xf numFmtId="226" fontId="15" fillId="0" borderId="0" applyFill="0" applyBorder="0" applyAlignment="0" applyProtection="0"/>
    <xf numFmtId="227" fontId="15" fillId="0" borderId="0" applyFont="0" applyFill="0" applyBorder="0" applyAlignment="0" applyProtection="0"/>
    <xf numFmtId="208" fontId="15" fillId="0" borderId="0" applyFont="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27" fontId="15" fillId="0" borderId="0" applyFont="0" applyFill="0" applyBorder="0" applyAlignment="0" applyProtection="0"/>
    <xf numFmtId="208" fontId="15" fillId="0" borderId="0" applyFont="0" applyFill="0" applyBorder="0" applyAlignment="0" applyProtection="0"/>
    <xf numFmtId="228" fontId="15" fillId="0" borderId="0" applyFill="0" applyBorder="0" applyAlignment="0" applyProtection="0"/>
    <xf numFmtId="228" fontId="15" fillId="0" borderId="0" applyFill="0" applyBorder="0" applyAlignment="0" applyProtection="0"/>
    <xf numFmtId="228" fontId="15" fillId="0" borderId="0" applyFill="0" applyBorder="0" applyAlignment="0" applyProtection="0"/>
    <xf numFmtId="227" fontId="15" fillId="0" borderId="0" applyFont="0" applyFill="0" applyBorder="0" applyAlignment="0" applyProtection="0"/>
    <xf numFmtId="208" fontId="15" fillId="0" borderId="0" applyFont="0" applyFill="0" applyBorder="0" applyAlignment="0" applyProtection="0"/>
    <xf numFmtId="229" fontId="15" fillId="0" borderId="0" applyFill="0" applyBorder="0" applyAlignment="0" applyProtection="0"/>
    <xf numFmtId="229" fontId="15" fillId="0" borderId="0" applyFill="0" applyBorder="0" applyAlignment="0" applyProtection="0"/>
    <xf numFmtId="229" fontId="15" fillId="0" borderId="0" applyFill="0" applyBorder="0" applyAlignment="0" applyProtection="0"/>
    <xf numFmtId="208" fontId="15" fillId="0" borderId="0" applyFont="0" applyFill="0" applyBorder="0" applyAlignment="0" applyProtection="0"/>
    <xf numFmtId="195" fontId="67" fillId="0" borderId="0" applyFont="0" applyFill="0" applyBorder="0" applyAlignment="0" applyProtection="0"/>
    <xf numFmtId="208" fontId="67" fillId="0" borderId="0" applyFont="0" applyFill="0" applyBorder="0" applyAlignment="0" applyProtection="0"/>
    <xf numFmtId="224" fontId="81" fillId="0" borderId="0">
      <alignment horizontal="right"/>
    </xf>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178" fontId="15" fillId="0" borderId="0" applyFont="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8"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8" fontId="67" fillId="0" borderId="0" applyFont="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205"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0"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44" fontId="1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09" fontId="15" fillId="0" borderId="0" applyFont="0" applyFill="0" applyBorder="0" applyAlignment="0" applyProtection="0"/>
    <xf numFmtId="178" fontId="67" fillId="0" borderId="0" applyFont="0" applyFill="0" applyBorder="0" applyAlignment="0" applyProtection="0"/>
    <xf numFmtId="178" fontId="105"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9" fontId="15" fillId="0" borderId="0" applyFill="0" applyBorder="0" applyAlignment="0" applyProtection="0"/>
    <xf numFmtId="179" fontId="15" fillId="0" borderId="0" applyFill="0" applyBorder="0" applyAlignment="0" applyProtection="0"/>
    <xf numFmtId="179" fontId="15" fillId="0" borderId="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210" fontId="15" fillId="0" borderId="0" applyFont="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ont="0" applyFill="0" applyBorder="0" applyAlignment="0" applyProtection="0"/>
    <xf numFmtId="209" fontId="15" fillId="0" borderId="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ill="0" applyBorder="0" applyAlignment="0" applyProtection="0"/>
    <xf numFmtId="209" fontId="15" fillId="0" borderId="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44" fontId="15" fillId="0" borderId="0" applyFont="0" applyFill="0" applyBorder="0" applyAlignment="0" applyProtection="0"/>
    <xf numFmtId="204" fontId="15" fillId="0" borderId="0" applyFont="0" applyFill="0" applyBorder="0" applyAlignment="0" applyProtection="0"/>
    <xf numFmtId="44" fontId="15" fillId="0" borderId="0" applyFont="0" applyFill="0" applyBorder="0" applyAlignment="0" applyProtection="0"/>
    <xf numFmtId="209" fontId="15" fillId="0" borderId="0" applyFont="0" applyFill="0" applyBorder="0" applyAlignment="0" applyProtection="0"/>
    <xf numFmtId="178" fontId="105" fillId="0" borderId="0" applyFont="0" applyFill="0" applyBorder="0" applyAlignment="0" applyProtection="0"/>
    <xf numFmtId="209" fontId="15" fillId="0" borderId="0" applyFont="0" applyFill="0" applyBorder="0" applyAlignment="0" applyProtection="0"/>
    <xf numFmtId="178" fontId="67" fillId="0" borderId="0" applyFont="0" applyFill="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230" fontId="81" fillId="0" borderId="0" applyFont="0" applyFill="0" applyBorder="0" applyAlignment="0">
      <alignment horizont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4" fontId="15" fillId="0" borderId="0">
      <alignment horizontal="justify"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applyNumberFormat="0" applyFont="0" applyFill="0" applyBorder="0" applyAlignment="0" applyProtection="0">
      <alignment vertical="top"/>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2" borderId="146" applyNumberForma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15" fillId="61" borderId="146" applyNumberFormat="0" applyFont="0" applyAlignment="0" applyProtection="0"/>
    <xf numFmtId="0" fontId="92" fillId="52" borderId="147" applyNumberFormat="0" applyAlignment="0" applyProtection="0"/>
    <xf numFmtId="227" fontId="15" fillId="0" borderId="0">
      <protection locked="0"/>
    </xf>
    <xf numFmtId="9" fontId="10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67"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05" fillId="0" borderId="0" applyFont="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5" fillId="0" borderId="0" applyFill="0" applyBorder="0" applyAlignment="0" applyProtection="0"/>
    <xf numFmtId="9" fontId="105" fillId="0" borderId="0" applyFont="0" applyFill="0" applyBorder="0" applyAlignment="0" applyProtection="0"/>
    <xf numFmtId="0" fontId="99" fillId="0" borderId="0">
      <alignment vertical="top"/>
    </xf>
    <xf numFmtId="0" fontId="92" fillId="53" borderId="147" applyNumberFormat="0" applyAlignment="0" applyProtection="0"/>
    <xf numFmtId="0" fontId="92" fillId="53" borderId="147" applyNumberFormat="0" applyAlignment="0" applyProtection="0"/>
    <xf numFmtId="0" fontId="92" fillId="53" borderId="147" applyNumberFormat="0" applyAlignment="0" applyProtection="0"/>
    <xf numFmtId="0" fontId="92" fillId="53" borderId="147" applyNumberFormat="0" applyAlignment="0" applyProtection="0"/>
    <xf numFmtId="0" fontId="92" fillId="53" borderId="147" applyNumberFormat="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6" fillId="0" borderId="148" applyNumberFormat="0" applyFill="0" applyAlignment="0" applyProtection="0"/>
    <xf numFmtId="0" fontId="96" fillId="0" borderId="148" applyNumberFormat="0" applyFill="0" applyAlignment="0" applyProtection="0"/>
    <xf numFmtId="0" fontId="96" fillId="0" borderId="148" applyNumberFormat="0" applyFill="0" applyAlignment="0" applyProtection="0"/>
    <xf numFmtId="0" fontId="96" fillId="0" borderId="148" applyNumberFormat="0" applyFill="0" applyAlignment="0" applyProtection="0"/>
    <xf numFmtId="0" fontId="96" fillId="0" borderId="148" applyNumberFormat="0" applyFill="0" applyAlignment="0" applyProtection="0"/>
    <xf numFmtId="0" fontId="97" fillId="0" borderId="149" applyNumberFormat="0" applyFill="0" applyAlignment="0" applyProtection="0"/>
    <xf numFmtId="0" fontId="97" fillId="0" borderId="149" applyNumberFormat="0" applyFill="0" applyAlignment="0" applyProtection="0"/>
    <xf numFmtId="0" fontId="97" fillId="0" borderId="149" applyNumberFormat="0" applyFill="0" applyAlignment="0" applyProtection="0"/>
    <xf numFmtId="0" fontId="97" fillId="0" borderId="149" applyNumberFormat="0" applyFill="0" applyAlignment="0" applyProtection="0"/>
    <xf numFmtId="0" fontId="97" fillId="0" borderId="149"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5" fillId="0" borderId="0" applyNumberFormat="0" applyFill="0" applyBorder="0" applyAlignment="0" applyProtection="0"/>
    <xf numFmtId="0" fontId="98" fillId="0" borderId="150" applyNumberFormat="0" applyFill="0" applyAlignment="0" applyProtection="0"/>
    <xf numFmtId="0" fontId="98" fillId="0" borderId="150" applyNumberFormat="0" applyFill="0" applyAlignment="0" applyProtection="0"/>
    <xf numFmtId="0" fontId="98" fillId="0" borderId="150" applyNumberFormat="0" applyFill="0" applyAlignment="0" applyProtection="0"/>
    <xf numFmtId="0" fontId="98" fillId="0" borderId="150" applyNumberFormat="0" applyFill="0" applyAlignment="0" applyProtection="0"/>
    <xf numFmtId="0" fontId="98" fillId="0" borderId="150" applyNumberFormat="0" applyFill="0" applyAlignment="0" applyProtection="0"/>
    <xf numFmtId="0" fontId="93" fillId="0" borderId="0" applyNumberFormat="0" applyFill="0" applyBorder="0" applyAlignment="0" applyProtection="0"/>
    <xf numFmtId="43" fontId="15" fillId="0" borderId="0" applyFont="0" applyFill="0" applyBorder="0" applyAlignment="0" applyProtection="0"/>
    <xf numFmtId="178" fontId="15" fillId="0" borderId="0" applyFont="0" applyFill="0" applyBorder="0" applyAlignment="0" applyProtection="0"/>
    <xf numFmtId="0" fontId="15" fillId="0" borderId="0"/>
    <xf numFmtId="0" fontId="1" fillId="0" borderId="0"/>
    <xf numFmtId="0" fontId="1" fillId="0" borderId="0"/>
    <xf numFmtId="231" fontId="15" fillId="0" borderId="0" applyFont="0" applyFill="0" applyBorder="0" applyAlignment="0" applyProtection="0"/>
    <xf numFmtId="232" fontId="15" fillId="0" borderId="0" applyFont="0" applyFill="0" applyBorder="0" applyAlignment="0" applyProtection="0"/>
    <xf numFmtId="232" fontId="15" fillId="0" borderId="0" applyFont="0" applyFill="0" applyBorder="0" applyAlignment="0" applyProtection="0"/>
    <xf numFmtId="232" fontId="15" fillId="0" borderId="0" applyFont="0" applyFill="0" applyBorder="0" applyAlignment="0" applyProtection="0"/>
    <xf numFmtId="232" fontId="15" fillId="0" borderId="0" applyFont="0" applyFill="0" applyBorder="0" applyAlignment="0" applyProtection="0"/>
    <xf numFmtId="233"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43" fontId="15" fillId="0" borderId="0" applyFont="0" applyFill="0" applyBorder="0" applyAlignment="0" applyProtection="0"/>
    <xf numFmtId="181" fontId="15" fillId="0" borderId="0" applyFont="0" applyFill="0" applyBorder="0" applyAlignment="0" applyProtection="0"/>
    <xf numFmtId="209" fontId="15" fillId="0" borderId="0" applyFont="0" applyFill="0" applyBorder="0" applyAlignment="0" applyProtection="0"/>
    <xf numFmtId="0" fontId="1" fillId="0" borderId="0"/>
    <xf numFmtId="0" fontId="1" fillId="0" borderId="0"/>
    <xf numFmtId="0" fontId="67" fillId="0" borderId="0"/>
    <xf numFmtId="0" fontId="1" fillId="0" borderId="0"/>
    <xf numFmtId="0" fontId="1"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7" fillId="0" borderId="0"/>
    <xf numFmtId="0" fontId="1" fillId="0" borderId="0"/>
    <xf numFmtId="0" fontId="1" fillId="0" borderId="0"/>
    <xf numFmtId="9" fontId="1" fillId="0" borderId="0" applyFont="0" applyFill="0" applyBorder="0" applyAlignment="0" applyProtection="0"/>
    <xf numFmtId="0" fontId="15" fillId="0" borderId="0"/>
    <xf numFmtId="0" fontId="15" fillId="0" borderId="0"/>
    <xf numFmtId="0" fontId="15" fillId="0" borderId="0"/>
    <xf numFmtId="178" fontId="1" fillId="0" borderId="0" applyFont="0" applyFill="0" applyBorder="0" applyAlignment="0" applyProtection="0"/>
    <xf numFmtId="0" fontId="1" fillId="0" borderId="0"/>
    <xf numFmtId="0" fontId="1" fillId="0" borderId="0"/>
    <xf numFmtId="0" fontId="101" fillId="0" borderId="0" applyFill="0" applyBorder="0" applyAlignment="0" applyProtection="0"/>
    <xf numFmtId="0" fontId="101" fillId="0" borderId="0" applyFill="0" applyBorder="0" applyAlignment="0" applyProtection="0"/>
    <xf numFmtId="0" fontId="101" fillId="0" borderId="0" applyFill="0" applyBorder="0" applyAlignment="0" applyProtection="0"/>
    <xf numFmtId="218" fontId="15" fillId="0" borderId="0" applyFont="0" applyFill="0" applyBorder="0" applyAlignment="0" applyProtection="0"/>
    <xf numFmtId="234" fontId="15" fillId="0" borderId="0" applyFont="0" applyFill="0" applyBorder="0" applyAlignment="0" applyProtection="0"/>
    <xf numFmtId="2" fontId="101" fillId="0" borderId="0" applyFill="0" applyBorder="0" applyAlignment="0" applyProtection="0"/>
    <xf numFmtId="2" fontId="101" fillId="0" borderId="0" applyFill="0" applyBorder="0" applyAlignment="0" applyProtection="0"/>
    <xf numFmtId="2" fontId="101" fillId="0" borderId="0" applyFill="0" applyBorder="0" applyAlignment="0" applyProtection="0"/>
    <xf numFmtId="0" fontId="107" fillId="0" borderId="0" applyNumberFormat="0" applyFill="0" applyBorder="0" applyAlignment="0" applyProtection="0"/>
    <xf numFmtId="0" fontId="88" fillId="0" borderId="145" applyNumberFormat="0" applyFill="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209" fontId="67" fillId="0" borderId="0" applyFont="0" applyFill="0" applyBorder="0" applyAlignment="0" applyProtection="0"/>
    <xf numFmtId="4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235"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92" fontId="15" fillId="0" borderId="0" applyFont="0" applyFill="0" applyBorder="0" applyAlignment="0" applyProtection="0"/>
    <xf numFmtId="176" fontId="67" fillId="0" borderId="0" applyFont="0" applyFill="0" applyBorder="0" applyAlignment="0" applyProtection="0"/>
    <xf numFmtId="43" fontId="15" fillId="0" borderId="0" applyFont="0" applyFill="0" applyBorder="0" applyAlignment="0" applyProtection="0"/>
    <xf numFmtId="43" fontId="67" fillId="0" borderId="0" applyFont="0" applyFill="0" applyBorder="0" applyAlignment="0" applyProtection="0"/>
    <xf numFmtId="195" fontId="67" fillId="0" borderId="0" applyFont="0" applyFill="0" applyBorder="0" applyAlignment="0" applyProtection="0"/>
    <xf numFmtId="236" fontId="15" fillId="0" borderId="0" applyFont="0" applyFill="0" applyBorder="0" applyAlignment="0" applyProtection="0"/>
    <xf numFmtId="43" fontId="67" fillId="0" borderId="0" applyFont="0" applyFill="0" applyBorder="0" applyAlignment="0" applyProtection="0"/>
    <xf numFmtId="40" fontId="110" fillId="0" borderId="0" applyFont="0" applyFill="0" applyBorder="0" applyAlignment="0" applyProtection="0"/>
    <xf numFmtId="237" fontId="15" fillId="0" borderId="0" applyFont="0" applyFill="0" applyBorder="0" applyAlignment="0" applyProtection="0"/>
    <xf numFmtId="43" fontId="15" fillId="0" borderId="0" applyFont="0" applyFill="0" applyBorder="0" applyAlignment="0" applyProtection="0"/>
    <xf numFmtId="238" fontId="15" fillId="0" borderId="0" applyFont="0" applyFill="0" applyBorder="0" applyAlignment="0" applyProtection="0"/>
    <xf numFmtId="43" fontId="15" fillId="0" borderId="0" applyFont="0" applyFill="0" applyBorder="0" applyAlignment="0" applyProtection="0"/>
    <xf numFmtId="42" fontId="15" fillId="0" borderId="0" applyFill="0" applyBorder="0" applyAlignment="0" applyProtection="0"/>
    <xf numFmtId="42" fontId="15" fillId="0" borderId="0" applyFill="0" applyBorder="0" applyAlignment="0" applyProtection="0"/>
    <xf numFmtId="195" fontId="67" fillId="0" borderId="0" applyFont="0" applyFill="0" applyBorder="0" applyAlignment="0" applyProtection="0"/>
    <xf numFmtId="176" fontId="1" fillId="0" borderId="0" applyFont="0" applyFill="0" applyBorder="0" applyAlignment="0" applyProtection="0"/>
    <xf numFmtId="225" fontId="15" fillId="0" borderId="0" applyFill="0" applyBorder="0" applyAlignment="0" applyProtection="0"/>
    <xf numFmtId="208"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6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95" fontId="4" fillId="0" borderId="0" applyFont="0" applyFill="0" applyBorder="0" applyAlignment="0" applyProtection="0"/>
    <xf numFmtId="237" fontId="15" fillId="0" borderId="0" applyFont="0" applyFill="0" applyBorder="0" applyAlignment="0" applyProtection="0"/>
    <xf numFmtId="237" fontId="15" fillId="0" borderId="0" applyFont="0" applyFill="0" applyBorder="0" applyAlignment="0" applyProtection="0"/>
    <xf numFmtId="237" fontId="15" fillId="0" borderId="0" applyFont="0" applyFill="0" applyBorder="0" applyAlignment="0" applyProtection="0"/>
    <xf numFmtId="239" fontId="15" fillId="0" borderId="0" applyFont="0" applyFill="0" applyBorder="0" applyAlignment="0" applyProtection="0"/>
    <xf numFmtId="239" fontId="15" fillId="0" borderId="0" applyFont="0" applyFill="0" applyBorder="0" applyAlignment="0" applyProtection="0"/>
    <xf numFmtId="239" fontId="15" fillId="0" borderId="0" applyFont="0" applyFill="0" applyBorder="0" applyAlignment="0" applyProtection="0"/>
    <xf numFmtId="239" fontId="15" fillId="0" borderId="0" applyFont="0" applyFill="0" applyBorder="0" applyAlignment="0" applyProtection="0"/>
    <xf numFmtId="226" fontId="15" fillId="0" borderId="0" applyFill="0" applyBorder="0" applyAlignment="0" applyProtection="0"/>
    <xf numFmtId="234" fontId="15" fillId="0" borderId="0" applyFont="0" applyFill="0" applyBorder="0" applyAlignment="0" applyProtection="0"/>
    <xf numFmtId="239" fontId="15" fillId="0" borderId="0" applyFont="0" applyFill="0" applyBorder="0" applyAlignment="0" applyProtection="0"/>
    <xf numFmtId="240" fontId="15" fillId="0" borderId="0" applyFont="0" applyFill="0" applyBorder="0" applyAlignment="0" applyProtection="0"/>
    <xf numFmtId="205" fontId="15" fillId="0" borderId="0" applyFill="0" applyBorder="0" applyAlignment="0" applyProtection="0"/>
    <xf numFmtId="176" fontId="1" fillId="0" borderId="0" applyFont="0" applyFill="0" applyBorder="0" applyAlignment="0" applyProtection="0"/>
    <xf numFmtId="228" fontId="15" fillId="0" borderId="0" applyFill="0" applyBorder="0" applyAlignment="0" applyProtection="0"/>
    <xf numFmtId="176" fontId="1" fillId="0" borderId="0" applyFont="0" applyFill="0" applyBorder="0" applyAlignment="0" applyProtection="0"/>
    <xf numFmtId="229" fontId="15" fillId="0" borderId="0" applyFill="0" applyBorder="0" applyAlignment="0" applyProtection="0"/>
    <xf numFmtId="195" fontId="15" fillId="0" borderId="0" applyFont="0" applyFill="0" applyBorder="0" applyAlignment="0" applyProtection="0"/>
    <xf numFmtId="241" fontId="15" fillId="0" borderId="0" applyFill="0" applyBorder="0" applyAlignment="0" applyProtection="0"/>
    <xf numFmtId="208" fontId="1" fillId="0" borderId="0" applyFont="0" applyFill="0" applyBorder="0" applyAlignment="0" applyProtection="0"/>
    <xf numFmtId="195" fontId="67" fillId="0" borderId="0" applyFont="0" applyFill="0" applyBorder="0" applyAlignment="0" applyProtection="0"/>
    <xf numFmtId="237" fontId="15" fillId="0" borderId="0" applyFont="0" applyFill="0" applyBorder="0" applyAlignment="0" applyProtection="0"/>
    <xf numFmtId="237"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209" fontId="15" fillId="0" borderId="0" applyFont="0" applyFill="0" applyBorder="0" applyAlignment="0" applyProtection="0"/>
    <xf numFmtId="178" fontId="15" fillId="0" borderId="0" applyFont="0" applyFill="0" applyBorder="0" applyAlignment="0" applyProtection="0"/>
    <xf numFmtId="179" fontId="15" fillId="0" borderId="0" applyFill="0" applyBorder="0" applyAlignment="0" applyProtection="0"/>
    <xf numFmtId="178" fontId="67" fillId="0" borderId="0" applyFont="0" applyFill="0" applyBorder="0" applyAlignment="0" applyProtection="0"/>
    <xf numFmtId="178" fontId="67" fillId="0" borderId="0" applyFont="0" applyFill="0" applyBorder="0" applyAlignment="0" applyProtection="0"/>
    <xf numFmtId="178" fontId="15" fillId="0" borderId="0" applyFont="0" applyFill="0" applyBorder="0" applyAlignment="0" applyProtection="0"/>
    <xf numFmtId="178" fontId="1" fillId="0" borderId="0" applyFont="0" applyFill="0" applyBorder="0" applyAlignment="0" applyProtection="0"/>
    <xf numFmtId="167" fontId="15" fillId="0" borderId="0" applyFont="0" applyFill="0" applyBorder="0" applyAlignment="0" applyProtection="0"/>
    <xf numFmtId="167" fontId="15" fillId="0" borderId="0" applyFont="0" applyFill="0" applyBorder="0" applyAlignment="0" applyProtection="0"/>
    <xf numFmtId="178" fontId="67" fillId="0" borderId="0" applyFont="0" applyFill="0" applyBorder="0" applyAlignment="0" applyProtection="0"/>
    <xf numFmtId="178" fontId="15" fillId="0" borderId="0" applyFont="0" applyFill="0" applyBorder="0" applyAlignment="0" applyProtection="0"/>
    <xf numFmtId="209" fontId="15" fillId="0" borderId="0" applyFont="0" applyFill="0" applyBorder="0" applyAlignment="0" applyProtection="0"/>
    <xf numFmtId="242" fontId="15" fillId="0" borderId="0" applyFont="0" applyFill="0" applyBorder="0" applyAlignment="0" applyProtection="0"/>
    <xf numFmtId="0" fontId="15" fillId="0" borderId="0" applyFont="0" applyFill="0" applyBorder="0" applyAlignment="0" applyProtection="0"/>
    <xf numFmtId="209" fontId="15" fillId="0" borderId="0" applyFill="0" applyBorder="0" applyAlignment="0" applyProtection="0"/>
    <xf numFmtId="242" fontId="15" fillId="0" borderId="0" applyFont="0" applyFill="0" applyBorder="0" applyAlignment="0" applyProtection="0"/>
    <xf numFmtId="209" fontId="15" fillId="0" borderId="0" applyFont="0" applyFill="0" applyBorder="0" applyAlignment="0" applyProtection="0"/>
    <xf numFmtId="188" fontId="15" fillId="0" borderId="0" applyFont="0" applyFill="0" applyBorder="0" applyAlignment="0" applyProtection="0"/>
    <xf numFmtId="209" fontId="15" fillId="0" borderId="0" applyFont="0" applyFill="0" applyBorder="0" applyAlignment="0" applyProtection="0"/>
    <xf numFmtId="178" fontId="67" fillId="0" borderId="0" applyFont="0" applyFill="0" applyBorder="0" applyAlignment="0" applyProtection="0"/>
    <xf numFmtId="188" fontId="15" fillId="0" borderId="0" applyFont="0" applyFill="0" applyBorder="0" applyAlignment="0" applyProtection="0"/>
    <xf numFmtId="188" fontId="15" fillId="0" borderId="0" applyFont="0" applyFill="0" applyBorder="0" applyAlignment="0" applyProtection="0"/>
    <xf numFmtId="178" fontId="17" fillId="0" borderId="0" applyFont="0" applyFill="0" applyBorder="0" applyAlignment="0" applyProtection="0"/>
    <xf numFmtId="209" fontId="15" fillId="0" borderId="0" applyFont="0" applyFill="0" applyBorder="0" applyAlignment="0" applyProtection="0"/>
    <xf numFmtId="236" fontId="15" fillId="0" borderId="0" applyFont="0" applyFill="0" applyBorder="0" applyAlignment="0" applyProtection="0"/>
    <xf numFmtId="206" fontId="67" fillId="0" borderId="0" applyFont="0" applyFill="0" applyBorder="0" applyAlignment="0" applyProtection="0"/>
    <xf numFmtId="209" fontId="15" fillId="0" borderId="0" applyFont="0" applyFill="0" applyBorder="0" applyAlignment="0" applyProtection="0"/>
    <xf numFmtId="206" fontId="1" fillId="0" borderId="0" applyFont="0" applyFill="0" applyBorder="0" applyAlignment="0" applyProtection="0"/>
    <xf numFmtId="209" fontId="15" fillId="0" borderId="0" applyFont="0" applyFill="0" applyBorder="0" applyAlignment="0" applyProtection="0"/>
    <xf numFmtId="206" fontId="1" fillId="0" borderId="0" applyFont="0" applyFill="0" applyBorder="0" applyAlignment="0" applyProtection="0"/>
    <xf numFmtId="178" fontId="105" fillId="0" borderId="0" applyFont="0" applyFill="0" applyBorder="0" applyAlignment="0" applyProtection="0"/>
    <xf numFmtId="178" fontId="17" fillId="0" borderId="0" applyFont="0" applyFill="0" applyBorder="0" applyAlignment="0" applyProtection="0"/>
    <xf numFmtId="178" fontId="1" fillId="0" borderId="0" applyFont="0" applyFill="0" applyBorder="0" applyAlignment="0" applyProtection="0"/>
    <xf numFmtId="209" fontId="15" fillId="0" borderId="0" applyFont="0" applyFill="0" applyBorder="0" applyAlignment="0" applyProtection="0"/>
    <xf numFmtId="188" fontId="15" fillId="0" borderId="0" applyFont="0" applyFill="0" applyBorder="0" applyAlignment="0" applyProtection="0"/>
    <xf numFmtId="188" fontId="15" fillId="0" borderId="0" applyFont="0" applyFill="0" applyBorder="0" applyAlignment="0" applyProtection="0"/>
    <xf numFmtId="178" fontId="6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0" fontId="110"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5" fillId="0" borderId="0"/>
    <xf numFmtId="0" fontId="10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0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06" fillId="0" borderId="0" applyNumberFormat="0" applyFill="0" applyBorder="0" applyProtection="0">
      <alignment vertical="top"/>
    </xf>
    <xf numFmtId="0" fontId="15"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5"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06" fillId="0" borderId="0" applyNumberFormat="0" applyFill="0" applyBorder="0" applyProtection="0">
      <alignment vertical="top"/>
    </xf>
    <xf numFmtId="0" fontId="15" fillId="0" borderId="0"/>
    <xf numFmtId="0" fontId="1" fillId="0" borderId="0"/>
    <xf numFmtId="0" fontId="1" fillId="0" borderId="0"/>
    <xf numFmtId="0" fontId="1" fillId="0" borderId="0"/>
    <xf numFmtId="0" fontId="1" fillId="0" borderId="0"/>
    <xf numFmtId="9" fontId="67" fillId="0" borderId="0" applyFont="0" applyFill="0" applyBorder="0" applyAlignment="0" applyProtection="0"/>
    <xf numFmtId="9" fontId="15" fillId="0" borderId="0" applyFill="0" applyBorder="0" applyAlignment="0" applyProtection="0"/>
    <xf numFmtId="9" fontId="1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67" fillId="0" borderId="0" applyFont="0" applyFill="0" applyBorder="0" applyAlignment="0" applyProtection="0"/>
    <xf numFmtId="9" fontId="15"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05" fillId="0" borderId="0" applyFont="0" applyFill="0" applyBorder="0" applyAlignment="0" applyProtection="0"/>
    <xf numFmtId="0" fontId="88" fillId="0" borderId="145"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88" fillId="0" borderId="145" applyNumberFormat="0" applyFill="0" applyAlignment="0" applyProtection="0"/>
    <xf numFmtId="0" fontId="1" fillId="0" borderId="0"/>
    <xf numFmtId="0" fontId="1" fillId="0" borderId="0"/>
    <xf numFmtId="0" fontId="1" fillId="0" borderId="0"/>
    <xf numFmtId="0" fontId="1" fillId="0" borderId="0"/>
  </cellStyleXfs>
  <cellXfs count="1216">
    <xf numFmtId="0" fontId="0" fillId="0" borderId="0" xfId="0"/>
    <xf numFmtId="0" fontId="8" fillId="5" borderId="2" xfId="0"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Alignment="1">
      <alignment vertical="center"/>
    </xf>
    <xf numFmtId="0" fontId="13" fillId="2" borderId="12" xfId="0" applyFont="1" applyFill="1" applyBorder="1" applyProtection="1">
      <protection locked="0"/>
    </xf>
    <xf numFmtId="0" fontId="13" fillId="2" borderId="13" xfId="0" applyFont="1" applyFill="1" applyBorder="1" applyProtection="1">
      <protection locked="0"/>
    </xf>
    <xf numFmtId="0" fontId="13" fillId="2" borderId="14" xfId="0" applyFont="1" applyFill="1" applyBorder="1" applyAlignment="1" applyProtection="1">
      <alignment horizontal="center"/>
      <protection locked="0"/>
    </xf>
    <xf numFmtId="9" fontId="13" fillId="2" borderId="14" xfId="3" applyFont="1" applyFill="1" applyBorder="1" applyAlignment="1" applyProtection="1">
      <alignment horizontal="center"/>
      <protection locked="0"/>
    </xf>
    <xf numFmtId="171" fontId="13" fillId="2" borderId="14" xfId="2" applyNumberFormat="1" applyFont="1" applyFill="1" applyBorder="1" applyProtection="1">
      <protection locked="0"/>
    </xf>
    <xf numFmtId="169" fontId="13" fillId="2" borderId="14" xfId="2" applyNumberFormat="1" applyFont="1" applyFill="1" applyBorder="1" applyProtection="1">
      <protection locked="0"/>
    </xf>
    <xf numFmtId="0" fontId="13" fillId="2" borderId="18" xfId="3" applyNumberFormat="1" applyFont="1" applyFill="1" applyBorder="1" applyAlignment="1" applyProtection="1">
      <alignment horizontal="center"/>
      <protection locked="0"/>
    </xf>
    <xf numFmtId="9" fontId="15" fillId="6" borderId="18" xfId="3" applyFont="1" applyFill="1" applyBorder="1" applyAlignment="1" applyProtection="1">
      <alignment horizontal="center" vertical="center"/>
      <protection locked="0"/>
    </xf>
    <xf numFmtId="0" fontId="15" fillId="6" borderId="18" xfId="3" applyNumberFormat="1" applyFont="1" applyFill="1" applyBorder="1" applyAlignment="1" applyProtection="1">
      <alignment horizontal="center" vertical="center"/>
      <protection locked="0"/>
    </xf>
    <xf numFmtId="172" fontId="0" fillId="0" borderId="0" xfId="1" applyNumberFormat="1" applyFont="1"/>
    <xf numFmtId="169" fontId="6" fillId="6" borderId="38" xfId="2" applyNumberFormat="1" applyFont="1" applyFill="1" applyBorder="1" applyAlignment="1">
      <alignment horizontal="left" vertical="center"/>
    </xf>
    <xf numFmtId="0" fontId="3" fillId="0" borderId="0" xfId="0" applyFont="1"/>
    <xf numFmtId="173" fontId="0" fillId="0" borderId="0" xfId="0" applyNumberFormat="1" applyAlignment="1">
      <alignment horizontal="center"/>
    </xf>
    <xf numFmtId="10" fontId="25" fillId="0" borderId="67" xfId="8" applyNumberFormat="1" applyFont="1" applyBorder="1" applyAlignment="1">
      <alignment horizontal="right" vertical="center" wrapText="1"/>
    </xf>
    <xf numFmtId="0" fontId="0" fillId="0" borderId="0" xfId="0" applyAlignment="1">
      <alignment horizontal="center"/>
    </xf>
    <xf numFmtId="0" fontId="0" fillId="0" borderId="0" xfId="0" applyProtection="1">
      <protection locked="0" hidden="1"/>
    </xf>
    <xf numFmtId="169" fontId="0" fillId="0" borderId="0" xfId="2" applyNumberFormat="1" applyFont="1" applyProtection="1">
      <protection locked="0" hidden="1"/>
    </xf>
    <xf numFmtId="0" fontId="17" fillId="11" borderId="70" xfId="0" applyFont="1" applyFill="1" applyBorder="1"/>
    <xf numFmtId="0" fontId="17" fillId="11" borderId="72" xfId="8" applyFont="1" applyFill="1" applyBorder="1"/>
    <xf numFmtId="0" fontId="17" fillId="11" borderId="73" xfId="0" applyFont="1" applyFill="1" applyBorder="1"/>
    <xf numFmtId="0" fontId="17" fillId="11" borderId="0" xfId="0" applyFont="1" applyFill="1"/>
    <xf numFmtId="0" fontId="17" fillId="11" borderId="74" xfId="0" applyFont="1" applyFill="1" applyBorder="1"/>
    <xf numFmtId="0" fontId="6" fillId="0" borderId="65" xfId="0" applyFont="1" applyBorder="1" applyAlignment="1">
      <alignment horizontal="center" vertical="center" wrapText="1"/>
    </xf>
    <xf numFmtId="0" fontId="17" fillId="7" borderId="65" xfId="0" applyFont="1" applyFill="1" applyBorder="1" applyAlignment="1" applyProtection="1">
      <alignment horizontal="center" vertical="center"/>
      <protection locked="0" hidden="1"/>
    </xf>
    <xf numFmtId="0" fontId="14" fillId="11" borderId="73" xfId="0" applyFont="1" applyFill="1" applyBorder="1"/>
    <xf numFmtId="0" fontId="14" fillId="11" borderId="0" xfId="0" applyFont="1" applyFill="1" applyAlignment="1">
      <alignment horizontal="right"/>
    </xf>
    <xf numFmtId="171" fontId="17" fillId="7" borderId="65" xfId="2" applyNumberFormat="1" applyFont="1" applyFill="1" applyBorder="1" applyProtection="1">
      <protection locked="0" hidden="1"/>
    </xf>
    <xf numFmtId="0" fontId="17" fillId="11" borderId="74" xfId="8" applyFont="1" applyFill="1" applyBorder="1"/>
    <xf numFmtId="0" fontId="34" fillId="0" borderId="49" xfId="8" applyFont="1" applyBorder="1" applyAlignment="1">
      <alignment vertical="center" wrapText="1"/>
    </xf>
    <xf numFmtId="0" fontId="34" fillId="0" borderId="67" xfId="8" applyFont="1" applyBorder="1" applyAlignment="1">
      <alignment vertical="center" wrapText="1"/>
    </xf>
    <xf numFmtId="10" fontId="34" fillId="0" borderId="67" xfId="8" applyNumberFormat="1" applyFont="1" applyBorder="1" applyAlignment="1" applyProtection="1">
      <alignment horizontal="right" vertical="center" wrapText="1"/>
      <protection hidden="1"/>
    </xf>
    <xf numFmtId="10" fontId="0" fillId="0" borderId="0" xfId="3" applyNumberFormat="1" applyFont="1" applyProtection="1">
      <protection locked="0" hidden="1"/>
    </xf>
    <xf numFmtId="173" fontId="34" fillId="0" borderId="67" xfId="8" applyNumberFormat="1" applyFont="1" applyBorder="1" applyAlignment="1" applyProtection="1">
      <alignment horizontal="right" vertical="center" wrapText="1"/>
      <protection hidden="1"/>
    </xf>
    <xf numFmtId="10" fontId="35" fillId="0" borderId="67" xfId="8" applyNumberFormat="1" applyFont="1" applyBorder="1" applyAlignment="1">
      <alignment vertical="center" wrapText="1"/>
    </xf>
    <xf numFmtId="10" fontId="34" fillId="12" borderId="67" xfId="8" applyNumberFormat="1" applyFont="1" applyFill="1" applyBorder="1" applyAlignment="1" applyProtection="1">
      <alignment horizontal="right" vertical="center" wrapText="1"/>
      <protection hidden="1"/>
    </xf>
    <xf numFmtId="10" fontId="17" fillId="11" borderId="74" xfId="8" applyNumberFormat="1" applyFont="1" applyFill="1" applyBorder="1"/>
    <xf numFmtId="9" fontId="35" fillId="0" borderId="67" xfId="8" applyNumberFormat="1" applyFont="1" applyBorder="1" applyAlignment="1">
      <alignment vertical="center" wrapText="1"/>
    </xf>
    <xf numFmtId="9" fontId="17" fillId="11" borderId="74" xfId="8" applyNumberFormat="1" applyFont="1" applyFill="1" applyBorder="1"/>
    <xf numFmtId="10" fontId="0" fillId="0" borderId="0" xfId="0" applyNumberFormat="1" applyProtection="1">
      <protection locked="0" hidden="1"/>
    </xf>
    <xf numFmtId="0" fontId="6" fillId="7" borderId="65" xfId="8" applyFont="1" applyFill="1" applyBorder="1" applyAlignment="1" applyProtection="1">
      <alignment horizontal="center" vertical="center" wrapText="1"/>
      <protection locked="0" hidden="1"/>
    </xf>
    <xf numFmtId="0" fontId="34" fillId="0" borderId="40" xfId="8" applyFont="1" applyBorder="1" applyAlignment="1">
      <alignment vertical="center" wrapText="1"/>
    </xf>
    <xf numFmtId="0" fontId="35" fillId="0" borderId="41" xfId="8" applyFont="1" applyBorder="1" applyAlignment="1">
      <alignment vertical="center" wrapText="1"/>
    </xf>
    <xf numFmtId="10" fontId="36" fillId="0" borderId="67" xfId="8" applyNumberFormat="1" applyFont="1" applyBorder="1" applyAlignment="1">
      <alignment horizontal="right" vertical="center" wrapText="1"/>
    </xf>
    <xf numFmtId="171" fontId="0" fillId="0" borderId="0" xfId="2" applyNumberFormat="1" applyFont="1" applyProtection="1">
      <protection locked="0" hidden="1"/>
    </xf>
    <xf numFmtId="169" fontId="34" fillId="0" borderId="41" xfId="2" applyNumberFormat="1" applyFont="1" applyBorder="1" applyAlignment="1">
      <alignment vertical="center" wrapText="1"/>
    </xf>
    <xf numFmtId="10" fontId="36" fillId="0" borderId="67" xfId="3" applyNumberFormat="1" applyFont="1" applyBorder="1" applyAlignment="1">
      <alignment horizontal="right" vertical="center" wrapText="1"/>
    </xf>
    <xf numFmtId="173" fontId="0" fillId="0" borderId="0" xfId="3" applyNumberFormat="1" applyFont="1" applyProtection="1">
      <protection locked="0" hidden="1"/>
    </xf>
    <xf numFmtId="10" fontId="32" fillId="0" borderId="67" xfId="8" applyNumberFormat="1" applyFont="1" applyBorder="1" applyAlignment="1">
      <alignment horizontal="right" vertical="center" wrapText="1"/>
    </xf>
    <xf numFmtId="177" fontId="0" fillId="0" borderId="0" xfId="3" applyNumberFormat="1" applyFont="1" applyProtection="1">
      <protection locked="0" hidden="1"/>
    </xf>
    <xf numFmtId="171" fontId="0" fillId="0" borderId="0" xfId="0" applyNumberFormat="1" applyProtection="1">
      <protection locked="0" hidden="1"/>
    </xf>
    <xf numFmtId="4" fontId="32" fillId="0" borderId="67" xfId="10" applyNumberFormat="1" applyFont="1" applyBorder="1" applyAlignment="1">
      <alignment horizontal="right" vertical="center" wrapText="1"/>
    </xf>
    <xf numFmtId="0" fontId="17" fillId="11" borderId="75" xfId="0" applyFont="1" applyFill="1" applyBorder="1"/>
    <xf numFmtId="0" fontId="17" fillId="11" borderId="76" xfId="0" applyFont="1" applyFill="1" applyBorder="1"/>
    <xf numFmtId="0" fontId="17" fillId="11" borderId="77" xfId="0" applyFont="1" applyFill="1" applyBorder="1"/>
    <xf numFmtId="174" fontId="0" fillId="0" borderId="0" xfId="1" applyNumberFormat="1" applyFont="1" applyProtection="1">
      <protection locked="0" hidden="1"/>
    </xf>
    <xf numFmtId="4" fontId="33" fillId="13" borderId="65" xfId="9" applyNumberFormat="1" applyFont="1" applyFill="1" applyBorder="1" applyAlignment="1">
      <alignment horizontal="center" vertical="center"/>
    </xf>
    <xf numFmtId="0" fontId="37" fillId="3" borderId="0" xfId="4" applyFont="1" applyFill="1"/>
    <xf numFmtId="0" fontId="37" fillId="3" borderId="0" xfId="4" applyFont="1" applyFill="1" applyAlignment="1">
      <alignment horizontal="center"/>
    </xf>
    <xf numFmtId="179" fontId="37" fillId="3" borderId="0" xfId="16" applyNumberFormat="1" applyFont="1" applyFill="1" applyAlignment="1">
      <alignment horizontal="center"/>
    </xf>
    <xf numFmtId="169" fontId="0" fillId="0" borderId="0" xfId="2" applyNumberFormat="1" applyFont="1" applyAlignment="1" applyProtection="1">
      <alignment horizontal="center"/>
      <protection locked="0" hidden="1"/>
    </xf>
    <xf numFmtId="169" fontId="15" fillId="6" borderId="24" xfId="2" applyNumberFormat="1" applyFont="1" applyFill="1" applyBorder="1" applyAlignment="1">
      <alignment vertical="center"/>
    </xf>
    <xf numFmtId="9" fontId="15" fillId="6" borderId="18" xfId="1" applyNumberFormat="1" applyFont="1" applyFill="1" applyBorder="1" applyAlignment="1" applyProtection="1">
      <alignment horizontal="center" vertical="center"/>
      <protection locked="0"/>
    </xf>
    <xf numFmtId="0" fontId="15" fillId="6" borderId="18" xfId="1" applyNumberFormat="1" applyFont="1" applyFill="1" applyBorder="1" applyAlignment="1" applyProtection="1">
      <alignment horizontal="center" vertical="center"/>
      <protection locked="0" hidden="1"/>
    </xf>
    <xf numFmtId="0" fontId="15" fillId="6" borderId="18" xfId="3" applyNumberFormat="1" applyFont="1" applyFill="1" applyBorder="1" applyAlignment="1" applyProtection="1">
      <alignment horizontal="center" vertical="center"/>
      <protection locked="0" hidden="1"/>
    </xf>
    <xf numFmtId="169" fontId="8" fillId="6" borderId="6" xfId="2" applyNumberFormat="1" applyFont="1" applyFill="1" applyBorder="1" applyAlignment="1">
      <alignment horizontal="center" vertical="center"/>
    </xf>
    <xf numFmtId="9" fontId="4" fillId="2" borderId="1" xfId="3" applyFont="1" applyFill="1" applyBorder="1" applyAlignment="1">
      <alignment horizontal="center"/>
    </xf>
    <xf numFmtId="0" fontId="4" fillId="3" borderId="0" xfId="0" applyFont="1" applyFill="1" applyAlignment="1">
      <alignment horizontal="left" vertical="center"/>
    </xf>
    <xf numFmtId="2" fontId="12" fillId="6" borderId="12" xfId="0" applyNumberFormat="1" applyFont="1" applyFill="1" applyBorder="1" applyAlignment="1">
      <alignment horizontal="center" vertical="center"/>
    </xf>
    <xf numFmtId="2" fontId="12" fillId="6" borderId="14" xfId="0" applyNumberFormat="1" applyFont="1" applyFill="1" applyBorder="1" applyAlignment="1">
      <alignment horizontal="center" vertical="center"/>
    </xf>
    <xf numFmtId="2" fontId="12" fillId="6" borderId="14" xfId="0" applyNumberFormat="1" applyFont="1" applyFill="1" applyBorder="1" applyAlignment="1">
      <alignment horizontal="center" vertical="center" wrapText="1"/>
    </xf>
    <xf numFmtId="2" fontId="12" fillId="6" borderId="15" xfId="0" applyNumberFormat="1" applyFont="1" applyFill="1" applyBorder="1" applyAlignment="1">
      <alignment horizontal="center" vertical="center"/>
    </xf>
    <xf numFmtId="169" fontId="13" fillId="6" borderId="15" xfId="0" applyNumberFormat="1" applyFont="1" applyFill="1" applyBorder="1"/>
    <xf numFmtId="171" fontId="14" fillId="6" borderId="15" xfId="2" applyNumberFormat="1" applyFont="1" applyFill="1" applyBorder="1"/>
    <xf numFmtId="10" fontId="15" fillId="6" borderId="18" xfId="3" applyNumberFormat="1" applyFont="1" applyFill="1" applyBorder="1" applyAlignment="1">
      <alignment horizontal="center" vertical="center"/>
    </xf>
    <xf numFmtId="169" fontId="15" fillId="6" borderId="26" xfId="2" applyNumberFormat="1" applyFont="1" applyFill="1" applyBorder="1" applyAlignment="1">
      <alignment horizontal="justify" vertical="center"/>
    </xf>
    <xf numFmtId="171" fontId="14" fillId="6" borderId="15" xfId="0" applyNumberFormat="1" applyFont="1" applyFill="1" applyBorder="1"/>
    <xf numFmtId="10" fontId="14" fillId="6" borderId="14" xfId="3" applyNumberFormat="1" applyFont="1" applyFill="1" applyBorder="1" applyAlignment="1">
      <alignment horizontal="center"/>
    </xf>
    <xf numFmtId="2" fontId="19" fillId="6" borderId="28" xfId="4" applyNumberFormat="1" applyFont="1" applyFill="1" applyBorder="1" applyAlignment="1">
      <alignment horizontal="center"/>
    </xf>
    <xf numFmtId="0" fontId="7" fillId="13" borderId="18" xfId="5" applyFont="1" applyFill="1" applyBorder="1" applyAlignment="1">
      <alignment horizontal="center" vertical="center" wrapText="1"/>
    </xf>
    <xf numFmtId="3" fontId="7" fillId="13" borderId="18" xfId="5" applyNumberFormat="1" applyFont="1" applyFill="1" applyBorder="1" applyAlignment="1">
      <alignment horizontal="center" vertical="center" wrapText="1"/>
    </xf>
    <xf numFmtId="169" fontId="15" fillId="6" borderId="18" xfId="2" applyNumberFormat="1" applyFont="1" applyFill="1" applyBorder="1" applyAlignment="1">
      <alignment horizontal="justify" vertical="center"/>
    </xf>
    <xf numFmtId="0" fontId="15" fillId="6" borderId="18" xfId="1" applyNumberFormat="1" applyFont="1" applyFill="1" applyBorder="1" applyAlignment="1">
      <alignment horizontal="center" vertical="center"/>
    </xf>
    <xf numFmtId="2" fontId="12" fillId="6" borderId="16" xfId="0" applyNumberFormat="1" applyFont="1" applyFill="1" applyBorder="1" applyAlignment="1">
      <alignment horizontal="center" vertical="center"/>
    </xf>
    <xf numFmtId="2" fontId="12" fillId="6" borderId="17" xfId="0" applyNumberFormat="1" applyFont="1" applyFill="1" applyBorder="1" applyAlignment="1">
      <alignment horizontal="center" vertical="center"/>
    </xf>
    <xf numFmtId="2" fontId="13" fillId="6" borderId="14" xfId="0" applyNumberFormat="1" applyFont="1" applyFill="1" applyBorder="1" applyAlignment="1">
      <alignment horizontal="left"/>
    </xf>
    <xf numFmtId="0" fontId="4" fillId="0" borderId="0" xfId="0" applyFont="1" applyProtection="1">
      <protection locked="0" hidden="1"/>
    </xf>
    <xf numFmtId="0" fontId="0" fillId="0" borderId="0" xfId="0" applyAlignment="1" applyProtection="1">
      <alignment vertical="center"/>
      <protection locked="0" hidden="1"/>
    </xf>
    <xf numFmtId="172" fontId="0" fillId="0" borderId="0" xfId="1" applyNumberFormat="1" applyFont="1" applyProtection="1">
      <protection locked="0" hidden="1"/>
    </xf>
    <xf numFmtId="172" fontId="0" fillId="0" borderId="0" xfId="0" applyNumberFormat="1" applyProtection="1">
      <protection locked="0" hidden="1"/>
    </xf>
    <xf numFmtId="173" fontId="3" fillId="0" borderId="0" xfId="3" applyNumberFormat="1" applyFont="1" applyAlignment="1" applyProtection="1">
      <alignment horizontal="left"/>
      <protection locked="0" hidden="1"/>
    </xf>
    <xf numFmtId="0" fontId="0" fillId="0" borderId="0" xfId="0" applyAlignment="1" applyProtection="1">
      <alignment horizontal="left"/>
      <protection locked="0" hidden="1"/>
    </xf>
    <xf numFmtId="0" fontId="0" fillId="0" borderId="39" xfId="0" applyBorder="1" applyProtection="1">
      <protection locked="0" hidden="1"/>
    </xf>
    <xf numFmtId="0" fontId="0" fillId="0" borderId="86" xfId="0" applyBorder="1" applyAlignment="1" applyProtection="1">
      <alignment horizontal="right"/>
      <protection locked="0" hidden="1"/>
    </xf>
    <xf numFmtId="0" fontId="0" fillId="0" borderId="86" xfId="0" applyBorder="1" applyProtection="1">
      <protection locked="0" hidden="1"/>
    </xf>
    <xf numFmtId="172" fontId="0" fillId="0" borderId="86" xfId="1" applyNumberFormat="1" applyFont="1" applyBorder="1" applyAlignment="1" applyProtection="1">
      <alignment horizontal="left"/>
      <protection locked="0" hidden="1"/>
    </xf>
    <xf numFmtId="171" fontId="3" fillId="0" borderId="0" xfId="2" applyNumberFormat="1" applyFont="1"/>
    <xf numFmtId="0" fontId="22" fillId="0" borderId="45" xfId="0" applyFont="1" applyBorder="1" applyAlignment="1">
      <alignment horizontal="center"/>
    </xf>
    <xf numFmtId="42" fontId="22" fillId="0" borderId="46" xfId="7" applyFont="1" applyBorder="1"/>
    <xf numFmtId="42" fontId="22" fillId="0" borderId="47" xfId="7" applyFont="1" applyBorder="1"/>
    <xf numFmtId="42" fontId="22" fillId="0" borderId="45" xfId="7" applyFont="1" applyBorder="1"/>
    <xf numFmtId="42" fontId="22" fillId="0" borderId="48" xfId="7" applyFont="1" applyBorder="1"/>
    <xf numFmtId="169" fontId="0" fillId="0" borderId="0" xfId="2" applyNumberFormat="1" applyFont="1"/>
    <xf numFmtId="0" fontId="0" fillId="0" borderId="42" xfId="0" applyBorder="1" applyAlignment="1">
      <alignment horizontal="center" vertical="center"/>
    </xf>
    <xf numFmtId="0" fontId="0" fillId="0" borderId="43" xfId="0" applyBorder="1" applyAlignment="1">
      <alignment horizontal="center" vertical="center"/>
    </xf>
    <xf numFmtId="0" fontId="22" fillId="0" borderId="50" xfId="0" applyFont="1" applyBorder="1" applyAlignment="1">
      <alignment horizontal="center"/>
    </xf>
    <xf numFmtId="42" fontId="22" fillId="0" borderId="51" xfId="7" applyFont="1" applyBorder="1"/>
    <xf numFmtId="42" fontId="22" fillId="0" borderId="52" xfId="7" applyFont="1" applyBorder="1"/>
    <xf numFmtId="42" fontId="22" fillId="0" borderId="50" xfId="7" applyFont="1" applyBorder="1"/>
    <xf numFmtId="42" fontId="22" fillId="0" borderId="53" xfId="7" applyFont="1" applyBorder="1"/>
    <xf numFmtId="174" fontId="0" fillId="0" borderId="0" xfId="1" applyNumberFormat="1" applyFont="1" applyAlignment="1">
      <alignment horizontal="center"/>
    </xf>
    <xf numFmtId="171" fontId="0" fillId="0" borderId="0" xfId="2" applyNumberFormat="1" applyFont="1" applyAlignment="1">
      <alignment horizontal="center"/>
    </xf>
    <xf numFmtId="0" fontId="0" fillId="0" borderId="44" xfId="0" applyBorder="1"/>
    <xf numFmtId="0" fontId="0" fillId="0" borderId="54" xfId="0" applyBorder="1"/>
    <xf numFmtId="0" fontId="0" fillId="0" borderId="55" xfId="0" applyBorder="1"/>
    <xf numFmtId="0" fontId="3" fillId="0" borderId="0" xfId="0" applyFont="1" applyAlignment="1">
      <alignment horizontal="center"/>
    </xf>
    <xf numFmtId="0" fontId="0" fillId="7" borderId="0" xfId="0" applyFill="1"/>
    <xf numFmtId="0" fontId="0" fillId="7" borderId="0" xfId="0" applyFill="1" applyAlignment="1">
      <alignment horizontal="center"/>
    </xf>
    <xf numFmtId="0" fontId="0" fillId="3" borderId="39" xfId="0" applyFill="1" applyBorder="1"/>
    <xf numFmtId="0" fontId="23" fillId="6" borderId="39" xfId="4" applyFont="1" applyFill="1" applyBorder="1" applyAlignment="1">
      <alignment horizontal="justify" vertical="center"/>
    </xf>
    <xf numFmtId="172" fontId="0" fillId="3" borderId="56" xfId="1" applyNumberFormat="1" applyFont="1" applyFill="1" applyBorder="1" applyAlignment="1">
      <alignment horizontal="center" vertical="center"/>
    </xf>
    <xf numFmtId="172" fontId="0" fillId="3" borderId="57" xfId="1" applyNumberFormat="1" applyFont="1" applyFill="1" applyBorder="1" applyAlignment="1">
      <alignment horizontal="center" vertical="center"/>
    </xf>
    <xf numFmtId="0" fontId="0" fillId="3" borderId="57" xfId="0" applyFill="1" applyBorder="1" applyAlignment="1">
      <alignment horizontal="center" vertical="center"/>
    </xf>
    <xf numFmtId="0" fontId="0" fillId="3" borderId="58" xfId="0" applyFill="1" applyBorder="1" applyAlignment="1">
      <alignment horizontal="center" vertical="center"/>
    </xf>
    <xf numFmtId="173" fontId="0" fillId="0" borderId="0" xfId="3" applyNumberFormat="1" applyFont="1" applyAlignment="1">
      <alignment horizontal="center"/>
    </xf>
    <xf numFmtId="0" fontId="0" fillId="0" borderId="59" xfId="0" applyBorder="1"/>
    <xf numFmtId="0" fontId="0" fillId="0" borderId="60" xfId="0" applyBorder="1"/>
    <xf numFmtId="0" fontId="0" fillId="0" borderId="0" xfId="0" applyAlignment="1">
      <alignment horizontal="left"/>
    </xf>
    <xf numFmtId="172" fontId="0" fillId="0" borderId="0" xfId="1" applyNumberFormat="1" applyFont="1" applyAlignment="1">
      <alignment horizontal="center" vertical="center"/>
    </xf>
    <xf numFmtId="10" fontId="0" fillId="0" borderId="0" xfId="3" applyNumberFormat="1" applyFont="1" applyAlignment="1">
      <alignment horizontal="center" vertical="center"/>
    </xf>
    <xf numFmtId="170" fontId="0" fillId="0" borderId="0" xfId="1" applyFont="1" applyAlignment="1">
      <alignment horizontal="left"/>
    </xf>
    <xf numFmtId="172" fontId="0" fillId="3" borderId="39" xfId="1" applyNumberFormat="1" applyFont="1" applyFill="1" applyBorder="1"/>
    <xf numFmtId="10" fontId="0" fillId="3" borderId="39" xfId="3" applyNumberFormat="1" applyFont="1" applyFill="1" applyBorder="1" applyAlignment="1">
      <alignment horizontal="center"/>
    </xf>
    <xf numFmtId="10" fontId="0" fillId="3" borderId="39" xfId="0" applyNumberFormat="1" applyFill="1" applyBorder="1" applyAlignment="1">
      <alignment horizontal="center"/>
    </xf>
    <xf numFmtId="172" fontId="0" fillId="3" borderId="61" xfId="1" applyNumberFormat="1" applyFont="1" applyFill="1" applyBorder="1" applyAlignment="1">
      <alignment horizontal="center" vertical="center"/>
    </xf>
    <xf numFmtId="172" fontId="0" fillId="3" borderId="39" xfId="1" applyNumberFormat="1" applyFont="1" applyFill="1" applyBorder="1" applyAlignment="1">
      <alignment horizontal="center" vertical="center"/>
    </xf>
    <xf numFmtId="0" fontId="0" fillId="3" borderId="39" xfId="0" applyFill="1" applyBorder="1" applyAlignment="1">
      <alignment horizontal="center" vertical="center"/>
    </xf>
    <xf numFmtId="0" fontId="0" fillId="3" borderId="62" xfId="0" applyFill="1" applyBorder="1" applyAlignment="1">
      <alignment horizontal="center" vertical="center"/>
    </xf>
    <xf numFmtId="169" fontId="0" fillId="0" borderId="0" xfId="2" applyNumberFormat="1" applyFont="1" applyAlignment="1">
      <alignment horizontal="left"/>
    </xf>
    <xf numFmtId="0" fontId="0" fillId="5" borderId="0" xfId="0" applyFill="1"/>
    <xf numFmtId="172" fontId="0" fillId="0" borderId="0" xfId="1" applyNumberFormat="1" applyFont="1" applyAlignment="1">
      <alignment horizontal="left"/>
    </xf>
    <xf numFmtId="0" fontId="22" fillId="0" borderId="61" xfId="0" applyFont="1" applyBorder="1" applyAlignment="1">
      <alignment horizontal="center"/>
    </xf>
    <xf numFmtId="42" fontId="22" fillId="0" borderId="39" xfId="7" applyFont="1" applyBorder="1"/>
    <xf numFmtId="42" fontId="22" fillId="0" borderId="64" xfId="7" applyFont="1" applyBorder="1"/>
    <xf numFmtId="42" fontId="22" fillId="0" borderId="61" xfId="7" applyFont="1" applyBorder="1"/>
    <xf numFmtId="42" fontId="22" fillId="0" borderId="62" xfId="7" applyFont="1" applyBorder="1"/>
    <xf numFmtId="171" fontId="0" fillId="8" borderId="65" xfId="2" applyNumberFormat="1" applyFont="1" applyFill="1" applyBorder="1"/>
    <xf numFmtId="172" fontId="0" fillId="3" borderId="50" xfId="1" applyNumberFormat="1" applyFont="1" applyFill="1" applyBorder="1" applyAlignment="1">
      <alignment horizontal="center" vertical="center"/>
    </xf>
    <xf numFmtId="172" fontId="0" fillId="3" borderId="51" xfId="1" applyNumberFormat="1" applyFont="1" applyFill="1" applyBorder="1" applyAlignment="1">
      <alignment horizontal="center" vertical="center"/>
    </xf>
    <xf numFmtId="170" fontId="0" fillId="3" borderId="51" xfId="1" applyFont="1" applyFill="1" applyBorder="1" applyAlignment="1">
      <alignment horizontal="center" vertical="center"/>
    </xf>
    <xf numFmtId="0" fontId="0" fillId="3" borderId="53" xfId="0" applyFill="1" applyBorder="1" applyAlignment="1">
      <alignment horizontal="center" vertical="center"/>
    </xf>
    <xf numFmtId="172" fontId="0" fillId="0" borderId="0" xfId="0" applyNumberFormat="1"/>
    <xf numFmtId="169" fontId="0" fillId="0" borderId="0" xfId="0" applyNumberFormat="1"/>
    <xf numFmtId="169" fontId="22" fillId="0" borderId="52" xfId="2" applyNumberFormat="1" applyFont="1" applyBorder="1"/>
    <xf numFmtId="171" fontId="0" fillId="0" borderId="0" xfId="1" applyNumberFormat="1" applyFont="1" applyAlignment="1">
      <alignment horizontal="left"/>
    </xf>
    <xf numFmtId="4" fontId="11" fillId="4" borderId="65" xfId="9" applyNumberFormat="1" applyFont="1" applyFill="1" applyBorder="1" applyAlignment="1">
      <alignment horizontal="center" vertical="center"/>
    </xf>
    <xf numFmtId="170" fontId="0" fillId="0" borderId="0" xfId="1" applyFont="1"/>
    <xf numFmtId="0" fontId="22" fillId="0" borderId="56" xfId="0" applyFont="1" applyBorder="1" applyAlignment="1">
      <alignment horizontal="center"/>
    </xf>
    <xf numFmtId="42" fontId="22" fillId="0" borderId="57" xfId="7" applyFont="1" applyBorder="1"/>
    <xf numFmtId="42" fontId="22" fillId="0" borderId="66" xfId="7" applyFont="1" applyBorder="1"/>
    <xf numFmtId="42" fontId="22" fillId="0" borderId="56" xfId="7" applyFont="1" applyBorder="1"/>
    <xf numFmtId="42" fontId="22" fillId="0" borderId="58" xfId="7" applyFont="1" applyBorder="1"/>
    <xf numFmtId="0" fontId="15" fillId="0" borderId="49" xfId="8" applyFont="1" applyBorder="1" applyAlignment="1">
      <alignment vertical="center" wrapText="1"/>
    </xf>
    <xf numFmtId="0" fontId="15" fillId="0" borderId="67" xfId="8" applyFont="1" applyBorder="1" applyAlignment="1">
      <alignment vertical="center" wrapText="1"/>
    </xf>
    <xf numFmtId="9" fontId="0" fillId="0" borderId="39" xfId="0" applyNumberFormat="1" applyBorder="1" applyAlignment="1">
      <alignment horizontal="center" vertical="center"/>
    </xf>
    <xf numFmtId="0" fontId="3" fillId="3" borderId="39" xfId="0" applyFont="1" applyFill="1" applyBorder="1" applyAlignment="1">
      <alignment horizontal="center" vertical="center"/>
    </xf>
    <xf numFmtId="0" fontId="0" fillId="0" borderId="49" xfId="0" applyBorder="1"/>
    <xf numFmtId="0" fontId="0" fillId="0" borderId="68" xfId="0" applyBorder="1"/>
    <xf numFmtId="0" fontId="0" fillId="0" borderId="67" xfId="0" applyBorder="1"/>
    <xf numFmtId="9" fontId="0" fillId="7" borderId="0" xfId="0" applyNumberFormat="1" applyFill="1"/>
    <xf numFmtId="173" fontId="25" fillId="0" borderId="67" xfId="8" applyNumberFormat="1" applyFont="1" applyBorder="1" applyAlignment="1">
      <alignment horizontal="right" vertical="center" wrapText="1"/>
    </xf>
    <xf numFmtId="0" fontId="0" fillId="0" borderId="0" xfId="0" applyAlignment="1">
      <alignment horizontal="left" wrapText="1"/>
    </xf>
    <xf numFmtId="175" fontId="0" fillId="0" borderId="0" xfId="0" applyNumberFormat="1"/>
    <xf numFmtId="0" fontId="15" fillId="5" borderId="49" xfId="8" applyFont="1" applyFill="1" applyBorder="1" applyAlignment="1">
      <alignment vertical="center" wrapText="1"/>
    </xf>
    <xf numFmtId="0" fontId="15" fillId="5" borderId="67" xfId="8" applyFont="1" applyFill="1" applyBorder="1" applyAlignment="1">
      <alignment vertical="center" wrapText="1"/>
    </xf>
    <xf numFmtId="10" fontId="25" fillId="5" borderId="67" xfId="8" applyNumberFormat="1" applyFont="1" applyFill="1" applyBorder="1" applyAlignment="1">
      <alignment horizontal="right" vertical="center" wrapText="1"/>
    </xf>
    <xf numFmtId="0" fontId="25" fillId="9" borderId="65" xfId="8" applyFont="1" applyFill="1" applyBorder="1" applyAlignment="1">
      <alignment horizontal="center" vertical="center" wrapText="1"/>
    </xf>
    <xf numFmtId="10" fontId="24" fillId="0" borderId="67" xfId="8" applyNumberFormat="1" applyFont="1" applyBorder="1" applyAlignment="1">
      <alignment horizontal="right" vertical="center" wrapText="1"/>
    </xf>
    <xf numFmtId="10" fontId="24" fillId="0" borderId="67" xfId="3" applyNumberFormat="1" applyFont="1" applyBorder="1" applyAlignment="1">
      <alignment horizontal="right" vertical="center" wrapText="1"/>
    </xf>
    <xf numFmtId="0" fontId="24" fillId="0" borderId="40" xfId="8" applyFont="1" applyBorder="1" applyAlignment="1">
      <alignment vertical="center" wrapText="1"/>
    </xf>
    <xf numFmtId="0" fontId="24" fillId="0" borderId="41" xfId="8" applyFont="1" applyBorder="1" applyAlignment="1">
      <alignment vertical="center" wrapText="1"/>
    </xf>
    <xf numFmtId="173" fontId="24" fillId="0" borderId="67" xfId="8" applyNumberFormat="1" applyFont="1" applyBorder="1" applyAlignment="1">
      <alignment horizontal="right" vertical="center" wrapText="1"/>
    </xf>
    <xf numFmtId="176" fontId="24" fillId="0" borderId="67" xfId="10" applyNumberFormat="1" applyFont="1" applyBorder="1" applyAlignment="1">
      <alignment horizontal="right" vertical="center" wrapText="1"/>
    </xf>
    <xf numFmtId="0" fontId="27" fillId="0" borderId="0" xfId="8" applyFont="1" applyAlignment="1">
      <alignment horizontal="justify" vertical="center"/>
    </xf>
    <xf numFmtId="0" fontId="1" fillId="0" borderId="0" xfId="8"/>
    <xf numFmtId="2" fontId="13" fillId="6" borderId="18" xfId="0" applyNumberFormat="1" applyFont="1" applyFill="1" applyBorder="1" applyAlignment="1" applyProtection="1">
      <alignment horizontal="center"/>
      <protection hidden="1"/>
    </xf>
    <xf numFmtId="9" fontId="15" fillId="6" borderId="18" xfId="3" applyFont="1" applyFill="1" applyBorder="1" applyAlignment="1" applyProtection="1">
      <alignment horizontal="center" vertical="center"/>
      <protection hidden="1"/>
    </xf>
    <xf numFmtId="172" fontId="15" fillId="6" borderId="18" xfId="1" applyNumberFormat="1" applyFont="1" applyFill="1" applyBorder="1" applyAlignment="1" applyProtection="1">
      <alignment horizontal="center" vertical="center"/>
      <protection hidden="1"/>
    </xf>
    <xf numFmtId="0" fontId="15" fillId="6" borderId="14" xfId="4" applyFont="1" applyFill="1" applyBorder="1" applyAlignment="1" applyProtection="1">
      <alignment horizontal="justify" vertical="center"/>
      <protection hidden="1"/>
    </xf>
    <xf numFmtId="10" fontId="15" fillId="6" borderId="18" xfId="3" applyNumberFormat="1" applyFont="1" applyFill="1" applyBorder="1" applyAlignment="1" applyProtection="1">
      <alignment horizontal="center" vertical="center"/>
      <protection hidden="1"/>
    </xf>
    <xf numFmtId="0" fontId="43" fillId="0" borderId="0" xfId="0" applyFont="1" applyProtection="1">
      <protection locked="0" hidden="1"/>
    </xf>
    <xf numFmtId="0" fontId="6" fillId="6" borderId="24" xfId="4" applyFont="1" applyFill="1" applyBorder="1" applyAlignment="1">
      <alignment horizontal="left" vertical="center"/>
    </xf>
    <xf numFmtId="0" fontId="6" fillId="6" borderId="23" xfId="4" applyFont="1" applyFill="1" applyBorder="1" applyAlignment="1">
      <alignment horizontal="left" vertical="center"/>
    </xf>
    <xf numFmtId="0" fontId="6" fillId="6" borderId="13" xfId="4" applyFont="1" applyFill="1" applyBorder="1" applyAlignment="1">
      <alignment horizontal="left" vertical="center"/>
    </xf>
    <xf numFmtId="0" fontId="34" fillId="0" borderId="0" xfId="19" applyFont="1"/>
    <xf numFmtId="0" fontId="34" fillId="0" borderId="0" xfId="19" applyFont="1" applyAlignment="1">
      <alignment horizontal="center"/>
    </xf>
    <xf numFmtId="0" fontId="34" fillId="0" borderId="87" xfId="19" applyFont="1" applyBorder="1"/>
    <xf numFmtId="0" fontId="34" fillId="0" borderId="88" xfId="19" applyFont="1" applyBorder="1"/>
    <xf numFmtId="0" fontId="34" fillId="0" borderId="88" xfId="19" applyFont="1" applyBorder="1" applyAlignment="1">
      <alignment horizontal="center"/>
    </xf>
    <xf numFmtId="0" fontId="34" fillId="0" borderId="89" xfId="19" applyFont="1" applyBorder="1"/>
    <xf numFmtId="0" fontId="34" fillId="0" borderId="90" xfId="19" applyFont="1" applyBorder="1" applyAlignment="1">
      <alignment horizontal="center"/>
    </xf>
    <xf numFmtId="0" fontId="34" fillId="0" borderId="91" xfId="19" applyFont="1" applyBorder="1" applyAlignment="1">
      <alignment horizontal="center"/>
    </xf>
    <xf numFmtId="0" fontId="34" fillId="0" borderId="90" xfId="19" applyFont="1" applyBorder="1"/>
    <xf numFmtId="0" fontId="34" fillId="0" borderId="91" xfId="19" applyFont="1" applyBorder="1"/>
    <xf numFmtId="0" fontId="6" fillId="0" borderId="51" xfId="23" applyFont="1" applyBorder="1" applyAlignment="1">
      <alignment horizontal="center" vertical="center" wrapText="1"/>
    </xf>
    <xf numFmtId="0" fontId="6" fillId="14" borderId="44" xfId="5" applyFont="1" applyFill="1" applyBorder="1" applyAlignment="1">
      <alignment vertical="center"/>
    </xf>
    <xf numFmtId="0" fontId="6" fillId="14" borderId="54" xfId="5" applyFont="1" applyFill="1" applyBorder="1" applyAlignment="1">
      <alignment vertical="center"/>
    </xf>
    <xf numFmtId="0" fontId="6" fillId="14" borderId="55" xfId="5" applyFont="1" applyFill="1" applyBorder="1" applyAlignment="1">
      <alignment vertical="center"/>
    </xf>
    <xf numFmtId="167" fontId="34" fillId="0" borderId="0" xfId="19" applyNumberFormat="1" applyFont="1"/>
    <xf numFmtId="0" fontId="34" fillId="0" borderId="45" xfId="5" applyFont="1" applyBorder="1" applyAlignment="1">
      <alignment horizontal="center" vertical="center"/>
    </xf>
    <xf numFmtId="0" fontId="34" fillId="0" borderId="46" xfId="5" applyFont="1" applyBorder="1" applyAlignment="1">
      <alignment horizontal="center" vertical="center"/>
    </xf>
    <xf numFmtId="0" fontId="34" fillId="0" borderId="46" xfId="5" applyFont="1" applyBorder="1" applyAlignment="1">
      <alignment horizontal="justify" vertical="center" wrapText="1"/>
    </xf>
    <xf numFmtId="4" fontId="34" fillId="0" borderId="46" xfId="24" applyNumberFormat="1" applyFont="1" applyBorder="1" applyAlignment="1">
      <alignment horizontal="center" vertical="center" wrapText="1"/>
    </xf>
    <xf numFmtId="178" fontId="36" fillId="15" borderId="46" xfId="16" applyFont="1" applyFill="1" applyBorder="1" applyAlignment="1">
      <alignment horizontal="right" vertical="center" wrapText="1" shrinkToFit="1"/>
    </xf>
    <xf numFmtId="178" fontId="36" fillId="0" borderId="48" xfId="16" applyFont="1" applyFill="1" applyBorder="1" applyAlignment="1">
      <alignment horizontal="right" vertical="center" wrapText="1" shrinkToFit="1"/>
    </xf>
    <xf numFmtId="0" fontId="34" fillId="0" borderId="61" xfId="5" applyFont="1" applyBorder="1" applyAlignment="1">
      <alignment horizontal="center" vertical="center"/>
    </xf>
    <xf numFmtId="0" fontId="34" fillId="0" borderId="39" xfId="5" applyFont="1" applyBorder="1" applyAlignment="1">
      <alignment horizontal="center" vertical="center"/>
    </xf>
    <xf numFmtId="0" fontId="34" fillId="0" borderId="39" xfId="5" applyFont="1" applyBorder="1" applyAlignment="1">
      <alignment horizontal="justify" vertical="center" wrapText="1"/>
    </xf>
    <xf numFmtId="4" fontId="34" fillId="0" borderId="39" xfId="24" applyNumberFormat="1" applyFont="1" applyBorder="1" applyAlignment="1">
      <alignment horizontal="center" vertical="center" wrapText="1"/>
    </xf>
    <xf numFmtId="178" fontId="36" fillId="15" borderId="39" xfId="16" applyFont="1" applyFill="1" applyBorder="1" applyAlignment="1">
      <alignment horizontal="right" vertical="center" wrapText="1" shrinkToFit="1"/>
    </xf>
    <xf numFmtId="178" fontId="36" fillId="0" borderId="62" xfId="16" applyFont="1" applyFill="1" applyBorder="1" applyAlignment="1">
      <alignment horizontal="right" vertical="center" wrapText="1" shrinkToFit="1"/>
    </xf>
    <xf numFmtId="0" fontId="34" fillId="0" borderId="91" xfId="25" applyFont="1" applyBorder="1"/>
    <xf numFmtId="0" fontId="34" fillId="0" borderId="0" xfId="25" applyFont="1"/>
    <xf numFmtId="0" fontId="34" fillId="0" borderId="90" xfId="25" applyFont="1" applyBorder="1"/>
    <xf numFmtId="182" fontId="34" fillId="0" borderId="91" xfId="25" applyNumberFormat="1" applyFont="1" applyBorder="1"/>
    <xf numFmtId="183" fontId="34" fillId="0" borderId="91" xfId="25" applyNumberFormat="1" applyFont="1" applyBorder="1"/>
    <xf numFmtId="4" fontId="34" fillId="0" borderId="39" xfId="24" applyNumberFormat="1" applyFont="1" applyFill="1" applyBorder="1" applyAlignment="1">
      <alignment horizontal="center" vertical="center" wrapText="1"/>
    </xf>
    <xf numFmtId="167" fontId="45" fillId="0" borderId="0" xfId="19" applyNumberFormat="1" applyFont="1"/>
    <xf numFmtId="167" fontId="46" fillId="0" borderId="0" xfId="19" applyNumberFormat="1" applyFont="1"/>
    <xf numFmtId="0" fontId="6" fillId="0" borderId="50" xfId="5" applyFont="1" applyBorder="1" applyAlignment="1">
      <alignment horizontal="left" vertical="center"/>
    </xf>
    <xf numFmtId="0" fontId="6" fillId="0" borderId="51" xfId="5" applyFont="1" applyBorder="1" applyAlignment="1">
      <alignment horizontal="center" vertical="center"/>
    </xf>
    <xf numFmtId="0" fontId="6" fillId="0" borderId="51" xfId="5" applyFont="1" applyBorder="1" applyAlignment="1">
      <alignment horizontal="left" vertical="center" wrapText="1"/>
    </xf>
    <xf numFmtId="185" fontId="6" fillId="0" borderId="51" xfId="26" applyNumberFormat="1" applyFont="1" applyBorder="1" applyAlignment="1">
      <alignment horizontal="right" vertical="center" wrapText="1"/>
    </xf>
    <xf numFmtId="186" fontId="6" fillId="0" borderId="53" xfId="24" applyNumberFormat="1" applyFont="1" applyBorder="1" applyAlignment="1">
      <alignment horizontal="right" vertical="center"/>
    </xf>
    <xf numFmtId="49" fontId="6" fillId="0" borderId="0" xfId="27" applyNumberFormat="1" applyFont="1" applyAlignment="1">
      <alignment horizontal="right" vertical="center"/>
    </xf>
    <xf numFmtId="187" fontId="6" fillId="0" borderId="0" xfId="27" applyNumberFormat="1" applyFont="1" applyAlignment="1">
      <alignment vertical="center"/>
    </xf>
    <xf numFmtId="0" fontId="34" fillId="0" borderId="0" xfId="28" applyFont="1"/>
    <xf numFmtId="0" fontId="34" fillId="0" borderId="0" xfId="28" applyFont="1" applyAlignment="1">
      <alignment horizontal="center"/>
    </xf>
    <xf numFmtId="189" fontId="34" fillId="0" borderId="48" xfId="29" applyNumberFormat="1" applyFont="1" applyBorder="1" applyAlignment="1">
      <alignment vertical="center"/>
    </xf>
    <xf numFmtId="0" fontId="20" fillId="0" borderId="39" xfId="28" applyFont="1" applyBorder="1" applyAlignment="1">
      <alignment horizontal="center" vertical="center"/>
    </xf>
    <xf numFmtId="189" fontId="34" fillId="0" borderId="62" xfId="29" applyNumberFormat="1" applyFont="1" applyBorder="1" applyAlignment="1">
      <alignment vertical="center"/>
    </xf>
    <xf numFmtId="2" fontId="34" fillId="0" borderId="0" xfId="28" applyNumberFormat="1" applyFont="1"/>
    <xf numFmtId="189" fontId="34" fillId="0" borderId="0" xfId="29" applyNumberFormat="1" applyFont="1"/>
    <xf numFmtId="39" fontId="6" fillId="0" borderId="0" xfId="29" applyNumberFormat="1" applyFont="1" applyAlignment="1">
      <alignment vertical="center"/>
    </xf>
    <xf numFmtId="187" fontId="6" fillId="0" borderId="62" xfId="31" applyNumberFormat="1" applyFont="1" applyFill="1" applyBorder="1" applyAlignment="1">
      <alignment horizontal="center" vertical="center"/>
    </xf>
    <xf numFmtId="187" fontId="6" fillId="0" borderId="39" xfId="31" applyNumberFormat="1" applyFont="1" applyFill="1" applyBorder="1" applyAlignment="1">
      <alignment horizontal="center" vertical="center"/>
    </xf>
    <xf numFmtId="10" fontId="34" fillId="0" borderId="0" xfId="32" applyNumberFormat="1" applyFont="1"/>
    <xf numFmtId="187" fontId="6" fillId="0" borderId="0" xfId="31" applyNumberFormat="1" applyFont="1" applyFill="1" applyBorder="1" applyAlignment="1">
      <alignment horizontal="center" vertical="center"/>
    </xf>
    <xf numFmtId="10" fontId="34" fillId="0" borderId="60" xfId="32" applyNumberFormat="1" applyFont="1" applyFill="1" applyBorder="1" applyAlignment="1">
      <alignment horizontal="center" vertical="center"/>
    </xf>
    <xf numFmtId="0" fontId="34" fillId="0" borderId="101" xfId="25" applyFont="1" applyBorder="1"/>
    <xf numFmtId="0" fontId="34" fillId="0" borderId="102" xfId="19" applyFont="1" applyBorder="1"/>
    <xf numFmtId="0" fontId="34" fillId="0" borderId="102" xfId="19" applyFont="1" applyBorder="1" applyAlignment="1">
      <alignment horizontal="center"/>
    </xf>
    <xf numFmtId="193" fontId="34" fillId="0" borderId="102" xfId="34" applyNumberFormat="1" applyFont="1" applyFill="1" applyBorder="1"/>
    <xf numFmtId="0" fontId="34" fillId="0" borderId="103" xfId="19" applyFont="1" applyBorder="1"/>
    <xf numFmtId="0" fontId="48" fillId="0" borderId="0" xfId="33" applyFont="1"/>
    <xf numFmtId="0" fontId="48" fillId="0" borderId="114" xfId="33" applyFont="1" applyBorder="1" applyAlignment="1">
      <alignment horizontal="center"/>
    </xf>
    <xf numFmtId="0" fontId="54" fillId="0" borderId="111" xfId="33" applyFont="1" applyBorder="1" applyAlignment="1">
      <alignment horizontal="center"/>
    </xf>
    <xf numFmtId="0" fontId="53" fillId="0" borderId="111" xfId="33" applyFont="1" applyBorder="1" applyAlignment="1">
      <alignment vertical="center"/>
    </xf>
    <xf numFmtId="0" fontId="53" fillId="0" borderId="112" xfId="33" applyFont="1" applyBorder="1" applyAlignment="1">
      <alignment vertical="center"/>
    </xf>
    <xf numFmtId="0" fontId="48" fillId="0" borderId="44" xfId="33" applyFont="1" applyBorder="1" applyAlignment="1">
      <alignment horizontal="center"/>
    </xf>
    <xf numFmtId="0" fontId="54" fillId="0" borderId="54" xfId="33" applyFont="1" applyBorder="1" applyAlignment="1">
      <alignment horizontal="center"/>
    </xf>
    <xf numFmtId="0" fontId="53" fillId="0" borderId="54" xfId="33" applyFont="1" applyBorder="1" applyAlignment="1">
      <alignment horizontal="right" vertical="center"/>
    </xf>
    <xf numFmtId="0" fontId="53" fillId="0" borderId="46" xfId="33" applyFont="1" applyBorder="1" applyAlignment="1">
      <alignment horizontal="center" vertical="center"/>
    </xf>
    <xf numFmtId="0" fontId="53" fillId="0" borderId="48" xfId="33" applyFont="1" applyBorder="1" applyAlignment="1">
      <alignment horizontal="center" vertical="center"/>
    </xf>
    <xf numFmtId="0" fontId="48" fillId="0" borderId="59" xfId="33" applyFont="1" applyBorder="1" applyAlignment="1">
      <alignment horizontal="center"/>
    </xf>
    <xf numFmtId="0" fontId="54" fillId="0" borderId="0" xfId="33" applyFont="1" applyAlignment="1">
      <alignment horizontal="center"/>
    </xf>
    <xf numFmtId="0" fontId="53" fillId="0" borderId="0" xfId="33" applyFont="1" applyAlignment="1">
      <alignment horizontal="right" vertical="center"/>
    </xf>
    <xf numFmtId="1" fontId="53" fillId="0" borderId="39" xfId="33" applyNumberFormat="1" applyFont="1" applyBorder="1" applyAlignment="1">
      <alignment horizontal="center" vertical="center"/>
    </xf>
    <xf numFmtId="1" fontId="53" fillId="0" borderId="62" xfId="33" applyNumberFormat="1" applyFont="1" applyBorder="1" applyAlignment="1">
      <alignment horizontal="center" vertical="center"/>
    </xf>
    <xf numFmtId="1" fontId="53" fillId="0" borderId="60" xfId="33" applyNumberFormat="1" applyFont="1" applyBorder="1" applyAlignment="1">
      <alignment horizontal="center" vertical="center"/>
    </xf>
    <xf numFmtId="0" fontId="53" fillId="0" borderId="115" xfId="33" applyFont="1" applyBorder="1" applyAlignment="1">
      <alignment horizontal="left"/>
    </xf>
    <xf numFmtId="0" fontId="53" fillId="0" borderId="69" xfId="33" applyFont="1" applyBorder="1" applyAlignment="1">
      <alignment horizontal="center"/>
    </xf>
    <xf numFmtId="0" fontId="53" fillId="0" borderId="109" xfId="33" applyFont="1" applyBorder="1" applyAlignment="1">
      <alignment horizontal="center"/>
    </xf>
    <xf numFmtId="0" fontId="48" fillId="0" borderId="95" xfId="33" applyFont="1" applyBorder="1"/>
    <xf numFmtId="0" fontId="48" fillId="0" borderId="96" xfId="33" applyFont="1" applyBorder="1"/>
    <xf numFmtId="0" fontId="48" fillId="0" borderId="116" xfId="33" applyFont="1" applyBorder="1"/>
    <xf numFmtId="0" fontId="48" fillId="0" borderId="44" xfId="33" applyFont="1" applyBorder="1"/>
    <xf numFmtId="0" fontId="48" fillId="0" borderId="54" xfId="33" applyFont="1" applyBorder="1"/>
    <xf numFmtId="0" fontId="48" fillId="0" borderId="55" xfId="33" applyFont="1" applyBorder="1"/>
    <xf numFmtId="0" fontId="48" fillId="0" borderId="59" xfId="33" applyFont="1" applyBorder="1"/>
    <xf numFmtId="0" fontId="48" fillId="0" borderId="60" xfId="33" applyFont="1" applyBorder="1"/>
    <xf numFmtId="0" fontId="55" fillId="14" borderId="117" xfId="33" applyFont="1" applyFill="1" applyBorder="1" applyAlignment="1">
      <alignment horizontal="center" vertical="center"/>
    </xf>
    <xf numFmtId="0" fontId="48" fillId="14" borderId="118" xfId="33" applyFont="1" applyFill="1" applyBorder="1" applyAlignment="1">
      <alignment horizontal="center" vertical="center"/>
    </xf>
    <xf numFmtId="4" fontId="48" fillId="14" borderId="118" xfId="33" applyNumberFormat="1" applyFont="1" applyFill="1" applyBorder="1" applyAlignment="1">
      <alignment horizontal="center" vertical="center"/>
    </xf>
    <xf numFmtId="0" fontId="55" fillId="14" borderId="46" xfId="33" applyFont="1" applyFill="1" applyBorder="1" applyAlignment="1">
      <alignment horizontal="center"/>
    </xf>
    <xf numFmtId="0" fontId="55" fillId="14" borderId="48" xfId="33" applyFont="1" applyFill="1" applyBorder="1" applyAlignment="1">
      <alignment horizontal="center"/>
    </xf>
    <xf numFmtId="166" fontId="48" fillId="0" borderId="39" xfId="37" applyFont="1" applyBorder="1"/>
    <xf numFmtId="193" fontId="48" fillId="0" borderId="62" xfId="34" applyNumberFormat="1" applyFont="1" applyBorder="1"/>
    <xf numFmtId="0" fontId="48" fillId="0" borderId="114" xfId="33" applyFont="1" applyBorder="1"/>
    <xf numFmtId="0" fontId="48" fillId="0" borderId="111" xfId="33" applyFont="1" applyBorder="1"/>
    <xf numFmtId="0" fontId="48" fillId="0" borderId="121" xfId="33" applyFont="1" applyBorder="1"/>
    <xf numFmtId="0" fontId="48" fillId="0" borderId="110" xfId="33" applyFont="1" applyBorder="1"/>
    <xf numFmtId="192" fontId="48" fillId="0" borderId="122" xfId="34" applyFont="1" applyBorder="1"/>
    <xf numFmtId="192" fontId="48" fillId="0" borderId="62" xfId="34" applyFont="1" applyBorder="1"/>
    <xf numFmtId="193" fontId="48" fillId="0" borderId="65" xfId="33" applyNumberFormat="1" applyFont="1" applyBorder="1"/>
    <xf numFmtId="0" fontId="55" fillId="14" borderId="47" xfId="33" applyFont="1" applyFill="1" applyBorder="1" applyAlignment="1">
      <alignment horizontal="center"/>
    </xf>
    <xf numFmtId="0" fontId="48" fillId="0" borderId="82" xfId="33" applyFont="1" applyBorder="1" applyAlignment="1">
      <alignment horizontal="center"/>
    </xf>
    <xf numFmtId="194" fontId="48" fillId="0" borderId="39" xfId="33" applyNumberFormat="1" applyFont="1" applyBorder="1"/>
    <xf numFmtId="166" fontId="48" fillId="0" borderId="62" xfId="34" applyNumberFormat="1" applyFont="1" applyBorder="1"/>
    <xf numFmtId="0" fontId="48" fillId="0" borderId="111" xfId="33" applyFont="1" applyBorder="1" applyAlignment="1">
      <alignment horizontal="center"/>
    </xf>
    <xf numFmtId="194" fontId="48" fillId="0" borderId="51" xfId="33" applyNumberFormat="1" applyFont="1" applyBorder="1"/>
    <xf numFmtId="193" fontId="48" fillId="0" borderId="65" xfId="34" applyNumberFormat="1" applyFont="1" applyBorder="1"/>
    <xf numFmtId="0" fontId="55" fillId="14" borderId="93" xfId="33" applyFont="1" applyFill="1" applyBorder="1" applyAlignment="1">
      <alignment horizontal="center"/>
    </xf>
    <xf numFmtId="0" fontId="55" fillId="14" borderId="46" xfId="33" applyFont="1" applyFill="1" applyBorder="1"/>
    <xf numFmtId="2" fontId="48" fillId="0" borderId="39" xfId="33" applyNumberFormat="1" applyFont="1" applyBorder="1" applyAlignment="1">
      <alignment horizontal="center"/>
    </xf>
    <xf numFmtId="2" fontId="48" fillId="0" borderId="82" xfId="33" applyNumberFormat="1" applyFont="1" applyBorder="1" applyAlignment="1">
      <alignment horizontal="center"/>
    </xf>
    <xf numFmtId="0" fontId="48" fillId="0" borderId="122" xfId="33" applyFont="1" applyBorder="1"/>
    <xf numFmtId="0" fontId="48" fillId="0" borderId="68" xfId="33" applyFont="1" applyBorder="1"/>
    <xf numFmtId="192" fontId="48" fillId="0" borderId="123" xfId="34" applyFont="1" applyBorder="1"/>
    <xf numFmtId="192" fontId="48" fillId="0" borderId="65" xfId="33" applyNumberFormat="1" applyFont="1" applyBorder="1"/>
    <xf numFmtId="0" fontId="55" fillId="14" borderId="93" xfId="33" applyFont="1" applyFill="1" applyBorder="1" applyAlignment="1">
      <alignment horizontal="center" wrapText="1"/>
    </xf>
    <xf numFmtId="0" fontId="55" fillId="14" borderId="46" xfId="33" applyFont="1" applyFill="1" applyBorder="1" applyAlignment="1">
      <alignment horizontal="center" wrapText="1"/>
    </xf>
    <xf numFmtId="0" fontId="55" fillId="14" borderId="48" xfId="33" applyFont="1" applyFill="1" applyBorder="1" applyAlignment="1">
      <alignment horizontal="center" wrapText="1"/>
    </xf>
    <xf numFmtId="0" fontId="48" fillId="0" borderId="120" xfId="33" applyFont="1" applyBorder="1" applyAlignment="1">
      <alignment horizontal="left"/>
    </xf>
    <xf numFmtId="0" fontId="48" fillId="0" borderId="82" xfId="33" applyFont="1" applyBorder="1" applyAlignment="1">
      <alignment horizontal="left"/>
    </xf>
    <xf numFmtId="166" fontId="48" fillId="0" borderId="39" xfId="37" applyFont="1" applyBorder="1" applyAlignment="1">
      <alignment horizontal="center"/>
    </xf>
    <xf numFmtId="166" fontId="48" fillId="0" borderId="82" xfId="37" applyFont="1" applyBorder="1" applyAlignment="1">
      <alignment horizontal="center"/>
    </xf>
    <xf numFmtId="166" fontId="48" fillId="0" borderId="57" xfId="37" applyFont="1" applyBorder="1" applyAlignment="1">
      <alignment horizontal="center" wrapText="1"/>
    </xf>
    <xf numFmtId="166" fontId="48" fillId="0" borderId="58" xfId="37" applyFont="1" applyBorder="1" applyAlignment="1">
      <alignment horizontal="center" wrapText="1"/>
    </xf>
    <xf numFmtId="166" fontId="48" fillId="0" borderId="65" xfId="37" applyFont="1" applyBorder="1"/>
    <xf numFmtId="0" fontId="54" fillId="0" borderId="111" xfId="33" applyFont="1" applyBorder="1" applyAlignment="1">
      <alignment horizontal="left"/>
    </xf>
    <xf numFmtId="0" fontId="48" fillId="0" borderId="0" xfId="33" applyFont="1" applyAlignment="1">
      <alignment horizontal="left"/>
    </xf>
    <xf numFmtId="192" fontId="48" fillId="0" borderId="0" xfId="34" applyFont="1" applyBorder="1" applyAlignment="1">
      <alignment horizontal="center"/>
    </xf>
    <xf numFmtId="0" fontId="48" fillId="0" borderId="0" xfId="32" applyNumberFormat="1" applyFont="1" applyBorder="1" applyAlignment="1">
      <alignment horizontal="center"/>
    </xf>
    <xf numFmtId="195" fontId="48" fillId="0" borderId="0" xfId="33" applyNumberFormat="1" applyFont="1" applyAlignment="1">
      <alignment horizontal="center" wrapText="1"/>
    </xf>
    <xf numFmtId="2" fontId="48" fillId="0" borderId="0" xfId="33" applyNumberFormat="1" applyFont="1" applyAlignment="1">
      <alignment horizontal="center" wrapText="1"/>
    </xf>
    <xf numFmtId="192" fontId="48" fillId="0" borderId="0" xfId="34" applyFont="1" applyBorder="1" applyAlignment="1">
      <alignment horizontal="center" wrapText="1"/>
    </xf>
    <xf numFmtId="0" fontId="48" fillId="0" borderId="115" xfId="33" applyFont="1" applyBorder="1" applyAlignment="1">
      <alignment horizontal="left"/>
    </xf>
    <xf numFmtId="0" fontId="48" fillId="0" borderId="69" xfId="33" applyFont="1" applyBorder="1" applyAlignment="1">
      <alignment horizontal="left"/>
    </xf>
    <xf numFmtId="192" fontId="48" fillId="0" borderId="39" xfId="34" applyFont="1" applyBorder="1" applyAlignment="1">
      <alignment horizontal="center"/>
    </xf>
    <xf numFmtId="0" fontId="48" fillId="0" borderId="82" xfId="32" applyNumberFormat="1" applyFont="1" applyBorder="1" applyAlignment="1">
      <alignment horizontal="center"/>
    </xf>
    <xf numFmtId="195" fontId="48" fillId="0" borderId="57" xfId="33" applyNumberFormat="1" applyFont="1" applyBorder="1" applyAlignment="1">
      <alignment horizontal="center" wrapText="1"/>
    </xf>
    <xf numFmtId="166" fontId="48" fillId="14" borderId="65" xfId="37" applyFont="1" applyFill="1" applyBorder="1"/>
    <xf numFmtId="0" fontId="55" fillId="14" borderId="94" xfId="33" applyFont="1" applyFill="1" applyBorder="1" applyAlignment="1">
      <alignment horizontal="center" wrapText="1"/>
    </xf>
    <xf numFmtId="43" fontId="48" fillId="0" borderId="82" xfId="34" applyNumberFormat="1" applyFont="1" applyBorder="1"/>
    <xf numFmtId="9" fontId="48" fillId="0" borderId="78" xfId="32" applyFont="1" applyBorder="1"/>
    <xf numFmtId="10" fontId="48" fillId="0" borderId="39" xfId="32" applyNumberFormat="1" applyFont="1" applyBorder="1" applyAlignment="1">
      <alignment horizontal="center"/>
    </xf>
    <xf numFmtId="43" fontId="48" fillId="0" borderId="62" xfId="34" applyNumberFormat="1" applyFont="1" applyBorder="1"/>
    <xf numFmtId="43" fontId="48" fillId="0" borderId="96" xfId="34" applyNumberFormat="1" applyFont="1" applyBorder="1"/>
    <xf numFmtId="9" fontId="48" fillId="0" borderId="97" xfId="32" applyFont="1" applyBorder="1"/>
    <xf numFmtId="174" fontId="48" fillId="0" borderId="65" xfId="33" applyNumberFormat="1" applyFont="1" applyBorder="1"/>
    <xf numFmtId="174" fontId="48" fillId="14" borderId="65" xfId="33" applyNumberFormat="1" applyFont="1" applyFill="1" applyBorder="1"/>
    <xf numFmtId="0" fontId="48" fillId="0" borderId="69" xfId="33" applyFont="1" applyBorder="1"/>
    <xf numFmtId="0" fontId="57" fillId="0" borderId="59" xfId="33" applyFont="1" applyBorder="1"/>
    <xf numFmtId="0" fontId="57" fillId="0" borderId="0" xfId="33" applyFont="1"/>
    <xf numFmtId="0" fontId="57" fillId="0" borderId="60" xfId="33" applyFont="1" applyBorder="1"/>
    <xf numFmtId="0" fontId="48" fillId="0" borderId="0" xfId="33" applyFont="1" applyAlignment="1">
      <alignment horizontal="center"/>
    </xf>
    <xf numFmtId="0" fontId="48" fillId="0" borderId="60" xfId="33" applyFont="1" applyBorder="1" applyAlignment="1">
      <alignment horizontal="center"/>
    </xf>
    <xf numFmtId="0" fontId="55" fillId="0" borderId="120" xfId="33" applyFont="1" applyBorder="1"/>
    <xf numFmtId="0" fontId="48" fillId="0" borderId="82" xfId="33" applyFont="1" applyBorder="1"/>
    <xf numFmtId="0" fontId="48" fillId="0" borderId="124" xfId="33" applyFont="1" applyBorder="1"/>
    <xf numFmtId="0" fontId="25" fillId="0" borderId="59" xfId="33" applyFont="1" applyBorder="1" applyAlignment="1">
      <alignment horizontal="left"/>
    </xf>
    <xf numFmtId="0" fontId="48" fillId="0" borderId="59" xfId="33" applyFont="1" applyBorder="1" applyAlignment="1">
      <alignment horizontal="left"/>
    </xf>
    <xf numFmtId="0" fontId="57" fillId="0" borderId="59" xfId="33" applyFont="1" applyBorder="1" applyAlignment="1">
      <alignment horizontal="left"/>
    </xf>
    <xf numFmtId="0" fontId="58" fillId="0" borderId="0" xfId="33" applyFont="1" applyAlignment="1">
      <alignment horizontal="left"/>
    </xf>
    <xf numFmtId="1" fontId="48" fillId="14" borderId="118" xfId="33" applyNumberFormat="1" applyFont="1" applyFill="1" applyBorder="1" applyAlignment="1">
      <alignment horizontal="center" vertical="center"/>
    </xf>
    <xf numFmtId="196" fontId="48" fillId="0" borderId="39" xfId="37" applyNumberFormat="1" applyFont="1" applyBorder="1"/>
    <xf numFmtId="197" fontId="48" fillId="0" borderId="62" xfId="34" applyNumberFormat="1" applyFont="1" applyBorder="1"/>
    <xf numFmtId="197" fontId="48" fillId="0" borderId="65" xfId="33" applyNumberFormat="1" applyFont="1" applyBorder="1"/>
    <xf numFmtId="166" fontId="48" fillId="0" borderId="62" xfId="37" applyFont="1" applyBorder="1"/>
    <xf numFmtId="196" fontId="48" fillId="0" borderId="39" xfId="37" applyNumberFormat="1" applyFont="1" applyBorder="1" applyAlignment="1">
      <alignment horizontal="center"/>
    </xf>
    <xf numFmtId="196" fontId="48" fillId="0" borderId="57" xfId="37" applyNumberFormat="1" applyFont="1" applyBorder="1" applyAlignment="1">
      <alignment horizontal="center" wrapText="1"/>
    </xf>
    <xf numFmtId="2" fontId="48" fillId="14" borderId="118" xfId="33" applyNumberFormat="1" applyFont="1" applyFill="1" applyBorder="1" applyAlignment="1">
      <alignment horizontal="center" vertical="center"/>
    </xf>
    <xf numFmtId="196" fontId="48" fillId="0" borderId="62" xfId="37" applyNumberFormat="1" applyFont="1" applyBorder="1"/>
    <xf numFmtId="196" fontId="48" fillId="0" borderId="65" xfId="37" applyNumberFormat="1" applyFont="1" applyBorder="1"/>
    <xf numFmtId="192" fontId="48" fillId="0" borderId="79" xfId="34" applyFont="1" applyBorder="1" applyAlignment="1">
      <alignment horizontal="center"/>
    </xf>
    <xf numFmtId="195" fontId="48" fillId="0" borderId="79" xfId="33" applyNumberFormat="1" applyFont="1" applyBorder="1" applyAlignment="1">
      <alignment horizontal="center" wrapText="1"/>
    </xf>
    <xf numFmtId="196" fontId="48" fillId="0" borderId="110" xfId="37" applyNumberFormat="1" applyFont="1" applyBorder="1" applyAlignment="1">
      <alignment horizontal="center"/>
    </xf>
    <xf numFmtId="196" fontId="48" fillId="0" borderId="121" xfId="37" applyNumberFormat="1" applyFont="1" applyBorder="1" applyAlignment="1">
      <alignment horizontal="center"/>
    </xf>
    <xf numFmtId="166" fontId="48" fillId="0" borderId="113" xfId="37" applyFont="1" applyBorder="1" applyAlignment="1">
      <alignment horizontal="center" wrapText="1"/>
    </xf>
    <xf numFmtId="0" fontId="54" fillId="0" borderId="59" xfId="33" applyFont="1" applyBorder="1" applyAlignment="1">
      <alignment horizontal="left"/>
    </xf>
    <xf numFmtId="0" fontId="48" fillId="0" borderId="39" xfId="32" applyNumberFormat="1" applyFont="1" applyBorder="1" applyAlignment="1">
      <alignment horizontal="center"/>
    </xf>
    <xf numFmtId="195" fontId="48" fillId="0" borderId="39" xfId="33" applyNumberFormat="1" applyFont="1" applyBorder="1" applyAlignment="1">
      <alignment horizontal="center" wrapText="1"/>
    </xf>
    <xf numFmtId="166" fontId="48" fillId="0" borderId="39" xfId="37" applyFont="1" applyBorder="1" applyAlignment="1">
      <alignment horizontal="center" wrapText="1"/>
    </xf>
    <xf numFmtId="0" fontId="48" fillId="0" borderId="49" xfId="33" applyFont="1" applyBorder="1"/>
    <xf numFmtId="0" fontId="48" fillId="0" borderId="67" xfId="33" applyFont="1" applyBorder="1"/>
    <xf numFmtId="194" fontId="48" fillId="0" borderId="64" xfId="33" applyNumberFormat="1" applyFont="1" applyBorder="1"/>
    <xf numFmtId="166" fontId="48" fillId="0" borderId="124" xfId="37" applyFont="1" applyBorder="1"/>
    <xf numFmtId="196" fontId="48" fillId="0" borderId="58" xfId="37" applyNumberFormat="1" applyFont="1" applyBorder="1" applyAlignment="1">
      <alignment horizontal="center" wrapText="1"/>
    </xf>
    <xf numFmtId="166" fontId="48" fillId="0" borderId="99" xfId="37" applyFont="1" applyBorder="1"/>
    <xf numFmtId="0" fontId="48" fillId="0" borderId="39" xfId="32" applyNumberFormat="1" applyFont="1" applyBorder="1" applyAlignment="1">
      <alignment horizontal="center" vertical="center"/>
    </xf>
    <xf numFmtId="195" fontId="48" fillId="0" borderId="39" xfId="33" applyNumberFormat="1" applyFont="1" applyBorder="1" applyAlignment="1">
      <alignment horizontal="center" vertical="center" wrapText="1"/>
    </xf>
    <xf numFmtId="166" fontId="48" fillId="0" borderId="39" xfId="37" applyFont="1" applyBorder="1" applyAlignment="1">
      <alignment horizontal="center" vertical="center" wrapText="1"/>
    </xf>
    <xf numFmtId="0" fontId="48" fillId="0" borderId="114" xfId="33" applyFont="1" applyBorder="1" applyAlignment="1">
      <alignment horizontal="left" wrapText="1"/>
    </xf>
    <xf numFmtId="0" fontId="48" fillId="0" borderId="111" xfId="33" applyFont="1" applyBorder="1" applyAlignment="1">
      <alignment horizontal="left" wrapText="1"/>
    </xf>
    <xf numFmtId="0" fontId="48" fillId="0" borderId="121" xfId="33" applyFont="1" applyBorder="1" applyAlignment="1">
      <alignment horizontal="left" wrapText="1"/>
    </xf>
    <xf numFmtId="166" fontId="60" fillId="0" borderId="58" xfId="37" applyFont="1" applyBorder="1" applyAlignment="1">
      <alignment horizontal="center" wrapText="1"/>
    </xf>
    <xf numFmtId="166" fontId="60" fillId="14" borderId="65" xfId="37" applyFont="1" applyFill="1" applyBorder="1"/>
    <xf numFmtId="194" fontId="48" fillId="0" borderId="99" xfId="33" applyNumberFormat="1" applyFont="1" applyBorder="1"/>
    <xf numFmtId="194" fontId="48" fillId="0" borderId="39" xfId="33" applyNumberFormat="1" applyFont="1" applyBorder="1" applyAlignment="1">
      <alignment horizontal="center"/>
    </xf>
    <xf numFmtId="198" fontId="48" fillId="0" borderId="57" xfId="33" applyNumberFormat="1" applyFont="1" applyBorder="1" applyAlignment="1">
      <alignment horizontal="center" wrapText="1"/>
    </xf>
    <xf numFmtId="166" fontId="48" fillId="0" borderId="69" xfId="37" applyFont="1" applyBorder="1" applyAlignment="1">
      <alignment horizontal="left"/>
    </xf>
    <xf numFmtId="0" fontId="48" fillId="0" borderId="82" xfId="32" applyNumberFormat="1" applyFont="1" applyBorder="1" applyAlignment="1">
      <alignment horizontal="center" vertical="center"/>
    </xf>
    <xf numFmtId="198" fontId="48" fillId="0" borderId="57" xfId="33" applyNumberFormat="1" applyFont="1" applyBorder="1" applyAlignment="1">
      <alignment horizontal="center" vertical="center" wrapText="1"/>
    </xf>
    <xf numFmtId="166" fontId="48" fillId="0" borderId="69" xfId="37" applyFont="1" applyBorder="1" applyAlignment="1">
      <alignment horizontal="left" vertical="center"/>
    </xf>
    <xf numFmtId="195" fontId="48" fillId="0" borderId="57" xfId="33" applyNumberFormat="1" applyFont="1" applyBorder="1" applyAlignment="1">
      <alignment horizontal="center" vertical="center" wrapText="1"/>
    </xf>
    <xf numFmtId="166" fontId="48" fillId="0" borderId="39" xfId="37" applyFont="1" applyBorder="1" applyAlignment="1">
      <alignment horizontal="left" vertical="center"/>
    </xf>
    <xf numFmtId="166" fontId="48" fillId="0" borderId="125" xfId="37" applyFont="1" applyBorder="1"/>
    <xf numFmtId="0" fontId="48" fillId="0" borderId="120" xfId="33" applyFont="1" applyBorder="1"/>
    <xf numFmtId="0" fontId="48" fillId="0" borderId="78" xfId="33" applyFont="1" applyBorder="1"/>
    <xf numFmtId="166" fontId="48" fillId="0" borderId="0" xfId="33" applyNumberFormat="1" applyFont="1"/>
    <xf numFmtId="195" fontId="48" fillId="0" borderId="0" xfId="33" applyNumberFormat="1" applyFont="1"/>
    <xf numFmtId="166" fontId="60" fillId="16" borderId="65" xfId="37" applyFont="1" applyFill="1" applyBorder="1"/>
    <xf numFmtId="167" fontId="45" fillId="0" borderId="0" xfId="38" applyNumberFormat="1" applyFont="1"/>
    <xf numFmtId="165" fontId="48" fillId="0" borderId="0" xfId="33" applyNumberFormat="1" applyFont="1"/>
    <xf numFmtId="166" fontId="48" fillId="0" borderId="0" xfId="37" applyFont="1"/>
    <xf numFmtId="167" fontId="45" fillId="0" borderId="0" xfId="39" applyNumberFormat="1" applyFont="1"/>
    <xf numFmtId="1" fontId="48" fillId="0" borderId="0" xfId="33" applyNumberFormat="1" applyFont="1"/>
    <xf numFmtId="167" fontId="48" fillId="0" borderId="0" xfId="33" applyNumberFormat="1" applyFont="1"/>
    <xf numFmtId="164" fontId="48" fillId="0" borderId="0" xfId="33" applyNumberFormat="1" applyFont="1"/>
    <xf numFmtId="0" fontId="55" fillId="0" borderId="44" xfId="33" applyFont="1" applyBorder="1" applyAlignment="1">
      <alignment horizontal="right"/>
    </xf>
    <xf numFmtId="0" fontId="55" fillId="0" borderId="54" xfId="33" applyFont="1" applyBorder="1" applyAlignment="1">
      <alignment horizontal="right"/>
    </xf>
    <xf numFmtId="166" fontId="48" fillId="0" borderId="55" xfId="37" applyFont="1" applyBorder="1"/>
    <xf numFmtId="199" fontId="48" fillId="0" borderId="57" xfId="33" applyNumberFormat="1" applyFont="1" applyBorder="1" applyAlignment="1">
      <alignment horizontal="center" wrapText="1"/>
    </xf>
    <xf numFmtId="167" fontId="45" fillId="0" borderId="0" xfId="40" applyNumberFormat="1" applyFont="1"/>
    <xf numFmtId="171" fontId="48" fillId="0" borderId="0" xfId="33" applyNumberFormat="1" applyFont="1"/>
    <xf numFmtId="166" fontId="48" fillId="0" borderId="66" xfId="37" applyFont="1" applyBorder="1" applyAlignment="1">
      <alignment horizontal="center" wrapText="1"/>
    </xf>
    <xf numFmtId="166" fontId="48" fillId="0" borderId="0" xfId="37" applyFont="1" applyBorder="1" applyAlignment="1">
      <alignment horizontal="center" wrapText="1"/>
    </xf>
    <xf numFmtId="167" fontId="34" fillId="0" borderId="0" xfId="41" applyNumberFormat="1" applyFont="1"/>
    <xf numFmtId="166" fontId="48" fillId="0" borderId="0" xfId="33" applyNumberFormat="1" applyFont="1" applyAlignment="1">
      <alignment horizontal="right"/>
    </xf>
    <xf numFmtId="0" fontId="54" fillId="0" borderId="93" xfId="33" applyFont="1" applyBorder="1" applyAlignment="1">
      <alignment horizontal="left"/>
    </xf>
    <xf numFmtId="0" fontId="55" fillId="0" borderId="63" xfId="33" applyFont="1" applyBorder="1" applyAlignment="1">
      <alignment horizontal="right"/>
    </xf>
    <xf numFmtId="0" fontId="55" fillId="0" borderId="41" xfId="33" applyFont="1" applyBorder="1" applyAlignment="1">
      <alignment horizontal="right"/>
    </xf>
    <xf numFmtId="0" fontId="48" fillId="0" borderId="0" xfId="33" applyFont="1" applyAlignment="1">
      <alignment horizontal="left" wrapText="1"/>
    </xf>
    <xf numFmtId="166" fontId="48" fillId="0" borderId="0" xfId="37" applyFont="1" applyBorder="1" applyAlignment="1">
      <alignment horizontal="center"/>
    </xf>
    <xf numFmtId="0" fontId="6" fillId="0" borderId="0" xfId="42" applyFont="1" applyAlignment="1">
      <alignment vertical="center" wrapText="1"/>
    </xf>
    <xf numFmtId="0" fontId="61" fillId="0" borderId="0" xfId="42" applyFont="1"/>
    <xf numFmtId="0" fontId="62" fillId="0" borderId="0" xfId="42" applyFont="1" applyAlignment="1">
      <alignment horizontal="center"/>
    </xf>
    <xf numFmtId="0" fontId="63" fillId="0" borderId="0" xfId="42" applyFont="1" applyAlignment="1">
      <alignment horizontal="left" vertical="center"/>
    </xf>
    <xf numFmtId="0" fontId="64" fillId="0" borderId="0" xfId="42" applyFont="1" applyAlignment="1">
      <alignment horizontal="center" vertical="center"/>
    </xf>
    <xf numFmtId="0" fontId="65" fillId="0" borderId="0" xfId="42" applyFont="1"/>
    <xf numFmtId="200" fontId="61" fillId="0" borderId="0" xfId="16" applyNumberFormat="1" applyFont="1"/>
    <xf numFmtId="10" fontId="61" fillId="0" borderId="0" xfId="43" applyNumberFormat="1" applyFont="1"/>
    <xf numFmtId="0" fontId="66" fillId="17" borderId="92" xfId="44" applyFont="1" applyFill="1" applyBorder="1" applyAlignment="1">
      <alignment vertical="top" wrapText="1"/>
    </xf>
    <xf numFmtId="0" fontId="66" fillId="17" borderId="93" xfId="44" applyFont="1" applyFill="1" applyBorder="1" applyAlignment="1">
      <alignment vertical="top" wrapText="1"/>
    </xf>
    <xf numFmtId="0" fontId="66" fillId="17" borderId="98" xfId="44" applyFont="1" applyFill="1" applyBorder="1" applyAlignment="1">
      <alignment vertical="top" wrapText="1"/>
    </xf>
    <xf numFmtId="0" fontId="65" fillId="18" borderId="61" xfId="42" applyFont="1" applyFill="1" applyBorder="1" applyAlignment="1">
      <alignment horizontal="center"/>
    </xf>
    <xf numFmtId="0" fontId="65" fillId="18" borderId="39" xfId="42" applyFont="1" applyFill="1" applyBorder="1" applyAlignment="1">
      <alignment horizontal="center"/>
    </xf>
    <xf numFmtId="0" fontId="65" fillId="18" borderId="62" xfId="42" applyFont="1" applyFill="1" applyBorder="1" applyAlignment="1">
      <alignment horizontal="center"/>
    </xf>
    <xf numFmtId="0" fontId="40" fillId="18" borderId="61" xfId="44" applyFont="1" applyFill="1" applyBorder="1" applyAlignment="1">
      <alignment vertical="top" wrapText="1"/>
    </xf>
    <xf numFmtId="0" fontId="61" fillId="18" borderId="82" xfId="42" applyFont="1" applyFill="1" applyBorder="1" applyAlignment="1">
      <alignment horizontal="center"/>
    </xf>
    <xf numFmtId="0" fontId="61" fillId="18" borderId="64" xfId="42" applyFont="1" applyFill="1" applyBorder="1" applyAlignment="1">
      <alignment horizontal="center"/>
    </xf>
    <xf numFmtId="200" fontId="61" fillId="18" borderId="64" xfId="45" applyNumberFormat="1" applyFont="1" applyFill="1" applyBorder="1"/>
    <xf numFmtId="0" fontId="61" fillId="18" borderId="58" xfId="42" applyFont="1" applyFill="1" applyBorder="1" applyAlignment="1">
      <alignment horizontal="center"/>
    </xf>
    <xf numFmtId="0" fontId="39" fillId="3" borderId="61" xfId="44" applyFont="1" applyFill="1" applyBorder="1" applyAlignment="1">
      <alignment vertical="top" wrapText="1"/>
    </xf>
    <xf numFmtId="0" fontId="61" fillId="0" borderId="39" xfId="42" applyFont="1" applyBorder="1" applyAlignment="1">
      <alignment horizontal="center" vertical="center"/>
    </xf>
    <xf numFmtId="0" fontId="61" fillId="0" borderId="39" xfId="45" applyNumberFormat="1" applyFont="1" applyFill="1" applyBorder="1" applyAlignment="1">
      <alignment horizontal="center" vertical="center"/>
    </xf>
    <xf numFmtId="200" fontId="61" fillId="0" borderId="39" xfId="45" applyNumberFormat="1" applyFont="1" applyFill="1" applyBorder="1" applyAlignment="1">
      <alignment vertical="center"/>
    </xf>
    <xf numFmtId="200" fontId="61" fillId="0" borderId="62" xfId="45" applyNumberFormat="1" applyFont="1" applyBorder="1" applyAlignment="1">
      <alignment vertical="center"/>
    </xf>
    <xf numFmtId="9" fontId="61" fillId="0" borderId="0" xfId="42" applyNumberFormat="1" applyFont="1"/>
    <xf numFmtId="0" fontId="61" fillId="0" borderId="39" xfId="42" applyFont="1" applyBorder="1" applyAlignment="1">
      <alignment horizontal="center"/>
    </xf>
    <xf numFmtId="200" fontId="61" fillId="0" borderId="62" xfId="45" applyNumberFormat="1" applyFont="1" applyBorder="1"/>
    <xf numFmtId="0" fontId="39" fillId="0" borderId="61" xfId="44" applyFont="1" applyBorder="1" applyAlignment="1">
      <alignment vertical="top" wrapText="1"/>
    </xf>
    <xf numFmtId="0" fontId="61" fillId="0" borderId="39" xfId="45" applyNumberFormat="1" applyFont="1" applyFill="1" applyBorder="1" applyAlignment="1">
      <alignment vertical="center"/>
    </xf>
    <xf numFmtId="0" fontId="66" fillId="17" borderId="120" xfId="44" applyFont="1" applyFill="1" applyBorder="1" applyAlignment="1">
      <alignment vertical="top" wrapText="1"/>
    </xf>
    <xf numFmtId="0" fontId="66" fillId="17" borderId="82" xfId="44" applyFont="1" applyFill="1" applyBorder="1" applyAlignment="1">
      <alignment vertical="top" wrapText="1"/>
    </xf>
    <xf numFmtId="179" fontId="66" fillId="17" borderId="82" xfId="44" applyNumberFormat="1" applyFont="1" applyFill="1" applyBorder="1" applyAlignment="1">
      <alignment vertical="top" wrapText="1"/>
    </xf>
    <xf numFmtId="0" fontId="66" fillId="17" borderId="124" xfId="44" applyFont="1" applyFill="1" applyBorder="1" applyAlignment="1">
      <alignment vertical="top" wrapText="1"/>
    </xf>
    <xf numFmtId="0" fontId="40" fillId="18" borderId="120" xfId="44" applyFont="1" applyFill="1" applyBorder="1" applyAlignment="1">
      <alignment vertical="top" wrapText="1"/>
    </xf>
    <xf numFmtId="0" fontId="40" fillId="18" borderId="82" xfId="44" applyFont="1" applyFill="1" applyBorder="1" applyAlignment="1">
      <alignment vertical="top" wrapText="1"/>
    </xf>
    <xf numFmtId="179" fontId="40" fillId="18" borderId="82" xfId="44" applyNumberFormat="1" applyFont="1" applyFill="1" applyBorder="1" applyAlignment="1">
      <alignment vertical="top" wrapText="1"/>
    </xf>
    <xf numFmtId="0" fontId="40" fillId="18" borderId="124" xfId="44" applyFont="1" applyFill="1" applyBorder="1" applyAlignment="1">
      <alignment vertical="top" wrapText="1"/>
    </xf>
    <xf numFmtId="0" fontId="61" fillId="0" borderId="61" xfId="42" applyFont="1" applyBorder="1" applyAlignment="1">
      <alignment horizontal="justify" vertical="justify" wrapText="1"/>
    </xf>
    <xf numFmtId="200" fontId="61" fillId="0" borderId="39" xfId="46" applyNumberFormat="1" applyFont="1" applyFill="1" applyBorder="1" applyAlignment="1">
      <alignment vertical="center"/>
    </xf>
    <xf numFmtId="200" fontId="61" fillId="0" borderId="62" xfId="46" applyNumberFormat="1" applyFont="1" applyBorder="1" applyAlignment="1">
      <alignment vertical="center"/>
    </xf>
    <xf numFmtId="0" fontId="61" fillId="0" borderId="61" xfId="42" applyFont="1" applyBorder="1"/>
    <xf numFmtId="200" fontId="61" fillId="0" borderId="39" xfId="46" applyNumberFormat="1" applyFont="1" applyFill="1" applyBorder="1"/>
    <xf numFmtId="200" fontId="61" fillId="0" borderId="62" xfId="46" applyNumberFormat="1" applyFont="1" applyBorder="1"/>
    <xf numFmtId="0" fontId="39" fillId="0" borderId="61" xfId="42" applyFont="1" applyBorder="1"/>
    <xf numFmtId="0" fontId="61" fillId="0" borderId="82" xfId="42" applyFont="1" applyBorder="1" applyAlignment="1">
      <alignment horizontal="center"/>
    </xf>
    <xf numFmtId="0" fontId="61" fillId="0" borderId="64" xfId="42" applyFont="1" applyBorder="1" applyAlignment="1">
      <alignment horizontal="center"/>
    </xf>
    <xf numFmtId="200" fontId="61" fillId="0" borderId="64" xfId="45" applyNumberFormat="1" applyFont="1" applyFill="1" applyBorder="1"/>
    <xf numFmtId="0" fontId="61" fillId="3" borderId="0" xfId="42" applyFont="1" applyFill="1"/>
    <xf numFmtId="200" fontId="61" fillId="3" borderId="0" xfId="42" applyNumberFormat="1" applyFont="1" applyFill="1"/>
    <xf numFmtId="200" fontId="61" fillId="3" borderId="39" xfId="45" applyNumberFormat="1" applyFont="1" applyFill="1" applyBorder="1"/>
    <xf numFmtId="200" fontId="61" fillId="3" borderId="62" xfId="45" applyNumberFormat="1" applyFont="1" applyFill="1" applyBorder="1"/>
    <xf numFmtId="201" fontId="61" fillId="0" borderId="0" xfId="42" applyNumberFormat="1" applyFont="1"/>
    <xf numFmtId="200" fontId="61" fillId="0" borderId="0" xfId="42" applyNumberFormat="1" applyFont="1"/>
    <xf numFmtId="200" fontId="61" fillId="0" borderId="39" xfId="45" applyNumberFormat="1" applyFont="1" applyBorder="1"/>
    <xf numFmtId="0" fontId="61" fillId="0" borderId="120" xfId="42" applyFont="1" applyBorder="1"/>
    <xf numFmtId="200" fontId="61" fillId="0" borderId="39" xfId="45" applyNumberFormat="1" applyFont="1" applyFill="1" applyBorder="1"/>
    <xf numFmtId="179" fontId="61" fillId="0" borderId="39" xfId="42" applyNumberFormat="1" applyFont="1" applyBorder="1" applyAlignment="1">
      <alignment horizontal="center" vertical="center"/>
    </xf>
    <xf numFmtId="200" fontId="61" fillId="3" borderId="39" xfId="45" applyNumberFormat="1" applyFont="1" applyFill="1" applyBorder="1" applyAlignment="1">
      <alignment vertical="center"/>
    </xf>
    <xf numFmtId="200" fontId="61" fillId="3" borderId="64" xfId="45" applyNumberFormat="1" applyFont="1" applyFill="1" applyBorder="1"/>
    <xf numFmtId="0" fontId="69" fillId="0" borderId="120" xfId="42" applyFont="1" applyBorder="1"/>
    <xf numFmtId="0" fontId="69" fillId="0" borderId="82" xfId="42" applyFont="1" applyBorder="1"/>
    <xf numFmtId="0" fontId="69" fillId="0" borderId="78" xfId="42" applyFont="1" applyBorder="1"/>
    <xf numFmtId="200" fontId="69" fillId="0" borderId="58" xfId="45" applyNumberFormat="1" applyFont="1" applyBorder="1"/>
    <xf numFmtId="0" fontId="38" fillId="0" borderId="61" xfId="44" applyFont="1" applyBorder="1" applyAlignment="1">
      <alignment horizontal="justify" vertical="center" wrapText="1"/>
    </xf>
    <xf numFmtId="0" fontId="38" fillId="0" borderId="39" xfId="47" applyFont="1" applyBorder="1" applyAlignment="1">
      <alignment horizontal="center" vertical="center"/>
    </xf>
    <xf numFmtId="1" fontId="38" fillId="0" borderId="39" xfId="47" applyNumberFormat="1" applyFont="1" applyBorder="1" applyAlignment="1">
      <alignment horizontal="center" vertical="center"/>
    </xf>
    <xf numFmtId="202" fontId="70" fillId="0" borderId="39" xfId="28" applyNumberFormat="1" applyFont="1" applyBorder="1" applyAlignment="1" applyProtection="1">
      <alignment horizontal="right" vertical="center"/>
      <protection locked="0"/>
    </xf>
    <xf numFmtId="0" fontId="38" fillId="0" borderId="0" xfId="47" applyFont="1" applyAlignment="1">
      <alignment horizontal="center" vertical="center"/>
    </xf>
    <xf numFmtId="0" fontId="38" fillId="0" borderId="61" xfId="47" applyFont="1" applyBorder="1" applyAlignment="1">
      <alignment horizontal="justify" vertical="center" wrapText="1"/>
    </xf>
    <xf numFmtId="0" fontId="38" fillId="0" borderId="61" xfId="47" applyFont="1" applyBorder="1" applyAlignment="1">
      <alignment horizontal="justify" vertical="center"/>
    </xf>
    <xf numFmtId="200" fontId="61" fillId="0" borderId="62" xfId="45" applyNumberFormat="1" applyFont="1" applyFill="1" applyBorder="1" applyAlignment="1">
      <alignment vertical="center"/>
    </xf>
    <xf numFmtId="0" fontId="38" fillId="0" borderId="39" xfId="47" applyFont="1" applyBorder="1" applyAlignment="1">
      <alignment horizontal="center" vertical="center" wrapText="1"/>
    </xf>
    <xf numFmtId="0" fontId="61" fillId="0" borderId="61" xfId="47" applyFont="1" applyBorder="1" applyAlignment="1">
      <alignment horizontal="justify" vertical="center"/>
    </xf>
    <xf numFmtId="0" fontId="61" fillId="0" borderId="39" xfId="47" applyFont="1" applyBorder="1" applyAlignment="1">
      <alignment horizontal="center" vertical="center" wrapText="1"/>
    </xf>
    <xf numFmtId="202" fontId="48" fillId="0" borderId="39" xfId="28" applyNumberFormat="1" applyFont="1" applyBorder="1" applyAlignment="1" applyProtection="1">
      <alignment horizontal="right" vertical="center"/>
      <protection locked="0"/>
    </xf>
    <xf numFmtId="0" fontId="69" fillId="0" borderId="50" xfId="42" applyFont="1" applyBorder="1"/>
    <xf numFmtId="0" fontId="69" fillId="0" borderId="51" xfId="42" applyFont="1" applyBorder="1"/>
    <xf numFmtId="200" fontId="69" fillId="0" borderId="53" xfId="45" applyNumberFormat="1" applyFont="1" applyBorder="1"/>
    <xf numFmtId="0" fontId="69" fillId="0" borderId="0" xfId="42" applyFont="1"/>
    <xf numFmtId="200" fontId="69" fillId="0" borderId="0" xfId="45" applyNumberFormat="1" applyFont="1" applyBorder="1"/>
    <xf numFmtId="0" fontId="61" fillId="0" borderId="0" xfId="42" applyFont="1" applyAlignment="1">
      <alignment horizontal="center"/>
    </xf>
    <xf numFmtId="203" fontId="61" fillId="0" borderId="0" xfId="42" applyNumberFormat="1" applyFont="1"/>
    <xf numFmtId="0" fontId="65" fillId="0" borderId="0" xfId="42" applyFont="1" applyAlignment="1">
      <alignment horizontal="center"/>
    </xf>
    <xf numFmtId="0" fontId="63" fillId="0" borderId="0" xfId="42" applyFont="1" applyAlignment="1">
      <alignment horizontal="left"/>
    </xf>
    <xf numFmtId="0" fontId="64" fillId="0" borderId="0" xfId="42" applyFont="1" applyAlignment="1">
      <alignment horizontal="center"/>
    </xf>
    <xf numFmtId="0" fontId="64" fillId="0" borderId="0" xfId="42" applyFont="1"/>
    <xf numFmtId="0" fontId="63" fillId="0" borderId="0" xfId="42" applyFont="1"/>
    <xf numFmtId="0" fontId="64" fillId="0" borderId="0" xfId="42" applyFont="1" applyAlignment="1">
      <alignment vertical="center"/>
    </xf>
    <xf numFmtId="10" fontId="17" fillId="6" borderId="14" xfId="3" applyNumberFormat="1" applyFont="1" applyFill="1" applyBorder="1" applyAlignment="1">
      <alignment horizontal="center"/>
    </xf>
    <xf numFmtId="10" fontId="17" fillId="6" borderId="14" xfId="43" applyNumberFormat="1" applyFont="1" applyFill="1" applyBorder="1" applyAlignment="1">
      <alignment horizontal="center"/>
    </xf>
    <xf numFmtId="171" fontId="17" fillId="6" borderId="15" xfId="0" applyNumberFormat="1" applyFont="1" applyFill="1" applyBorder="1"/>
    <xf numFmtId="171" fontId="5" fillId="6" borderId="15" xfId="0" applyNumberFormat="1" applyFont="1" applyFill="1" applyBorder="1"/>
    <xf numFmtId="10" fontId="6" fillId="15" borderId="62" xfId="32" applyNumberFormat="1" applyFont="1" applyFill="1" applyBorder="1" applyAlignment="1">
      <alignment horizontal="center" vertical="center"/>
    </xf>
    <xf numFmtId="0" fontId="20" fillId="0" borderId="46" xfId="28" applyFont="1" applyBorder="1" applyAlignment="1">
      <alignment horizontal="center" vertical="center"/>
    </xf>
    <xf numFmtId="0" fontId="6" fillId="0" borderId="50" xfId="28" applyFont="1" applyBorder="1" applyAlignment="1">
      <alignment horizontal="left" vertical="center"/>
    </xf>
    <xf numFmtId="9" fontId="34" fillId="0" borderId="51" xfId="29" applyNumberFormat="1" applyFont="1" applyBorder="1" applyAlignment="1">
      <alignment horizontal="center" vertical="center"/>
    </xf>
    <xf numFmtId="189" fontId="6" fillId="0" borderId="51" xfId="29" applyNumberFormat="1" applyFont="1" applyBorder="1" applyAlignment="1">
      <alignment vertical="center"/>
    </xf>
    <xf numFmtId="0" fontId="34" fillId="0" borderId="51" xfId="28" applyFont="1" applyBorder="1" applyAlignment="1">
      <alignment vertical="center"/>
    </xf>
    <xf numFmtId="190" fontId="6" fillId="14" borderId="53" xfId="5" applyNumberFormat="1" applyFont="1" applyFill="1" applyBorder="1" applyAlignment="1">
      <alignment vertical="center"/>
    </xf>
    <xf numFmtId="0" fontId="15" fillId="0" borderId="0" xfId="25"/>
    <xf numFmtId="0" fontId="25" fillId="0" borderId="0" xfId="25" applyFont="1"/>
    <xf numFmtId="0" fontId="25" fillId="0" borderId="0" xfId="25" applyFont="1" applyAlignment="1">
      <alignment horizontal="center" vertical="center"/>
    </xf>
    <xf numFmtId="0" fontId="25" fillId="0" borderId="0" xfId="25" applyFont="1" applyAlignment="1">
      <alignment horizontal="center"/>
    </xf>
    <xf numFmtId="0" fontId="15" fillId="0" borderId="0" xfId="25" applyAlignment="1">
      <alignment vertical="center"/>
    </xf>
    <xf numFmtId="170" fontId="15" fillId="0" borderId="0" xfId="1" applyFont="1" applyFill="1" applyAlignment="1">
      <alignment vertical="center"/>
    </xf>
    <xf numFmtId="205" fontId="25" fillId="0" borderId="0" xfId="25" applyNumberFormat="1" applyFont="1" applyAlignment="1">
      <alignment horizontal="right"/>
    </xf>
    <xf numFmtId="4" fontId="15" fillId="0" borderId="0" xfId="25" applyNumberFormat="1" applyAlignment="1">
      <alignment horizontal="right"/>
    </xf>
    <xf numFmtId="0" fontId="15" fillId="0" borderId="0" xfId="25" applyAlignment="1">
      <alignment horizontal="right"/>
    </xf>
    <xf numFmtId="0" fontId="13" fillId="2" borderId="19" xfId="0" applyFont="1" applyFill="1" applyBorder="1" applyAlignment="1" applyProtection="1">
      <alignment horizontal="center"/>
      <protection locked="0"/>
    </xf>
    <xf numFmtId="169" fontId="6" fillId="6" borderId="36" xfId="2" applyNumberFormat="1" applyFont="1" applyFill="1" applyBorder="1" applyAlignment="1">
      <alignment horizontal="right" vertical="center"/>
    </xf>
    <xf numFmtId="2" fontId="12" fillId="6" borderId="19" xfId="0" applyNumberFormat="1" applyFont="1" applyFill="1" applyBorder="1" applyAlignment="1">
      <alignment horizontal="center" vertical="center"/>
    </xf>
    <xf numFmtId="2" fontId="12" fillId="6" borderId="19" xfId="0" applyNumberFormat="1" applyFont="1" applyFill="1" applyBorder="1" applyAlignment="1">
      <alignment horizontal="center" vertical="center" wrapText="1"/>
    </xf>
    <xf numFmtId="0" fontId="10" fillId="13" borderId="24" xfId="0" applyFont="1" applyFill="1" applyBorder="1" applyAlignment="1" applyProtection="1">
      <alignment horizontal="left" vertical="center"/>
      <protection locked="0"/>
    </xf>
    <xf numFmtId="0" fontId="10" fillId="13" borderId="23" xfId="0" applyFont="1" applyFill="1" applyBorder="1" applyAlignment="1" applyProtection="1">
      <alignment horizontal="left" vertical="center"/>
      <protection locked="0"/>
    </xf>
    <xf numFmtId="0" fontId="10" fillId="13" borderId="25" xfId="0" applyFont="1" applyFill="1" applyBorder="1" applyAlignment="1" applyProtection="1">
      <alignment horizontal="left" vertical="center"/>
      <protection locked="0"/>
    </xf>
    <xf numFmtId="0" fontId="25" fillId="0" borderId="0" xfId="25" applyFont="1" applyAlignment="1">
      <alignment wrapText="1"/>
    </xf>
    <xf numFmtId="2" fontId="12" fillId="6" borderId="15" xfId="0" applyNumberFormat="1" applyFont="1" applyFill="1" applyBorder="1" applyAlignment="1">
      <alignment horizontal="center" vertical="center" wrapText="1"/>
    </xf>
    <xf numFmtId="0" fontId="15" fillId="0" borderId="0" xfId="25" applyAlignment="1">
      <alignment horizontal="right" wrapText="1"/>
    </xf>
    <xf numFmtId="0" fontId="15" fillId="0" borderId="0" xfId="25" applyAlignment="1">
      <alignment wrapText="1"/>
    </xf>
    <xf numFmtId="0" fontId="14" fillId="6" borderId="19" xfId="0" applyFont="1" applyFill="1" applyBorder="1" applyAlignment="1">
      <alignment horizontal="right"/>
    </xf>
    <xf numFmtId="10" fontId="15" fillId="6" borderId="127" xfId="3" applyNumberFormat="1" applyFont="1" applyFill="1" applyBorder="1" applyAlignment="1">
      <alignment horizontal="center" vertical="center"/>
    </xf>
    <xf numFmtId="0" fontId="14" fillId="6" borderId="19" xfId="0" applyFont="1" applyFill="1" applyBorder="1" applyAlignment="1">
      <alignment horizontal="left"/>
    </xf>
    <xf numFmtId="10" fontId="17" fillId="6" borderId="19" xfId="3" applyNumberFormat="1" applyFont="1" applyFill="1" applyBorder="1" applyAlignment="1">
      <alignment horizontal="center"/>
    </xf>
    <xf numFmtId="10" fontId="17" fillId="6" borderId="19" xfId="43" applyNumberFormat="1" applyFont="1" applyFill="1" applyBorder="1" applyAlignment="1">
      <alignment horizontal="center"/>
    </xf>
    <xf numFmtId="10" fontId="14" fillId="6" borderId="19" xfId="3" applyNumberFormat="1" applyFont="1" applyFill="1" applyBorder="1" applyAlignment="1">
      <alignment horizontal="center"/>
    </xf>
    <xf numFmtId="2" fontId="19" fillId="6" borderId="128" xfId="4" applyNumberFormat="1" applyFont="1" applyFill="1" applyBorder="1" applyAlignment="1">
      <alignment horizontal="center"/>
    </xf>
    <xf numFmtId="10" fontId="7" fillId="13" borderId="127" xfId="6" applyNumberFormat="1" applyFont="1" applyFill="1" applyBorder="1" applyAlignment="1">
      <alignment horizontal="center" vertical="center" wrapText="1"/>
    </xf>
    <xf numFmtId="10" fontId="15" fillId="6" borderId="127" xfId="3" applyNumberFormat="1" applyFont="1" applyFill="1" applyBorder="1" applyAlignment="1" applyProtection="1">
      <alignment horizontal="center" vertical="center"/>
      <protection hidden="1"/>
    </xf>
    <xf numFmtId="0" fontId="14" fillId="6" borderId="24" xfId="0" applyFont="1" applyFill="1" applyBorder="1" applyAlignment="1">
      <alignment horizontal="right"/>
    </xf>
    <xf numFmtId="0" fontId="14" fillId="6" borderId="23" xfId="0" applyFont="1" applyFill="1" applyBorder="1" applyAlignment="1">
      <alignment horizontal="right"/>
    </xf>
    <xf numFmtId="171" fontId="14" fillId="6" borderId="25" xfId="2" applyNumberFormat="1" applyFont="1" applyFill="1" applyBorder="1"/>
    <xf numFmtId="0" fontId="13" fillId="2" borderId="13" xfId="0" applyFont="1" applyFill="1" applyBorder="1" applyAlignment="1" applyProtection="1">
      <alignment wrapText="1"/>
      <protection locked="0"/>
    </xf>
    <xf numFmtId="0" fontId="6" fillId="0" borderId="0" xfId="0" applyFont="1" applyAlignment="1" applyProtection="1">
      <alignment horizontal="left"/>
      <protection locked="0" hidden="1"/>
    </xf>
    <xf numFmtId="0" fontId="42" fillId="0" borderId="0" xfId="0" applyFont="1" applyAlignment="1" applyProtection="1">
      <alignment horizontal="left" vertical="center"/>
      <protection locked="0" hidden="1"/>
    </xf>
    <xf numFmtId="0" fontId="0" fillId="0" borderId="0" xfId="0" applyAlignment="1" applyProtection="1">
      <alignment horizontal="center"/>
      <protection locked="0"/>
    </xf>
    <xf numFmtId="0" fontId="31" fillId="3" borderId="0" xfId="0" applyFont="1" applyFill="1" applyAlignment="1" applyProtection="1">
      <alignment horizontal="justify" vertical="top" wrapText="1"/>
      <protection locked="0"/>
    </xf>
    <xf numFmtId="0" fontId="44" fillId="3" borderId="0" xfId="0" applyFont="1" applyFill="1" applyAlignment="1" applyProtection="1">
      <alignment horizontal="justify" vertical="top" wrapText="1"/>
      <protection locked="0"/>
    </xf>
    <xf numFmtId="0" fontId="25" fillId="0" borderId="64" xfId="25" applyFont="1" applyBorder="1"/>
    <xf numFmtId="2" fontId="12" fillId="6" borderId="18" xfId="0" applyNumberFormat="1" applyFont="1" applyFill="1" applyBorder="1" applyAlignment="1" applyProtection="1">
      <alignment horizontal="center"/>
      <protection hidden="1"/>
    </xf>
    <xf numFmtId="0" fontId="0" fillId="0" borderId="0" xfId="0" applyAlignment="1">
      <alignment wrapText="1"/>
    </xf>
    <xf numFmtId="169" fontId="13" fillId="6" borderId="14" xfId="2" applyNumberFormat="1" applyFont="1" applyFill="1" applyBorder="1" applyAlignment="1">
      <alignment horizontal="left" wrapText="1"/>
    </xf>
    <xf numFmtId="0" fontId="13" fillId="2" borderId="12" xfId="0" applyFont="1" applyFill="1" applyBorder="1" applyAlignment="1" applyProtection="1">
      <alignment wrapText="1"/>
      <protection locked="0"/>
    </xf>
    <xf numFmtId="0" fontId="18" fillId="6" borderId="129" xfId="4" applyFont="1" applyFill="1" applyBorder="1" applyAlignment="1">
      <alignment horizontal="left" vertical="center"/>
    </xf>
    <xf numFmtId="0" fontId="13" fillId="2" borderId="14" xfId="0" applyFont="1" applyFill="1" applyBorder="1" applyAlignment="1">
      <alignment horizontal="center"/>
    </xf>
    <xf numFmtId="169" fontId="14" fillId="6" borderId="23" xfId="0" applyNumberFormat="1" applyFont="1" applyFill="1" applyBorder="1" applyAlignment="1">
      <alignment wrapText="1"/>
    </xf>
    <xf numFmtId="0" fontId="0" fillId="3" borderId="0" xfId="0" applyFill="1"/>
    <xf numFmtId="2" fontId="12" fillId="6" borderId="39" xfId="0" applyNumberFormat="1" applyFont="1" applyFill="1" applyBorder="1" applyAlignment="1">
      <alignment vertical="center"/>
    </xf>
    <xf numFmtId="2" fontId="12" fillId="6" borderId="39" xfId="0" applyNumberFormat="1" applyFont="1" applyFill="1" applyBorder="1" applyAlignment="1">
      <alignment vertical="center" wrapText="1"/>
    </xf>
    <xf numFmtId="0" fontId="0" fillId="0" borderId="39" xfId="0" applyBorder="1"/>
    <xf numFmtId="2" fontId="0" fillId="0" borderId="39" xfId="0" applyNumberFormat="1" applyBorder="1"/>
    <xf numFmtId="10" fontId="0" fillId="0" borderId="39" xfId="0" applyNumberFormat="1" applyBorder="1"/>
    <xf numFmtId="42" fontId="0" fillId="0" borderId="39" xfId="57" applyFont="1" applyBorder="1"/>
    <xf numFmtId="171" fontId="0" fillId="0" borderId="0" xfId="11" applyNumberFormat="1" applyFont="1"/>
    <xf numFmtId="0" fontId="0" fillId="0" borderId="39" xfId="0" applyBorder="1" applyAlignment="1">
      <alignment wrapText="1"/>
    </xf>
    <xf numFmtId="42" fontId="13" fillId="6" borderId="18" xfId="57" applyFont="1" applyFill="1" applyBorder="1" applyAlignment="1" applyProtection="1">
      <alignment horizontal="center"/>
      <protection hidden="1"/>
    </xf>
    <xf numFmtId="206" fontId="15" fillId="0" borderId="0" xfId="3" applyNumberFormat="1" applyFont="1"/>
    <xf numFmtId="10" fontId="13" fillId="6" borderId="15" xfId="3" applyNumberFormat="1" applyFont="1" applyFill="1" applyBorder="1" applyAlignment="1">
      <alignment horizontal="center"/>
    </xf>
    <xf numFmtId="0" fontId="15" fillId="0" borderId="44" xfId="25" applyBorder="1"/>
    <xf numFmtId="0" fontId="15" fillId="0" borderId="54" xfId="25" applyBorder="1"/>
    <xf numFmtId="0" fontId="15" fillId="0" borderId="55" xfId="25" applyBorder="1"/>
    <xf numFmtId="0" fontId="15" fillId="0" borderId="59" xfId="25" applyBorder="1"/>
    <xf numFmtId="0" fontId="15" fillId="0" borderId="60" xfId="25" applyBorder="1"/>
    <xf numFmtId="0" fontId="15" fillId="0" borderId="49" xfId="25" applyBorder="1"/>
    <xf numFmtId="0" fontId="15" fillId="0" borderId="68" xfId="25" applyBorder="1"/>
    <xf numFmtId="0" fontId="15" fillId="0" borderId="67" xfId="25" applyBorder="1"/>
    <xf numFmtId="169" fontId="15" fillId="0" borderId="0" xfId="2" applyNumberFormat="1" applyFont="1"/>
    <xf numFmtId="169" fontId="15" fillId="0" borderId="0" xfId="25" applyNumberFormat="1"/>
    <xf numFmtId="174" fontId="15" fillId="0" borderId="0" xfId="25" applyNumberFormat="1"/>
    <xf numFmtId="169" fontId="15" fillId="0" borderId="60" xfId="2" applyNumberFormat="1" applyFont="1" applyBorder="1"/>
    <xf numFmtId="0" fontId="15" fillId="0" borderId="44" xfId="25" applyBorder="1" applyAlignment="1">
      <alignment wrapText="1"/>
    </xf>
    <xf numFmtId="0" fontId="10" fillId="13" borderId="14" xfId="0" applyFont="1" applyFill="1" applyBorder="1" applyAlignment="1">
      <alignment vertical="center"/>
    </xf>
    <xf numFmtId="0" fontId="11" fillId="13" borderId="14" xfId="0" applyFont="1" applyFill="1" applyBorder="1" applyAlignment="1">
      <alignment vertical="center"/>
    </xf>
    <xf numFmtId="0" fontId="11" fillId="13" borderId="14" xfId="0" applyFont="1" applyFill="1" applyBorder="1" applyAlignment="1">
      <alignment vertical="center" wrapText="1"/>
    </xf>
    <xf numFmtId="169" fontId="13" fillId="6" borderId="15" xfId="0" applyNumberFormat="1" applyFont="1" applyFill="1" applyBorder="1" applyAlignment="1">
      <alignment wrapText="1"/>
    </xf>
    <xf numFmtId="0" fontId="13" fillId="6" borderId="15" xfId="0" applyFont="1" applyFill="1" applyBorder="1" applyAlignment="1">
      <alignment wrapText="1"/>
    </xf>
    <xf numFmtId="207" fontId="13" fillId="6" borderId="15" xfId="56" applyNumberFormat="1" applyFont="1" applyFill="1" applyBorder="1"/>
    <xf numFmtId="9" fontId="11" fillId="13" borderId="14" xfId="3" applyFont="1" applyFill="1" applyBorder="1" applyAlignment="1">
      <alignment horizontal="center" vertical="center"/>
    </xf>
    <xf numFmtId="0" fontId="11" fillId="13" borderId="136" xfId="0" applyFont="1" applyFill="1" applyBorder="1" applyAlignment="1">
      <alignment vertical="center"/>
    </xf>
    <xf numFmtId="0" fontId="11" fillId="13" borderId="136" xfId="0" applyFont="1" applyFill="1" applyBorder="1" applyAlignment="1">
      <alignment vertical="center" wrapText="1"/>
    </xf>
    <xf numFmtId="10" fontId="11" fillId="13" borderId="136" xfId="3" applyNumberFormat="1" applyFont="1" applyFill="1" applyBorder="1" applyAlignment="1">
      <alignment horizontal="center" vertical="center"/>
    </xf>
    <xf numFmtId="0" fontId="15" fillId="0" borderId="0" xfId="25" applyAlignment="1">
      <alignment horizontal="center"/>
    </xf>
    <xf numFmtId="0" fontId="11" fillId="13" borderId="137" xfId="0" applyFont="1" applyFill="1" applyBorder="1" applyAlignment="1">
      <alignment vertical="center"/>
    </xf>
    <xf numFmtId="0" fontId="11" fillId="13" borderId="137" xfId="0" applyFont="1" applyFill="1" applyBorder="1" applyAlignment="1">
      <alignment vertical="center" wrapText="1"/>
    </xf>
    <xf numFmtId="10" fontId="11" fillId="13" borderId="137" xfId="3" applyNumberFormat="1" applyFont="1" applyFill="1" applyBorder="1" applyAlignment="1">
      <alignment horizontal="center" vertical="center"/>
    </xf>
    <xf numFmtId="10" fontId="11" fillId="13" borderId="137" xfId="3" applyNumberFormat="1" applyFont="1" applyFill="1" applyBorder="1" applyAlignment="1">
      <alignment horizontal="center" vertical="center" wrapText="1"/>
    </xf>
    <xf numFmtId="0" fontId="15" fillId="0" borderId="0" xfId="25" applyAlignment="1">
      <alignment horizontal="center" vertical="center"/>
    </xf>
    <xf numFmtId="2" fontId="13" fillId="6" borderId="33" xfId="0" applyNumberFormat="1" applyFont="1" applyFill="1" applyBorder="1" applyAlignment="1" applyProtection="1">
      <alignment horizontal="center"/>
      <protection hidden="1"/>
    </xf>
    <xf numFmtId="2" fontId="13" fillId="6" borderId="18" xfId="0" applyNumberFormat="1" applyFont="1" applyFill="1" applyBorder="1" applyAlignment="1" applyProtection="1">
      <alignment horizontal="center" wrapText="1"/>
      <protection hidden="1"/>
    </xf>
    <xf numFmtId="2" fontId="13" fillId="6" borderId="33" xfId="0" applyNumberFormat="1" applyFont="1" applyFill="1" applyBorder="1" applyAlignment="1" applyProtection="1">
      <alignment horizontal="center" wrapText="1"/>
      <protection hidden="1"/>
    </xf>
    <xf numFmtId="42" fontId="13" fillId="6" borderId="33" xfId="57" applyFont="1" applyFill="1" applyBorder="1" applyAlignment="1" applyProtection="1">
      <alignment horizontal="center"/>
      <protection hidden="1"/>
    </xf>
    <xf numFmtId="0" fontId="11" fillId="0" borderId="0" xfId="25" applyFont="1"/>
    <xf numFmtId="0" fontId="13" fillId="6" borderId="15" xfId="0" applyFont="1" applyFill="1" applyBorder="1"/>
    <xf numFmtId="0" fontId="41" fillId="0" borderId="0" xfId="25" applyFont="1"/>
    <xf numFmtId="0" fontId="11" fillId="13" borderId="136" xfId="0" applyFont="1" applyFill="1" applyBorder="1" applyAlignment="1">
      <alignment horizontal="center" vertical="center" wrapText="1"/>
    </xf>
    <xf numFmtId="2" fontId="12" fillId="6" borderId="135" xfId="0" applyNumberFormat="1" applyFont="1" applyFill="1" applyBorder="1" applyAlignment="1">
      <alignment horizontal="center" vertical="center" wrapText="1"/>
    </xf>
    <xf numFmtId="2" fontId="12" fillId="6" borderId="0" xfId="0" applyNumberFormat="1" applyFont="1" applyFill="1" applyAlignment="1">
      <alignment horizontal="center" vertical="center" wrapText="1"/>
    </xf>
    <xf numFmtId="169" fontId="13" fillId="6" borderId="15" xfId="0" applyNumberFormat="1" applyFont="1" applyFill="1" applyBorder="1" applyAlignment="1">
      <alignment horizontal="center"/>
    </xf>
    <xf numFmtId="0" fontId="79" fillId="0" borderId="0" xfId="0" applyFont="1" applyAlignment="1" applyProtection="1">
      <alignment vertical="center"/>
      <protection hidden="1"/>
    </xf>
    <xf numFmtId="0" fontId="79" fillId="0" borderId="0" xfId="0" applyFont="1" applyProtection="1">
      <protection hidden="1"/>
    </xf>
    <xf numFmtId="172" fontId="79" fillId="0" borderId="0" xfId="1" applyNumberFormat="1" applyFont="1" applyProtection="1">
      <protection hidden="1"/>
    </xf>
    <xf numFmtId="172" fontId="79" fillId="0" borderId="0" xfId="0" applyNumberFormat="1" applyFont="1" applyProtection="1">
      <protection hidden="1"/>
    </xf>
    <xf numFmtId="10" fontId="79" fillId="0" borderId="0" xfId="0" applyNumberFormat="1" applyFont="1" applyProtection="1">
      <protection hidden="1"/>
    </xf>
    <xf numFmtId="10" fontId="13" fillId="6" borderId="18" xfId="3" applyNumberFormat="1" applyFont="1" applyFill="1" applyBorder="1" applyAlignment="1" applyProtection="1">
      <alignment horizontal="center"/>
      <protection hidden="1"/>
    </xf>
    <xf numFmtId="10" fontId="13" fillId="6" borderId="33" xfId="3" applyNumberFormat="1" applyFont="1" applyFill="1" applyBorder="1" applyAlignment="1" applyProtection="1">
      <alignment horizontal="center"/>
      <protection hidden="1"/>
    </xf>
    <xf numFmtId="10" fontId="13" fillId="6" borderId="15" xfId="3" applyNumberFormat="1" applyFont="1" applyFill="1" applyBorder="1" applyAlignment="1">
      <alignment horizontal="center" vertical="center"/>
    </xf>
    <xf numFmtId="9" fontId="15" fillId="0" borderId="0" xfId="3" applyFont="1" applyBorder="1"/>
    <xf numFmtId="0" fontId="80" fillId="0" borderId="0" xfId="0" applyFont="1" applyAlignment="1" applyProtection="1">
      <alignment vertical="center"/>
      <protection hidden="1"/>
    </xf>
    <xf numFmtId="10" fontId="17" fillId="6" borderId="19" xfId="3" applyNumberFormat="1" applyFont="1" applyFill="1" applyBorder="1" applyAlignment="1" applyProtection="1">
      <alignment horizontal="center"/>
      <protection hidden="1"/>
    </xf>
    <xf numFmtId="0" fontId="6" fillId="6" borderId="23" xfId="4" applyFont="1" applyFill="1" applyBorder="1" applyAlignment="1" applyProtection="1">
      <alignment vertical="center"/>
      <protection hidden="1"/>
    </xf>
    <xf numFmtId="0" fontId="14" fillId="6" borderId="19" xfId="0" applyFont="1" applyFill="1" applyBorder="1" applyAlignment="1" applyProtection="1">
      <alignment horizontal="right"/>
      <protection hidden="1"/>
    </xf>
    <xf numFmtId="171" fontId="5" fillId="6" borderId="15" xfId="0" applyNumberFormat="1" applyFont="1" applyFill="1" applyBorder="1" applyProtection="1">
      <protection hidden="1"/>
    </xf>
    <xf numFmtId="171" fontId="17" fillId="6" borderId="15" xfId="0" applyNumberFormat="1" applyFont="1" applyFill="1" applyBorder="1" applyProtection="1">
      <protection hidden="1"/>
    </xf>
    <xf numFmtId="171" fontId="14" fillId="6" borderId="15" xfId="0" applyNumberFormat="1" applyFont="1" applyFill="1" applyBorder="1" applyProtection="1">
      <protection hidden="1"/>
    </xf>
    <xf numFmtId="171" fontId="14" fillId="6" borderId="15" xfId="2" applyNumberFormat="1" applyFont="1" applyFill="1" applyBorder="1" applyProtection="1">
      <protection hidden="1"/>
    </xf>
    <xf numFmtId="0" fontId="6" fillId="6" borderId="23" xfId="4" applyFont="1" applyFill="1" applyBorder="1" applyAlignment="1" applyProtection="1">
      <alignment horizontal="left" vertical="center"/>
      <protection hidden="1"/>
    </xf>
    <xf numFmtId="169" fontId="13" fillId="6" borderId="15" xfId="2" applyNumberFormat="1" applyFont="1" applyFill="1" applyBorder="1" applyProtection="1">
      <protection hidden="1"/>
    </xf>
    <xf numFmtId="10" fontId="14" fillId="6" borderId="19" xfId="3" applyNumberFormat="1" applyFont="1" applyFill="1" applyBorder="1" applyAlignment="1" applyProtection="1">
      <alignment horizontal="center"/>
      <protection hidden="1"/>
    </xf>
    <xf numFmtId="0" fontId="6" fillId="7" borderId="65" xfId="8" applyFont="1" applyFill="1" applyBorder="1" applyAlignment="1" applyProtection="1">
      <alignment horizontal="center" vertical="center" wrapText="1"/>
      <protection locked="0"/>
    </xf>
    <xf numFmtId="0" fontId="11" fillId="13" borderId="14" xfId="0" applyFont="1" applyFill="1" applyBorder="1" applyAlignment="1" applyProtection="1">
      <alignment vertical="center" wrapText="1"/>
      <protection locked="0"/>
    </xf>
    <xf numFmtId="0" fontId="11" fillId="13" borderId="137" xfId="3" applyNumberFormat="1" applyFont="1" applyFill="1" applyBorder="1" applyAlignment="1">
      <alignment horizontal="center" vertical="center" wrapText="1"/>
    </xf>
    <xf numFmtId="2" fontId="6" fillId="63" borderId="137" xfId="0" applyNumberFormat="1" applyFont="1" applyFill="1" applyBorder="1" applyAlignment="1">
      <alignment horizontal="center" vertical="center" wrapText="1"/>
    </xf>
    <xf numFmtId="42" fontId="13" fillId="6" borderId="18" xfId="57" applyFont="1" applyFill="1" applyBorder="1" applyAlignment="1" applyProtection="1">
      <alignment horizontal="center" vertical="center"/>
      <protection hidden="1"/>
    </xf>
    <xf numFmtId="2" fontId="13" fillId="6" borderId="18" xfId="0" applyNumberFormat="1" applyFont="1" applyFill="1" applyBorder="1" applyAlignment="1" applyProtection="1">
      <alignment horizontal="center" vertical="center"/>
      <protection hidden="1"/>
    </xf>
    <xf numFmtId="2" fontId="13" fillId="2" borderId="14" xfId="0" applyNumberFormat="1" applyFont="1" applyFill="1" applyBorder="1" applyAlignment="1" applyProtection="1">
      <alignment horizontal="center" vertical="center"/>
      <protection locked="0"/>
    </xf>
    <xf numFmtId="10" fontId="13" fillId="2" borderId="14" xfId="3" applyNumberFormat="1" applyFont="1" applyFill="1" applyBorder="1" applyAlignment="1" applyProtection="1">
      <alignment horizontal="center" vertical="center"/>
      <protection locked="0"/>
    </xf>
    <xf numFmtId="2" fontId="13" fillId="6" borderId="18" xfId="0" applyNumberFormat="1" applyFont="1" applyFill="1" applyBorder="1" applyAlignment="1" applyProtection="1">
      <alignment horizontal="left" vertical="center" wrapText="1"/>
      <protection hidden="1"/>
    </xf>
    <xf numFmtId="10" fontId="13" fillId="6" borderId="15" xfId="3" applyNumberFormat="1" applyFont="1" applyFill="1" applyBorder="1" applyAlignment="1" applyProtection="1">
      <alignment horizontal="center"/>
    </xf>
    <xf numFmtId="0" fontId="15" fillId="2" borderId="13" xfId="0" applyFont="1" applyFill="1" applyBorder="1" applyAlignment="1" applyProtection="1">
      <alignment wrapText="1"/>
      <protection locked="0"/>
    </xf>
    <xf numFmtId="172" fontId="112" fillId="16" borderId="0" xfId="1" applyNumberFormat="1" applyFont="1" applyFill="1"/>
    <xf numFmtId="169" fontId="112" fillId="16" borderId="0" xfId="2" applyNumberFormat="1" applyFont="1" applyFill="1"/>
    <xf numFmtId="41" fontId="13" fillId="6" borderId="15" xfId="56" applyFont="1" applyFill="1" applyBorder="1"/>
    <xf numFmtId="2" fontId="13" fillId="6" borderId="24" xfId="0" applyNumberFormat="1" applyFont="1" applyFill="1" applyBorder="1" applyAlignment="1">
      <alignment horizontal="left" vertical="center" wrapText="1"/>
    </xf>
    <xf numFmtId="2" fontId="13" fillId="6" borderId="23" xfId="0" applyNumberFormat="1" applyFont="1" applyFill="1" applyBorder="1" applyAlignment="1">
      <alignment horizontal="left" vertical="center" wrapText="1"/>
    </xf>
    <xf numFmtId="10" fontId="15" fillId="6" borderId="23" xfId="3" applyNumberFormat="1" applyFont="1" applyFill="1" applyBorder="1" applyAlignment="1">
      <alignment horizontal="center" vertical="center"/>
    </xf>
    <xf numFmtId="207" fontId="13" fillId="6" borderId="134" xfId="56" applyNumberFormat="1" applyFont="1" applyFill="1" applyBorder="1"/>
    <xf numFmtId="169" fontId="13" fillId="6" borderId="134" xfId="0" applyNumberFormat="1" applyFont="1" applyFill="1" applyBorder="1" applyAlignment="1">
      <alignment wrapText="1"/>
    </xf>
    <xf numFmtId="42" fontId="13" fillId="6" borderId="0" xfId="57" applyFont="1" applyFill="1" applyBorder="1" applyAlignment="1" applyProtection="1">
      <alignment horizontal="center"/>
      <protection hidden="1"/>
    </xf>
    <xf numFmtId="2" fontId="13" fillId="6" borderId="0" xfId="0" applyNumberFormat="1" applyFont="1" applyFill="1" applyAlignment="1" applyProtection="1">
      <alignment horizontal="center" wrapText="1"/>
      <protection hidden="1"/>
    </xf>
    <xf numFmtId="2" fontId="13" fillId="6" borderId="0" xfId="0" applyNumberFormat="1" applyFont="1" applyFill="1" applyAlignment="1" applyProtection="1">
      <alignment horizontal="center"/>
      <protection hidden="1"/>
    </xf>
    <xf numFmtId="169" fontId="6" fillId="6" borderId="35" xfId="2" applyNumberFormat="1" applyFont="1" applyFill="1" applyBorder="1" applyAlignment="1">
      <alignment horizontal="right" vertical="center"/>
    </xf>
    <xf numFmtId="169" fontId="15" fillId="6" borderId="155" xfId="2" applyNumberFormat="1" applyFont="1" applyFill="1" applyBorder="1" applyAlignment="1">
      <alignment horizontal="justify" vertical="center"/>
    </xf>
    <xf numFmtId="172" fontId="0" fillId="0" borderId="0" xfId="1" applyNumberFormat="1" applyFont="1" applyBorder="1" applyAlignment="1" applyProtection="1">
      <alignment horizontal="left"/>
      <protection locked="0" hidden="1"/>
    </xf>
    <xf numFmtId="10" fontId="14" fillId="6" borderId="23" xfId="3" applyNumberFormat="1" applyFont="1" applyFill="1" applyBorder="1" applyAlignment="1" applyProtection="1">
      <alignment horizontal="center"/>
      <protection hidden="1"/>
    </xf>
    <xf numFmtId="0" fontId="112" fillId="0" borderId="39" xfId="0" applyFont="1" applyBorder="1"/>
    <xf numFmtId="0" fontId="15" fillId="0" borderId="0" xfId="3811" applyAlignment="1">
      <alignment horizontal="justify" vertical="center" wrapText="1"/>
    </xf>
    <xf numFmtId="0" fontId="7" fillId="13" borderId="5" xfId="0" applyFont="1" applyFill="1" applyBorder="1" applyAlignment="1">
      <alignment horizontal="left" vertical="center"/>
    </xf>
    <xf numFmtId="0" fontId="7" fillId="13" borderId="7" xfId="0" applyFont="1" applyFill="1" applyBorder="1" applyAlignment="1">
      <alignment horizontal="left" vertical="center"/>
    </xf>
    <xf numFmtId="0" fontId="7" fillId="13" borderId="80" xfId="0" applyFont="1" applyFill="1" applyBorder="1" applyAlignment="1">
      <alignment horizontal="left" vertical="center"/>
    </xf>
    <xf numFmtId="208" fontId="0" fillId="0" borderId="39" xfId="0" applyNumberFormat="1" applyBorder="1"/>
    <xf numFmtId="2" fontId="12" fillId="6" borderId="39" xfId="0" applyNumberFormat="1" applyFont="1" applyFill="1" applyBorder="1" applyAlignment="1">
      <alignment horizontal="center" vertical="center" wrapText="1"/>
    </xf>
    <xf numFmtId="10" fontId="80" fillId="0" borderId="39" xfId="0" applyNumberFormat="1" applyFont="1" applyBorder="1"/>
    <xf numFmtId="0" fontId="37" fillId="0" borderId="0" xfId="0" applyFont="1"/>
    <xf numFmtId="0" fontId="0" fillId="0" borderId="39" xfId="0" applyBorder="1" applyAlignment="1">
      <alignment horizontal="center" vertical="center"/>
    </xf>
    <xf numFmtId="0" fontId="0" fillId="0" borderId="57" xfId="0" applyBorder="1" applyAlignment="1">
      <alignment horizontal="center" vertical="center"/>
    </xf>
    <xf numFmtId="2" fontId="12" fillId="6" borderId="39" xfId="0" applyNumberFormat="1" applyFont="1" applyFill="1" applyBorder="1" applyAlignment="1">
      <alignment horizontal="center" vertical="center"/>
    </xf>
    <xf numFmtId="168" fontId="13" fillId="2" borderId="156" xfId="2" applyFont="1" applyFill="1" applyBorder="1" applyProtection="1">
      <protection locked="0"/>
    </xf>
    <xf numFmtId="0" fontId="13" fillId="2" borderId="156" xfId="0" applyFont="1" applyFill="1" applyBorder="1" applyProtection="1">
      <protection locked="0"/>
    </xf>
    <xf numFmtId="42" fontId="0" fillId="0" borderId="156" xfId="57" applyFont="1" applyBorder="1"/>
    <xf numFmtId="0" fontId="80" fillId="0" borderId="157" xfId="0" applyFont="1" applyBorder="1"/>
    <xf numFmtId="0" fontId="80" fillId="0" borderId="158" xfId="0" applyFont="1" applyBorder="1"/>
    <xf numFmtId="0" fontId="80" fillId="0" borderId="157" xfId="0" applyFont="1" applyBorder="1" applyAlignment="1">
      <alignment wrapText="1"/>
    </xf>
    <xf numFmtId="0" fontId="80" fillId="0" borderId="158" xfId="0" applyFont="1" applyBorder="1" applyAlignment="1">
      <alignment wrapText="1"/>
    </xf>
    <xf numFmtId="0" fontId="80" fillId="0" borderId="159" xfId="0" applyFont="1" applyBorder="1" applyAlignment="1">
      <alignment wrapText="1"/>
    </xf>
    <xf numFmtId="0" fontId="42" fillId="0" borderId="0" xfId="0" applyFont="1" applyAlignment="1" applyProtection="1">
      <alignment vertical="center" wrapText="1"/>
      <protection locked="0" hidden="1"/>
    </xf>
    <xf numFmtId="0" fontId="42" fillId="0" borderId="0" xfId="0" applyFont="1" applyAlignment="1" applyProtection="1">
      <alignment vertical="center"/>
      <protection locked="0" hidden="1"/>
    </xf>
    <xf numFmtId="0" fontId="21" fillId="4" borderId="156" xfId="0" applyFont="1" applyFill="1" applyBorder="1" applyAlignment="1">
      <alignment vertical="center"/>
    </xf>
    <xf numFmtId="0" fontId="21" fillId="4" borderId="156" xfId="0" applyFont="1" applyFill="1" applyBorder="1" applyAlignment="1">
      <alignment vertical="center" wrapText="1"/>
    </xf>
    <xf numFmtId="0" fontId="0" fillId="0" borderId="156" xfId="0" applyBorder="1"/>
    <xf numFmtId="0" fontId="0" fillId="0" borderId="0" xfId="0" applyAlignment="1">
      <alignment vertical="center" wrapText="1"/>
    </xf>
    <xf numFmtId="0" fontId="7" fillId="13" borderId="4" xfId="0" applyFont="1" applyFill="1" applyBorder="1" applyAlignment="1">
      <alignment horizontal="left" vertical="center"/>
    </xf>
    <xf numFmtId="169" fontId="13" fillId="6" borderId="15" xfId="0" applyNumberFormat="1" applyFont="1" applyFill="1" applyBorder="1" applyAlignment="1">
      <alignment vertical="center"/>
    </xf>
    <xf numFmtId="169" fontId="13" fillId="6" borderId="15" xfId="0" applyNumberFormat="1" applyFont="1" applyFill="1" applyBorder="1" applyAlignment="1">
      <alignment horizontal="left" vertical="center"/>
    </xf>
    <xf numFmtId="170" fontId="13" fillId="6" borderId="15" xfId="1" applyFont="1" applyFill="1" applyBorder="1"/>
    <xf numFmtId="172" fontId="13" fillId="6" borderId="15" xfId="1" applyNumberFormat="1" applyFont="1" applyFill="1" applyBorder="1"/>
    <xf numFmtId="0" fontId="12" fillId="64" borderId="156" xfId="0" applyFont="1" applyFill="1" applyBorder="1" applyAlignment="1">
      <alignment horizontal="center" vertical="center" wrapText="1"/>
    </xf>
    <xf numFmtId="0" fontId="13" fillId="0" borderId="156" xfId="0" applyFont="1" applyBorder="1" applyAlignment="1">
      <alignment horizontal="center" vertical="center"/>
    </xf>
    <xf numFmtId="243" fontId="13" fillId="0" borderId="156" xfId="0" applyNumberFormat="1" applyFont="1" applyBorder="1" applyAlignment="1">
      <alignment horizontal="center" vertical="center" wrapText="1"/>
    </xf>
    <xf numFmtId="244" fontId="13" fillId="0" borderId="156" xfId="0" applyNumberFormat="1" applyFont="1" applyBorder="1" applyAlignment="1">
      <alignment horizontal="center" vertical="center"/>
    </xf>
    <xf numFmtId="244" fontId="15" fillId="0" borderId="156" xfId="0" applyNumberFormat="1" applyFont="1" applyBorder="1" applyAlignment="1">
      <alignment horizontal="center" vertical="center"/>
    </xf>
    <xf numFmtId="0" fontId="2" fillId="65" borderId="161" xfId="0" applyFont="1" applyFill="1" applyBorder="1"/>
    <xf numFmtId="0" fontId="2" fillId="65" borderId="162" xfId="0" applyFont="1" applyFill="1" applyBorder="1"/>
    <xf numFmtId="0" fontId="0" fillId="66" borderId="161" xfId="0" applyFill="1" applyBorder="1" applyAlignment="1">
      <alignment horizontal="left"/>
    </xf>
    <xf numFmtId="169" fontId="0" fillId="66" borderId="163" xfId="2" applyNumberFormat="1" applyFont="1" applyFill="1" applyBorder="1" applyAlignment="1">
      <alignment horizontal="left"/>
    </xf>
    <xf numFmtId="171" fontId="0" fillId="66" borderId="162" xfId="2" applyNumberFormat="1" applyFont="1" applyFill="1" applyBorder="1" applyAlignment="1">
      <alignment horizontal="left"/>
    </xf>
    <xf numFmtId="0" fontId="0" fillId="0" borderId="161" xfId="0" applyBorder="1" applyAlignment="1">
      <alignment horizontal="left"/>
    </xf>
    <xf numFmtId="169" fontId="0" fillId="0" borderId="163" xfId="2" applyNumberFormat="1" applyFont="1" applyBorder="1" applyAlignment="1">
      <alignment horizontal="left"/>
    </xf>
    <xf numFmtId="173" fontId="0" fillId="0" borderId="162" xfId="3" applyNumberFormat="1" applyFont="1" applyBorder="1" applyAlignment="1">
      <alignment horizontal="left"/>
    </xf>
    <xf numFmtId="10" fontId="0" fillId="66" borderId="163" xfId="3" applyNumberFormat="1" applyFont="1" applyFill="1" applyBorder="1" applyAlignment="1">
      <alignment horizontal="right"/>
    </xf>
    <xf numFmtId="0" fontId="24" fillId="0" borderId="40" xfId="8" applyFont="1" applyBorder="1" applyAlignment="1">
      <alignment horizontal="left" vertical="center"/>
    </xf>
    <xf numFmtId="168" fontId="25" fillId="0" borderId="82" xfId="2" applyFont="1" applyBorder="1" applyAlignment="1"/>
    <xf numFmtId="0" fontId="0" fillId="16" borderId="0" xfId="0" applyFill="1" applyAlignment="1">
      <alignment vertical="center"/>
    </xf>
    <xf numFmtId="0" fontId="0" fillId="0" borderId="0" xfId="0" applyAlignment="1">
      <alignment horizontal="left" vertical="center"/>
    </xf>
    <xf numFmtId="1" fontId="13" fillId="6" borderId="15" xfId="0" applyNumberFormat="1" applyFont="1" applyFill="1" applyBorder="1" applyAlignment="1">
      <alignment vertical="center"/>
    </xf>
    <xf numFmtId="0" fontId="13" fillId="2" borderId="14" xfId="0" applyFont="1" applyFill="1" applyBorder="1" applyAlignment="1" applyProtection="1">
      <alignment horizontal="center" vertical="center"/>
      <protection locked="0"/>
    </xf>
    <xf numFmtId="0" fontId="3" fillId="0" borderId="0" xfId="0" applyFont="1" applyAlignment="1">
      <alignment horizontal="center" vertical="center"/>
    </xf>
    <xf numFmtId="0" fontId="0" fillId="0" borderId="0" xfId="0" applyAlignment="1">
      <alignment horizontal="center" vertical="center"/>
    </xf>
    <xf numFmtId="0" fontId="25" fillId="0" borderId="0" xfId="25" applyFont="1" applyAlignment="1">
      <alignment vertical="center"/>
    </xf>
    <xf numFmtId="0" fontId="3" fillId="0" borderId="0" xfId="0" applyFont="1" applyAlignment="1">
      <alignment vertical="center"/>
    </xf>
    <xf numFmtId="245" fontId="13" fillId="6" borderId="15" xfId="56" applyNumberFormat="1" applyFont="1" applyFill="1" applyBorder="1"/>
    <xf numFmtId="0" fontId="3" fillId="0" borderId="0" xfId="0" applyFont="1" applyAlignment="1" applyProtection="1">
      <alignment horizontal="centerContinuous" vertical="center"/>
      <protection locked="0"/>
    </xf>
    <xf numFmtId="0" fontId="0" fillId="0" borderId="0" xfId="0" applyAlignment="1" applyProtection="1">
      <alignment horizontal="centerContinuous"/>
      <protection locked="0"/>
    </xf>
    <xf numFmtId="0" fontId="119" fillId="0" borderId="0" xfId="0" applyFont="1"/>
    <xf numFmtId="0" fontId="119" fillId="0" borderId="0" xfId="0" applyFont="1" applyAlignment="1" applyProtection="1">
      <alignment vertical="center" wrapText="1"/>
      <protection locked="0"/>
    </xf>
    <xf numFmtId="171" fontId="3" fillId="0" borderId="0" xfId="2" applyNumberFormat="1" applyFont="1" applyAlignment="1">
      <alignment vertical="center"/>
    </xf>
    <xf numFmtId="0" fontId="11" fillId="4" borderId="40" xfId="9" applyFont="1" applyFill="1" applyBorder="1" applyAlignment="1">
      <alignment horizontal="center" vertical="center"/>
    </xf>
    <xf numFmtId="0" fontId="11" fillId="4" borderId="41" xfId="9" applyFont="1" applyFill="1" applyBorder="1" applyAlignment="1">
      <alignment horizontal="center" vertical="center"/>
    </xf>
    <xf numFmtId="0" fontId="24" fillId="0" borderId="40" xfId="8" applyFont="1" applyBorder="1" applyAlignment="1">
      <alignment horizontal="center" vertical="center" wrapText="1"/>
    </xf>
    <xf numFmtId="0" fontId="24" fillId="0" borderId="63" xfId="8" applyFont="1" applyBorder="1" applyAlignment="1">
      <alignment horizontal="center" vertical="center" wrapText="1"/>
    </xf>
    <xf numFmtId="0" fontId="24" fillId="0" borderId="41" xfId="8" applyFont="1" applyBorder="1" applyAlignment="1">
      <alignment horizontal="center" vertical="center" wrapText="1"/>
    </xf>
    <xf numFmtId="0" fontId="15" fillId="0" borderId="40" xfId="8" applyFont="1" applyBorder="1" applyAlignment="1">
      <alignment vertical="center" wrapText="1"/>
    </xf>
    <xf numFmtId="0" fontId="15" fillId="0" borderId="41" xfId="8" applyFont="1" applyBorder="1" applyAlignment="1">
      <alignment vertical="center" wrapText="1"/>
    </xf>
    <xf numFmtId="0" fontId="15" fillId="0" borderId="40" xfId="8" applyFont="1" applyBorder="1" applyAlignment="1">
      <alignment horizontal="left" vertical="center" wrapText="1"/>
    </xf>
    <xf numFmtId="0" fontId="15" fillId="0" borderId="41" xfId="8" applyFont="1" applyBorder="1" applyAlignment="1">
      <alignment horizontal="left" vertical="center" wrapText="1"/>
    </xf>
    <xf numFmtId="0" fontId="28" fillId="7" borderId="0" xfId="8" quotePrefix="1" applyFont="1" applyFill="1" applyAlignment="1">
      <alignment horizontal="justify" vertical="top" wrapText="1"/>
    </xf>
    <xf numFmtId="0" fontId="3" fillId="0" borderId="40" xfId="0" applyFont="1" applyBorder="1" applyAlignment="1">
      <alignment horizontal="center"/>
    </xf>
    <xf numFmtId="0" fontId="12" fillId="0" borderId="40" xfId="8" applyFont="1" applyBorder="1" applyAlignment="1">
      <alignment horizontal="left" vertical="center" wrapText="1"/>
    </xf>
    <xf numFmtId="0" fontId="12" fillId="0" borderId="41" xfId="8" applyFont="1" applyBorder="1" applyAlignment="1">
      <alignment horizontal="left" vertical="center" wrapText="1"/>
    </xf>
    <xf numFmtId="171" fontId="3" fillId="0" borderId="0" xfId="2" applyNumberFormat="1" applyFont="1" applyAlignment="1">
      <alignment horizontal="center"/>
    </xf>
    <xf numFmtId="0" fontId="3" fillId="0" borderId="41" xfId="0" applyFont="1" applyBorder="1" applyAlignment="1">
      <alignment horizontal="center"/>
    </xf>
    <xf numFmtId="172" fontId="15" fillId="6" borderId="23" xfId="1" applyNumberFormat="1" applyFont="1" applyFill="1" applyBorder="1" applyAlignment="1" applyProtection="1">
      <alignment horizontal="center" vertical="center"/>
      <protection hidden="1"/>
    </xf>
    <xf numFmtId="171" fontId="14" fillId="6" borderId="15" xfId="2" applyNumberFormat="1" applyFont="1" applyFill="1" applyBorder="1" applyAlignment="1" applyProtection="1">
      <alignment vertical="center"/>
      <protection hidden="1"/>
    </xf>
    <xf numFmtId="0" fontId="11" fillId="13" borderId="14" xfId="0" applyFont="1" applyFill="1" applyBorder="1" applyAlignment="1">
      <alignment horizontal="center" vertical="center" wrapText="1"/>
    </xf>
    <xf numFmtId="169" fontId="121" fillId="6" borderId="164" xfId="0" applyNumberFormat="1" applyFont="1" applyFill="1" applyBorder="1" applyAlignment="1">
      <alignment vertical="center"/>
    </xf>
    <xf numFmtId="2" fontId="13" fillId="5" borderId="14" xfId="0" applyNumberFormat="1" applyFont="1" applyFill="1" applyBorder="1" applyAlignment="1" applyProtection="1">
      <alignment horizontal="center" vertical="center"/>
      <protection locked="0"/>
    </xf>
    <xf numFmtId="41" fontId="13" fillId="6" borderId="15" xfId="56" applyFont="1" applyFill="1" applyBorder="1" applyAlignment="1">
      <alignment vertical="center"/>
    </xf>
    <xf numFmtId="172" fontId="13" fillId="6" borderId="15" xfId="1" applyNumberFormat="1" applyFont="1" applyFill="1" applyBorder="1" applyAlignment="1">
      <alignment vertical="center"/>
    </xf>
    <xf numFmtId="169" fontId="13" fillId="6" borderId="15" xfId="0" applyNumberFormat="1" applyFont="1" applyFill="1" applyBorder="1" applyAlignment="1">
      <alignment horizontal="left" vertical="center" wrapText="1"/>
    </xf>
    <xf numFmtId="169" fontId="13" fillId="6" borderId="15" xfId="0" applyNumberFormat="1" applyFont="1" applyFill="1" applyBorder="1" applyAlignment="1">
      <alignment horizontal="justify" vertical="center" wrapText="1"/>
    </xf>
    <xf numFmtId="169" fontId="13" fillId="6" borderId="15" xfId="0" applyNumberFormat="1" applyFont="1" applyFill="1" applyBorder="1" applyAlignment="1">
      <alignment horizontal="justify" vertical="center"/>
    </xf>
    <xf numFmtId="0" fontId="13" fillId="6" borderId="15" xfId="0" applyFont="1" applyFill="1" applyBorder="1" applyAlignment="1">
      <alignment horizontal="justify" vertical="center" wrapText="1"/>
    </xf>
    <xf numFmtId="0" fontId="13" fillId="6" borderId="15" xfId="0" applyFont="1" applyFill="1" applyBorder="1" applyAlignment="1">
      <alignment horizontal="justify" vertical="center"/>
    </xf>
    <xf numFmtId="0" fontId="119" fillId="0" borderId="156" xfId="0" applyFont="1" applyBorder="1"/>
    <xf numFmtId="0" fontId="119" fillId="0" borderId="0" xfId="0" applyFont="1" applyProtection="1">
      <protection locked="0"/>
    </xf>
    <xf numFmtId="0" fontId="124" fillId="4" borderId="156" xfId="0" applyFont="1" applyFill="1" applyBorder="1" applyAlignment="1">
      <alignment horizontal="center" vertical="center"/>
    </xf>
    <xf numFmtId="0" fontId="10" fillId="13" borderId="153" xfId="0" applyFont="1" applyFill="1" applyBorder="1" applyAlignment="1">
      <alignment horizontal="center" vertical="center"/>
    </xf>
    <xf numFmtId="0" fontId="10" fillId="13" borderId="3" xfId="0" applyFont="1" applyFill="1" applyBorder="1" applyAlignment="1">
      <alignment horizontal="center" vertical="center"/>
    </xf>
    <xf numFmtId="0" fontId="14" fillId="5" borderId="151" xfId="0" applyFont="1" applyFill="1" applyBorder="1" applyAlignment="1" applyProtection="1">
      <alignment horizontal="center" vertical="center"/>
      <protection locked="0"/>
    </xf>
    <xf numFmtId="170" fontId="121" fillId="6" borderId="164" xfId="1" applyFont="1" applyFill="1" applyBorder="1" applyAlignment="1">
      <alignment vertical="center"/>
    </xf>
    <xf numFmtId="169" fontId="13" fillId="67" borderId="15" xfId="0" applyNumberFormat="1" applyFont="1" applyFill="1" applyBorder="1" applyAlignment="1">
      <alignment vertical="center"/>
    </xf>
    <xf numFmtId="171" fontId="119" fillId="0" borderId="0" xfId="11" applyNumberFormat="1" applyFont="1" applyAlignment="1">
      <alignment vertical="center"/>
    </xf>
    <xf numFmtId="0" fontId="121" fillId="11" borderId="0" xfId="0" applyFont="1" applyFill="1" applyAlignment="1">
      <alignment vertical="center"/>
    </xf>
    <xf numFmtId="171" fontId="119" fillId="11" borderId="0" xfId="11" applyNumberFormat="1" applyFont="1" applyFill="1" applyAlignment="1">
      <alignment vertical="center"/>
    </xf>
    <xf numFmtId="207" fontId="13" fillId="6" borderId="15" xfId="56" applyNumberFormat="1" applyFont="1" applyFill="1" applyBorder="1" applyAlignment="1">
      <alignment vertical="center"/>
    </xf>
    <xf numFmtId="207" fontId="13" fillId="6" borderId="134" xfId="56" applyNumberFormat="1" applyFont="1" applyFill="1" applyBorder="1" applyAlignment="1">
      <alignment vertical="center"/>
    </xf>
    <xf numFmtId="169" fontId="13" fillId="6" borderId="15" xfId="0" applyNumberFormat="1" applyFont="1" applyFill="1" applyBorder="1" applyAlignment="1">
      <alignment vertical="center" wrapText="1"/>
    </xf>
    <xf numFmtId="169" fontId="13" fillId="6" borderId="134" xfId="0" applyNumberFormat="1" applyFont="1" applyFill="1" applyBorder="1" applyAlignment="1">
      <alignment vertical="center" wrapText="1"/>
    </xf>
    <xf numFmtId="2" fontId="13" fillId="6" borderId="18" xfId="0" applyNumberFormat="1" applyFont="1" applyFill="1" applyBorder="1" applyAlignment="1" applyProtection="1">
      <alignment horizontal="center" vertical="center" wrapText="1"/>
      <protection hidden="1"/>
    </xf>
    <xf numFmtId="2" fontId="13" fillId="6" borderId="33" xfId="0" applyNumberFormat="1" applyFont="1" applyFill="1" applyBorder="1" applyAlignment="1" applyProtection="1">
      <alignment horizontal="center" vertical="center" wrapText="1"/>
      <protection hidden="1"/>
    </xf>
    <xf numFmtId="2" fontId="13" fillId="6" borderId="0" xfId="0" applyNumberFormat="1" applyFont="1" applyFill="1" applyAlignment="1" applyProtection="1">
      <alignment horizontal="center" vertical="center" wrapText="1"/>
      <protection hidden="1"/>
    </xf>
    <xf numFmtId="173" fontId="13" fillId="6" borderId="18" xfId="3" applyNumberFormat="1" applyFont="1" applyFill="1" applyBorder="1" applyAlignment="1" applyProtection="1">
      <alignment horizontal="center" vertical="center"/>
      <protection hidden="1"/>
    </xf>
    <xf numFmtId="10" fontId="13" fillId="6" borderId="18" xfId="3" applyNumberFormat="1" applyFont="1" applyFill="1" applyBorder="1" applyAlignment="1" applyProtection="1">
      <alignment horizontal="center" vertical="center"/>
      <protection hidden="1"/>
    </xf>
    <xf numFmtId="3" fontId="7" fillId="13" borderId="26" xfId="5" applyNumberFormat="1" applyFont="1" applyFill="1" applyBorder="1" applyAlignment="1">
      <alignment horizontal="center" vertical="center" wrapText="1"/>
    </xf>
    <xf numFmtId="169" fontId="0" fillId="0" borderId="0" xfId="2" applyNumberFormat="1" applyFont="1" applyAlignment="1" applyProtection="1">
      <alignment vertical="center"/>
      <protection locked="0" hidden="1"/>
    </xf>
    <xf numFmtId="0" fontId="126" fillId="0" borderId="0" xfId="0" applyFont="1" applyProtection="1">
      <protection locked="0" hidden="1"/>
    </xf>
    <xf numFmtId="172" fontId="15" fillId="0" borderId="0" xfId="1" applyNumberFormat="1" applyFont="1" applyAlignment="1">
      <alignment horizontal="right"/>
    </xf>
    <xf numFmtId="172" fontId="15" fillId="0" borderId="0" xfId="1" applyNumberFormat="1" applyFont="1"/>
    <xf numFmtId="0" fontId="13" fillId="2" borderId="14" xfId="0" applyFont="1" applyFill="1" applyBorder="1" applyAlignment="1" applyProtection="1">
      <alignment horizontal="left" vertical="center"/>
      <protection locked="0"/>
    </xf>
    <xf numFmtId="171" fontId="13" fillId="19" borderId="14" xfId="2" applyNumberFormat="1" applyFont="1" applyFill="1" applyBorder="1" applyAlignment="1" applyProtection="1">
      <alignment vertical="center"/>
    </xf>
    <xf numFmtId="171" fontId="13" fillId="2" borderId="14" xfId="2" applyNumberFormat="1" applyFont="1" applyFill="1" applyBorder="1" applyAlignment="1" applyProtection="1">
      <alignment vertical="center"/>
    </xf>
    <xf numFmtId="0" fontId="13" fillId="2" borderId="14" xfId="0" applyFont="1" applyFill="1" applyBorder="1" applyAlignment="1" applyProtection="1">
      <alignment horizontal="justify" vertical="center" wrapText="1"/>
      <protection locked="0"/>
    </xf>
    <xf numFmtId="174" fontId="0" fillId="3" borderId="0" xfId="1" applyNumberFormat="1" applyFont="1" applyFill="1" applyBorder="1" applyAlignment="1">
      <alignment horizontal="center"/>
    </xf>
    <xf numFmtId="173" fontId="0" fillId="0" borderId="0" xfId="3" applyNumberFormat="1" applyFont="1" applyBorder="1" applyAlignment="1">
      <alignment horizontal="center"/>
    </xf>
    <xf numFmtId="0" fontId="0" fillId="0" borderId="176" xfId="0" applyBorder="1" applyAlignment="1">
      <alignment horizontal="center"/>
    </xf>
    <xf numFmtId="0" fontId="2" fillId="65" borderId="162" xfId="0" applyFont="1" applyFill="1" applyBorder="1" applyAlignment="1">
      <alignment horizontal="center" vertical="center"/>
    </xf>
    <xf numFmtId="0" fontId="7" fillId="13" borderId="2" xfId="0" applyFont="1" applyFill="1" applyBorder="1" applyAlignment="1" applyProtection="1">
      <alignment vertical="center"/>
      <protection locked="0"/>
    </xf>
    <xf numFmtId="10" fontId="0" fillId="0" borderId="0" xfId="3" applyNumberFormat="1" applyFont="1"/>
    <xf numFmtId="0" fontId="118" fillId="13" borderId="2" xfId="0" applyFont="1" applyFill="1" applyBorder="1" applyAlignment="1">
      <alignment vertical="center"/>
    </xf>
    <xf numFmtId="10" fontId="118" fillId="13" borderId="2" xfId="3" applyNumberFormat="1" applyFont="1" applyFill="1" applyBorder="1" applyAlignment="1">
      <alignment horizontal="center" vertical="center"/>
    </xf>
    <xf numFmtId="0" fontId="127" fillId="13" borderId="177" xfId="0" applyFont="1" applyFill="1" applyBorder="1" applyAlignment="1">
      <alignment vertical="center"/>
    </xf>
    <xf numFmtId="2" fontId="11" fillId="13" borderId="178" xfId="0" applyNumberFormat="1" applyFont="1" applyFill="1" applyBorder="1" applyAlignment="1">
      <alignment horizontal="center" vertical="center" wrapText="1"/>
    </xf>
    <xf numFmtId="171" fontId="0" fillId="0" borderId="0" xfId="0" applyNumberFormat="1" applyAlignment="1">
      <alignment vertical="center"/>
    </xf>
    <xf numFmtId="0" fontId="4" fillId="0" borderId="151" xfId="0" applyFont="1" applyBorder="1" applyAlignment="1" applyProtection="1">
      <alignment horizontal="left" vertical="center"/>
      <protection locked="0"/>
    </xf>
    <xf numFmtId="14" fontId="43" fillId="0" borderId="0" xfId="0" applyNumberFormat="1" applyFont="1" applyAlignment="1" applyProtection="1">
      <alignment horizontal="center" vertical="center"/>
      <protection locked="0"/>
    </xf>
    <xf numFmtId="0" fontId="13" fillId="2" borderId="13" xfId="0" applyFont="1" applyFill="1" applyBorder="1" applyAlignment="1" applyProtection="1">
      <alignment vertical="center" wrapText="1"/>
      <protection locked="0"/>
    </xf>
    <xf numFmtId="0" fontId="13" fillId="2" borderId="19" xfId="0" applyFont="1" applyFill="1" applyBorder="1" applyAlignment="1" applyProtection="1">
      <alignment horizontal="center" vertical="center"/>
      <protection locked="0"/>
    </xf>
    <xf numFmtId="42" fontId="3" fillId="0" borderId="0" xfId="57" applyFont="1" applyProtection="1">
      <protection locked="0" hidden="1"/>
    </xf>
    <xf numFmtId="169" fontId="0" fillId="0" borderId="0" xfId="0" applyNumberFormat="1" applyProtection="1">
      <protection locked="0" hidden="1"/>
    </xf>
    <xf numFmtId="9" fontId="15" fillId="6" borderId="19" xfId="3" applyFont="1" applyFill="1" applyBorder="1" applyAlignment="1" applyProtection="1">
      <alignment horizontal="center" vertical="center"/>
      <protection locked="0"/>
    </xf>
    <xf numFmtId="9" fontId="15" fillId="6" borderId="13" xfId="3" applyFont="1" applyFill="1" applyBorder="1" applyAlignment="1" applyProtection="1">
      <alignment horizontal="center" vertical="center"/>
      <protection locked="0"/>
    </xf>
    <xf numFmtId="0" fontId="14" fillId="5" borderId="165" xfId="0" applyFont="1" applyFill="1" applyBorder="1" applyAlignment="1" applyProtection="1">
      <alignment horizontal="center" vertical="center" wrapText="1"/>
      <protection locked="0"/>
    </xf>
    <xf numFmtId="0" fontId="14" fillId="5" borderId="166" xfId="0" applyFont="1" applyFill="1" applyBorder="1" applyAlignment="1" applyProtection="1">
      <alignment horizontal="center" vertical="center" wrapText="1"/>
      <protection locked="0"/>
    </xf>
    <xf numFmtId="0" fontId="14" fillId="5" borderId="167" xfId="0" applyFont="1" applyFill="1" applyBorder="1" applyAlignment="1" applyProtection="1">
      <alignment horizontal="center" vertical="center" wrapText="1"/>
      <protection locked="0"/>
    </xf>
    <xf numFmtId="0" fontId="28" fillId="7" borderId="0" xfId="8" quotePrefix="1" applyFont="1" applyFill="1" applyAlignment="1">
      <alignment horizontal="justify" vertical="top" wrapText="1"/>
    </xf>
    <xf numFmtId="0" fontId="12" fillId="0" borderId="40" xfId="8" applyFont="1" applyBorder="1" applyAlignment="1">
      <alignment horizontal="left" vertical="center" wrapText="1"/>
    </xf>
    <xf numFmtId="0" fontId="12" fillId="0" borderId="41" xfId="8" applyFont="1" applyBorder="1" applyAlignment="1">
      <alignment horizontal="left" vertical="center" wrapText="1"/>
    </xf>
    <xf numFmtId="0" fontId="15" fillId="0" borderId="40" xfId="8" applyFont="1" applyBorder="1" applyAlignment="1">
      <alignment horizontal="left" vertical="center" wrapText="1"/>
    </xf>
    <xf numFmtId="0" fontId="15" fillId="0" borderId="41" xfId="8" applyFont="1" applyBorder="1" applyAlignment="1">
      <alignment horizontal="left" vertical="center" wrapText="1"/>
    </xf>
    <xf numFmtId="169" fontId="13" fillId="6" borderId="19" xfId="2" applyNumberFormat="1" applyFont="1" applyFill="1" applyBorder="1" applyAlignment="1">
      <alignment horizontal="left"/>
    </xf>
    <xf numFmtId="169" fontId="13" fillId="6" borderId="23" xfId="2" applyNumberFormat="1" applyFont="1" applyFill="1" applyBorder="1" applyAlignment="1">
      <alignment horizontal="left"/>
    </xf>
    <xf numFmtId="169" fontId="13" fillId="6" borderId="13" xfId="2" applyNumberFormat="1" applyFont="1" applyFill="1" applyBorder="1" applyAlignment="1">
      <alignment horizontal="left"/>
    </xf>
    <xf numFmtId="0" fontId="6" fillId="6" borderId="24" xfId="4" applyFont="1" applyFill="1" applyBorder="1" applyAlignment="1">
      <alignment vertical="center"/>
    </xf>
    <xf numFmtId="0" fontId="6" fillId="6" borderId="23" xfId="4" applyFont="1" applyFill="1" applyBorder="1" applyAlignment="1">
      <alignment vertical="center"/>
    </xf>
    <xf numFmtId="0" fontId="6" fillId="6" borderId="13" xfId="4" applyFont="1" applyFill="1" applyBorder="1" applyAlignment="1">
      <alignment vertical="center"/>
    </xf>
    <xf numFmtId="0" fontId="6" fillId="6" borderId="24" xfId="4" applyFont="1" applyFill="1" applyBorder="1" applyAlignment="1">
      <alignment horizontal="left" vertical="center"/>
    </xf>
    <xf numFmtId="0" fontId="6" fillId="6" borderId="23" xfId="4" applyFont="1" applyFill="1" applyBorder="1" applyAlignment="1">
      <alignment horizontal="left" vertical="center"/>
    </xf>
    <xf numFmtId="0" fontId="6" fillId="6" borderId="13" xfId="4" applyFont="1" applyFill="1" applyBorder="1" applyAlignment="1">
      <alignment horizontal="left" vertical="center"/>
    </xf>
    <xf numFmtId="169" fontId="15" fillId="6" borderId="24" xfId="2" applyNumberFormat="1" applyFont="1" applyFill="1" applyBorder="1" applyAlignment="1">
      <alignment horizontal="left" vertical="center"/>
    </xf>
    <xf numFmtId="169" fontId="15" fillId="6" borderId="27" xfId="2" applyNumberFormat="1" applyFont="1" applyFill="1" applyBorder="1" applyAlignment="1">
      <alignment horizontal="left" vertical="center"/>
    </xf>
    <xf numFmtId="0" fontId="14" fillId="6" borderId="12" xfId="0" applyFont="1" applyFill="1" applyBorder="1" applyAlignment="1">
      <alignment horizontal="right"/>
    </xf>
    <xf numFmtId="0" fontId="14" fillId="6" borderId="13" xfId="0" applyFont="1" applyFill="1" applyBorder="1" applyAlignment="1">
      <alignment horizontal="right"/>
    </xf>
    <xf numFmtId="0" fontId="14" fillId="6" borderId="14" xfId="0" applyFont="1" applyFill="1" applyBorder="1" applyAlignment="1">
      <alignment horizontal="right"/>
    </xf>
    <xf numFmtId="169" fontId="13" fillId="2" borderId="19" xfId="2" applyNumberFormat="1" applyFont="1" applyFill="1" applyBorder="1" applyAlignment="1" applyProtection="1">
      <alignment horizontal="center"/>
      <protection locked="0"/>
    </xf>
    <xf numFmtId="169" fontId="13" fillId="2" borderId="23" xfId="2" applyNumberFormat="1" applyFont="1" applyFill="1" applyBorder="1" applyAlignment="1" applyProtection="1">
      <alignment horizontal="center"/>
      <protection locked="0"/>
    </xf>
    <xf numFmtId="169" fontId="13" fillId="2" borderId="13" xfId="2" applyNumberFormat="1" applyFont="1" applyFill="1" applyBorder="1" applyAlignment="1" applyProtection="1">
      <alignment horizontal="center"/>
      <protection locked="0"/>
    </xf>
    <xf numFmtId="0" fontId="10" fillId="13" borderId="29" xfId="0" applyFont="1" applyFill="1" applyBorder="1" applyAlignment="1">
      <alignment horizontal="center" vertical="center"/>
    </xf>
    <xf numFmtId="0" fontId="10" fillId="13" borderId="30" xfId="0" applyFont="1" applyFill="1" applyBorder="1" applyAlignment="1">
      <alignment horizontal="center" vertical="center"/>
    </xf>
    <xf numFmtId="0" fontId="10" fillId="13" borderId="81" xfId="0" applyFont="1" applyFill="1" applyBorder="1" applyAlignment="1">
      <alignment horizontal="center" vertical="center"/>
    </xf>
    <xf numFmtId="0" fontId="10" fillId="13" borderId="31" xfId="0" applyFont="1" applyFill="1" applyBorder="1" applyAlignment="1">
      <alignment horizontal="center" vertical="center"/>
    </xf>
    <xf numFmtId="0" fontId="7" fillId="13" borderId="18" xfId="5" applyFont="1" applyFill="1" applyBorder="1" applyAlignment="1">
      <alignment horizontal="center" vertical="center" wrapText="1"/>
    </xf>
    <xf numFmtId="0" fontId="3" fillId="0" borderId="40" xfId="0" applyFont="1" applyBorder="1" applyAlignment="1">
      <alignment horizontal="center"/>
    </xf>
    <xf numFmtId="0" fontId="3" fillId="0" borderId="63" xfId="0" applyFont="1" applyBorder="1" applyAlignment="1">
      <alignment horizontal="center"/>
    </xf>
    <xf numFmtId="169" fontId="13" fillId="2" borderId="19" xfId="2" applyNumberFormat="1" applyFont="1" applyFill="1" applyBorder="1" applyAlignment="1" applyProtection="1">
      <alignment horizontal="center" vertical="center"/>
      <protection locked="0"/>
    </xf>
    <xf numFmtId="169" fontId="13" fillId="2" borderId="23" xfId="2" applyNumberFormat="1" applyFont="1" applyFill="1" applyBorder="1" applyAlignment="1" applyProtection="1">
      <alignment horizontal="center" vertical="center"/>
      <protection locked="0"/>
    </xf>
    <xf numFmtId="169" fontId="13" fillId="2" borderId="13" xfId="2" applyNumberFormat="1" applyFont="1" applyFill="1" applyBorder="1" applyAlignment="1" applyProtection="1">
      <alignment horizontal="center" vertical="center"/>
      <protection locked="0"/>
    </xf>
    <xf numFmtId="2" fontId="12" fillId="6" borderId="24" xfId="0" applyNumberFormat="1" applyFont="1" applyFill="1" applyBorder="1" applyAlignment="1">
      <alignment horizontal="center" vertical="center"/>
    </xf>
    <xf numFmtId="2" fontId="12" fillId="6" borderId="13" xfId="0" applyNumberFormat="1" applyFont="1" applyFill="1" applyBorder="1" applyAlignment="1">
      <alignment horizontal="center" vertical="center"/>
    </xf>
    <xf numFmtId="10" fontId="7" fillId="13" borderId="18" xfId="6" applyNumberFormat="1" applyFont="1" applyFill="1" applyBorder="1" applyAlignment="1">
      <alignment horizontal="center" vertical="center" wrapText="1"/>
    </xf>
    <xf numFmtId="0" fontId="2" fillId="13" borderId="32" xfId="0" applyFont="1" applyFill="1" applyBorder="1" applyAlignment="1">
      <alignment horizontal="center" vertical="center" wrapText="1"/>
    </xf>
    <xf numFmtId="0" fontId="2" fillId="13" borderId="18" xfId="0" applyFont="1" applyFill="1" applyBorder="1" applyAlignment="1">
      <alignment horizontal="center" vertical="center" wrapText="1"/>
    </xf>
    <xf numFmtId="0" fontId="10" fillId="13" borderId="24" xfId="0" applyFont="1" applyFill="1" applyBorder="1" applyAlignment="1" applyProtection="1">
      <alignment horizontal="left" vertical="center"/>
      <protection locked="0"/>
    </xf>
    <xf numFmtId="0" fontId="10" fillId="13" borderId="23" xfId="0" applyFont="1" applyFill="1" applyBorder="1" applyAlignment="1" applyProtection="1">
      <alignment horizontal="left" vertical="center"/>
      <protection locked="0"/>
    </xf>
    <xf numFmtId="0" fontId="10" fillId="13" borderId="25" xfId="0" applyFont="1" applyFill="1" applyBorder="1" applyAlignment="1" applyProtection="1">
      <alignment horizontal="left" vertical="center"/>
      <protection locked="0"/>
    </xf>
    <xf numFmtId="0" fontId="7" fillId="13" borderId="33" xfId="5" applyFont="1" applyFill="1" applyBorder="1" applyAlignment="1">
      <alignment horizontal="center" vertical="center" wrapText="1"/>
    </xf>
    <xf numFmtId="0" fontId="7" fillId="13" borderId="34" xfId="5" applyFont="1" applyFill="1" applyBorder="1" applyAlignment="1">
      <alignment horizontal="center" vertical="center" wrapText="1"/>
    </xf>
    <xf numFmtId="0" fontId="0" fillId="0" borderId="40" xfId="0" applyBorder="1" applyAlignment="1">
      <alignment horizontal="center" vertical="center"/>
    </xf>
    <xf numFmtId="0" fontId="0" fillId="0" borderId="41" xfId="0" applyBorder="1" applyAlignment="1">
      <alignment horizontal="center" vertical="center"/>
    </xf>
    <xf numFmtId="0" fontId="24" fillId="0" borderId="40" xfId="8" applyFont="1" applyBorder="1" applyAlignment="1">
      <alignment horizontal="center" vertical="center" wrapText="1"/>
    </xf>
    <xf numFmtId="0" fontId="24" fillId="0" borderId="63" xfId="8" applyFont="1" applyBorder="1" applyAlignment="1">
      <alignment horizontal="center" vertical="center" wrapText="1"/>
    </xf>
    <xf numFmtId="0" fontId="24" fillId="0" borderId="41" xfId="8" applyFont="1" applyBorder="1" applyAlignment="1">
      <alignment horizontal="center" vertical="center" wrapText="1"/>
    </xf>
    <xf numFmtId="0" fontId="42" fillId="0" borderId="0" xfId="0" applyFont="1" applyAlignment="1" applyProtection="1">
      <alignment horizontal="center" wrapText="1"/>
      <protection locked="0" hidden="1"/>
    </xf>
    <xf numFmtId="0" fontId="42" fillId="0" borderId="0" xfId="0" applyFont="1" applyAlignment="1" applyProtection="1">
      <alignment horizontal="center"/>
      <protection locked="0" hidden="1"/>
    </xf>
    <xf numFmtId="0" fontId="15" fillId="0" borderId="40" xfId="8" applyFont="1" applyBorder="1" applyAlignment="1">
      <alignment vertical="center" wrapText="1"/>
    </xf>
    <xf numFmtId="0" fontId="15" fillId="0" borderId="41" xfId="8" applyFont="1" applyBorder="1" applyAlignment="1">
      <alignment vertical="center" wrapText="1"/>
    </xf>
    <xf numFmtId="169" fontId="6" fillId="6" borderId="35" xfId="2" applyNumberFormat="1" applyFont="1" applyFill="1" applyBorder="1" applyAlignment="1">
      <alignment horizontal="right" vertical="center"/>
    </xf>
    <xf numFmtId="169" fontId="6" fillId="6" borderId="36" xfId="2" applyNumberFormat="1" applyFont="1" applyFill="1" applyBorder="1" applyAlignment="1">
      <alignment horizontal="right" vertical="center"/>
    </xf>
    <xf numFmtId="169" fontId="6" fillId="6" borderId="37" xfId="2" applyNumberFormat="1" applyFont="1" applyFill="1" applyBorder="1" applyAlignment="1">
      <alignment horizontal="right" vertical="center"/>
    </xf>
    <xf numFmtId="0" fontId="0" fillId="0" borderId="0" xfId="0" applyAlignment="1" applyProtection="1">
      <alignment horizontal="center"/>
      <protection locked="0"/>
    </xf>
    <xf numFmtId="3" fontId="7" fillId="13" borderId="26" xfId="5" applyNumberFormat="1" applyFont="1" applyFill="1" applyBorder="1" applyAlignment="1">
      <alignment horizontal="center" vertical="center" wrapText="1"/>
    </xf>
    <xf numFmtId="0" fontId="13" fillId="2" borderId="19"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19" xfId="0" applyFont="1" applyFill="1" applyBorder="1" applyAlignment="1" applyProtection="1">
      <alignment horizontal="center" vertical="center"/>
      <protection locked="0"/>
    </xf>
    <xf numFmtId="0" fontId="13" fillId="2" borderId="13" xfId="0" applyFont="1" applyFill="1" applyBorder="1" applyAlignment="1" applyProtection="1">
      <alignment horizontal="center" vertical="center"/>
      <protection locked="0"/>
    </xf>
    <xf numFmtId="0" fontId="14" fillId="6" borderId="24" xfId="4" applyFont="1" applyFill="1" applyBorder="1" applyAlignment="1">
      <alignment horizontal="left" vertical="center"/>
    </xf>
    <xf numFmtId="0" fontId="14" fillId="6" borderId="23" xfId="4" applyFont="1" applyFill="1" applyBorder="1" applyAlignment="1">
      <alignment horizontal="left" vertical="center"/>
    </xf>
    <xf numFmtId="0" fontId="14" fillId="6" borderId="13" xfId="4" applyFont="1" applyFill="1" applyBorder="1" applyAlignment="1">
      <alignment horizontal="left" vertical="center"/>
    </xf>
    <xf numFmtId="0" fontId="29" fillId="10" borderId="69" xfId="0" applyFont="1" applyFill="1" applyBorder="1" applyAlignment="1">
      <alignment horizontal="center" vertical="center"/>
    </xf>
    <xf numFmtId="0" fontId="14" fillId="6" borderId="12" xfId="0" applyFont="1" applyFill="1" applyBorder="1" applyAlignment="1">
      <alignment horizontal="right" vertical="center"/>
    </xf>
    <xf numFmtId="0" fontId="14" fillId="6" borderId="13" xfId="0" applyFont="1" applyFill="1" applyBorder="1" applyAlignment="1">
      <alignment horizontal="right" vertical="center"/>
    </xf>
    <xf numFmtId="0" fontId="14" fillId="6" borderId="14" xfId="0" applyFont="1" applyFill="1" applyBorder="1" applyAlignment="1">
      <alignment horizontal="right" vertical="center"/>
    </xf>
    <xf numFmtId="0" fontId="14" fillId="6" borderId="24" xfId="0" applyFont="1" applyFill="1" applyBorder="1" applyAlignment="1">
      <alignment horizontal="left"/>
    </xf>
    <xf numFmtId="0" fontId="14" fillId="6" borderId="23" xfId="0" applyFont="1" applyFill="1" applyBorder="1" applyAlignment="1">
      <alignment horizontal="left"/>
    </xf>
    <xf numFmtId="0" fontId="14" fillId="6" borderId="13" xfId="0" applyFont="1" applyFill="1" applyBorder="1" applyAlignment="1">
      <alignment horizontal="left"/>
    </xf>
    <xf numFmtId="2" fontId="13" fillId="6" borderId="24" xfId="0" applyNumberFormat="1" applyFont="1" applyFill="1" applyBorder="1" applyAlignment="1">
      <alignment horizontal="left" vertical="center" wrapText="1"/>
    </xf>
    <xf numFmtId="2" fontId="13" fillId="6" borderId="23" xfId="0" applyNumberFormat="1" applyFont="1" applyFill="1" applyBorder="1" applyAlignment="1">
      <alignment horizontal="left" vertical="center" wrapText="1"/>
    </xf>
    <xf numFmtId="3" fontId="41" fillId="13" borderId="84" xfId="5" applyNumberFormat="1" applyFont="1" applyFill="1" applyBorder="1" applyAlignment="1" applyProtection="1">
      <alignment horizontal="center" vertical="center" wrapText="1"/>
      <protection locked="0" hidden="1"/>
    </xf>
    <xf numFmtId="3" fontId="41" fillId="13" borderId="85" xfId="5" applyNumberFormat="1" applyFont="1" applyFill="1" applyBorder="1" applyAlignment="1" applyProtection="1">
      <alignment horizontal="center" vertical="center" wrapText="1"/>
      <protection locked="0" hidden="1"/>
    </xf>
    <xf numFmtId="0" fontId="11" fillId="4" borderId="40" xfId="9" applyFont="1" applyFill="1" applyBorder="1" applyAlignment="1">
      <alignment horizontal="center" vertical="center"/>
    </xf>
    <xf numFmtId="0" fontId="11" fillId="4" borderId="41" xfId="9" applyFont="1" applyFill="1" applyBorder="1" applyAlignment="1">
      <alignment horizontal="center" vertical="center"/>
    </xf>
    <xf numFmtId="0" fontId="31" fillId="3" borderId="0" xfId="0" applyFont="1" applyFill="1" applyAlignment="1" applyProtection="1">
      <alignment horizontal="justify" vertical="top" wrapText="1"/>
      <protection locked="0"/>
    </xf>
    <xf numFmtId="0" fontId="3" fillId="0" borderId="0" xfId="0" applyFont="1" applyAlignment="1">
      <alignment horizontal="center" vertical="center"/>
    </xf>
    <xf numFmtId="171" fontId="3" fillId="0" borderId="0" xfId="2" applyNumberFormat="1" applyFont="1" applyAlignment="1">
      <alignment horizontal="center" vertical="center"/>
    </xf>
    <xf numFmtId="174" fontId="0" fillId="0" borderId="0" xfId="1" applyNumberFormat="1" applyFont="1" applyAlignment="1">
      <alignment horizontal="center"/>
    </xf>
    <xf numFmtId="0" fontId="30" fillId="10" borderId="69" xfId="0" applyFont="1" applyFill="1" applyBorder="1" applyAlignment="1">
      <alignment horizontal="center" vertical="center"/>
    </xf>
    <xf numFmtId="0" fontId="44" fillId="3" borderId="0" xfId="0" applyFont="1" applyFill="1" applyAlignment="1">
      <alignment horizontal="justify" vertical="top" wrapText="1"/>
    </xf>
    <xf numFmtId="0" fontId="44" fillId="3" borderId="0" xfId="0" applyFont="1" applyFill="1" applyAlignment="1" applyProtection="1">
      <alignment horizontal="justify" vertical="top" wrapText="1"/>
      <protection locked="0"/>
    </xf>
    <xf numFmtId="0" fontId="18" fillId="6" borderId="24" xfId="4" applyFont="1" applyFill="1" applyBorder="1" applyAlignment="1">
      <alignment horizontal="left" vertical="center"/>
    </xf>
    <xf numFmtId="0" fontId="18" fillId="6" borderId="23" xfId="4" applyFont="1" applyFill="1" applyBorder="1" applyAlignment="1">
      <alignment horizontal="left" vertical="center"/>
    </xf>
    <xf numFmtId="0" fontId="18" fillId="6" borderId="13" xfId="4" applyFont="1" applyFill="1" applyBorder="1" applyAlignment="1">
      <alignment horizontal="left" vertical="center"/>
    </xf>
    <xf numFmtId="0" fontId="2" fillId="13" borderId="0" xfId="0" applyFont="1" applyFill="1" applyAlignment="1">
      <alignment horizontal="center" vertical="center"/>
    </xf>
    <xf numFmtId="2" fontId="12" fillId="6" borderId="19" xfId="0" applyNumberFormat="1" applyFont="1" applyFill="1" applyBorder="1" applyAlignment="1">
      <alignment horizontal="center" vertical="center"/>
    </xf>
    <xf numFmtId="2" fontId="12" fillId="6" borderId="20" xfId="0" applyNumberFormat="1" applyFont="1" applyFill="1" applyBorder="1" applyAlignment="1">
      <alignment horizontal="center" vertical="center"/>
    </xf>
    <xf numFmtId="2" fontId="12" fillId="6" borderId="21" xfId="0" applyNumberFormat="1" applyFont="1" applyFill="1" applyBorder="1" applyAlignment="1">
      <alignment horizontal="center" vertical="center"/>
    </xf>
    <xf numFmtId="2" fontId="12" fillId="6" borderId="22" xfId="0" applyNumberFormat="1" applyFont="1" applyFill="1" applyBorder="1" applyAlignment="1">
      <alignment horizontal="center" vertical="center"/>
    </xf>
    <xf numFmtId="0" fontId="10" fillId="13" borderId="12" xfId="0" applyFont="1" applyFill="1" applyBorder="1" applyAlignment="1">
      <alignment horizontal="left" vertical="center"/>
    </xf>
    <xf numFmtId="0" fontId="10" fillId="13" borderId="13" xfId="0" applyFont="1" applyFill="1" applyBorder="1" applyAlignment="1">
      <alignment horizontal="left" vertical="center"/>
    </xf>
    <xf numFmtId="0" fontId="10" fillId="13" borderId="14" xfId="0" applyFont="1" applyFill="1" applyBorder="1" applyAlignment="1">
      <alignment horizontal="left" vertical="center"/>
    </xf>
    <xf numFmtId="0" fontId="10" fillId="13" borderId="19" xfId="0" applyFont="1" applyFill="1" applyBorder="1" applyAlignment="1">
      <alignment horizontal="left" vertical="center"/>
    </xf>
    <xf numFmtId="0" fontId="10" fillId="13" borderId="15" xfId="0" applyFont="1" applyFill="1" applyBorder="1" applyAlignment="1">
      <alignment horizontal="left" vertical="center"/>
    </xf>
    <xf numFmtId="2" fontId="12" fillId="6" borderId="19" xfId="0" applyNumberFormat="1" applyFont="1" applyFill="1" applyBorder="1" applyAlignment="1">
      <alignment horizontal="center" vertical="center" wrapText="1"/>
    </xf>
    <xf numFmtId="2" fontId="12" fillId="6" borderId="23" xfId="0" applyNumberFormat="1" applyFont="1" applyFill="1" applyBorder="1" applyAlignment="1">
      <alignment horizontal="center" vertical="center" wrapText="1"/>
    </xf>
    <xf numFmtId="2" fontId="12" fillId="6" borderId="13" xfId="0" applyNumberFormat="1" applyFont="1" applyFill="1" applyBorder="1" applyAlignment="1">
      <alignment horizontal="center" vertical="center" wrapText="1"/>
    </xf>
    <xf numFmtId="0" fontId="14" fillId="6" borderId="24" xfId="0" applyFont="1" applyFill="1" applyBorder="1" applyAlignment="1">
      <alignment horizontal="left" vertical="center" wrapText="1"/>
    </xf>
    <xf numFmtId="0" fontId="14" fillId="6" borderId="23" xfId="0" applyFont="1" applyFill="1" applyBorder="1" applyAlignment="1">
      <alignment horizontal="left" vertical="center" wrapText="1"/>
    </xf>
    <xf numFmtId="0" fontId="33" fillId="13" borderId="168" xfId="0" applyFont="1" applyFill="1" applyBorder="1" applyAlignment="1">
      <alignment horizontal="center" vertical="center"/>
    </xf>
    <xf numFmtId="0" fontId="33" fillId="13" borderId="169" xfId="0" applyFont="1" applyFill="1" applyBorder="1" applyAlignment="1">
      <alignment horizontal="center" vertical="center"/>
    </xf>
    <xf numFmtId="0" fontId="14" fillId="5" borderId="165" xfId="0" applyFont="1" applyFill="1" applyBorder="1" applyAlignment="1" applyProtection="1">
      <alignment horizontal="center" vertical="center"/>
      <protection locked="0"/>
    </xf>
    <xf numFmtId="0" fontId="14" fillId="5" borderId="167" xfId="0" applyFont="1" applyFill="1" applyBorder="1" applyAlignment="1" applyProtection="1">
      <alignment horizontal="center" vertical="center"/>
      <protection locked="0"/>
    </xf>
    <xf numFmtId="0" fontId="7" fillId="13" borderId="172" xfId="0" applyFont="1" applyFill="1" applyBorder="1" applyAlignment="1" applyProtection="1">
      <alignment horizontal="center" vertical="center"/>
      <protection locked="0"/>
    </xf>
    <xf numFmtId="0" fontId="7" fillId="13" borderId="173" xfId="0" applyFont="1" applyFill="1" applyBorder="1" applyAlignment="1" applyProtection="1">
      <alignment horizontal="center" vertical="center"/>
      <protection locked="0"/>
    </xf>
    <xf numFmtId="172" fontId="14" fillId="5" borderId="171" xfId="1" applyNumberFormat="1" applyFont="1" applyFill="1" applyBorder="1" applyAlignment="1">
      <alignment horizontal="center" vertical="center"/>
    </xf>
    <xf numFmtId="172" fontId="14" fillId="5" borderId="170" xfId="1" applyNumberFormat="1" applyFont="1" applyFill="1" applyBorder="1" applyAlignment="1">
      <alignment horizontal="center" vertical="center"/>
    </xf>
    <xf numFmtId="0" fontId="14" fillId="6" borderId="23" xfId="0" applyFont="1" applyFill="1" applyBorder="1" applyAlignment="1">
      <alignment horizontal="center" wrapText="1"/>
    </xf>
    <xf numFmtId="0" fontId="14" fillId="6" borderId="13" xfId="0" applyFont="1" applyFill="1" applyBorder="1" applyAlignment="1">
      <alignment horizontal="center" wrapText="1"/>
    </xf>
    <xf numFmtId="0" fontId="6" fillId="0" borderId="152"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33" fillId="13" borderId="172" xfId="0" applyFont="1" applyFill="1" applyBorder="1" applyAlignment="1" applyProtection="1">
      <alignment horizontal="center" vertical="center"/>
      <protection locked="0"/>
    </xf>
    <xf numFmtId="0" fontId="33" fillId="13" borderId="173" xfId="0" applyFont="1" applyFill="1" applyBorder="1" applyAlignment="1" applyProtection="1">
      <alignment horizontal="center" vertical="center"/>
      <protection locked="0"/>
    </xf>
    <xf numFmtId="170" fontId="14" fillId="5" borderId="171" xfId="1" applyFont="1" applyFill="1" applyBorder="1" applyAlignment="1">
      <alignment horizontal="center" vertical="center"/>
    </xf>
    <xf numFmtId="170" fontId="14" fillId="5" borderId="170" xfId="1" applyFont="1" applyFill="1" applyBorder="1" applyAlignment="1">
      <alignment horizontal="center" vertical="center"/>
    </xf>
    <xf numFmtId="0" fontId="9" fillId="13" borderId="8" xfId="0" applyFont="1" applyFill="1" applyBorder="1" applyAlignment="1">
      <alignment horizontal="center" vertical="center"/>
    </xf>
    <xf numFmtId="0" fontId="9" fillId="13" borderId="9" xfId="0" applyFont="1" applyFill="1" applyBorder="1" applyAlignment="1">
      <alignment horizontal="center" vertical="center"/>
    </xf>
    <xf numFmtId="0" fontId="9" fillId="13" borderId="10" xfId="0" applyFont="1" applyFill="1" applyBorder="1" applyAlignment="1">
      <alignment horizontal="center" vertical="center"/>
    </xf>
    <xf numFmtId="0" fontId="9" fillId="13" borderId="126" xfId="0" applyFont="1" applyFill="1" applyBorder="1" applyAlignment="1">
      <alignment horizontal="center" vertical="center"/>
    </xf>
    <xf numFmtId="0" fontId="9" fillId="13" borderId="11" xfId="0" applyFont="1" applyFill="1" applyBorder="1" applyAlignment="1">
      <alignment horizontal="center" vertical="center"/>
    </xf>
    <xf numFmtId="0" fontId="118" fillId="13" borderId="164" xfId="0" applyFont="1" applyFill="1" applyBorder="1" applyAlignment="1">
      <alignment horizontal="center" vertical="center" wrapText="1"/>
    </xf>
    <xf numFmtId="0" fontId="118" fillId="13" borderId="164" xfId="0" applyFont="1" applyFill="1" applyBorder="1" applyAlignment="1">
      <alignment horizontal="left" vertical="center" wrapText="1"/>
    </xf>
    <xf numFmtId="0" fontId="123" fillId="5" borderId="0" xfId="25" applyFont="1" applyFill="1" applyAlignment="1">
      <alignment horizontal="center" vertical="center"/>
    </xf>
    <xf numFmtId="0" fontId="10" fillId="13" borderId="24" xfId="0" applyFont="1" applyFill="1" applyBorder="1" applyAlignment="1">
      <alignment horizontal="left" vertical="center"/>
    </xf>
    <xf numFmtId="0" fontId="10" fillId="13" borderId="23" xfId="0" applyFont="1" applyFill="1" applyBorder="1" applyAlignment="1">
      <alignment horizontal="left" vertical="center"/>
    </xf>
    <xf numFmtId="0" fontId="10" fillId="13" borderId="25" xfId="0" applyFont="1" applyFill="1" applyBorder="1" applyAlignment="1">
      <alignment horizontal="left" vertical="center"/>
    </xf>
    <xf numFmtId="2" fontId="12" fillId="6" borderId="24" xfId="0" applyNumberFormat="1" applyFont="1" applyFill="1" applyBorder="1" applyAlignment="1">
      <alignment horizontal="center" vertical="center" wrapText="1"/>
    </xf>
    <xf numFmtId="42" fontId="13" fillId="6" borderId="127" xfId="57" applyFont="1" applyFill="1" applyBorder="1" applyAlignment="1" applyProtection="1">
      <alignment horizontal="left"/>
      <protection hidden="1"/>
    </xf>
    <xf numFmtId="42" fontId="13" fillId="6" borderId="13" xfId="57" applyFont="1" applyFill="1" applyBorder="1" applyAlignment="1" applyProtection="1">
      <alignment horizontal="left"/>
      <protection hidden="1"/>
    </xf>
    <xf numFmtId="0" fontId="25" fillId="0" borderId="141" xfId="25" applyFont="1" applyBorder="1" applyAlignment="1">
      <alignment horizontal="center"/>
    </xf>
    <xf numFmtId="0" fontId="25" fillId="0" borderId="129" xfId="25" applyFont="1" applyBorder="1" applyAlignment="1">
      <alignment horizontal="center"/>
    </xf>
    <xf numFmtId="0" fontId="122" fillId="5" borderId="0" xfId="25" applyFont="1" applyFill="1" applyAlignment="1">
      <alignment horizontal="center" vertical="center"/>
    </xf>
    <xf numFmtId="2" fontId="12" fillId="6" borderId="24" xfId="0" applyNumberFormat="1" applyFont="1" applyFill="1" applyBorder="1" applyAlignment="1">
      <alignment horizontal="left" vertical="center" wrapText="1"/>
    </xf>
    <xf numFmtId="2" fontId="12" fillId="6" borderId="13" xfId="0" applyNumberFormat="1" applyFont="1" applyFill="1" applyBorder="1" applyAlignment="1">
      <alignment horizontal="left" vertical="center" wrapText="1"/>
    </xf>
    <xf numFmtId="0" fontId="25" fillId="0" borderId="154" xfId="25" applyFont="1" applyBorder="1" applyAlignment="1">
      <alignment horizontal="center"/>
    </xf>
    <xf numFmtId="0" fontId="11" fillId="13" borderId="19" xfId="0" applyFont="1" applyFill="1" applyBorder="1" applyAlignment="1">
      <alignment horizontal="center" vertical="center"/>
    </xf>
    <xf numFmtId="0" fontId="11" fillId="13" borderId="23" xfId="0" applyFont="1" applyFill="1" applyBorder="1" applyAlignment="1">
      <alignment horizontal="center" vertical="center"/>
    </xf>
    <xf numFmtId="0" fontId="11" fillId="13" borderId="13" xfId="0" applyFont="1" applyFill="1" applyBorder="1" applyAlignment="1">
      <alignment horizontal="center" vertical="center"/>
    </xf>
    <xf numFmtId="0" fontId="111" fillId="0" borderId="0" xfId="3811" applyFont="1" applyAlignment="1">
      <alignment horizontal="justify" vertical="center" wrapText="1"/>
    </xf>
    <xf numFmtId="2" fontId="12" fillId="6" borderId="39" xfId="0" applyNumberFormat="1" applyFont="1" applyFill="1" applyBorder="1" applyAlignment="1">
      <alignment horizontal="center" vertical="center"/>
    </xf>
    <xf numFmtId="0" fontId="80" fillId="0" borderId="157" xfId="0" applyFont="1" applyBorder="1" applyAlignment="1">
      <alignment horizontal="left"/>
    </xf>
    <xf numFmtId="0" fontId="80" fillId="0" borderId="158" xfId="0" applyFont="1" applyBorder="1" applyAlignment="1">
      <alignment horizontal="left"/>
    </xf>
    <xf numFmtId="0" fontId="80" fillId="0" borderId="159" xfId="0" applyFont="1" applyBorder="1" applyAlignment="1">
      <alignment horizontal="left"/>
    </xf>
    <xf numFmtId="0" fontId="15" fillId="0" borderId="0" xfId="3811" applyAlignment="1">
      <alignment horizontal="justify" vertical="center" wrapText="1"/>
    </xf>
    <xf numFmtId="0" fontId="25" fillId="0" borderId="0" xfId="48" applyFont="1" applyAlignment="1" applyProtection="1">
      <alignment horizontal="left" vertical="center"/>
      <protection locked="0"/>
    </xf>
    <xf numFmtId="0" fontId="0" fillId="0" borderId="39" xfId="0" applyBorder="1" applyAlignment="1">
      <alignment horizontal="center" vertical="center" wrapText="1"/>
    </xf>
    <xf numFmtId="2" fontId="12" fillId="6" borderId="157" xfId="0" applyNumberFormat="1" applyFont="1" applyFill="1" applyBorder="1" applyAlignment="1">
      <alignment horizontal="left" vertical="center" wrapText="1"/>
    </xf>
    <xf numFmtId="2" fontId="12" fillId="6" borderId="158" xfId="0" applyNumberFormat="1" applyFont="1" applyFill="1" applyBorder="1" applyAlignment="1">
      <alignment horizontal="left" vertical="center" wrapText="1"/>
    </xf>
    <xf numFmtId="2" fontId="12" fillId="6" borderId="159" xfId="0" applyNumberFormat="1" applyFont="1" applyFill="1" applyBorder="1" applyAlignment="1">
      <alignment horizontal="left" vertical="center" wrapText="1"/>
    </xf>
    <xf numFmtId="2" fontId="12" fillId="6" borderId="39" xfId="0" applyNumberFormat="1" applyFont="1" applyFill="1" applyBorder="1" applyAlignment="1">
      <alignment horizontal="left" vertical="center"/>
    </xf>
    <xf numFmtId="0" fontId="116" fillId="0" borderId="160" xfId="3811" applyFont="1" applyBorder="1" applyAlignment="1">
      <alignment horizontal="left" vertical="center" wrapText="1"/>
    </xf>
    <xf numFmtId="0" fontId="111" fillId="0" borderId="0" xfId="48" applyFont="1" applyAlignment="1">
      <alignment horizontal="justify" vertical="center" wrapText="1"/>
    </xf>
    <xf numFmtId="0" fontId="116" fillId="0" borderId="160" xfId="3811" applyFont="1" applyBorder="1" applyAlignment="1">
      <alignment horizontal="justify" vertical="center" wrapText="1"/>
    </xf>
    <xf numFmtId="0" fontId="113" fillId="0" borderId="0" xfId="0" applyFont="1" applyAlignment="1">
      <alignment horizontal="center" vertical="center" wrapText="1"/>
    </xf>
    <xf numFmtId="0" fontId="116" fillId="0" borderId="160" xfId="3811" applyFont="1" applyBorder="1" applyAlignment="1">
      <alignment horizontal="justify" vertical="center"/>
    </xf>
    <xf numFmtId="0" fontId="111" fillId="0" borderId="0" xfId="0" applyFont="1" applyAlignment="1">
      <alignment horizontal="justify" vertical="center" wrapText="1"/>
    </xf>
    <xf numFmtId="0" fontId="0" fillId="0" borderId="57" xfId="0" applyBorder="1" applyAlignment="1">
      <alignment horizontal="center" vertical="center" wrapText="1"/>
    </xf>
    <xf numFmtId="0" fontId="33" fillId="13" borderId="0" xfId="0" applyFont="1" applyFill="1" applyAlignment="1">
      <alignment horizontal="center" vertical="center"/>
    </xf>
    <xf numFmtId="0" fontId="33" fillId="13" borderId="174" xfId="0" applyFont="1" applyFill="1" applyBorder="1" applyAlignment="1">
      <alignment horizontal="center" vertical="center"/>
    </xf>
    <xf numFmtId="0" fontId="33" fillId="13" borderId="81" xfId="0" applyFont="1" applyFill="1" applyBorder="1" applyAlignment="1">
      <alignment horizontal="center" vertical="center"/>
    </xf>
    <xf numFmtId="0" fontId="33" fillId="13" borderId="175" xfId="0" applyFont="1" applyFill="1" applyBorder="1" applyAlignment="1">
      <alignment horizontal="center" vertical="center"/>
    </xf>
    <xf numFmtId="2" fontId="12" fillId="6" borderId="140" xfId="0" applyNumberFormat="1" applyFont="1" applyFill="1" applyBorder="1" applyAlignment="1">
      <alignment horizontal="center" vertical="center" wrapText="1"/>
    </xf>
    <xf numFmtId="2" fontId="12" fillId="6" borderId="141" xfId="0" applyNumberFormat="1" applyFont="1" applyFill="1" applyBorder="1" applyAlignment="1">
      <alignment horizontal="center" vertical="center" wrapText="1"/>
    </xf>
    <xf numFmtId="2" fontId="12" fillId="6" borderId="129" xfId="0" applyNumberFormat="1" applyFont="1" applyFill="1" applyBorder="1" applyAlignment="1">
      <alignment horizontal="center" vertical="center" wrapText="1"/>
    </xf>
    <xf numFmtId="0" fontId="33" fillId="13" borderId="132" xfId="0" applyFont="1" applyFill="1" applyBorder="1" applyAlignment="1">
      <alignment horizontal="center" vertical="center"/>
    </xf>
    <xf numFmtId="0" fontId="33" fillId="13" borderId="133" xfId="0" applyFont="1" applyFill="1" applyBorder="1" applyAlignment="1">
      <alignment horizontal="center" vertical="center"/>
    </xf>
    <xf numFmtId="0" fontId="11" fillId="13" borderId="138" xfId="0" applyFont="1" applyFill="1" applyBorder="1" applyAlignment="1">
      <alignment horizontal="center" vertical="center" wrapText="1"/>
    </xf>
    <xf numFmtId="0" fontId="11" fillId="13" borderId="134" xfId="0" applyFont="1" applyFill="1" applyBorder="1" applyAlignment="1">
      <alignment horizontal="center" vertical="center" wrapText="1"/>
    </xf>
    <xf numFmtId="0" fontId="11" fillId="13" borderId="139" xfId="0" applyFont="1" applyFill="1" applyBorder="1" applyAlignment="1">
      <alignment horizontal="center" vertical="center" wrapText="1"/>
    </xf>
    <xf numFmtId="0" fontId="11" fillId="13" borderId="130" xfId="0" applyFont="1" applyFill="1" applyBorder="1" applyAlignment="1">
      <alignment horizontal="left" vertical="top" wrapText="1"/>
    </xf>
    <xf numFmtId="0" fontId="11" fillId="13" borderId="131" xfId="0" applyFont="1" applyFill="1" applyBorder="1" applyAlignment="1">
      <alignment horizontal="left" vertical="top"/>
    </xf>
    <xf numFmtId="0" fontId="33" fillId="13" borderId="40" xfId="9" applyFont="1" applyFill="1" applyBorder="1" applyAlignment="1">
      <alignment horizontal="center" vertical="center"/>
    </xf>
    <xf numFmtId="0" fontId="33" fillId="13" borderId="41" xfId="9" applyFont="1" applyFill="1" applyBorder="1" applyAlignment="1">
      <alignment horizontal="center" vertical="center"/>
    </xf>
    <xf numFmtId="0" fontId="32" fillId="0" borderId="40" xfId="8" applyFont="1" applyBorder="1" applyAlignment="1">
      <alignment horizontal="left" vertical="center" wrapText="1"/>
    </xf>
    <xf numFmtId="0" fontId="32" fillId="0" borderId="41" xfId="8" applyFont="1" applyBorder="1" applyAlignment="1">
      <alignment horizontal="left" vertical="center" wrapText="1"/>
    </xf>
    <xf numFmtId="0" fontId="14" fillId="0" borderId="40" xfId="8" applyFont="1" applyBorder="1" applyAlignment="1">
      <alignment horizontal="left" vertical="center" wrapText="1"/>
    </xf>
    <xf numFmtId="0" fontId="14" fillId="0" borderId="41" xfId="8" applyFont="1" applyBorder="1" applyAlignment="1">
      <alignment horizontal="left" vertical="center" wrapText="1"/>
    </xf>
    <xf numFmtId="169" fontId="0" fillId="0" borderId="0" xfId="2" applyNumberFormat="1" applyFont="1" applyAlignment="1" applyProtection="1">
      <alignment horizontal="center"/>
      <protection locked="0" hidden="1"/>
    </xf>
    <xf numFmtId="0" fontId="32" fillId="11" borderId="71" xfId="8" applyFont="1" applyFill="1" applyBorder="1" applyAlignment="1">
      <alignment horizontal="center" vertical="center" wrapText="1"/>
    </xf>
    <xf numFmtId="0" fontId="14" fillId="11" borderId="54" xfId="0" applyFont="1" applyFill="1" applyBorder="1" applyAlignment="1">
      <alignment horizontal="left"/>
    </xf>
    <xf numFmtId="0" fontId="14" fillId="11" borderId="0" xfId="0" applyFont="1" applyFill="1" applyAlignment="1" applyProtection="1">
      <alignment horizontal="left" wrapText="1"/>
      <protection locked="0" hidden="1"/>
    </xf>
    <xf numFmtId="0" fontId="14" fillId="11" borderId="74" xfId="0" applyFont="1" applyFill="1" applyBorder="1" applyAlignment="1" applyProtection="1">
      <alignment horizontal="left" wrapText="1"/>
      <protection locked="0" hidden="1"/>
    </xf>
    <xf numFmtId="0" fontId="14" fillId="0" borderId="40" xfId="0" applyFont="1" applyBorder="1" applyAlignment="1">
      <alignment horizontal="center"/>
    </xf>
    <xf numFmtId="0" fontId="14" fillId="0" borderId="63" xfId="0" applyFont="1" applyBorder="1" applyAlignment="1">
      <alignment horizontal="center"/>
    </xf>
    <xf numFmtId="0" fontId="6" fillId="0" borderId="92" xfId="30" applyFont="1" applyBorder="1" applyAlignment="1">
      <alignment horizontal="left" vertical="center"/>
    </xf>
    <xf numFmtId="0" fontId="6" fillId="0" borderId="93" xfId="30" applyFont="1" applyBorder="1" applyAlignment="1">
      <alignment horizontal="left" vertical="center"/>
    </xf>
    <xf numFmtId="0" fontId="6" fillId="0" borderId="98" xfId="30" applyFont="1" applyBorder="1" applyAlignment="1">
      <alignment horizontal="left" vertical="center"/>
    </xf>
    <xf numFmtId="0" fontId="6" fillId="0" borderId="90" xfId="19" applyFont="1" applyBorder="1" applyAlignment="1">
      <alignment horizontal="center"/>
    </xf>
    <xf numFmtId="0" fontId="6" fillId="0" borderId="0" xfId="19" applyFont="1" applyAlignment="1">
      <alignment horizontal="center"/>
    </xf>
    <xf numFmtId="0" fontId="6" fillId="0" borderId="91" xfId="19" applyFont="1" applyBorder="1" applyAlignment="1">
      <alignment horizontal="center"/>
    </xf>
    <xf numFmtId="0" fontId="6" fillId="0" borderId="44" xfId="22" applyFont="1" applyBorder="1" applyAlignment="1">
      <alignment horizontal="center"/>
    </xf>
    <xf numFmtId="0" fontId="6" fillId="0" borderId="54" xfId="22" applyFont="1" applyBorder="1" applyAlignment="1">
      <alignment horizontal="center"/>
    </xf>
    <xf numFmtId="0" fontId="6" fillId="0" borderId="55" xfId="22" applyFont="1" applyBorder="1" applyAlignment="1">
      <alignment horizontal="center"/>
    </xf>
    <xf numFmtId="0" fontId="6" fillId="0" borderId="59" xfId="22" applyFont="1" applyBorder="1" applyAlignment="1">
      <alignment horizontal="center"/>
    </xf>
    <xf numFmtId="0" fontId="6" fillId="0" borderId="0" xfId="22" applyFont="1" applyAlignment="1">
      <alignment horizontal="center"/>
    </xf>
    <xf numFmtId="0" fontId="6" fillId="0" borderId="60" xfId="22" applyFont="1" applyBorder="1" applyAlignment="1">
      <alignment horizontal="center"/>
    </xf>
    <xf numFmtId="0" fontId="6" fillId="14" borderId="40" xfId="5" applyFont="1" applyFill="1" applyBorder="1" applyAlignment="1">
      <alignment horizontal="left" vertical="center"/>
    </xf>
    <xf numFmtId="0" fontId="6" fillId="14" borderId="63" xfId="5" applyFont="1" applyFill="1" applyBorder="1" applyAlignment="1">
      <alignment horizontal="left" vertical="center"/>
    </xf>
    <xf numFmtId="0" fontId="6" fillId="14" borderId="41" xfId="5" applyFont="1" applyFill="1" applyBorder="1" applyAlignment="1">
      <alignment horizontal="left" vertical="center"/>
    </xf>
    <xf numFmtId="0" fontId="6" fillId="3" borderId="45" xfId="5" applyFont="1" applyFill="1" applyBorder="1" applyAlignment="1">
      <alignment horizontal="center" vertical="center" wrapText="1"/>
    </xf>
    <xf numFmtId="0" fontId="6" fillId="3" borderId="50" xfId="5" applyFont="1" applyFill="1" applyBorder="1" applyAlignment="1">
      <alignment horizontal="center" vertical="center" wrapText="1"/>
    </xf>
    <xf numFmtId="0" fontId="6" fillId="3" borderId="46" xfId="5" applyFont="1" applyFill="1" applyBorder="1" applyAlignment="1">
      <alignment horizontal="center" vertical="center" wrapText="1"/>
    </xf>
    <xf numFmtId="0" fontId="6" fillId="3" borderId="51" xfId="5" applyFont="1" applyFill="1" applyBorder="1" applyAlignment="1">
      <alignment horizontal="center" vertical="center" wrapText="1"/>
    </xf>
    <xf numFmtId="0" fontId="6" fillId="0" borderId="46" xfId="23" applyFont="1" applyBorder="1" applyAlignment="1">
      <alignment horizontal="center" vertical="center" wrapText="1"/>
    </xf>
    <xf numFmtId="4" fontId="6" fillId="3" borderId="46" xfId="5" applyNumberFormat="1" applyFont="1" applyFill="1" applyBorder="1" applyAlignment="1">
      <alignment horizontal="center" vertical="center" wrapText="1"/>
    </xf>
    <xf numFmtId="4" fontId="6" fillId="3" borderId="51" xfId="5" applyNumberFormat="1" applyFont="1" applyFill="1" applyBorder="1" applyAlignment="1">
      <alignment horizontal="center" vertical="center" wrapText="1"/>
    </xf>
    <xf numFmtId="4" fontId="6" fillId="3" borderId="48" xfId="5" applyNumberFormat="1" applyFont="1" applyFill="1" applyBorder="1" applyAlignment="1">
      <alignment horizontal="center" vertical="center" wrapText="1"/>
    </xf>
    <xf numFmtId="4" fontId="6" fillId="3" borderId="53" xfId="5" applyNumberFormat="1" applyFont="1" applyFill="1" applyBorder="1" applyAlignment="1">
      <alignment horizontal="center" vertical="center" wrapText="1"/>
    </xf>
    <xf numFmtId="0" fontId="34" fillId="0" borderId="45" xfId="28" applyFont="1" applyBorder="1" applyAlignment="1">
      <alignment horizontal="left" vertical="center" wrapText="1"/>
    </xf>
    <xf numFmtId="0" fontId="34" fillId="0" borderId="46" xfId="28" applyFont="1" applyBorder="1" applyAlignment="1">
      <alignment horizontal="left" vertical="center" wrapText="1"/>
    </xf>
    <xf numFmtId="0" fontId="34" fillId="0" borderId="61" xfId="28" applyFont="1" applyBorder="1" applyAlignment="1">
      <alignment horizontal="left" vertical="center"/>
    </xf>
    <xf numFmtId="0" fontId="34" fillId="0" borderId="39" xfId="28" applyFont="1" applyBorder="1" applyAlignment="1">
      <alignment horizontal="left" vertical="center"/>
    </xf>
    <xf numFmtId="0" fontId="6" fillId="0" borderId="61" xfId="22" applyFont="1" applyBorder="1" applyAlignment="1">
      <alignment horizontal="justify" vertical="center" wrapText="1"/>
    </xf>
    <xf numFmtId="0" fontId="6" fillId="0" borderId="39" xfId="22" applyFont="1" applyBorder="1" applyAlignment="1">
      <alignment horizontal="justify" vertical="center" wrapText="1"/>
    </xf>
    <xf numFmtId="3" fontId="6" fillId="0" borderId="78" xfId="22" applyNumberFormat="1" applyFont="1" applyBorder="1" applyAlignment="1">
      <alignment horizontal="center" vertical="center" wrapText="1"/>
    </xf>
    <xf numFmtId="3" fontId="6" fillId="0" borderId="39" xfId="22" applyNumberFormat="1" applyFont="1" applyBorder="1" applyAlignment="1">
      <alignment horizontal="center" vertical="center" wrapText="1"/>
    </xf>
    <xf numFmtId="3" fontId="6" fillId="0" borderId="78" xfId="22" applyNumberFormat="1" applyFont="1" applyBorder="1" applyAlignment="1">
      <alignment horizontal="center" vertical="center"/>
    </xf>
    <xf numFmtId="3" fontId="6" fillId="0" borderId="39" xfId="22" applyNumberFormat="1" applyFont="1" applyBorder="1" applyAlignment="1">
      <alignment horizontal="center" vertical="center"/>
    </xf>
    <xf numFmtId="3" fontId="6" fillId="0" borderId="0" xfId="22" applyNumberFormat="1" applyFont="1" applyAlignment="1">
      <alignment horizontal="center" vertical="center"/>
    </xf>
    <xf numFmtId="0" fontId="34" fillId="3" borderId="39" xfId="22" applyFont="1" applyFill="1" applyBorder="1" applyAlignment="1">
      <alignment horizontal="left" vertical="center" wrapText="1"/>
    </xf>
    <xf numFmtId="0" fontId="34" fillId="3" borderId="62" xfId="22" applyFont="1" applyFill="1" applyBorder="1" applyAlignment="1">
      <alignment horizontal="left" vertical="center" wrapText="1"/>
    </xf>
    <xf numFmtId="0" fontId="34" fillId="3" borderId="99" xfId="22" applyFont="1" applyFill="1" applyBorder="1" applyAlignment="1">
      <alignment horizontal="left" vertical="center" wrapText="1"/>
    </xf>
    <xf numFmtId="0" fontId="34" fillId="3" borderId="100" xfId="22" applyFont="1" applyFill="1" applyBorder="1" applyAlignment="1">
      <alignment horizontal="left" vertical="center" wrapText="1"/>
    </xf>
    <xf numFmtId="0" fontId="34" fillId="3" borderId="51" xfId="22" applyFont="1" applyFill="1" applyBorder="1" applyAlignment="1">
      <alignment horizontal="left" vertical="center" wrapText="1"/>
    </xf>
    <xf numFmtId="0" fontId="34" fillId="3" borderId="53" xfId="22" applyFont="1" applyFill="1" applyBorder="1" applyAlignment="1">
      <alignment horizontal="left" vertical="center" wrapText="1"/>
    </xf>
    <xf numFmtId="0" fontId="34" fillId="0" borderId="61" xfId="22" applyFont="1" applyBorder="1" applyAlignment="1">
      <alignment horizontal="justify" vertical="center" wrapText="1"/>
    </xf>
    <xf numFmtId="0" fontId="34" fillId="0" borderId="39" xfId="22" applyFont="1" applyBorder="1" applyAlignment="1">
      <alignment horizontal="justify" vertical="center" wrapText="1"/>
    </xf>
    <xf numFmtId="0" fontId="34" fillId="16" borderId="114" xfId="22" applyFont="1" applyFill="1" applyBorder="1" applyAlignment="1">
      <alignment horizontal="justify" vertical="center" wrapText="1"/>
    </xf>
    <xf numFmtId="0" fontId="34" fillId="16" borderId="111" xfId="22" applyFont="1" applyFill="1" applyBorder="1" applyAlignment="1">
      <alignment horizontal="justify" vertical="center" wrapText="1"/>
    </xf>
    <xf numFmtId="0" fontId="34" fillId="16" borderId="121" xfId="22" applyFont="1" applyFill="1" applyBorder="1" applyAlignment="1">
      <alignment horizontal="justify" vertical="center" wrapText="1"/>
    </xf>
    <xf numFmtId="0" fontId="34" fillId="16" borderId="59" xfId="22" applyFont="1" applyFill="1" applyBorder="1" applyAlignment="1">
      <alignment horizontal="justify" vertical="center" wrapText="1"/>
    </xf>
    <xf numFmtId="0" fontId="34" fillId="16" borderId="0" xfId="22" applyFont="1" applyFill="1" applyAlignment="1">
      <alignment horizontal="justify" vertical="center" wrapText="1"/>
    </xf>
    <xf numFmtId="0" fontId="34" fillId="16" borderId="108" xfId="22" applyFont="1" applyFill="1" applyBorder="1" applyAlignment="1">
      <alignment horizontal="justify" vertical="center" wrapText="1"/>
    </xf>
    <xf numFmtId="0" fontId="34" fillId="16" borderId="115" xfId="22" applyFont="1" applyFill="1" applyBorder="1" applyAlignment="1">
      <alignment horizontal="justify" vertical="center" wrapText="1"/>
    </xf>
    <xf numFmtId="0" fontId="34" fillId="16" borderId="69" xfId="22" applyFont="1" applyFill="1" applyBorder="1" applyAlignment="1">
      <alignment horizontal="justify" vertical="center" wrapText="1"/>
    </xf>
    <xf numFmtId="0" fontId="34" fillId="16" borderId="119" xfId="22" applyFont="1" applyFill="1" applyBorder="1" applyAlignment="1">
      <alignment horizontal="justify" vertical="center" wrapText="1"/>
    </xf>
    <xf numFmtId="0" fontId="34" fillId="0" borderId="114" xfId="0" applyFont="1" applyBorder="1" applyAlignment="1">
      <alignment horizontal="justify" vertical="center" wrapText="1"/>
    </xf>
    <xf numFmtId="0" fontId="34" fillId="0" borderId="111" xfId="0" applyFont="1" applyBorder="1" applyAlignment="1">
      <alignment horizontal="justify" vertical="center" wrapText="1"/>
    </xf>
    <xf numFmtId="0" fontId="34" fillId="0" borderId="121" xfId="0" applyFont="1" applyBorder="1" applyAlignment="1">
      <alignment horizontal="justify" vertical="center" wrapText="1"/>
    </xf>
    <xf numFmtId="0" fontId="34" fillId="0" borderId="59" xfId="0" applyFont="1" applyBorder="1" applyAlignment="1">
      <alignment horizontal="justify" vertical="center" wrapText="1"/>
    </xf>
    <xf numFmtId="0" fontId="34" fillId="0" borderId="0" xfId="0" applyFont="1" applyAlignment="1">
      <alignment horizontal="justify" vertical="center" wrapText="1"/>
    </xf>
    <xf numFmtId="0" fontId="34" fillId="0" borderId="108" xfId="0" applyFont="1" applyBorder="1" applyAlignment="1">
      <alignment horizontal="justify" vertical="center" wrapText="1"/>
    </xf>
    <xf numFmtId="0" fontId="34" fillId="0" borderId="115" xfId="0" applyFont="1" applyBorder="1" applyAlignment="1">
      <alignment horizontal="justify" vertical="center" wrapText="1"/>
    </xf>
    <xf numFmtId="0" fontId="34" fillId="0" borderId="69" xfId="0" applyFont="1" applyBorder="1" applyAlignment="1">
      <alignment horizontal="justify" vertical="center" wrapText="1"/>
    </xf>
    <xf numFmtId="0" fontId="34" fillId="0" borderId="119" xfId="0" applyFont="1" applyBorder="1" applyAlignment="1">
      <alignment horizontal="justify" vertical="center" wrapText="1"/>
    </xf>
    <xf numFmtId="0" fontId="53" fillId="0" borderId="99" xfId="36" applyFont="1" applyBorder="1" applyAlignment="1">
      <alignment horizontal="center" vertical="center"/>
    </xf>
    <xf numFmtId="0" fontId="53" fillId="0" borderId="79" xfId="36" applyFont="1" applyBorder="1" applyAlignment="1">
      <alignment horizontal="center" vertical="center"/>
    </xf>
    <xf numFmtId="0" fontId="53" fillId="0" borderId="100" xfId="36" applyFont="1" applyBorder="1" applyAlignment="1">
      <alignment horizontal="center" vertical="center"/>
    </xf>
    <xf numFmtId="0" fontId="53" fillId="0" borderId="113" xfId="36" applyFont="1" applyBorder="1" applyAlignment="1">
      <alignment horizontal="center" vertical="center"/>
    </xf>
    <xf numFmtId="0" fontId="54" fillId="0" borderId="83" xfId="33" applyFont="1" applyBorder="1" applyAlignment="1">
      <alignment horizontal="center"/>
    </xf>
    <xf numFmtId="0" fontId="54" fillId="0" borderId="0" xfId="33" applyFont="1" applyAlignment="1">
      <alignment horizontal="center"/>
    </xf>
    <xf numFmtId="0" fontId="54" fillId="0" borderId="108" xfId="33" applyFont="1" applyBorder="1" applyAlignment="1">
      <alignment horizontal="center"/>
    </xf>
    <xf numFmtId="0" fontId="25" fillId="0" borderId="59" xfId="33" applyFont="1" applyBorder="1" applyAlignment="1">
      <alignment horizontal="right" vertical="center"/>
    </xf>
    <xf numFmtId="0" fontId="25" fillId="0" borderId="0" xfId="33" applyFont="1" applyAlignment="1">
      <alignment horizontal="right" vertical="center"/>
    </xf>
    <xf numFmtId="0" fontId="55" fillId="0" borderId="44" xfId="33" applyFont="1" applyBorder="1" applyAlignment="1" applyProtection="1">
      <alignment horizontal="center"/>
      <protection locked="0"/>
    </xf>
    <xf numFmtId="0" fontId="55" fillId="0" borderId="54" xfId="33" applyFont="1" applyBorder="1" applyAlignment="1" applyProtection="1">
      <alignment horizontal="center"/>
      <protection locked="0"/>
    </xf>
    <xf numFmtId="0" fontId="55" fillId="0" borderId="55" xfId="33" applyFont="1" applyBorder="1" applyAlignment="1" applyProtection="1">
      <alignment horizontal="center"/>
      <protection locked="0"/>
    </xf>
    <xf numFmtId="0" fontId="50" fillId="0" borderId="104" xfId="35" applyFont="1" applyBorder="1" applyAlignment="1" applyProtection="1">
      <alignment horizontal="center"/>
    </xf>
    <xf numFmtId="0" fontId="50" fillId="0" borderId="107" xfId="35" applyFont="1" applyBorder="1" applyAlignment="1" applyProtection="1">
      <alignment horizontal="center"/>
    </xf>
    <xf numFmtId="0" fontId="51" fillId="0" borderId="105" xfId="33" applyFont="1" applyBorder="1" applyAlignment="1">
      <alignment horizontal="center"/>
    </xf>
    <xf numFmtId="0" fontId="51" fillId="0" borderId="54" xfId="33" applyFont="1" applyBorder="1" applyAlignment="1">
      <alignment horizontal="center"/>
    </xf>
    <xf numFmtId="0" fontId="51" fillId="0" borderId="106" xfId="33" applyFont="1" applyBorder="1" applyAlignment="1">
      <alignment horizontal="center"/>
    </xf>
    <xf numFmtId="0" fontId="53" fillId="0" borderId="105" xfId="36" applyFont="1" applyBorder="1" applyAlignment="1">
      <alignment horizontal="center" vertical="center"/>
    </xf>
    <xf numFmtId="0" fontId="53" fillId="0" borderId="54" xfId="36" applyFont="1" applyBorder="1" applyAlignment="1">
      <alignment horizontal="center" vertical="center"/>
    </xf>
    <xf numFmtId="0" fontId="53" fillId="0" borderId="55" xfId="36" applyFont="1" applyBorder="1" applyAlignment="1">
      <alignment horizontal="center" vertical="center"/>
    </xf>
    <xf numFmtId="0" fontId="53" fillId="0" borderId="66" xfId="36" applyFont="1" applyBorder="1" applyAlignment="1">
      <alignment horizontal="center" vertical="center"/>
    </xf>
    <xf numFmtId="0" fontId="53" fillId="0" borderId="69" xfId="36" applyFont="1" applyBorder="1" applyAlignment="1">
      <alignment horizontal="center" vertical="center"/>
    </xf>
    <xf numFmtId="0" fontId="53" fillId="0" borderId="109" xfId="36" applyFont="1" applyBorder="1" applyAlignment="1">
      <alignment horizontal="center" vertical="center"/>
    </xf>
    <xf numFmtId="0" fontId="55" fillId="0" borderId="83" xfId="33" applyFont="1" applyBorder="1" applyAlignment="1">
      <alignment horizontal="center"/>
    </xf>
    <xf numFmtId="0" fontId="55" fillId="0" borderId="0" xfId="33" applyFont="1" applyAlignment="1">
      <alignment horizontal="center"/>
    </xf>
    <xf numFmtId="0" fontId="55" fillId="0" borderId="108" xfId="33" applyFont="1" applyBorder="1" applyAlignment="1">
      <alignment horizontal="center"/>
    </xf>
    <xf numFmtId="0" fontId="53" fillId="0" borderId="57" xfId="33" applyFont="1" applyBorder="1" applyAlignment="1">
      <alignment horizontal="center" vertical="center"/>
    </xf>
    <xf numFmtId="0" fontId="53" fillId="0" borderId="110" xfId="36" applyFont="1" applyBorder="1" applyAlignment="1">
      <alignment horizontal="center" vertical="center"/>
    </xf>
    <xf numFmtId="0" fontId="53" fillId="0" borderId="111" xfId="36" applyFont="1" applyBorder="1" applyAlignment="1">
      <alignment horizontal="center" vertical="center"/>
    </xf>
    <xf numFmtId="0" fontId="53" fillId="0" borderId="112" xfId="36" applyFont="1" applyBorder="1" applyAlignment="1">
      <alignment horizontal="center" vertical="center"/>
    </xf>
    <xf numFmtId="0" fontId="53" fillId="0" borderId="66" xfId="33" applyFont="1" applyBorder="1" applyAlignment="1">
      <alignment horizontal="center" vertical="center"/>
    </xf>
    <xf numFmtId="0" fontId="53" fillId="0" borderId="69" xfId="33" applyFont="1" applyBorder="1" applyAlignment="1">
      <alignment horizontal="center" vertical="center"/>
    </xf>
    <xf numFmtId="0" fontId="53" fillId="0" borderId="109" xfId="33" applyFont="1" applyBorder="1" applyAlignment="1">
      <alignment horizontal="center" vertical="center"/>
    </xf>
    <xf numFmtId="0" fontId="54" fillId="0" borderId="83" xfId="33" applyFont="1" applyBorder="1" applyAlignment="1">
      <alignment horizontal="center" vertical="center" wrapText="1"/>
    </xf>
    <xf numFmtId="0" fontId="54" fillId="0" borderId="0" xfId="33" applyFont="1" applyAlignment="1">
      <alignment horizontal="center" vertical="center" wrapText="1"/>
    </xf>
    <xf numFmtId="0" fontId="54" fillId="0" borderId="108" xfId="33" applyFont="1" applyBorder="1" applyAlignment="1">
      <alignment horizontal="center" vertical="center" wrapText="1"/>
    </xf>
    <xf numFmtId="0" fontId="48" fillId="0" borderId="95" xfId="33" applyFont="1" applyBorder="1"/>
    <xf numFmtId="0" fontId="48" fillId="0" borderId="96" xfId="33" applyFont="1" applyBorder="1"/>
    <xf numFmtId="0" fontId="48" fillId="0" borderId="97" xfId="33" applyFont="1" applyBorder="1"/>
    <xf numFmtId="0" fontId="48" fillId="0" borderId="52" xfId="33" applyFont="1" applyBorder="1"/>
    <xf numFmtId="2" fontId="48" fillId="0" borderId="52" xfId="33" applyNumberFormat="1" applyFont="1" applyBorder="1" applyAlignment="1">
      <alignment horizontal="center"/>
    </xf>
    <xf numFmtId="2" fontId="48" fillId="0" borderId="97" xfId="33" applyNumberFormat="1" applyFont="1" applyBorder="1" applyAlignment="1">
      <alignment horizontal="center"/>
    </xf>
    <xf numFmtId="0" fontId="55" fillId="0" borderId="40" xfId="33" applyFont="1" applyBorder="1" applyAlignment="1">
      <alignment horizontal="right"/>
    </xf>
    <xf numFmtId="0" fontId="55" fillId="0" borderId="63" xfId="33" applyFont="1" applyBorder="1" applyAlignment="1">
      <alignment horizontal="right"/>
    </xf>
    <xf numFmtId="0" fontId="55" fillId="0" borderId="41" xfId="33" applyFont="1" applyBorder="1" applyAlignment="1">
      <alignment horizontal="right"/>
    </xf>
    <xf numFmtId="0" fontId="55" fillId="0" borderId="44" xfId="33" applyFont="1" applyBorder="1" applyAlignment="1">
      <alignment horizontal="left" vertical="center"/>
    </xf>
    <xf numFmtId="0" fontId="55" fillId="0" borderId="54" xfId="33" applyFont="1" applyBorder="1" applyAlignment="1">
      <alignment horizontal="left" vertical="center"/>
    </xf>
    <xf numFmtId="0" fontId="55" fillId="0" borderId="55" xfId="33" applyFont="1" applyBorder="1" applyAlignment="1">
      <alignment horizontal="left" vertical="center"/>
    </xf>
    <xf numFmtId="0" fontId="55" fillId="0" borderId="59" xfId="33" applyFont="1" applyBorder="1" applyAlignment="1">
      <alignment horizontal="left" vertical="center"/>
    </xf>
    <xf numFmtId="0" fontId="55" fillId="0" borderId="0" xfId="33" applyFont="1" applyAlignment="1">
      <alignment horizontal="left" vertical="center"/>
    </xf>
    <xf numFmtId="0" fontId="55" fillId="0" borderId="60" xfId="33" applyFont="1" applyBorder="1" applyAlignment="1">
      <alignment horizontal="left" vertical="center"/>
    </xf>
    <xf numFmtId="0" fontId="55" fillId="0" borderId="49" xfId="33" applyFont="1" applyBorder="1" applyAlignment="1">
      <alignment horizontal="left" vertical="center"/>
    </xf>
    <xf numFmtId="0" fontId="55" fillId="0" borderId="68" xfId="33" applyFont="1" applyBorder="1" applyAlignment="1">
      <alignment horizontal="left" vertical="center"/>
    </xf>
    <xf numFmtId="0" fontId="55" fillId="0" borderId="67" xfId="33" applyFont="1" applyBorder="1" applyAlignment="1">
      <alignment horizontal="left" vertical="center"/>
    </xf>
    <xf numFmtId="0" fontId="48" fillId="0" borderId="120" xfId="33" applyFont="1" applyBorder="1"/>
    <xf numFmtId="0" fontId="48" fillId="0" borderId="82" xfId="33" applyFont="1" applyBorder="1"/>
    <xf numFmtId="0" fontId="48" fillId="0" borderId="78" xfId="33" applyFont="1" applyBorder="1"/>
    <xf numFmtId="0" fontId="48" fillId="0" borderId="64" xfId="33" applyFont="1" applyBorder="1"/>
    <xf numFmtId="0" fontId="48" fillId="0" borderId="64" xfId="33" applyFont="1" applyBorder="1" applyAlignment="1">
      <alignment horizontal="center"/>
    </xf>
    <xf numFmtId="0" fontId="48" fillId="0" borderId="78" xfId="33" applyFont="1" applyBorder="1" applyAlignment="1">
      <alignment horizontal="center"/>
    </xf>
    <xf numFmtId="194" fontId="48" fillId="0" borderId="64" xfId="33" applyNumberFormat="1" applyFont="1" applyBorder="1" applyAlignment="1">
      <alignment horizontal="center"/>
    </xf>
    <xf numFmtId="194" fontId="48" fillId="0" borderId="78" xfId="33" applyNumberFormat="1" applyFont="1" applyBorder="1" applyAlignment="1">
      <alignment horizontal="center"/>
    </xf>
    <xf numFmtId="0" fontId="55" fillId="14" borderId="92" xfId="33" applyFont="1" applyFill="1" applyBorder="1" applyAlignment="1">
      <alignment horizontal="center" vertical="center" wrapText="1"/>
    </xf>
    <xf numFmtId="0" fontId="55" fillId="14" borderId="93" xfId="33" applyFont="1" applyFill="1" applyBorder="1" applyAlignment="1">
      <alignment horizontal="center" vertical="center" wrapText="1"/>
    </xf>
    <xf numFmtId="0" fontId="55" fillId="14" borderId="98" xfId="33" applyFont="1" applyFill="1" applyBorder="1" applyAlignment="1">
      <alignment horizontal="center" vertical="center" wrapText="1"/>
    </xf>
    <xf numFmtId="0" fontId="55" fillId="14" borderId="92" xfId="33" applyFont="1" applyFill="1" applyBorder="1" applyAlignment="1">
      <alignment horizontal="center" vertical="center"/>
    </xf>
    <xf numFmtId="0" fontId="55" fillId="14" borderId="98" xfId="33" applyFont="1" applyFill="1" applyBorder="1" applyAlignment="1">
      <alignment horizontal="center" vertical="center"/>
    </xf>
    <xf numFmtId="0" fontId="48" fillId="14" borderId="95" xfId="33" applyFont="1" applyFill="1" applyBorder="1" applyAlignment="1">
      <alignment horizontal="left" vertical="center" wrapText="1"/>
    </xf>
    <xf numFmtId="0" fontId="48" fillId="14" borderId="96" xfId="33" applyFont="1" applyFill="1" applyBorder="1" applyAlignment="1">
      <alignment horizontal="left" vertical="center" wrapText="1"/>
    </xf>
    <xf numFmtId="0" fontId="48" fillId="14" borderId="116" xfId="33" applyFont="1" applyFill="1" applyBorder="1" applyAlignment="1">
      <alignment horizontal="left" vertical="center" wrapText="1"/>
    </xf>
    <xf numFmtId="0" fontId="48" fillId="14" borderId="95" xfId="33" applyFont="1" applyFill="1" applyBorder="1" applyAlignment="1">
      <alignment horizontal="center" vertical="center"/>
    </xf>
    <xf numFmtId="0" fontId="48" fillId="14" borderId="116" xfId="33" applyFont="1" applyFill="1" applyBorder="1" applyAlignment="1">
      <alignment horizontal="center" vertical="center"/>
    </xf>
    <xf numFmtId="0" fontId="55" fillId="14" borderId="92" xfId="33" applyFont="1" applyFill="1" applyBorder="1" applyAlignment="1">
      <alignment horizontal="center"/>
    </xf>
    <xf numFmtId="0" fontId="48" fillId="14" borderId="93" xfId="33" applyFont="1" applyFill="1" applyBorder="1" applyAlignment="1">
      <alignment horizontal="center"/>
    </xf>
    <xf numFmtId="0" fontId="48" fillId="14" borderId="94" xfId="33" applyFont="1" applyFill="1" applyBorder="1" applyAlignment="1">
      <alignment horizontal="center"/>
    </xf>
    <xf numFmtId="0" fontId="55" fillId="14" borderId="47" xfId="33" applyFont="1" applyFill="1" applyBorder="1" applyAlignment="1">
      <alignment horizontal="center"/>
    </xf>
    <xf numFmtId="0" fontId="55" fillId="14" borderId="66" xfId="33" applyFont="1" applyFill="1" applyBorder="1" applyAlignment="1">
      <alignment horizontal="center"/>
    </xf>
    <xf numFmtId="0" fontId="55" fillId="14" borderId="119" xfId="33" applyFont="1" applyFill="1" applyBorder="1" applyAlignment="1">
      <alignment horizontal="center"/>
    </xf>
    <xf numFmtId="0" fontId="55" fillId="14" borderId="94" xfId="33" applyFont="1" applyFill="1" applyBorder="1" applyAlignment="1">
      <alignment horizontal="center"/>
    </xf>
    <xf numFmtId="0" fontId="48" fillId="0" borderId="52" xfId="33" applyFont="1" applyBorder="1" applyAlignment="1">
      <alignment horizontal="center"/>
    </xf>
    <xf numFmtId="0" fontId="48" fillId="0" borderId="97" xfId="33" applyFont="1" applyBorder="1" applyAlignment="1">
      <alignment horizontal="center"/>
    </xf>
    <xf numFmtId="0" fontId="55" fillId="14" borderId="93" xfId="33" applyFont="1" applyFill="1" applyBorder="1" applyAlignment="1">
      <alignment horizontal="center"/>
    </xf>
    <xf numFmtId="0" fontId="55" fillId="14" borderId="47" xfId="33" applyFont="1" applyFill="1" applyBorder="1" applyAlignment="1">
      <alignment horizontal="center" wrapText="1"/>
    </xf>
    <xf numFmtId="0" fontId="55" fillId="14" borderId="94" xfId="33" applyFont="1" applyFill="1" applyBorder="1" applyAlignment="1">
      <alignment horizontal="center" wrapText="1"/>
    </xf>
    <xf numFmtId="2" fontId="48" fillId="0" borderId="64" xfId="33" applyNumberFormat="1" applyFont="1" applyBorder="1" applyAlignment="1">
      <alignment horizontal="center"/>
    </xf>
    <xf numFmtId="2" fontId="48" fillId="0" borderId="78" xfId="33" applyNumberFormat="1" applyFont="1" applyBorder="1" applyAlignment="1">
      <alignment horizontal="center"/>
    </xf>
    <xf numFmtId="166" fontId="48" fillId="0" borderId="64" xfId="37" applyFont="1" applyBorder="1" applyAlignment="1">
      <alignment horizontal="center"/>
    </xf>
    <xf numFmtId="166" fontId="48" fillId="0" borderId="78" xfId="37" applyFont="1" applyBorder="1" applyAlignment="1">
      <alignment horizontal="center"/>
    </xf>
    <xf numFmtId="174" fontId="48" fillId="0" borderId="64" xfId="34" applyNumberFormat="1" applyFont="1" applyBorder="1" applyAlignment="1">
      <alignment horizontal="center"/>
    </xf>
    <xf numFmtId="174" fontId="48" fillId="0" borderId="78" xfId="34" applyNumberFormat="1" applyFont="1" applyBorder="1" applyAlignment="1">
      <alignment horizontal="center"/>
    </xf>
    <xf numFmtId="174" fontId="48" fillId="0" borderId="52" xfId="34" applyNumberFormat="1" applyFont="1" applyBorder="1" applyAlignment="1">
      <alignment horizontal="center"/>
    </xf>
    <xf numFmtId="174" fontId="48" fillId="0" borderId="97" xfId="34" applyNumberFormat="1" applyFont="1" applyBorder="1" applyAlignment="1">
      <alignment horizontal="center"/>
    </xf>
    <xf numFmtId="0" fontId="54" fillId="14" borderId="40" xfId="33" applyFont="1" applyFill="1" applyBorder="1" applyAlignment="1">
      <alignment horizontal="right"/>
    </xf>
    <xf numFmtId="0" fontId="54" fillId="14" borderId="63" xfId="33" applyFont="1" applyFill="1" applyBorder="1" applyAlignment="1">
      <alignment horizontal="right"/>
    </xf>
    <xf numFmtId="0" fontId="54" fillId="14" borderId="41" xfId="33" applyFont="1" applyFill="1" applyBorder="1" applyAlignment="1">
      <alignment horizontal="right"/>
    </xf>
    <xf numFmtId="0" fontId="48" fillId="0" borderId="120" xfId="33" applyFont="1" applyBorder="1" applyAlignment="1">
      <alignment horizontal="center"/>
    </xf>
    <xf numFmtId="0" fontId="48" fillId="0" borderId="82" xfId="33" applyFont="1" applyBorder="1" applyAlignment="1">
      <alignment horizontal="center"/>
    </xf>
    <xf numFmtId="0" fontId="48" fillId="0" borderId="124" xfId="33" applyFont="1" applyBorder="1" applyAlignment="1">
      <alignment horizontal="center"/>
    </xf>
    <xf numFmtId="0" fontId="48" fillId="0" borderId="64" xfId="34" applyNumberFormat="1" applyFont="1" applyBorder="1" applyAlignment="1">
      <alignment horizontal="center"/>
    </xf>
    <xf numFmtId="194" fontId="48" fillId="0" borderId="64" xfId="33" applyNumberFormat="1" applyFont="1" applyBorder="1" applyAlignment="1">
      <alignment horizontal="center" wrapText="1"/>
    </xf>
    <xf numFmtId="194" fontId="48" fillId="0" borderId="78" xfId="33" applyNumberFormat="1" applyFont="1" applyBorder="1" applyAlignment="1">
      <alignment horizontal="center" wrapText="1"/>
    </xf>
    <xf numFmtId="0" fontId="25" fillId="0" borderId="59" xfId="33" applyFont="1" applyBorder="1" applyAlignment="1">
      <alignment wrapText="1"/>
    </xf>
    <xf numFmtId="0" fontId="25" fillId="0" borderId="0" xfId="33" applyFont="1" applyAlignment="1">
      <alignment wrapText="1"/>
    </xf>
    <xf numFmtId="0" fontId="25" fillId="0" borderId="60" xfId="33" applyFont="1" applyBorder="1" applyAlignment="1">
      <alignment wrapText="1"/>
    </xf>
    <xf numFmtId="0" fontId="59" fillId="0" borderId="0" xfId="33" applyFont="1" applyAlignment="1">
      <alignment horizontal="right"/>
    </xf>
    <xf numFmtId="0" fontId="59" fillId="0" borderId="60" xfId="33" applyFont="1" applyBorder="1" applyAlignment="1">
      <alignment horizontal="right"/>
    </xf>
    <xf numFmtId="0" fontId="59" fillId="0" borderId="68" xfId="33" applyFont="1" applyBorder="1" applyAlignment="1">
      <alignment horizontal="right"/>
    </xf>
    <xf numFmtId="0" fontId="59" fillId="0" borderId="67" xfId="33" applyFont="1" applyBorder="1" applyAlignment="1">
      <alignment horizontal="right"/>
    </xf>
    <xf numFmtId="0" fontId="58" fillId="0" borderId="49" xfId="33" applyFont="1" applyBorder="1" applyAlignment="1">
      <alignment horizontal="left"/>
    </xf>
    <xf numFmtId="0" fontId="58" fillId="0" borderId="68" xfId="33" applyFont="1" applyBorder="1" applyAlignment="1">
      <alignment horizontal="left"/>
    </xf>
    <xf numFmtId="196" fontId="48" fillId="0" borderId="64" xfId="37" applyNumberFormat="1" applyFont="1" applyBorder="1" applyAlignment="1">
      <alignment horizontal="center"/>
    </xf>
    <xf numFmtId="196" fontId="48" fillId="0" borderId="78" xfId="37" applyNumberFormat="1" applyFont="1" applyBorder="1" applyAlignment="1">
      <alignment horizontal="center"/>
    </xf>
    <xf numFmtId="0" fontId="54" fillId="0" borderId="120" xfId="33" applyFont="1" applyBorder="1" applyAlignment="1">
      <alignment horizontal="left" wrapText="1"/>
    </xf>
    <xf numFmtId="0" fontId="54" fillId="0" borderId="82" xfId="33" applyFont="1" applyBorder="1" applyAlignment="1">
      <alignment horizontal="left" wrapText="1"/>
    </xf>
    <xf numFmtId="0" fontId="54" fillId="0" borderId="78" xfId="33" applyFont="1" applyBorder="1" applyAlignment="1">
      <alignment horizontal="left" wrapText="1"/>
    </xf>
    <xf numFmtId="0" fontId="55" fillId="14" borderId="105" xfId="33" applyFont="1" applyFill="1" applyBorder="1" applyAlignment="1">
      <alignment horizontal="center"/>
    </xf>
    <xf numFmtId="0" fontId="55" fillId="14" borderId="106" xfId="33" applyFont="1" applyFill="1" applyBorder="1" applyAlignment="1">
      <alignment horizontal="center"/>
    </xf>
    <xf numFmtId="166" fontId="48" fillId="0" borderId="66" xfId="37" applyFont="1" applyBorder="1" applyAlignment="1">
      <alignment horizontal="center" wrapText="1"/>
    </xf>
    <xf numFmtId="166" fontId="48" fillId="0" borderId="109" xfId="37" applyFont="1" applyBorder="1" applyAlignment="1">
      <alignment horizontal="center" wrapText="1"/>
    </xf>
    <xf numFmtId="0" fontId="55" fillId="0" borderId="68" xfId="33" applyFont="1" applyBorder="1" applyAlignment="1">
      <alignment horizontal="right"/>
    </xf>
    <xf numFmtId="0" fontId="55" fillId="0" borderId="67" xfId="33" applyFont="1" applyBorder="1" applyAlignment="1">
      <alignment horizontal="right"/>
    </xf>
    <xf numFmtId="0" fontId="48" fillId="0" borderId="120" xfId="33" applyFont="1" applyBorder="1" applyAlignment="1">
      <alignment horizontal="left" wrapText="1"/>
    </xf>
    <xf numFmtId="0" fontId="48" fillId="0" borderId="82" xfId="33" applyFont="1" applyBorder="1" applyAlignment="1">
      <alignment horizontal="left" wrapText="1"/>
    </xf>
    <xf numFmtId="0" fontId="48" fillId="0" borderId="78" xfId="33" applyFont="1" applyBorder="1" applyAlignment="1">
      <alignment horizontal="left" wrapText="1"/>
    </xf>
    <xf numFmtId="0" fontId="48" fillId="0" borderId="64" xfId="33" applyFont="1" applyBorder="1" applyAlignment="1">
      <alignment horizontal="center" vertical="center"/>
    </xf>
    <xf numFmtId="0" fontId="48" fillId="0" borderId="78" xfId="33" applyFont="1" applyBorder="1" applyAlignment="1">
      <alignment horizontal="center" vertical="center"/>
    </xf>
    <xf numFmtId="166" fontId="48" fillId="0" borderId="64" xfId="37" applyFont="1" applyBorder="1" applyAlignment="1">
      <alignment horizontal="center" vertical="center"/>
    </xf>
    <xf numFmtId="166" fontId="48" fillId="0" borderId="78" xfId="37" applyFont="1" applyBorder="1" applyAlignment="1">
      <alignment horizontal="center" vertical="center"/>
    </xf>
    <xf numFmtId="0" fontId="48" fillId="0" borderId="95" xfId="33" applyFont="1" applyBorder="1" applyAlignment="1">
      <alignment horizontal="left" wrapText="1"/>
    </xf>
    <xf numFmtId="0" fontId="48" fillId="0" borderId="96" xfId="33" applyFont="1" applyBorder="1" applyAlignment="1">
      <alignment horizontal="left" wrapText="1"/>
    </xf>
    <xf numFmtId="0" fontId="48" fillId="0" borderId="97" xfId="33" applyFont="1" applyBorder="1" applyAlignment="1">
      <alignment horizontal="left" wrapText="1"/>
    </xf>
    <xf numFmtId="166" fontId="48" fillId="0" borderId="52" xfId="37" applyFont="1" applyBorder="1" applyAlignment="1">
      <alignment horizontal="center"/>
    </xf>
    <xf numFmtId="166" fontId="48" fillId="0" borderId="97" xfId="37" applyFont="1" applyBorder="1" applyAlignment="1">
      <alignment horizontal="center"/>
    </xf>
    <xf numFmtId="0" fontId="48" fillId="0" borderId="120" xfId="33" applyFont="1" applyBorder="1" applyAlignment="1">
      <alignment horizontal="center" vertical="center" wrapText="1"/>
    </xf>
    <xf numFmtId="0" fontId="48" fillId="0" borderId="82" xfId="33" applyFont="1" applyBorder="1" applyAlignment="1">
      <alignment horizontal="center" vertical="center" wrapText="1"/>
    </xf>
    <xf numFmtId="0" fontId="48" fillId="0" borderId="78" xfId="33" applyFont="1" applyBorder="1" applyAlignment="1">
      <alignment horizontal="center" vertical="center" wrapText="1"/>
    </xf>
    <xf numFmtId="0" fontId="48" fillId="0" borderId="120" xfId="33" applyFont="1" applyBorder="1" applyAlignment="1">
      <alignment horizontal="left" vertical="center" wrapText="1"/>
    </xf>
    <xf numFmtId="0" fontId="48" fillId="0" borderId="82" xfId="33" applyFont="1" applyBorder="1" applyAlignment="1">
      <alignment horizontal="left" vertical="center" wrapText="1"/>
    </xf>
    <xf numFmtId="0" fontId="48" fillId="0" borderId="78" xfId="33" applyFont="1" applyBorder="1" applyAlignment="1">
      <alignment horizontal="left" vertical="center" wrapText="1"/>
    </xf>
    <xf numFmtId="0" fontId="66" fillId="17" borderId="120" xfId="44" applyFont="1" applyFill="1" applyBorder="1" applyAlignment="1">
      <alignment vertical="top" wrapText="1"/>
    </xf>
    <xf numFmtId="0" fontId="66" fillId="17" borderId="82" xfId="44" applyFont="1" applyFill="1" applyBorder="1" applyAlignment="1">
      <alignment vertical="top" wrapText="1"/>
    </xf>
    <xf numFmtId="0" fontId="66" fillId="17" borderId="124" xfId="44" applyFont="1" applyFill="1" applyBorder="1" applyAlignment="1">
      <alignment vertical="top" wrapText="1"/>
    </xf>
    <xf numFmtId="0" fontId="6" fillId="0" borderId="40" xfId="42" applyFont="1" applyBorder="1" applyAlignment="1">
      <alignment horizontal="center" vertical="center" wrapText="1"/>
    </xf>
    <xf numFmtId="0" fontId="6" fillId="0" borderId="63" xfId="42" applyFont="1" applyBorder="1" applyAlignment="1">
      <alignment horizontal="center" vertical="center" wrapText="1"/>
    </xf>
    <xf numFmtId="0" fontId="6" fillId="0" borderId="41" xfId="42" applyFont="1" applyBorder="1" applyAlignment="1">
      <alignment horizontal="center" vertical="center" wrapText="1"/>
    </xf>
    <xf numFmtId="0" fontId="40" fillId="18" borderId="61" xfId="44" applyFont="1" applyFill="1" applyBorder="1" applyAlignment="1">
      <alignment horizontal="left" vertical="top" wrapText="1"/>
    </xf>
    <xf numFmtId="0" fontId="40" fillId="18" borderId="39" xfId="44" applyFont="1" applyFill="1" applyBorder="1" applyAlignment="1">
      <alignment horizontal="left" vertical="top" wrapText="1"/>
    </xf>
    <xf numFmtId="0" fontId="40" fillId="18" borderId="62" xfId="44" applyFont="1" applyFill="1" applyBorder="1" applyAlignment="1">
      <alignment horizontal="left" vertical="top" wrapText="1"/>
    </xf>
    <xf numFmtId="0" fontId="40" fillId="18" borderId="120" xfId="44" applyFont="1" applyFill="1" applyBorder="1" applyAlignment="1">
      <alignment horizontal="left" vertical="top" wrapText="1"/>
    </xf>
    <xf numFmtId="0" fontId="40" fillId="18" borderId="82" xfId="44" applyFont="1" applyFill="1" applyBorder="1" applyAlignment="1">
      <alignment horizontal="left" vertical="top" wrapText="1"/>
    </xf>
    <xf numFmtId="0" fontId="40" fillId="18" borderId="124" xfId="44" applyFont="1" applyFill="1" applyBorder="1" applyAlignment="1">
      <alignment horizontal="left" vertical="top" wrapText="1"/>
    </xf>
    <xf numFmtId="0" fontId="61" fillId="16" borderId="0" xfId="42" applyFont="1" applyFill="1" applyAlignment="1">
      <alignment horizontal="left" vertical="top" wrapText="1"/>
    </xf>
    <xf numFmtId="0" fontId="64" fillId="0" borderId="0" xfId="42" applyFont="1" applyAlignment="1">
      <alignment horizontal="left" vertical="center" wrapText="1"/>
    </xf>
    <xf numFmtId="0" fontId="69" fillId="0" borderId="120" xfId="42" applyFont="1" applyBorder="1"/>
    <xf numFmtId="0" fontId="69" fillId="0" borderId="82" xfId="42" applyFont="1" applyBorder="1"/>
    <xf numFmtId="0" fontId="69" fillId="0" borderId="78" xfId="42" applyFont="1" applyBorder="1"/>
    <xf numFmtId="0" fontId="61" fillId="0" borderId="0" xfId="42" applyFont="1" applyAlignment="1">
      <alignment horizontal="left" vertical="top" wrapText="1"/>
    </xf>
    <xf numFmtId="0" fontId="61" fillId="0" borderId="0" xfId="42" applyFont="1" applyAlignment="1">
      <alignment horizontal="justify" vertical="top" wrapText="1"/>
    </xf>
  </cellXfs>
  <cellStyles count="13790">
    <cellStyle name="20% - Accent1" xfId="58" xr:uid="{00000000-0005-0000-0000-000000000000}"/>
    <cellStyle name="20% - Accent2" xfId="59" xr:uid="{00000000-0005-0000-0000-000001000000}"/>
    <cellStyle name="20% - Accent3" xfId="60" xr:uid="{00000000-0005-0000-0000-000002000000}"/>
    <cellStyle name="20% - Accent4" xfId="61" xr:uid="{00000000-0005-0000-0000-000003000000}"/>
    <cellStyle name="20% - Accent5" xfId="62" xr:uid="{00000000-0005-0000-0000-000004000000}"/>
    <cellStyle name="20% - Accent6" xfId="63" xr:uid="{00000000-0005-0000-0000-000005000000}"/>
    <cellStyle name="20% - Énfasis1 2" xfId="64" xr:uid="{00000000-0005-0000-0000-000006000000}"/>
    <cellStyle name="20% - Énfasis1 3" xfId="65" xr:uid="{00000000-0005-0000-0000-000007000000}"/>
    <cellStyle name="20% - Énfasis1 4" xfId="66" xr:uid="{00000000-0005-0000-0000-000008000000}"/>
    <cellStyle name="20% - Énfasis1 5" xfId="67" xr:uid="{00000000-0005-0000-0000-000009000000}"/>
    <cellStyle name="20% - Énfasis1 6" xfId="68" xr:uid="{00000000-0005-0000-0000-00000A000000}"/>
    <cellStyle name="20% - Énfasis2 2" xfId="69" xr:uid="{00000000-0005-0000-0000-00000B000000}"/>
    <cellStyle name="20% - Énfasis2 3" xfId="70" xr:uid="{00000000-0005-0000-0000-00000C000000}"/>
    <cellStyle name="20% - Énfasis2 4" xfId="71" xr:uid="{00000000-0005-0000-0000-00000D000000}"/>
    <cellStyle name="20% - Énfasis2 5" xfId="72" xr:uid="{00000000-0005-0000-0000-00000E000000}"/>
    <cellStyle name="20% - Énfasis2 6" xfId="73" xr:uid="{00000000-0005-0000-0000-00000F000000}"/>
    <cellStyle name="20% - Énfasis3 2" xfId="74" xr:uid="{00000000-0005-0000-0000-000010000000}"/>
    <cellStyle name="20% - Énfasis3 3" xfId="75" xr:uid="{00000000-0005-0000-0000-000011000000}"/>
    <cellStyle name="20% - Énfasis3 4" xfId="76" xr:uid="{00000000-0005-0000-0000-000012000000}"/>
    <cellStyle name="20% - Énfasis3 5" xfId="77" xr:uid="{00000000-0005-0000-0000-000013000000}"/>
    <cellStyle name="20% - Énfasis3 6" xfId="78" xr:uid="{00000000-0005-0000-0000-000014000000}"/>
    <cellStyle name="20% - Énfasis4 2" xfId="79" xr:uid="{00000000-0005-0000-0000-000015000000}"/>
    <cellStyle name="20% - Énfasis4 3" xfId="80" xr:uid="{00000000-0005-0000-0000-000016000000}"/>
    <cellStyle name="20% - Énfasis4 4" xfId="81" xr:uid="{00000000-0005-0000-0000-000017000000}"/>
    <cellStyle name="20% - Énfasis4 5" xfId="82" xr:uid="{00000000-0005-0000-0000-000018000000}"/>
    <cellStyle name="20% - Énfasis4 6" xfId="83" xr:uid="{00000000-0005-0000-0000-000019000000}"/>
    <cellStyle name="20% - Énfasis5 2" xfId="84" xr:uid="{00000000-0005-0000-0000-00001A000000}"/>
    <cellStyle name="20% - Énfasis5 3" xfId="85" xr:uid="{00000000-0005-0000-0000-00001B000000}"/>
    <cellStyle name="20% - Énfasis5 4" xfId="86" xr:uid="{00000000-0005-0000-0000-00001C000000}"/>
    <cellStyle name="20% - Énfasis5 5" xfId="87" xr:uid="{00000000-0005-0000-0000-00001D000000}"/>
    <cellStyle name="20% - Énfasis5 6" xfId="88" xr:uid="{00000000-0005-0000-0000-00001E000000}"/>
    <cellStyle name="20% - Énfasis6 2" xfId="89" xr:uid="{00000000-0005-0000-0000-00001F000000}"/>
    <cellStyle name="20% - Énfasis6 3" xfId="90" xr:uid="{00000000-0005-0000-0000-000020000000}"/>
    <cellStyle name="20% - Énfasis6 4" xfId="91" xr:uid="{00000000-0005-0000-0000-000021000000}"/>
    <cellStyle name="20% - Énfasis6 5" xfId="92" xr:uid="{00000000-0005-0000-0000-000022000000}"/>
    <cellStyle name="20% - Énfasis6 6" xfId="93" xr:uid="{00000000-0005-0000-0000-000023000000}"/>
    <cellStyle name="40% - Accent1" xfId="94" xr:uid="{00000000-0005-0000-0000-000024000000}"/>
    <cellStyle name="40% - Accent2" xfId="95" xr:uid="{00000000-0005-0000-0000-000025000000}"/>
    <cellStyle name="40% - Accent3" xfId="96" xr:uid="{00000000-0005-0000-0000-000026000000}"/>
    <cellStyle name="40% - Accent4" xfId="97" xr:uid="{00000000-0005-0000-0000-000027000000}"/>
    <cellStyle name="40% - Accent5" xfId="98" xr:uid="{00000000-0005-0000-0000-000028000000}"/>
    <cellStyle name="40% - Accent6" xfId="99" xr:uid="{00000000-0005-0000-0000-000029000000}"/>
    <cellStyle name="40% - Énfasis1 2" xfId="100" xr:uid="{00000000-0005-0000-0000-00002A000000}"/>
    <cellStyle name="40% - Énfasis1 3" xfId="101" xr:uid="{00000000-0005-0000-0000-00002B000000}"/>
    <cellStyle name="40% - Énfasis1 4" xfId="102" xr:uid="{00000000-0005-0000-0000-00002C000000}"/>
    <cellStyle name="40% - Énfasis1 5" xfId="103" xr:uid="{00000000-0005-0000-0000-00002D000000}"/>
    <cellStyle name="40% - Énfasis1 6" xfId="104" xr:uid="{00000000-0005-0000-0000-00002E000000}"/>
    <cellStyle name="40% - Énfasis2 2" xfId="105" xr:uid="{00000000-0005-0000-0000-00002F000000}"/>
    <cellStyle name="40% - Énfasis2 3" xfId="106" xr:uid="{00000000-0005-0000-0000-000030000000}"/>
    <cellStyle name="40% - Énfasis2 4" xfId="107" xr:uid="{00000000-0005-0000-0000-000031000000}"/>
    <cellStyle name="40% - Énfasis2 5" xfId="108" xr:uid="{00000000-0005-0000-0000-000032000000}"/>
    <cellStyle name="40% - Énfasis2 6" xfId="109" xr:uid="{00000000-0005-0000-0000-000033000000}"/>
    <cellStyle name="40% - Énfasis3 2" xfId="110" xr:uid="{00000000-0005-0000-0000-000034000000}"/>
    <cellStyle name="40% - Énfasis3 3" xfId="111" xr:uid="{00000000-0005-0000-0000-000035000000}"/>
    <cellStyle name="40% - Énfasis3 4" xfId="112" xr:uid="{00000000-0005-0000-0000-000036000000}"/>
    <cellStyle name="40% - Énfasis3 5" xfId="113" xr:uid="{00000000-0005-0000-0000-000037000000}"/>
    <cellStyle name="40% - Énfasis3 6" xfId="114" xr:uid="{00000000-0005-0000-0000-000038000000}"/>
    <cellStyle name="40% - Énfasis4 2" xfId="115" xr:uid="{00000000-0005-0000-0000-000039000000}"/>
    <cellStyle name="40% - Énfasis4 3" xfId="116" xr:uid="{00000000-0005-0000-0000-00003A000000}"/>
    <cellStyle name="40% - Énfasis4 4" xfId="117" xr:uid="{00000000-0005-0000-0000-00003B000000}"/>
    <cellStyle name="40% - Énfasis4 5" xfId="118" xr:uid="{00000000-0005-0000-0000-00003C000000}"/>
    <cellStyle name="40% - Énfasis4 6" xfId="119" xr:uid="{00000000-0005-0000-0000-00003D000000}"/>
    <cellStyle name="40% - Énfasis5 2" xfId="120" xr:uid="{00000000-0005-0000-0000-00003E000000}"/>
    <cellStyle name="40% - Énfasis5 3" xfId="121" xr:uid="{00000000-0005-0000-0000-00003F000000}"/>
    <cellStyle name="40% - Énfasis5 4" xfId="122" xr:uid="{00000000-0005-0000-0000-000040000000}"/>
    <cellStyle name="40% - Énfasis5 5" xfId="123" xr:uid="{00000000-0005-0000-0000-000041000000}"/>
    <cellStyle name="40% - Énfasis5 6" xfId="124" xr:uid="{00000000-0005-0000-0000-000042000000}"/>
    <cellStyle name="40% - Énfasis6 2" xfId="125" xr:uid="{00000000-0005-0000-0000-000043000000}"/>
    <cellStyle name="40% - Énfasis6 3" xfId="126" xr:uid="{00000000-0005-0000-0000-000044000000}"/>
    <cellStyle name="40% - Énfasis6 4" xfId="127" xr:uid="{00000000-0005-0000-0000-000045000000}"/>
    <cellStyle name="40% - Énfasis6 5" xfId="128" xr:uid="{00000000-0005-0000-0000-000046000000}"/>
    <cellStyle name="40% - Énfasis6 6" xfId="129" xr:uid="{00000000-0005-0000-0000-000047000000}"/>
    <cellStyle name="60% - Accent1" xfId="130" xr:uid="{00000000-0005-0000-0000-000048000000}"/>
    <cellStyle name="60% - Accent2" xfId="131" xr:uid="{00000000-0005-0000-0000-000049000000}"/>
    <cellStyle name="60% - Accent3" xfId="132" xr:uid="{00000000-0005-0000-0000-00004A000000}"/>
    <cellStyle name="60% - Accent4" xfId="133" xr:uid="{00000000-0005-0000-0000-00004B000000}"/>
    <cellStyle name="60% - Accent5" xfId="134" xr:uid="{00000000-0005-0000-0000-00004C000000}"/>
    <cellStyle name="60% - Accent6" xfId="135" xr:uid="{00000000-0005-0000-0000-00004D000000}"/>
    <cellStyle name="60% - Énfasis1 2" xfId="136" xr:uid="{00000000-0005-0000-0000-00004E000000}"/>
    <cellStyle name="60% - Énfasis1 3" xfId="137" xr:uid="{00000000-0005-0000-0000-00004F000000}"/>
    <cellStyle name="60% - Énfasis1 4" xfId="138" xr:uid="{00000000-0005-0000-0000-000050000000}"/>
    <cellStyle name="60% - Énfasis1 5" xfId="139" xr:uid="{00000000-0005-0000-0000-000051000000}"/>
    <cellStyle name="60% - Énfasis1 6" xfId="140" xr:uid="{00000000-0005-0000-0000-000052000000}"/>
    <cellStyle name="60% - Énfasis2 2" xfId="141" xr:uid="{00000000-0005-0000-0000-000053000000}"/>
    <cellStyle name="60% - Énfasis2 3" xfId="142" xr:uid="{00000000-0005-0000-0000-000054000000}"/>
    <cellStyle name="60% - Énfasis2 4" xfId="143" xr:uid="{00000000-0005-0000-0000-000055000000}"/>
    <cellStyle name="60% - Énfasis2 5" xfId="144" xr:uid="{00000000-0005-0000-0000-000056000000}"/>
    <cellStyle name="60% - Énfasis2 6" xfId="145" xr:uid="{00000000-0005-0000-0000-000057000000}"/>
    <cellStyle name="60% - Énfasis3 2" xfId="146" xr:uid="{00000000-0005-0000-0000-000058000000}"/>
    <cellStyle name="60% - Énfasis3 3" xfId="147" xr:uid="{00000000-0005-0000-0000-000059000000}"/>
    <cellStyle name="60% - Énfasis3 4" xfId="148" xr:uid="{00000000-0005-0000-0000-00005A000000}"/>
    <cellStyle name="60% - Énfasis3 5" xfId="149" xr:uid="{00000000-0005-0000-0000-00005B000000}"/>
    <cellStyle name="60% - Énfasis3 6" xfId="150" xr:uid="{00000000-0005-0000-0000-00005C000000}"/>
    <cellStyle name="60% - Énfasis4 2" xfId="151" xr:uid="{00000000-0005-0000-0000-00005D000000}"/>
    <cellStyle name="60% - Énfasis4 3" xfId="152" xr:uid="{00000000-0005-0000-0000-00005E000000}"/>
    <cellStyle name="60% - Énfasis4 4" xfId="153" xr:uid="{00000000-0005-0000-0000-00005F000000}"/>
    <cellStyle name="60% - Énfasis4 5" xfId="154" xr:uid="{00000000-0005-0000-0000-000060000000}"/>
    <cellStyle name="60% - Énfasis4 6" xfId="155" xr:uid="{00000000-0005-0000-0000-000061000000}"/>
    <cellStyle name="60% - Énfasis5 2" xfId="156" xr:uid="{00000000-0005-0000-0000-000062000000}"/>
    <cellStyle name="60% - Énfasis5 3" xfId="157" xr:uid="{00000000-0005-0000-0000-000063000000}"/>
    <cellStyle name="60% - Énfasis5 4" xfId="158" xr:uid="{00000000-0005-0000-0000-000064000000}"/>
    <cellStyle name="60% - Énfasis5 5" xfId="159" xr:uid="{00000000-0005-0000-0000-000065000000}"/>
    <cellStyle name="60% - Énfasis5 6" xfId="160" xr:uid="{00000000-0005-0000-0000-000066000000}"/>
    <cellStyle name="60% - Énfasis6 2" xfId="161" xr:uid="{00000000-0005-0000-0000-000067000000}"/>
    <cellStyle name="60% - Énfasis6 3" xfId="162" xr:uid="{00000000-0005-0000-0000-000068000000}"/>
    <cellStyle name="60% - Énfasis6 4" xfId="163" xr:uid="{00000000-0005-0000-0000-000069000000}"/>
    <cellStyle name="60% - Énfasis6 5" xfId="164" xr:uid="{00000000-0005-0000-0000-00006A000000}"/>
    <cellStyle name="60% - Énfasis6 6" xfId="165" xr:uid="{00000000-0005-0000-0000-00006B000000}"/>
    <cellStyle name="Accent1" xfId="166" xr:uid="{00000000-0005-0000-0000-00006C000000}"/>
    <cellStyle name="Accent2" xfId="167" xr:uid="{00000000-0005-0000-0000-00006D000000}"/>
    <cellStyle name="Accent3" xfId="168" xr:uid="{00000000-0005-0000-0000-00006E000000}"/>
    <cellStyle name="Accent4" xfId="169" xr:uid="{00000000-0005-0000-0000-00006F000000}"/>
    <cellStyle name="Accent5" xfId="170" xr:uid="{00000000-0005-0000-0000-000070000000}"/>
    <cellStyle name="Accent6" xfId="171" xr:uid="{00000000-0005-0000-0000-000071000000}"/>
    <cellStyle name="Bad" xfId="172" xr:uid="{00000000-0005-0000-0000-000072000000}"/>
    <cellStyle name="Buena 2" xfId="173" xr:uid="{00000000-0005-0000-0000-000073000000}"/>
    <cellStyle name="Buena 3" xfId="174" xr:uid="{00000000-0005-0000-0000-000074000000}"/>
    <cellStyle name="Buena 4" xfId="175" xr:uid="{00000000-0005-0000-0000-000075000000}"/>
    <cellStyle name="Buena 5" xfId="176" xr:uid="{00000000-0005-0000-0000-000076000000}"/>
    <cellStyle name="Buena 6" xfId="177" xr:uid="{00000000-0005-0000-0000-000077000000}"/>
    <cellStyle name="Calculation" xfId="178" xr:uid="{00000000-0005-0000-0000-000078000000}"/>
    <cellStyle name="Cálculo 2" xfId="179" xr:uid="{00000000-0005-0000-0000-000079000000}"/>
    <cellStyle name="Cálculo 3" xfId="180" xr:uid="{00000000-0005-0000-0000-00007A000000}"/>
    <cellStyle name="Cálculo 4" xfId="181" xr:uid="{00000000-0005-0000-0000-00007B000000}"/>
    <cellStyle name="Cálculo 5" xfId="182" xr:uid="{00000000-0005-0000-0000-00007C000000}"/>
    <cellStyle name="Cálculo 6" xfId="183" xr:uid="{00000000-0005-0000-0000-00007D000000}"/>
    <cellStyle name="Celda de comprobación 2" xfId="184" xr:uid="{00000000-0005-0000-0000-00007E000000}"/>
    <cellStyle name="Celda de comprobación 3" xfId="185" xr:uid="{00000000-0005-0000-0000-00007F000000}"/>
    <cellStyle name="Celda de comprobación 4" xfId="186" xr:uid="{00000000-0005-0000-0000-000080000000}"/>
    <cellStyle name="Celda de comprobación 5" xfId="187" xr:uid="{00000000-0005-0000-0000-000081000000}"/>
    <cellStyle name="Celda de comprobación 6" xfId="188" xr:uid="{00000000-0005-0000-0000-000082000000}"/>
    <cellStyle name="Celda vinculada 2" xfId="189" xr:uid="{00000000-0005-0000-0000-000083000000}"/>
    <cellStyle name="Celda vinculada 3" xfId="190" xr:uid="{00000000-0005-0000-0000-000084000000}"/>
    <cellStyle name="Celda vinculada 4" xfId="191" xr:uid="{00000000-0005-0000-0000-000085000000}"/>
    <cellStyle name="Celda vinculada 5" xfId="192" xr:uid="{00000000-0005-0000-0000-000086000000}"/>
    <cellStyle name="Celda vinculada 6" xfId="193" xr:uid="{00000000-0005-0000-0000-000087000000}"/>
    <cellStyle name="Check Cell" xfId="194" xr:uid="{00000000-0005-0000-0000-000088000000}"/>
    <cellStyle name="CIENTOS" xfId="195" xr:uid="{00000000-0005-0000-0000-000089000000}"/>
    <cellStyle name="CIENTOS 2D" xfId="196" xr:uid="{00000000-0005-0000-0000-00008A000000}"/>
    <cellStyle name="CIENTOS 3D" xfId="197" xr:uid="{00000000-0005-0000-0000-00008B000000}"/>
    <cellStyle name="CIENTOS 4D" xfId="198" xr:uid="{00000000-0005-0000-0000-00008C000000}"/>
    <cellStyle name="Comma" xfId="199" xr:uid="{00000000-0005-0000-0000-00008D000000}"/>
    <cellStyle name="Comma [0]_21.6" xfId="200" xr:uid="{00000000-0005-0000-0000-00008E000000}"/>
    <cellStyle name="Comma 2" xfId="15" xr:uid="{00000000-0005-0000-0000-00008F000000}"/>
    <cellStyle name="Comma_21.6" xfId="201" xr:uid="{00000000-0005-0000-0000-000090000000}"/>
    <cellStyle name="Comma0" xfId="202" xr:uid="{00000000-0005-0000-0000-000091000000}"/>
    <cellStyle name="Comma0 2" xfId="203" xr:uid="{00000000-0005-0000-0000-000092000000}"/>
    <cellStyle name="Comma0 3" xfId="204" xr:uid="{00000000-0005-0000-0000-000093000000}"/>
    <cellStyle name="Comma0 4" xfId="205" xr:uid="{00000000-0005-0000-0000-000094000000}"/>
    <cellStyle name="Currency" xfId="206" xr:uid="{00000000-0005-0000-0000-000095000000}"/>
    <cellStyle name="Currency [0]_21.6" xfId="207" xr:uid="{00000000-0005-0000-0000-000096000000}"/>
    <cellStyle name="Currency_21.6" xfId="208" xr:uid="{00000000-0005-0000-0000-000097000000}"/>
    <cellStyle name="Currency0" xfId="209" xr:uid="{00000000-0005-0000-0000-000098000000}"/>
    <cellStyle name="Currency0 2" xfId="210" xr:uid="{00000000-0005-0000-0000-000099000000}"/>
    <cellStyle name="Currency0 3" xfId="211" xr:uid="{00000000-0005-0000-0000-00009A000000}"/>
    <cellStyle name="Currency0 4" xfId="212" xr:uid="{00000000-0005-0000-0000-00009B000000}"/>
    <cellStyle name="Date" xfId="213" xr:uid="{00000000-0005-0000-0000-00009C000000}"/>
    <cellStyle name="Date 10" xfId="214" xr:uid="{00000000-0005-0000-0000-00009D000000}"/>
    <cellStyle name="DATE 11" xfId="3816" xr:uid="{00000000-0005-0000-0000-00009E000000}"/>
    <cellStyle name="DATE 12" xfId="3817" xr:uid="{00000000-0005-0000-0000-00009F000000}"/>
    <cellStyle name="DATE 13" xfId="3818" xr:uid="{00000000-0005-0000-0000-0000A0000000}"/>
    <cellStyle name="Date 2" xfId="215" xr:uid="{00000000-0005-0000-0000-0000A1000000}"/>
    <cellStyle name="DATE 2 2" xfId="216" xr:uid="{00000000-0005-0000-0000-0000A2000000}"/>
    <cellStyle name="DATE 2 3" xfId="217" xr:uid="{00000000-0005-0000-0000-0000A3000000}"/>
    <cellStyle name="DATE 2 4" xfId="218" xr:uid="{00000000-0005-0000-0000-0000A4000000}"/>
    <cellStyle name="DATE 2 5" xfId="219" xr:uid="{00000000-0005-0000-0000-0000A5000000}"/>
    <cellStyle name="DATE 2 6" xfId="220" xr:uid="{00000000-0005-0000-0000-0000A6000000}"/>
    <cellStyle name="DATE 2 7" xfId="221" xr:uid="{00000000-0005-0000-0000-0000A7000000}"/>
    <cellStyle name="DATE 2 8" xfId="222" xr:uid="{00000000-0005-0000-0000-0000A8000000}"/>
    <cellStyle name="DATE 3" xfId="223" xr:uid="{00000000-0005-0000-0000-0000A9000000}"/>
    <cellStyle name="DATE 4" xfId="224" xr:uid="{00000000-0005-0000-0000-0000AA000000}"/>
    <cellStyle name="Date 5" xfId="225" xr:uid="{00000000-0005-0000-0000-0000AB000000}"/>
    <cellStyle name="Date 6" xfId="226" xr:uid="{00000000-0005-0000-0000-0000AC000000}"/>
    <cellStyle name="Date 7" xfId="227" xr:uid="{00000000-0005-0000-0000-0000AD000000}"/>
    <cellStyle name="Date 8" xfId="228" xr:uid="{00000000-0005-0000-0000-0000AE000000}"/>
    <cellStyle name="Date 9" xfId="229" xr:uid="{00000000-0005-0000-0000-0000AF000000}"/>
    <cellStyle name="Encabezado 4 2" xfId="230" xr:uid="{00000000-0005-0000-0000-0000B0000000}"/>
    <cellStyle name="Encabezado 4 3" xfId="231" xr:uid="{00000000-0005-0000-0000-0000B1000000}"/>
    <cellStyle name="Encabezado 4 4" xfId="232" xr:uid="{00000000-0005-0000-0000-0000B2000000}"/>
    <cellStyle name="Encabezado 4 5" xfId="233" xr:uid="{00000000-0005-0000-0000-0000B3000000}"/>
    <cellStyle name="Encabezado 4 6" xfId="234" xr:uid="{00000000-0005-0000-0000-0000B4000000}"/>
    <cellStyle name="Énfasis1 2" xfId="235" xr:uid="{00000000-0005-0000-0000-0000B5000000}"/>
    <cellStyle name="Énfasis1 3" xfId="236" xr:uid="{00000000-0005-0000-0000-0000B6000000}"/>
    <cellStyle name="Énfasis1 4" xfId="237" xr:uid="{00000000-0005-0000-0000-0000B7000000}"/>
    <cellStyle name="Énfasis1 5" xfId="238" xr:uid="{00000000-0005-0000-0000-0000B8000000}"/>
    <cellStyle name="Énfasis1 6" xfId="239" xr:uid="{00000000-0005-0000-0000-0000B9000000}"/>
    <cellStyle name="Énfasis2 2" xfId="240" xr:uid="{00000000-0005-0000-0000-0000BA000000}"/>
    <cellStyle name="Énfasis2 3" xfId="241" xr:uid="{00000000-0005-0000-0000-0000BB000000}"/>
    <cellStyle name="Énfasis2 4" xfId="242" xr:uid="{00000000-0005-0000-0000-0000BC000000}"/>
    <cellStyle name="Énfasis2 5" xfId="243" xr:uid="{00000000-0005-0000-0000-0000BD000000}"/>
    <cellStyle name="Énfasis2 6" xfId="244" xr:uid="{00000000-0005-0000-0000-0000BE000000}"/>
    <cellStyle name="Énfasis3 2" xfId="245" xr:uid="{00000000-0005-0000-0000-0000BF000000}"/>
    <cellStyle name="Énfasis3 3" xfId="246" xr:uid="{00000000-0005-0000-0000-0000C0000000}"/>
    <cellStyle name="Énfasis3 4" xfId="247" xr:uid="{00000000-0005-0000-0000-0000C1000000}"/>
    <cellStyle name="Énfasis3 5" xfId="248" xr:uid="{00000000-0005-0000-0000-0000C2000000}"/>
    <cellStyle name="Énfasis3 6" xfId="249" xr:uid="{00000000-0005-0000-0000-0000C3000000}"/>
    <cellStyle name="Énfasis4 2" xfId="250" xr:uid="{00000000-0005-0000-0000-0000C4000000}"/>
    <cellStyle name="Énfasis4 3" xfId="251" xr:uid="{00000000-0005-0000-0000-0000C5000000}"/>
    <cellStyle name="Énfasis4 4" xfId="252" xr:uid="{00000000-0005-0000-0000-0000C6000000}"/>
    <cellStyle name="Énfasis4 5" xfId="253" xr:uid="{00000000-0005-0000-0000-0000C7000000}"/>
    <cellStyle name="Énfasis4 6" xfId="254" xr:uid="{00000000-0005-0000-0000-0000C8000000}"/>
    <cellStyle name="Énfasis5 2" xfId="255" xr:uid="{00000000-0005-0000-0000-0000C9000000}"/>
    <cellStyle name="Énfasis5 3" xfId="256" xr:uid="{00000000-0005-0000-0000-0000CA000000}"/>
    <cellStyle name="Énfasis5 4" xfId="257" xr:uid="{00000000-0005-0000-0000-0000CB000000}"/>
    <cellStyle name="Énfasis5 5" xfId="258" xr:uid="{00000000-0005-0000-0000-0000CC000000}"/>
    <cellStyle name="Énfasis5 6" xfId="259" xr:uid="{00000000-0005-0000-0000-0000CD000000}"/>
    <cellStyle name="Énfasis6 2" xfId="260" xr:uid="{00000000-0005-0000-0000-0000CE000000}"/>
    <cellStyle name="Énfasis6 3" xfId="261" xr:uid="{00000000-0005-0000-0000-0000CF000000}"/>
    <cellStyle name="Énfasis6 4" xfId="262" xr:uid="{00000000-0005-0000-0000-0000D0000000}"/>
    <cellStyle name="Énfasis6 5" xfId="263" xr:uid="{00000000-0005-0000-0000-0000D1000000}"/>
    <cellStyle name="Énfasis6 6" xfId="264" xr:uid="{00000000-0005-0000-0000-0000D2000000}"/>
    <cellStyle name="Entrada 2" xfId="265" xr:uid="{00000000-0005-0000-0000-0000D3000000}"/>
    <cellStyle name="Entrada 3" xfId="266" xr:uid="{00000000-0005-0000-0000-0000D4000000}"/>
    <cellStyle name="Entrada 4" xfId="267" xr:uid="{00000000-0005-0000-0000-0000D5000000}"/>
    <cellStyle name="Entrada 5" xfId="268" xr:uid="{00000000-0005-0000-0000-0000D6000000}"/>
    <cellStyle name="Entrada 6" xfId="269" xr:uid="{00000000-0005-0000-0000-0000D7000000}"/>
    <cellStyle name="Estilo 1" xfId="270" xr:uid="{00000000-0005-0000-0000-0000D8000000}"/>
    <cellStyle name="Euro" xfId="271" xr:uid="{00000000-0005-0000-0000-0000D9000000}"/>
    <cellStyle name="Euro 2" xfId="272" xr:uid="{00000000-0005-0000-0000-0000DA000000}"/>
    <cellStyle name="Euro 2 2" xfId="3819" xr:uid="{00000000-0005-0000-0000-0000DB000000}"/>
    <cellStyle name="Euro 2 3" xfId="3820" xr:uid="{00000000-0005-0000-0000-0000DC000000}"/>
    <cellStyle name="Euro 3" xfId="273" xr:uid="{00000000-0005-0000-0000-0000DD000000}"/>
    <cellStyle name="Euro 4" xfId="274" xr:uid="{00000000-0005-0000-0000-0000DE000000}"/>
    <cellStyle name="Explanatory Text" xfId="275" xr:uid="{00000000-0005-0000-0000-0000DF000000}"/>
    <cellStyle name="F2" xfId="276" xr:uid="{00000000-0005-0000-0000-0000E0000000}"/>
    <cellStyle name="F3" xfId="277" xr:uid="{00000000-0005-0000-0000-0000E1000000}"/>
    <cellStyle name="F4" xfId="278" xr:uid="{00000000-0005-0000-0000-0000E2000000}"/>
    <cellStyle name="F5" xfId="279" xr:uid="{00000000-0005-0000-0000-0000E3000000}"/>
    <cellStyle name="F6" xfId="280" xr:uid="{00000000-0005-0000-0000-0000E4000000}"/>
    <cellStyle name="F7" xfId="281" xr:uid="{00000000-0005-0000-0000-0000E5000000}"/>
    <cellStyle name="F8" xfId="282" xr:uid="{00000000-0005-0000-0000-0000E6000000}"/>
    <cellStyle name="Fixed" xfId="283" xr:uid="{00000000-0005-0000-0000-0000E7000000}"/>
    <cellStyle name="Fixed 10" xfId="284" xr:uid="{00000000-0005-0000-0000-0000E8000000}"/>
    <cellStyle name="FIXED 11" xfId="3821" xr:uid="{00000000-0005-0000-0000-0000E9000000}"/>
    <cellStyle name="FIXED 12" xfId="3822" xr:uid="{00000000-0005-0000-0000-0000EA000000}"/>
    <cellStyle name="FIXED 13" xfId="3823" xr:uid="{00000000-0005-0000-0000-0000EB000000}"/>
    <cellStyle name="Fixed 2" xfId="285" xr:uid="{00000000-0005-0000-0000-0000EC000000}"/>
    <cellStyle name="FIXED 2 2" xfId="286" xr:uid="{00000000-0005-0000-0000-0000ED000000}"/>
    <cellStyle name="FIXED 2 3" xfId="287" xr:uid="{00000000-0005-0000-0000-0000EE000000}"/>
    <cellStyle name="FIXED 2 4" xfId="288" xr:uid="{00000000-0005-0000-0000-0000EF000000}"/>
    <cellStyle name="FIXED 2 5" xfId="289" xr:uid="{00000000-0005-0000-0000-0000F0000000}"/>
    <cellStyle name="FIXED 2 6" xfId="290" xr:uid="{00000000-0005-0000-0000-0000F1000000}"/>
    <cellStyle name="FIXED 2 7" xfId="291" xr:uid="{00000000-0005-0000-0000-0000F2000000}"/>
    <cellStyle name="FIXED 2 8" xfId="292" xr:uid="{00000000-0005-0000-0000-0000F3000000}"/>
    <cellStyle name="FIXED 3" xfId="293" xr:uid="{00000000-0005-0000-0000-0000F4000000}"/>
    <cellStyle name="FIXED 4" xfId="294" xr:uid="{00000000-0005-0000-0000-0000F5000000}"/>
    <cellStyle name="Fixed 5" xfId="295" xr:uid="{00000000-0005-0000-0000-0000F6000000}"/>
    <cellStyle name="Fixed 6" xfId="296" xr:uid="{00000000-0005-0000-0000-0000F7000000}"/>
    <cellStyle name="Fixed 7" xfId="297" xr:uid="{00000000-0005-0000-0000-0000F8000000}"/>
    <cellStyle name="Fixed 8" xfId="298" xr:uid="{00000000-0005-0000-0000-0000F9000000}"/>
    <cellStyle name="Fixed 9" xfId="299" xr:uid="{00000000-0005-0000-0000-0000FA000000}"/>
    <cellStyle name="Good" xfId="300" xr:uid="{00000000-0005-0000-0000-0000FB000000}"/>
    <cellStyle name="Heading 1" xfId="301" xr:uid="{00000000-0005-0000-0000-0000FC000000}"/>
    <cellStyle name="Heading 1 2" xfId="3824" xr:uid="{00000000-0005-0000-0000-0000FD000000}"/>
    <cellStyle name="Heading 2" xfId="302" xr:uid="{00000000-0005-0000-0000-0000FE000000}"/>
    <cellStyle name="Heading 3" xfId="303" xr:uid="{00000000-0005-0000-0000-0000FF000000}"/>
    <cellStyle name="Heading 3 2" xfId="3825" xr:uid="{00000000-0005-0000-0000-000000010000}"/>
    <cellStyle name="Heading 4" xfId="304" xr:uid="{00000000-0005-0000-0000-000001010000}"/>
    <cellStyle name="Heading1" xfId="305" xr:uid="{00000000-0005-0000-0000-000002010000}"/>
    <cellStyle name="HEADING1 2" xfId="3826" xr:uid="{00000000-0005-0000-0000-000003010000}"/>
    <cellStyle name="Heading2" xfId="306" xr:uid="{00000000-0005-0000-0000-000004010000}"/>
    <cellStyle name="HEADING2 2" xfId="3827" xr:uid="{00000000-0005-0000-0000-000005010000}"/>
    <cellStyle name="Hipervínculo" xfId="35" builtinId="8"/>
    <cellStyle name="Hipervínculo 2" xfId="53" xr:uid="{00000000-0005-0000-0000-000007010000}"/>
    <cellStyle name="Hipervínculo 2 2" xfId="307" xr:uid="{00000000-0005-0000-0000-000008010000}"/>
    <cellStyle name="Incorrecto 2" xfId="308" xr:uid="{00000000-0005-0000-0000-000009010000}"/>
    <cellStyle name="Incorrecto 3" xfId="309" xr:uid="{00000000-0005-0000-0000-00000A010000}"/>
    <cellStyle name="Incorrecto 4" xfId="310" xr:uid="{00000000-0005-0000-0000-00000B010000}"/>
    <cellStyle name="Incorrecto 5" xfId="311" xr:uid="{00000000-0005-0000-0000-00000C010000}"/>
    <cellStyle name="Incorrecto 6" xfId="312" xr:uid="{00000000-0005-0000-0000-00000D010000}"/>
    <cellStyle name="Input" xfId="313" xr:uid="{00000000-0005-0000-0000-00000E010000}"/>
    <cellStyle name="Linked Cell" xfId="314" xr:uid="{00000000-0005-0000-0000-00000F010000}"/>
    <cellStyle name="MILE DE MILLONES" xfId="315" xr:uid="{00000000-0005-0000-0000-000010010000}"/>
    <cellStyle name="MILES" xfId="316" xr:uid="{00000000-0005-0000-0000-000011010000}"/>
    <cellStyle name="Millares" xfId="1" builtinId="3"/>
    <cellStyle name="Millares [0]" xfId="56" builtinId="6"/>
    <cellStyle name="Millares [0] 10" xfId="3828" xr:uid="{00000000-0005-0000-0000-000014010000}"/>
    <cellStyle name="Millares [0] 2" xfId="3787" xr:uid="{00000000-0005-0000-0000-000015010000}"/>
    <cellStyle name="Millares [0] 3" xfId="3788" xr:uid="{00000000-0005-0000-0000-000016010000}"/>
    <cellStyle name="Millares [0] 4" xfId="3789" xr:uid="{00000000-0005-0000-0000-000017010000}"/>
    <cellStyle name="Millares [0] 5" xfId="3790" xr:uid="{00000000-0005-0000-0000-000018010000}"/>
    <cellStyle name="Millares [0] 6" xfId="3791" xr:uid="{00000000-0005-0000-0000-000019010000}"/>
    <cellStyle name="Millares [0] 7" xfId="3792" xr:uid="{00000000-0005-0000-0000-00001A010000}"/>
    <cellStyle name="Millares [2]" xfId="317" xr:uid="{00000000-0005-0000-0000-00001B010000}"/>
    <cellStyle name="Millares [2] 2" xfId="318" xr:uid="{00000000-0005-0000-0000-00001C010000}"/>
    <cellStyle name="Millares [2] 3" xfId="319" xr:uid="{00000000-0005-0000-0000-00001D010000}"/>
    <cellStyle name="Millares [2] 4" xfId="320" xr:uid="{00000000-0005-0000-0000-00001E010000}"/>
    <cellStyle name="Millares 10" xfId="321" xr:uid="{00000000-0005-0000-0000-00001F010000}"/>
    <cellStyle name="Millares 10 2" xfId="3829" xr:uid="{00000000-0005-0000-0000-000020010000}"/>
    <cellStyle name="Millares 10 3" xfId="3830" xr:uid="{00000000-0005-0000-0000-000021010000}"/>
    <cellStyle name="Millares 11" xfId="322" xr:uid="{00000000-0005-0000-0000-000022010000}"/>
    <cellStyle name="Millares 11 2" xfId="3831" xr:uid="{00000000-0005-0000-0000-000023010000}"/>
    <cellStyle name="Millares 11 3" xfId="3832" xr:uid="{00000000-0005-0000-0000-000024010000}"/>
    <cellStyle name="Millares 12" xfId="323" xr:uid="{00000000-0005-0000-0000-000025010000}"/>
    <cellStyle name="Millares 12 2" xfId="3833" xr:uid="{00000000-0005-0000-0000-000026010000}"/>
    <cellStyle name="Millares 12 3" xfId="3834" xr:uid="{00000000-0005-0000-0000-000027010000}"/>
    <cellStyle name="Millares 13" xfId="324" xr:uid="{00000000-0005-0000-0000-000028010000}"/>
    <cellStyle name="Millares 14" xfId="325" xr:uid="{00000000-0005-0000-0000-000029010000}"/>
    <cellStyle name="Millares 14 2" xfId="3835" xr:uid="{00000000-0005-0000-0000-00002A010000}"/>
    <cellStyle name="Millares 14 3" xfId="3836" xr:uid="{00000000-0005-0000-0000-00002B010000}"/>
    <cellStyle name="Millares 15" xfId="326" xr:uid="{00000000-0005-0000-0000-00002C010000}"/>
    <cellStyle name="Millares 15 2" xfId="3837" xr:uid="{00000000-0005-0000-0000-00002D010000}"/>
    <cellStyle name="Millares 15 3" xfId="3838" xr:uid="{00000000-0005-0000-0000-00002E010000}"/>
    <cellStyle name="Millares 16" xfId="327" xr:uid="{00000000-0005-0000-0000-00002F010000}"/>
    <cellStyle name="Millares 16 2" xfId="3793" xr:uid="{00000000-0005-0000-0000-000030010000}"/>
    <cellStyle name="Millares 16 2 2" xfId="3794" xr:uid="{00000000-0005-0000-0000-000031010000}"/>
    <cellStyle name="Millares 16 2 2 2" xfId="3839" xr:uid="{00000000-0005-0000-0000-000032010000}"/>
    <cellStyle name="Millares 16 2 3" xfId="3840" xr:uid="{00000000-0005-0000-0000-000033010000}"/>
    <cellStyle name="Millares 16 2 3 2" xfId="3841" xr:uid="{00000000-0005-0000-0000-000034010000}"/>
    <cellStyle name="Millares 16 3" xfId="3795" xr:uid="{00000000-0005-0000-0000-000035010000}"/>
    <cellStyle name="Millares 16 3 2" xfId="3842" xr:uid="{00000000-0005-0000-0000-000036010000}"/>
    <cellStyle name="Millares 16 3 3" xfId="3843" xr:uid="{00000000-0005-0000-0000-000037010000}"/>
    <cellStyle name="Millares 16 4" xfId="3844" xr:uid="{00000000-0005-0000-0000-000038010000}"/>
    <cellStyle name="Millares 16 5" xfId="3845" xr:uid="{00000000-0005-0000-0000-000039010000}"/>
    <cellStyle name="Millares 16 6" xfId="3846" xr:uid="{00000000-0005-0000-0000-00003A010000}"/>
    <cellStyle name="Millares 16 7" xfId="3847" xr:uid="{00000000-0005-0000-0000-00003B010000}"/>
    <cellStyle name="Millares 17" xfId="328" xr:uid="{00000000-0005-0000-0000-00003C010000}"/>
    <cellStyle name="Millares 18" xfId="329" xr:uid="{00000000-0005-0000-0000-00003D010000}"/>
    <cellStyle name="Millares 19" xfId="330" xr:uid="{00000000-0005-0000-0000-00003E010000}"/>
    <cellStyle name="Millares 2" xfId="14" xr:uid="{00000000-0005-0000-0000-00003F010000}"/>
    <cellStyle name="Millares 2 10" xfId="332" xr:uid="{00000000-0005-0000-0000-000040010000}"/>
    <cellStyle name="Millares 2 10 2" xfId="52" xr:uid="{00000000-0005-0000-0000-000041010000}"/>
    <cellStyle name="Millares 2 10 2 2" xfId="333" xr:uid="{00000000-0005-0000-0000-000042010000}"/>
    <cellStyle name="Millares 2 10 3" xfId="334" xr:uid="{00000000-0005-0000-0000-000043010000}"/>
    <cellStyle name="Millares 2 10 4" xfId="335" xr:uid="{00000000-0005-0000-0000-000044010000}"/>
    <cellStyle name="Millares 2 11" xfId="336" xr:uid="{00000000-0005-0000-0000-000045010000}"/>
    <cellStyle name="Millares 2 11 2" xfId="337" xr:uid="{00000000-0005-0000-0000-000046010000}"/>
    <cellStyle name="Millares 2 11 3" xfId="338" xr:uid="{00000000-0005-0000-0000-000047010000}"/>
    <cellStyle name="Millares 2 11 4" xfId="339" xr:uid="{00000000-0005-0000-0000-000048010000}"/>
    <cellStyle name="Millares 2 12" xfId="340" xr:uid="{00000000-0005-0000-0000-000049010000}"/>
    <cellStyle name="Millares 2 12 2" xfId="341" xr:uid="{00000000-0005-0000-0000-00004A010000}"/>
    <cellStyle name="Millares 2 12 3" xfId="342" xr:uid="{00000000-0005-0000-0000-00004B010000}"/>
    <cellStyle name="Millares 2 12 4" xfId="343" xr:uid="{00000000-0005-0000-0000-00004C010000}"/>
    <cellStyle name="Millares 2 13" xfId="344" xr:uid="{00000000-0005-0000-0000-00004D010000}"/>
    <cellStyle name="Millares 2 13 2" xfId="345" xr:uid="{00000000-0005-0000-0000-00004E010000}"/>
    <cellStyle name="Millares 2 13 3" xfId="346" xr:uid="{00000000-0005-0000-0000-00004F010000}"/>
    <cellStyle name="Millares 2 13 4" xfId="347" xr:uid="{00000000-0005-0000-0000-000050010000}"/>
    <cellStyle name="Millares 2 14" xfId="348" xr:uid="{00000000-0005-0000-0000-000051010000}"/>
    <cellStyle name="Millares 2 14 2" xfId="349" xr:uid="{00000000-0005-0000-0000-000052010000}"/>
    <cellStyle name="Millares 2 14 3" xfId="350" xr:uid="{00000000-0005-0000-0000-000053010000}"/>
    <cellStyle name="Millares 2 14 4" xfId="351" xr:uid="{00000000-0005-0000-0000-000054010000}"/>
    <cellStyle name="Millares 2 15" xfId="352" xr:uid="{00000000-0005-0000-0000-000055010000}"/>
    <cellStyle name="Millares 2 15 2" xfId="353" xr:uid="{00000000-0005-0000-0000-000056010000}"/>
    <cellStyle name="Millares 2 15 3" xfId="354" xr:uid="{00000000-0005-0000-0000-000057010000}"/>
    <cellStyle name="Millares 2 15 4" xfId="355" xr:uid="{00000000-0005-0000-0000-000058010000}"/>
    <cellStyle name="Millares 2 16" xfId="356" xr:uid="{00000000-0005-0000-0000-000059010000}"/>
    <cellStyle name="Millares 2 16 2" xfId="357" xr:uid="{00000000-0005-0000-0000-00005A010000}"/>
    <cellStyle name="Millares 2 16 3" xfId="358" xr:uid="{00000000-0005-0000-0000-00005B010000}"/>
    <cellStyle name="Millares 2 16 4" xfId="359" xr:uid="{00000000-0005-0000-0000-00005C010000}"/>
    <cellStyle name="Millares 2 17" xfId="360" xr:uid="{00000000-0005-0000-0000-00005D010000}"/>
    <cellStyle name="Millares 2 17 2" xfId="361" xr:uid="{00000000-0005-0000-0000-00005E010000}"/>
    <cellStyle name="Millares 2 17 3" xfId="362" xr:uid="{00000000-0005-0000-0000-00005F010000}"/>
    <cellStyle name="Millares 2 17 4" xfId="363" xr:uid="{00000000-0005-0000-0000-000060010000}"/>
    <cellStyle name="Millares 2 18" xfId="364" xr:uid="{00000000-0005-0000-0000-000061010000}"/>
    <cellStyle name="Millares 2 18 2" xfId="365" xr:uid="{00000000-0005-0000-0000-000062010000}"/>
    <cellStyle name="Millares 2 18 3" xfId="366" xr:uid="{00000000-0005-0000-0000-000063010000}"/>
    <cellStyle name="Millares 2 18 4" xfId="367" xr:uid="{00000000-0005-0000-0000-000064010000}"/>
    <cellStyle name="Millares 2 19" xfId="368" xr:uid="{00000000-0005-0000-0000-000065010000}"/>
    <cellStyle name="Millares 2 19 2" xfId="369" xr:uid="{00000000-0005-0000-0000-000066010000}"/>
    <cellStyle name="Millares 2 19 3" xfId="370" xr:uid="{00000000-0005-0000-0000-000067010000}"/>
    <cellStyle name="Millares 2 19 4" xfId="371" xr:uid="{00000000-0005-0000-0000-000068010000}"/>
    <cellStyle name="Millares 2 2" xfId="24" xr:uid="{00000000-0005-0000-0000-000069010000}"/>
    <cellStyle name="Millares 2 2 2" xfId="373" xr:uid="{00000000-0005-0000-0000-00006A010000}"/>
    <cellStyle name="Millares 2 2 3" xfId="374" xr:uid="{00000000-0005-0000-0000-00006B010000}"/>
    <cellStyle name="Millares 2 2 4" xfId="375" xr:uid="{00000000-0005-0000-0000-00006C010000}"/>
    <cellStyle name="Millares 2 2 5" xfId="376" xr:uid="{00000000-0005-0000-0000-00006D010000}"/>
    <cellStyle name="Millares 2 2 6" xfId="3848" xr:uid="{00000000-0005-0000-0000-00006E010000}"/>
    <cellStyle name="Millares 2 2 7" xfId="3849" xr:uid="{00000000-0005-0000-0000-00006F010000}"/>
    <cellStyle name="Millares 2 2 8" xfId="372" xr:uid="{00000000-0005-0000-0000-000070010000}"/>
    <cellStyle name="Millares 2 20" xfId="377" xr:uid="{00000000-0005-0000-0000-000071010000}"/>
    <cellStyle name="Millares 2 20 2" xfId="378" xr:uid="{00000000-0005-0000-0000-000072010000}"/>
    <cellStyle name="Millares 2 20 3" xfId="379" xr:uid="{00000000-0005-0000-0000-000073010000}"/>
    <cellStyle name="Millares 2 20 4" xfId="380" xr:uid="{00000000-0005-0000-0000-000074010000}"/>
    <cellStyle name="Millares 2 21" xfId="381" xr:uid="{00000000-0005-0000-0000-000075010000}"/>
    <cellStyle name="Millares 2 21 2" xfId="382" xr:uid="{00000000-0005-0000-0000-000076010000}"/>
    <cellStyle name="Millares 2 21 3" xfId="383" xr:uid="{00000000-0005-0000-0000-000077010000}"/>
    <cellStyle name="Millares 2 21 4" xfId="384" xr:uid="{00000000-0005-0000-0000-000078010000}"/>
    <cellStyle name="Millares 2 22" xfId="385" xr:uid="{00000000-0005-0000-0000-000079010000}"/>
    <cellStyle name="Millares 2 22 2" xfId="386" xr:uid="{00000000-0005-0000-0000-00007A010000}"/>
    <cellStyle name="Millares 2 22 3" xfId="387" xr:uid="{00000000-0005-0000-0000-00007B010000}"/>
    <cellStyle name="Millares 2 22 4" xfId="388" xr:uid="{00000000-0005-0000-0000-00007C010000}"/>
    <cellStyle name="Millares 2 23" xfId="389" xr:uid="{00000000-0005-0000-0000-00007D010000}"/>
    <cellStyle name="Millares 2 23 2" xfId="390" xr:uid="{00000000-0005-0000-0000-00007E010000}"/>
    <cellStyle name="Millares 2 23 3" xfId="391" xr:uid="{00000000-0005-0000-0000-00007F010000}"/>
    <cellStyle name="Millares 2 23 4" xfId="392" xr:uid="{00000000-0005-0000-0000-000080010000}"/>
    <cellStyle name="Millares 2 24" xfId="393" xr:uid="{00000000-0005-0000-0000-000081010000}"/>
    <cellStyle name="Millares 2 24 2" xfId="394" xr:uid="{00000000-0005-0000-0000-000082010000}"/>
    <cellStyle name="Millares 2 24 3" xfId="395" xr:uid="{00000000-0005-0000-0000-000083010000}"/>
    <cellStyle name="Millares 2 24 4" xfId="396" xr:uid="{00000000-0005-0000-0000-000084010000}"/>
    <cellStyle name="Millares 2 25" xfId="397" xr:uid="{00000000-0005-0000-0000-000085010000}"/>
    <cellStyle name="Millares 2 25 2" xfId="398" xr:uid="{00000000-0005-0000-0000-000086010000}"/>
    <cellStyle name="Millares 2 25 3" xfId="399" xr:uid="{00000000-0005-0000-0000-000087010000}"/>
    <cellStyle name="Millares 2 25 4" xfId="400" xr:uid="{00000000-0005-0000-0000-000088010000}"/>
    <cellStyle name="Millares 2 26" xfId="401" xr:uid="{00000000-0005-0000-0000-000089010000}"/>
    <cellStyle name="Millares 2 26 2" xfId="402" xr:uid="{00000000-0005-0000-0000-00008A010000}"/>
    <cellStyle name="Millares 2 26 3" xfId="403" xr:uid="{00000000-0005-0000-0000-00008B010000}"/>
    <cellStyle name="Millares 2 26 4" xfId="404" xr:uid="{00000000-0005-0000-0000-00008C010000}"/>
    <cellStyle name="Millares 2 27" xfId="405" xr:uid="{00000000-0005-0000-0000-00008D010000}"/>
    <cellStyle name="Millares 2 27 2" xfId="406" xr:uid="{00000000-0005-0000-0000-00008E010000}"/>
    <cellStyle name="Millares 2 27 3" xfId="407" xr:uid="{00000000-0005-0000-0000-00008F010000}"/>
    <cellStyle name="Millares 2 27 4" xfId="408" xr:uid="{00000000-0005-0000-0000-000090010000}"/>
    <cellStyle name="Millares 2 28" xfId="409" xr:uid="{00000000-0005-0000-0000-000091010000}"/>
    <cellStyle name="Millares 2 28 2" xfId="410" xr:uid="{00000000-0005-0000-0000-000092010000}"/>
    <cellStyle name="Millares 2 28 3" xfId="411" xr:uid="{00000000-0005-0000-0000-000093010000}"/>
    <cellStyle name="Millares 2 28 4" xfId="412" xr:uid="{00000000-0005-0000-0000-000094010000}"/>
    <cellStyle name="Millares 2 29" xfId="413" xr:uid="{00000000-0005-0000-0000-000095010000}"/>
    <cellStyle name="Millares 2 29 2" xfId="414" xr:uid="{00000000-0005-0000-0000-000096010000}"/>
    <cellStyle name="Millares 2 29 3" xfId="415" xr:uid="{00000000-0005-0000-0000-000097010000}"/>
    <cellStyle name="Millares 2 29 4" xfId="416" xr:uid="{00000000-0005-0000-0000-000098010000}"/>
    <cellStyle name="Millares 2 3" xfId="417" xr:uid="{00000000-0005-0000-0000-000099010000}"/>
    <cellStyle name="Millares 2 3 2" xfId="418" xr:uid="{00000000-0005-0000-0000-00009A010000}"/>
    <cellStyle name="Millares 2 3 3" xfId="419" xr:uid="{00000000-0005-0000-0000-00009B010000}"/>
    <cellStyle name="Millares 2 3 4" xfId="420" xr:uid="{00000000-0005-0000-0000-00009C010000}"/>
    <cellStyle name="Millares 2 3 5" xfId="3850" xr:uid="{00000000-0005-0000-0000-00009D010000}"/>
    <cellStyle name="Millares 2 3 6" xfId="3851" xr:uid="{00000000-0005-0000-0000-00009E010000}"/>
    <cellStyle name="Millares 2 30" xfId="421" xr:uid="{00000000-0005-0000-0000-00009F010000}"/>
    <cellStyle name="Millares 2 30 2" xfId="422" xr:uid="{00000000-0005-0000-0000-0000A0010000}"/>
    <cellStyle name="Millares 2 30 3" xfId="423" xr:uid="{00000000-0005-0000-0000-0000A1010000}"/>
    <cellStyle name="Millares 2 30 4" xfId="424" xr:uid="{00000000-0005-0000-0000-0000A2010000}"/>
    <cellStyle name="Millares 2 31" xfId="425" xr:uid="{00000000-0005-0000-0000-0000A3010000}"/>
    <cellStyle name="Millares 2 32" xfId="3852" xr:uid="{00000000-0005-0000-0000-0000A4010000}"/>
    <cellStyle name="Millares 2 33" xfId="3853" xr:uid="{00000000-0005-0000-0000-0000A5010000}"/>
    <cellStyle name="Millares 2 34" xfId="17" xr:uid="{00000000-0005-0000-0000-0000A6010000}"/>
    <cellStyle name="Millares 2 34 2" xfId="3854" xr:uid="{00000000-0005-0000-0000-0000A7010000}"/>
    <cellStyle name="Millares 2 35" xfId="331" xr:uid="{00000000-0005-0000-0000-0000A8010000}"/>
    <cellStyle name="Millares 2 4" xfId="426" xr:uid="{00000000-0005-0000-0000-0000A9010000}"/>
    <cellStyle name="Millares 2 4 2" xfId="427" xr:uid="{00000000-0005-0000-0000-0000AA010000}"/>
    <cellStyle name="Millares 2 4 3" xfId="428" xr:uid="{00000000-0005-0000-0000-0000AB010000}"/>
    <cellStyle name="Millares 2 4 4" xfId="429" xr:uid="{00000000-0005-0000-0000-0000AC010000}"/>
    <cellStyle name="Millares 2 4 5" xfId="3855" xr:uid="{00000000-0005-0000-0000-0000AD010000}"/>
    <cellStyle name="Millares 2 4 6" xfId="3856" xr:uid="{00000000-0005-0000-0000-0000AE010000}"/>
    <cellStyle name="Millares 2 5" xfId="430" xr:uid="{00000000-0005-0000-0000-0000AF010000}"/>
    <cellStyle name="Millares 2 5 2" xfId="431" xr:uid="{00000000-0005-0000-0000-0000B0010000}"/>
    <cellStyle name="Millares 2 5 3" xfId="432" xr:uid="{00000000-0005-0000-0000-0000B1010000}"/>
    <cellStyle name="Millares 2 5 4" xfId="433" xr:uid="{00000000-0005-0000-0000-0000B2010000}"/>
    <cellStyle name="Millares 2 6" xfId="434" xr:uid="{00000000-0005-0000-0000-0000B3010000}"/>
    <cellStyle name="Millares 2 6 2" xfId="435" xr:uid="{00000000-0005-0000-0000-0000B4010000}"/>
    <cellStyle name="Millares 2 6 3" xfId="436" xr:uid="{00000000-0005-0000-0000-0000B5010000}"/>
    <cellStyle name="Millares 2 6 4" xfId="437" xr:uid="{00000000-0005-0000-0000-0000B6010000}"/>
    <cellStyle name="Millares 2 6 5" xfId="438" xr:uid="{00000000-0005-0000-0000-0000B7010000}"/>
    <cellStyle name="Millares 2 6 6" xfId="439" xr:uid="{00000000-0005-0000-0000-0000B8010000}"/>
    <cellStyle name="Millares 2 6 7" xfId="440" xr:uid="{00000000-0005-0000-0000-0000B9010000}"/>
    <cellStyle name="Millares 2 6 8" xfId="441" xr:uid="{00000000-0005-0000-0000-0000BA010000}"/>
    <cellStyle name="Millares 2 6 9" xfId="3857" xr:uid="{00000000-0005-0000-0000-0000BB010000}"/>
    <cellStyle name="Millares 2 7" xfId="442" xr:uid="{00000000-0005-0000-0000-0000BC010000}"/>
    <cellStyle name="Millares 2 7 2" xfId="443" xr:uid="{00000000-0005-0000-0000-0000BD010000}"/>
    <cellStyle name="Millares 2 7 3" xfId="444" xr:uid="{00000000-0005-0000-0000-0000BE010000}"/>
    <cellStyle name="Millares 2 7 4" xfId="445" xr:uid="{00000000-0005-0000-0000-0000BF010000}"/>
    <cellStyle name="Millares 2 7 5" xfId="3858" xr:uid="{00000000-0005-0000-0000-0000C0010000}"/>
    <cellStyle name="Millares 2 8" xfId="446" xr:uid="{00000000-0005-0000-0000-0000C1010000}"/>
    <cellStyle name="Millares 2 8 2" xfId="447" xr:uid="{00000000-0005-0000-0000-0000C2010000}"/>
    <cellStyle name="Millares 2 8 3" xfId="448" xr:uid="{00000000-0005-0000-0000-0000C3010000}"/>
    <cellStyle name="Millares 2 8 4" xfId="449" xr:uid="{00000000-0005-0000-0000-0000C4010000}"/>
    <cellStyle name="Millares 2 8 5" xfId="3859" xr:uid="{00000000-0005-0000-0000-0000C5010000}"/>
    <cellStyle name="Millares 2 9" xfId="450" xr:uid="{00000000-0005-0000-0000-0000C6010000}"/>
    <cellStyle name="Millares 2 9 2" xfId="451" xr:uid="{00000000-0005-0000-0000-0000C7010000}"/>
    <cellStyle name="Millares 2 9 3" xfId="452" xr:uid="{00000000-0005-0000-0000-0000C8010000}"/>
    <cellStyle name="Millares 2 9 4" xfId="453" xr:uid="{00000000-0005-0000-0000-0000C9010000}"/>
    <cellStyle name="Millares 20" xfId="454" xr:uid="{00000000-0005-0000-0000-0000CA010000}"/>
    <cellStyle name="Millares 21" xfId="455" xr:uid="{00000000-0005-0000-0000-0000CB010000}"/>
    <cellStyle name="Millares 22" xfId="456" xr:uid="{00000000-0005-0000-0000-0000CC010000}"/>
    <cellStyle name="Millares 23" xfId="457" xr:uid="{00000000-0005-0000-0000-0000CD010000}"/>
    <cellStyle name="Millares 24" xfId="458" xr:uid="{00000000-0005-0000-0000-0000CE010000}"/>
    <cellStyle name="Millares 25" xfId="459" xr:uid="{00000000-0005-0000-0000-0000CF010000}"/>
    <cellStyle name="Millares 26" xfId="460" xr:uid="{00000000-0005-0000-0000-0000D0010000}"/>
    <cellStyle name="Millares 27" xfId="461" xr:uid="{00000000-0005-0000-0000-0000D1010000}"/>
    <cellStyle name="Millares 28" xfId="462" xr:uid="{00000000-0005-0000-0000-0000D2010000}"/>
    <cellStyle name="Millares 29" xfId="463" xr:uid="{00000000-0005-0000-0000-0000D3010000}"/>
    <cellStyle name="Millares 3" xfId="34" xr:uid="{00000000-0005-0000-0000-0000D4010000}"/>
    <cellStyle name="Millares 3 2" xfId="465" xr:uid="{00000000-0005-0000-0000-0000D5010000}"/>
    <cellStyle name="Millares 3 2 2" xfId="3860" xr:uid="{00000000-0005-0000-0000-0000D6010000}"/>
    <cellStyle name="Millares 3 2 3" xfId="3861" xr:uid="{00000000-0005-0000-0000-0000D7010000}"/>
    <cellStyle name="Millares 3 3" xfId="466" xr:uid="{00000000-0005-0000-0000-0000D8010000}"/>
    <cellStyle name="Millares 3 4" xfId="467" xr:uid="{00000000-0005-0000-0000-0000D9010000}"/>
    <cellStyle name="Millares 3 4 2" xfId="3862" xr:uid="{00000000-0005-0000-0000-0000DA010000}"/>
    <cellStyle name="Millares 3 5" xfId="3796" xr:uid="{00000000-0005-0000-0000-0000DB010000}"/>
    <cellStyle name="Millares 3 6" xfId="3863" xr:uid="{00000000-0005-0000-0000-0000DC010000}"/>
    <cellStyle name="Millares 3 7" xfId="3864" xr:uid="{00000000-0005-0000-0000-0000DD010000}"/>
    <cellStyle name="Millares 3 8" xfId="464" xr:uid="{00000000-0005-0000-0000-0000DE010000}"/>
    <cellStyle name="Millares 30" xfId="468" xr:uid="{00000000-0005-0000-0000-0000DF010000}"/>
    <cellStyle name="Millares 31" xfId="469" xr:uid="{00000000-0005-0000-0000-0000E0010000}"/>
    <cellStyle name="Millares 31 2" xfId="3865" xr:uid="{00000000-0005-0000-0000-0000E1010000}"/>
    <cellStyle name="Millares 31 3" xfId="3866" xr:uid="{00000000-0005-0000-0000-0000E2010000}"/>
    <cellStyle name="Millares 32" xfId="470" xr:uid="{00000000-0005-0000-0000-0000E3010000}"/>
    <cellStyle name="Millares 32 2" xfId="3867" xr:uid="{00000000-0005-0000-0000-0000E4010000}"/>
    <cellStyle name="Millares 32 3" xfId="3868" xr:uid="{00000000-0005-0000-0000-0000E5010000}"/>
    <cellStyle name="Millares 33" xfId="471" xr:uid="{00000000-0005-0000-0000-0000E6010000}"/>
    <cellStyle name="Millares 33 2" xfId="3869" xr:uid="{00000000-0005-0000-0000-0000E7010000}"/>
    <cellStyle name="Millares 33 3" xfId="3870" xr:uid="{00000000-0005-0000-0000-0000E8010000}"/>
    <cellStyle name="Millares 34" xfId="472" xr:uid="{00000000-0005-0000-0000-0000E9010000}"/>
    <cellStyle name="Millares 34 2" xfId="3871" xr:uid="{00000000-0005-0000-0000-0000EA010000}"/>
    <cellStyle name="Millares 35" xfId="3872" xr:uid="{00000000-0005-0000-0000-0000EB010000}"/>
    <cellStyle name="Millares 36" xfId="3873" xr:uid="{00000000-0005-0000-0000-0000EC010000}"/>
    <cellStyle name="Millares 37" xfId="3874" xr:uid="{00000000-0005-0000-0000-0000ED010000}"/>
    <cellStyle name="Millares 38" xfId="3875" xr:uid="{00000000-0005-0000-0000-0000EE010000}"/>
    <cellStyle name="Millares 39" xfId="3876" xr:uid="{00000000-0005-0000-0000-0000EF010000}"/>
    <cellStyle name="Millares 4" xfId="473" xr:uid="{00000000-0005-0000-0000-0000F0010000}"/>
    <cellStyle name="Millares 4 2" xfId="474" xr:uid="{00000000-0005-0000-0000-0000F1010000}"/>
    <cellStyle name="Millares 4 3" xfId="475" xr:uid="{00000000-0005-0000-0000-0000F2010000}"/>
    <cellStyle name="Millares 4 4" xfId="476" xr:uid="{00000000-0005-0000-0000-0000F3010000}"/>
    <cellStyle name="Millares 4 5" xfId="477" xr:uid="{00000000-0005-0000-0000-0000F4010000}"/>
    <cellStyle name="Millares 4 6" xfId="3877" xr:uid="{00000000-0005-0000-0000-0000F5010000}"/>
    <cellStyle name="Millares 4 7" xfId="3878" xr:uid="{00000000-0005-0000-0000-0000F6010000}"/>
    <cellStyle name="Millares 40" xfId="3879" xr:uid="{00000000-0005-0000-0000-0000F7010000}"/>
    <cellStyle name="Millares 41" xfId="21" xr:uid="{00000000-0005-0000-0000-0000F8010000}"/>
    <cellStyle name="Millares 41 2" xfId="3880" xr:uid="{00000000-0005-0000-0000-0000F9010000}"/>
    <cellStyle name="Millares 42" xfId="3782" xr:uid="{00000000-0005-0000-0000-0000FA010000}"/>
    <cellStyle name="Millares 5" xfId="478" xr:uid="{00000000-0005-0000-0000-0000FB010000}"/>
    <cellStyle name="Millares 5 2" xfId="479" xr:uid="{00000000-0005-0000-0000-0000FC010000}"/>
    <cellStyle name="Millares 5 3" xfId="480" xr:uid="{00000000-0005-0000-0000-0000FD010000}"/>
    <cellStyle name="Millares 5 4" xfId="481" xr:uid="{00000000-0005-0000-0000-0000FE010000}"/>
    <cellStyle name="Millares 5 5" xfId="482" xr:uid="{00000000-0005-0000-0000-0000FF010000}"/>
    <cellStyle name="Millares 5 6" xfId="3881" xr:uid="{00000000-0005-0000-0000-000000020000}"/>
    <cellStyle name="Millares 5 7" xfId="3882" xr:uid="{00000000-0005-0000-0000-000001020000}"/>
    <cellStyle name="Millares 6" xfId="483" xr:uid="{00000000-0005-0000-0000-000002020000}"/>
    <cellStyle name="Millares 6 2" xfId="484" xr:uid="{00000000-0005-0000-0000-000003020000}"/>
    <cellStyle name="Millares 6 3" xfId="485" xr:uid="{00000000-0005-0000-0000-000004020000}"/>
    <cellStyle name="Millares 6 4" xfId="486" xr:uid="{00000000-0005-0000-0000-000005020000}"/>
    <cellStyle name="Millares 6 5" xfId="487" xr:uid="{00000000-0005-0000-0000-000006020000}"/>
    <cellStyle name="Millares 6 6" xfId="3883" xr:uid="{00000000-0005-0000-0000-000007020000}"/>
    <cellStyle name="Millares 6 7" xfId="3884" xr:uid="{00000000-0005-0000-0000-000008020000}"/>
    <cellStyle name="Millares 7" xfId="488" xr:uid="{00000000-0005-0000-0000-000009020000}"/>
    <cellStyle name="Millares 7 2" xfId="489" xr:uid="{00000000-0005-0000-0000-00000A020000}"/>
    <cellStyle name="Millares 7 3" xfId="490" xr:uid="{00000000-0005-0000-0000-00000B020000}"/>
    <cellStyle name="Millares 7 4" xfId="491" xr:uid="{00000000-0005-0000-0000-00000C020000}"/>
    <cellStyle name="Millares 7 5" xfId="3885" xr:uid="{00000000-0005-0000-0000-00000D020000}"/>
    <cellStyle name="Millares 7 6" xfId="3886" xr:uid="{00000000-0005-0000-0000-00000E020000}"/>
    <cellStyle name="Millares 8" xfId="492" xr:uid="{00000000-0005-0000-0000-00000F020000}"/>
    <cellStyle name="Millares 8 2" xfId="3887" xr:uid="{00000000-0005-0000-0000-000010020000}"/>
    <cellStyle name="Millares 8 3" xfId="3888" xr:uid="{00000000-0005-0000-0000-000011020000}"/>
    <cellStyle name="Millares 9" xfId="493" xr:uid="{00000000-0005-0000-0000-000012020000}"/>
    <cellStyle name="Millares 9 2" xfId="494" xr:uid="{00000000-0005-0000-0000-000013020000}"/>
    <cellStyle name="Millares 9 3" xfId="3889" xr:uid="{00000000-0005-0000-0000-000014020000}"/>
    <cellStyle name="Millares 9 4" xfId="3890" xr:uid="{00000000-0005-0000-0000-000015020000}"/>
    <cellStyle name="Millares 9 5" xfId="3891" xr:uid="{00000000-0005-0000-0000-000016020000}"/>
    <cellStyle name="Millares_FORMULARIO 4 - M-OFERENTE PPTA ECONOMICA" xfId="31" xr:uid="{00000000-0005-0000-0000-000017020000}"/>
    <cellStyle name="MILLONES" xfId="495" xr:uid="{00000000-0005-0000-0000-000018020000}"/>
    <cellStyle name="Moneda" xfId="2" builtinId="4"/>
    <cellStyle name="Moneda [0]" xfId="57" builtinId="7"/>
    <cellStyle name="Moneda [0] 2" xfId="37" xr:uid="{00000000-0005-0000-0000-00001B020000}"/>
    <cellStyle name="Moneda [0] 2 2" xfId="3797" xr:uid="{00000000-0005-0000-0000-00001C020000}"/>
    <cellStyle name="Moneda [0] 4" xfId="7" xr:uid="{00000000-0005-0000-0000-00001D020000}"/>
    <cellStyle name="Moneda 10" xfId="496" xr:uid="{00000000-0005-0000-0000-00001E020000}"/>
    <cellStyle name="Moneda 10 2" xfId="3892" xr:uid="{00000000-0005-0000-0000-00001F020000}"/>
    <cellStyle name="Moneda 11" xfId="497" xr:uid="{00000000-0005-0000-0000-000020020000}"/>
    <cellStyle name="Moneda 11 2" xfId="3893" xr:uid="{00000000-0005-0000-0000-000021020000}"/>
    <cellStyle name="Moneda 12" xfId="498" xr:uid="{00000000-0005-0000-0000-000022020000}"/>
    <cellStyle name="Moneda 12 2" xfId="3894" xr:uid="{00000000-0005-0000-0000-000023020000}"/>
    <cellStyle name="Moneda 13" xfId="499" xr:uid="{00000000-0005-0000-0000-000024020000}"/>
    <cellStyle name="Moneda 13 2" xfId="3895" xr:uid="{00000000-0005-0000-0000-000025020000}"/>
    <cellStyle name="Moneda 14" xfId="500" xr:uid="{00000000-0005-0000-0000-000026020000}"/>
    <cellStyle name="Moneda 14 2" xfId="3896" xr:uid="{00000000-0005-0000-0000-000027020000}"/>
    <cellStyle name="Moneda 14 3" xfId="3897" xr:uid="{00000000-0005-0000-0000-000028020000}"/>
    <cellStyle name="Moneda 15" xfId="501" xr:uid="{00000000-0005-0000-0000-000029020000}"/>
    <cellStyle name="Moneda 16" xfId="502" xr:uid="{00000000-0005-0000-0000-00002A020000}"/>
    <cellStyle name="Moneda 17" xfId="503" xr:uid="{00000000-0005-0000-0000-00002B020000}"/>
    <cellStyle name="Moneda 18" xfId="504" xr:uid="{00000000-0005-0000-0000-00002C020000}"/>
    <cellStyle name="Moneda 19" xfId="505" xr:uid="{00000000-0005-0000-0000-00002D020000}"/>
    <cellStyle name="Moneda 2" xfId="11" xr:uid="{00000000-0005-0000-0000-00002E020000}"/>
    <cellStyle name="Moneda 2 10" xfId="507" xr:uid="{00000000-0005-0000-0000-00002F020000}"/>
    <cellStyle name="Moneda 2 10 2" xfId="46" xr:uid="{00000000-0005-0000-0000-000030020000}"/>
    <cellStyle name="Moneda 2 10 2 2" xfId="508" xr:uid="{00000000-0005-0000-0000-000031020000}"/>
    <cellStyle name="Moneda 2 10 3" xfId="509" xr:uid="{00000000-0005-0000-0000-000032020000}"/>
    <cellStyle name="Moneda 2 10 4" xfId="510" xr:uid="{00000000-0005-0000-0000-000033020000}"/>
    <cellStyle name="Moneda 2 11" xfId="511" xr:uid="{00000000-0005-0000-0000-000034020000}"/>
    <cellStyle name="Moneda 2 11 2" xfId="512" xr:uid="{00000000-0005-0000-0000-000035020000}"/>
    <cellStyle name="Moneda 2 11 3" xfId="513" xr:uid="{00000000-0005-0000-0000-000036020000}"/>
    <cellStyle name="Moneda 2 11 4" xfId="514" xr:uid="{00000000-0005-0000-0000-000037020000}"/>
    <cellStyle name="Moneda 2 12" xfId="515" xr:uid="{00000000-0005-0000-0000-000038020000}"/>
    <cellStyle name="Moneda 2 12 2" xfId="516" xr:uid="{00000000-0005-0000-0000-000039020000}"/>
    <cellStyle name="Moneda 2 12 3" xfId="517" xr:uid="{00000000-0005-0000-0000-00003A020000}"/>
    <cellStyle name="Moneda 2 12 4" xfId="518" xr:uid="{00000000-0005-0000-0000-00003B020000}"/>
    <cellStyle name="Moneda 2 12 5" xfId="519" xr:uid="{00000000-0005-0000-0000-00003C020000}"/>
    <cellStyle name="Moneda 2 12 6" xfId="520" xr:uid="{00000000-0005-0000-0000-00003D020000}"/>
    <cellStyle name="Moneda 2 12 7" xfId="521" xr:uid="{00000000-0005-0000-0000-00003E020000}"/>
    <cellStyle name="Moneda 2 12 8" xfId="522" xr:uid="{00000000-0005-0000-0000-00003F020000}"/>
    <cellStyle name="Moneda 2 13" xfId="523" xr:uid="{00000000-0005-0000-0000-000040020000}"/>
    <cellStyle name="Moneda 2 13 2" xfId="524" xr:uid="{00000000-0005-0000-0000-000041020000}"/>
    <cellStyle name="Moneda 2 13 3" xfId="525" xr:uid="{00000000-0005-0000-0000-000042020000}"/>
    <cellStyle name="Moneda 2 13 4" xfId="526" xr:uid="{00000000-0005-0000-0000-000043020000}"/>
    <cellStyle name="Moneda 2 14" xfId="527" xr:uid="{00000000-0005-0000-0000-000044020000}"/>
    <cellStyle name="Moneda 2 14 2" xfId="528" xr:uid="{00000000-0005-0000-0000-000045020000}"/>
    <cellStyle name="Moneda 2 14 3" xfId="529" xr:uid="{00000000-0005-0000-0000-000046020000}"/>
    <cellStyle name="Moneda 2 14 4" xfId="530" xr:uid="{00000000-0005-0000-0000-000047020000}"/>
    <cellStyle name="Moneda 2 15" xfId="531" xr:uid="{00000000-0005-0000-0000-000048020000}"/>
    <cellStyle name="Moneda 2 15 2" xfId="532" xr:uid="{00000000-0005-0000-0000-000049020000}"/>
    <cellStyle name="Moneda 2 15 3" xfId="533" xr:uid="{00000000-0005-0000-0000-00004A020000}"/>
    <cellStyle name="Moneda 2 15 4" xfId="534" xr:uid="{00000000-0005-0000-0000-00004B020000}"/>
    <cellStyle name="Moneda 2 16" xfId="535" xr:uid="{00000000-0005-0000-0000-00004C020000}"/>
    <cellStyle name="Moneda 2 16 2" xfId="536" xr:uid="{00000000-0005-0000-0000-00004D020000}"/>
    <cellStyle name="Moneda 2 16 3" xfId="537" xr:uid="{00000000-0005-0000-0000-00004E020000}"/>
    <cellStyle name="Moneda 2 16 4" xfId="538" xr:uid="{00000000-0005-0000-0000-00004F020000}"/>
    <cellStyle name="Moneda 2 17" xfId="539" xr:uid="{00000000-0005-0000-0000-000050020000}"/>
    <cellStyle name="Moneda 2 17 2" xfId="540" xr:uid="{00000000-0005-0000-0000-000051020000}"/>
    <cellStyle name="Moneda 2 17 3" xfId="541" xr:uid="{00000000-0005-0000-0000-000052020000}"/>
    <cellStyle name="Moneda 2 17 4" xfId="542" xr:uid="{00000000-0005-0000-0000-000053020000}"/>
    <cellStyle name="Moneda 2 18" xfId="543" xr:uid="{00000000-0005-0000-0000-000054020000}"/>
    <cellStyle name="Moneda 2 18 2" xfId="544" xr:uid="{00000000-0005-0000-0000-000055020000}"/>
    <cellStyle name="Moneda 2 18 3" xfId="545" xr:uid="{00000000-0005-0000-0000-000056020000}"/>
    <cellStyle name="Moneda 2 18 4" xfId="546" xr:uid="{00000000-0005-0000-0000-000057020000}"/>
    <cellStyle name="Moneda 2 19" xfId="547" xr:uid="{00000000-0005-0000-0000-000058020000}"/>
    <cellStyle name="Moneda 2 19 2" xfId="548" xr:uid="{00000000-0005-0000-0000-000059020000}"/>
    <cellStyle name="Moneda 2 19 3" xfId="549" xr:uid="{00000000-0005-0000-0000-00005A020000}"/>
    <cellStyle name="Moneda 2 19 4" xfId="550" xr:uid="{00000000-0005-0000-0000-00005B020000}"/>
    <cellStyle name="Moneda 2 2" xfId="26" xr:uid="{00000000-0005-0000-0000-00005C020000}"/>
    <cellStyle name="Moneda 2 2 10" xfId="551" xr:uid="{00000000-0005-0000-0000-00005D020000}"/>
    <cellStyle name="Moneda 2 2 10 2" xfId="552" xr:uid="{00000000-0005-0000-0000-00005E020000}"/>
    <cellStyle name="Moneda 2 2 10 3" xfId="553" xr:uid="{00000000-0005-0000-0000-00005F020000}"/>
    <cellStyle name="Moneda 2 2 10 4" xfId="554" xr:uid="{00000000-0005-0000-0000-000060020000}"/>
    <cellStyle name="Moneda 2 2 11" xfId="555" xr:uid="{00000000-0005-0000-0000-000061020000}"/>
    <cellStyle name="Moneda 2 2 11 2" xfId="556" xr:uid="{00000000-0005-0000-0000-000062020000}"/>
    <cellStyle name="Moneda 2 2 11 3" xfId="557" xr:uid="{00000000-0005-0000-0000-000063020000}"/>
    <cellStyle name="Moneda 2 2 11 4" xfId="558" xr:uid="{00000000-0005-0000-0000-000064020000}"/>
    <cellStyle name="Moneda 2 2 12" xfId="559" xr:uid="{00000000-0005-0000-0000-000065020000}"/>
    <cellStyle name="Moneda 2 2 12 2" xfId="560" xr:uid="{00000000-0005-0000-0000-000066020000}"/>
    <cellStyle name="Moneda 2 2 12 3" xfId="561" xr:uid="{00000000-0005-0000-0000-000067020000}"/>
    <cellStyle name="Moneda 2 2 12 4" xfId="562" xr:uid="{00000000-0005-0000-0000-000068020000}"/>
    <cellStyle name="Moneda 2 2 13" xfId="563" xr:uid="{00000000-0005-0000-0000-000069020000}"/>
    <cellStyle name="Moneda 2 2 13 2" xfId="564" xr:uid="{00000000-0005-0000-0000-00006A020000}"/>
    <cellStyle name="Moneda 2 2 13 3" xfId="565" xr:uid="{00000000-0005-0000-0000-00006B020000}"/>
    <cellStyle name="Moneda 2 2 13 4" xfId="566" xr:uid="{00000000-0005-0000-0000-00006C020000}"/>
    <cellStyle name="Moneda 2 2 14" xfId="567" xr:uid="{00000000-0005-0000-0000-00006D020000}"/>
    <cellStyle name="Moneda 2 2 14 2" xfId="568" xr:uid="{00000000-0005-0000-0000-00006E020000}"/>
    <cellStyle name="Moneda 2 2 14 3" xfId="569" xr:uid="{00000000-0005-0000-0000-00006F020000}"/>
    <cellStyle name="Moneda 2 2 14 4" xfId="570" xr:uid="{00000000-0005-0000-0000-000070020000}"/>
    <cellStyle name="Moneda 2 2 15" xfId="571" xr:uid="{00000000-0005-0000-0000-000071020000}"/>
    <cellStyle name="Moneda 2 2 15 2" xfId="572" xr:uid="{00000000-0005-0000-0000-000072020000}"/>
    <cellStyle name="Moneda 2 2 15 3" xfId="573" xr:uid="{00000000-0005-0000-0000-000073020000}"/>
    <cellStyle name="Moneda 2 2 15 4" xfId="574" xr:uid="{00000000-0005-0000-0000-000074020000}"/>
    <cellStyle name="Moneda 2 2 16" xfId="575" xr:uid="{00000000-0005-0000-0000-000075020000}"/>
    <cellStyle name="Moneda 2 2 16 2" xfId="576" xr:uid="{00000000-0005-0000-0000-000076020000}"/>
    <cellStyle name="Moneda 2 2 16 3" xfId="577" xr:uid="{00000000-0005-0000-0000-000077020000}"/>
    <cellStyle name="Moneda 2 2 16 4" xfId="578" xr:uid="{00000000-0005-0000-0000-000078020000}"/>
    <cellStyle name="Moneda 2 2 17" xfId="579" xr:uid="{00000000-0005-0000-0000-000079020000}"/>
    <cellStyle name="Moneda 2 2 17 2" xfId="580" xr:uid="{00000000-0005-0000-0000-00007A020000}"/>
    <cellStyle name="Moneda 2 2 17 3" xfId="581" xr:uid="{00000000-0005-0000-0000-00007B020000}"/>
    <cellStyle name="Moneda 2 2 17 4" xfId="582" xr:uid="{00000000-0005-0000-0000-00007C020000}"/>
    <cellStyle name="Moneda 2 2 18" xfId="583" xr:uid="{00000000-0005-0000-0000-00007D020000}"/>
    <cellStyle name="Moneda 2 2 18 2" xfId="584" xr:uid="{00000000-0005-0000-0000-00007E020000}"/>
    <cellStyle name="Moneda 2 2 18 3" xfId="585" xr:uid="{00000000-0005-0000-0000-00007F020000}"/>
    <cellStyle name="Moneda 2 2 18 4" xfId="586" xr:uid="{00000000-0005-0000-0000-000080020000}"/>
    <cellStyle name="Moneda 2 2 19" xfId="587" xr:uid="{00000000-0005-0000-0000-000081020000}"/>
    <cellStyle name="Moneda 2 2 19 2" xfId="588" xr:uid="{00000000-0005-0000-0000-000082020000}"/>
    <cellStyle name="Moneda 2 2 19 3" xfId="589" xr:uid="{00000000-0005-0000-0000-000083020000}"/>
    <cellStyle name="Moneda 2 2 19 4" xfId="590" xr:uid="{00000000-0005-0000-0000-000084020000}"/>
    <cellStyle name="Moneda 2 2 2" xfId="591" xr:uid="{00000000-0005-0000-0000-000085020000}"/>
    <cellStyle name="Moneda 2 2 2 2" xfId="592" xr:uid="{00000000-0005-0000-0000-000086020000}"/>
    <cellStyle name="Moneda 2 2 2 2 2" xfId="29" xr:uid="{00000000-0005-0000-0000-000087020000}"/>
    <cellStyle name="Moneda 2 2 2 3" xfId="593" xr:uid="{00000000-0005-0000-0000-000088020000}"/>
    <cellStyle name="Moneda 2 2 2 4" xfId="594" xr:uid="{00000000-0005-0000-0000-000089020000}"/>
    <cellStyle name="Moneda 2 2 2 5" xfId="595" xr:uid="{00000000-0005-0000-0000-00008A020000}"/>
    <cellStyle name="Moneda 2 2 2 6" xfId="596" xr:uid="{00000000-0005-0000-0000-00008B020000}"/>
    <cellStyle name="Moneda 2 2 2 7" xfId="597" xr:uid="{00000000-0005-0000-0000-00008C020000}"/>
    <cellStyle name="Moneda 2 2 2 8" xfId="3898" xr:uid="{00000000-0005-0000-0000-00008D020000}"/>
    <cellStyle name="Moneda 2 2 2 9" xfId="3899" xr:uid="{00000000-0005-0000-0000-00008E020000}"/>
    <cellStyle name="Moneda 2 2 20" xfId="598" xr:uid="{00000000-0005-0000-0000-00008F020000}"/>
    <cellStyle name="Moneda 2 2 20 2" xfId="599" xr:uid="{00000000-0005-0000-0000-000090020000}"/>
    <cellStyle name="Moneda 2 2 20 3" xfId="600" xr:uid="{00000000-0005-0000-0000-000091020000}"/>
    <cellStyle name="Moneda 2 2 20 4" xfId="601" xr:uid="{00000000-0005-0000-0000-000092020000}"/>
    <cellStyle name="Moneda 2 2 21" xfId="602" xr:uid="{00000000-0005-0000-0000-000093020000}"/>
    <cellStyle name="Moneda 2 2 21 2" xfId="603" xr:uid="{00000000-0005-0000-0000-000094020000}"/>
    <cellStyle name="Moneda 2 2 21 3" xfId="604" xr:uid="{00000000-0005-0000-0000-000095020000}"/>
    <cellStyle name="Moneda 2 2 21 4" xfId="605" xr:uid="{00000000-0005-0000-0000-000096020000}"/>
    <cellStyle name="Moneda 2 2 22" xfId="606" xr:uid="{00000000-0005-0000-0000-000097020000}"/>
    <cellStyle name="Moneda 2 2 22 2" xfId="607" xr:uid="{00000000-0005-0000-0000-000098020000}"/>
    <cellStyle name="Moneda 2 2 22 3" xfId="608" xr:uid="{00000000-0005-0000-0000-000099020000}"/>
    <cellStyle name="Moneda 2 2 22 4" xfId="609" xr:uid="{00000000-0005-0000-0000-00009A020000}"/>
    <cellStyle name="Moneda 2 2 23" xfId="610" xr:uid="{00000000-0005-0000-0000-00009B020000}"/>
    <cellStyle name="Moneda 2 2 23 2" xfId="611" xr:uid="{00000000-0005-0000-0000-00009C020000}"/>
    <cellStyle name="Moneda 2 2 23 3" xfId="612" xr:uid="{00000000-0005-0000-0000-00009D020000}"/>
    <cellStyle name="Moneda 2 2 23 4" xfId="613" xr:uid="{00000000-0005-0000-0000-00009E020000}"/>
    <cellStyle name="Moneda 2 2 24" xfId="614" xr:uid="{00000000-0005-0000-0000-00009F020000}"/>
    <cellStyle name="Moneda 2 2 24 2" xfId="615" xr:uid="{00000000-0005-0000-0000-0000A0020000}"/>
    <cellStyle name="Moneda 2 2 24 3" xfId="616" xr:uid="{00000000-0005-0000-0000-0000A1020000}"/>
    <cellStyle name="Moneda 2 2 24 4" xfId="617" xr:uid="{00000000-0005-0000-0000-0000A2020000}"/>
    <cellStyle name="Moneda 2 2 25" xfId="618" xr:uid="{00000000-0005-0000-0000-0000A3020000}"/>
    <cellStyle name="Moneda 2 2 25 2" xfId="619" xr:uid="{00000000-0005-0000-0000-0000A4020000}"/>
    <cellStyle name="Moneda 2 2 25 3" xfId="620" xr:uid="{00000000-0005-0000-0000-0000A5020000}"/>
    <cellStyle name="Moneda 2 2 25 4" xfId="621" xr:uid="{00000000-0005-0000-0000-0000A6020000}"/>
    <cellStyle name="Moneda 2 2 26" xfId="622" xr:uid="{00000000-0005-0000-0000-0000A7020000}"/>
    <cellStyle name="Moneda 2 2 26 2" xfId="623" xr:uid="{00000000-0005-0000-0000-0000A8020000}"/>
    <cellStyle name="Moneda 2 2 26 3" xfId="624" xr:uid="{00000000-0005-0000-0000-0000A9020000}"/>
    <cellStyle name="Moneda 2 2 26 4" xfId="625" xr:uid="{00000000-0005-0000-0000-0000AA020000}"/>
    <cellStyle name="Moneda 2 2 27" xfId="626" xr:uid="{00000000-0005-0000-0000-0000AB020000}"/>
    <cellStyle name="Moneda 2 2 27 2" xfId="627" xr:uid="{00000000-0005-0000-0000-0000AC020000}"/>
    <cellStyle name="Moneda 2 2 27 3" xfId="628" xr:uid="{00000000-0005-0000-0000-0000AD020000}"/>
    <cellStyle name="Moneda 2 2 27 4" xfId="629" xr:uid="{00000000-0005-0000-0000-0000AE020000}"/>
    <cellStyle name="Moneda 2 2 28" xfId="630" xr:uid="{00000000-0005-0000-0000-0000AF020000}"/>
    <cellStyle name="Moneda 2 2 28 2" xfId="631" xr:uid="{00000000-0005-0000-0000-0000B0020000}"/>
    <cellStyle name="Moneda 2 2 28 3" xfId="632" xr:uid="{00000000-0005-0000-0000-0000B1020000}"/>
    <cellStyle name="Moneda 2 2 28 4" xfId="633" xr:uid="{00000000-0005-0000-0000-0000B2020000}"/>
    <cellStyle name="Moneda 2 2 29" xfId="634" xr:uid="{00000000-0005-0000-0000-0000B3020000}"/>
    <cellStyle name="Moneda 2 2 29 2" xfId="635" xr:uid="{00000000-0005-0000-0000-0000B4020000}"/>
    <cellStyle name="Moneda 2 2 29 3" xfId="636" xr:uid="{00000000-0005-0000-0000-0000B5020000}"/>
    <cellStyle name="Moneda 2 2 29 4" xfId="637" xr:uid="{00000000-0005-0000-0000-0000B6020000}"/>
    <cellStyle name="Moneda 2 2 3" xfId="638" xr:uid="{00000000-0005-0000-0000-0000B7020000}"/>
    <cellStyle name="Moneda 2 2 3 2" xfId="639" xr:uid="{00000000-0005-0000-0000-0000B8020000}"/>
    <cellStyle name="Moneda 2 2 3 3" xfId="640" xr:uid="{00000000-0005-0000-0000-0000B9020000}"/>
    <cellStyle name="Moneda 2 2 3 4" xfId="641" xr:uid="{00000000-0005-0000-0000-0000BA020000}"/>
    <cellStyle name="Moneda 2 2 30" xfId="642" xr:uid="{00000000-0005-0000-0000-0000BB020000}"/>
    <cellStyle name="Moneda 2 2 30 2" xfId="643" xr:uid="{00000000-0005-0000-0000-0000BC020000}"/>
    <cellStyle name="Moneda 2 2 30 3" xfId="644" xr:uid="{00000000-0005-0000-0000-0000BD020000}"/>
    <cellStyle name="Moneda 2 2 30 4" xfId="645" xr:uid="{00000000-0005-0000-0000-0000BE020000}"/>
    <cellStyle name="Moneda 2 2 31" xfId="646" xr:uid="{00000000-0005-0000-0000-0000BF020000}"/>
    <cellStyle name="Moneda 2 2 32" xfId="647" xr:uid="{00000000-0005-0000-0000-0000C0020000}"/>
    <cellStyle name="Moneda 2 2 33" xfId="648" xr:uid="{00000000-0005-0000-0000-0000C1020000}"/>
    <cellStyle name="Moneda 2 2 34" xfId="649" xr:uid="{00000000-0005-0000-0000-0000C2020000}"/>
    <cellStyle name="Moneda 2 2 35" xfId="16" xr:uid="{00000000-0005-0000-0000-0000C3020000}"/>
    <cellStyle name="Moneda 2 2 4" xfId="650" xr:uid="{00000000-0005-0000-0000-0000C4020000}"/>
    <cellStyle name="Moneda 2 2 4 2" xfId="651" xr:uid="{00000000-0005-0000-0000-0000C5020000}"/>
    <cellStyle name="Moneda 2 2 4 3" xfId="652" xr:uid="{00000000-0005-0000-0000-0000C6020000}"/>
    <cellStyle name="Moneda 2 2 4 4" xfId="653" xr:uid="{00000000-0005-0000-0000-0000C7020000}"/>
    <cellStyle name="Moneda 2 2 5" xfId="654" xr:uid="{00000000-0005-0000-0000-0000C8020000}"/>
    <cellStyle name="Moneda 2 2 5 2" xfId="655" xr:uid="{00000000-0005-0000-0000-0000C9020000}"/>
    <cellStyle name="Moneda 2 2 5 3" xfId="656" xr:uid="{00000000-0005-0000-0000-0000CA020000}"/>
    <cellStyle name="Moneda 2 2 5 4" xfId="657" xr:uid="{00000000-0005-0000-0000-0000CB020000}"/>
    <cellStyle name="Moneda 2 2 6" xfId="45" xr:uid="{00000000-0005-0000-0000-0000CC020000}"/>
    <cellStyle name="Moneda 2 2 6 2" xfId="659" xr:uid="{00000000-0005-0000-0000-0000CD020000}"/>
    <cellStyle name="Moneda 2 2 6 3" xfId="660" xr:uid="{00000000-0005-0000-0000-0000CE020000}"/>
    <cellStyle name="Moneda 2 2 6 4" xfId="661" xr:uid="{00000000-0005-0000-0000-0000CF020000}"/>
    <cellStyle name="Moneda 2 2 6 5" xfId="658" xr:uid="{00000000-0005-0000-0000-0000D0020000}"/>
    <cellStyle name="Moneda 2 2 7" xfId="662" xr:uid="{00000000-0005-0000-0000-0000D1020000}"/>
    <cellStyle name="Moneda 2 2 7 2" xfId="663" xr:uid="{00000000-0005-0000-0000-0000D2020000}"/>
    <cellStyle name="Moneda 2 2 7 3" xfId="664" xr:uid="{00000000-0005-0000-0000-0000D3020000}"/>
    <cellStyle name="Moneda 2 2 7 4" xfId="665" xr:uid="{00000000-0005-0000-0000-0000D4020000}"/>
    <cellStyle name="Moneda 2 2 8" xfId="666" xr:uid="{00000000-0005-0000-0000-0000D5020000}"/>
    <cellStyle name="Moneda 2 2 8 2" xfId="667" xr:uid="{00000000-0005-0000-0000-0000D6020000}"/>
    <cellStyle name="Moneda 2 2 8 3" xfId="668" xr:uid="{00000000-0005-0000-0000-0000D7020000}"/>
    <cellStyle name="Moneda 2 2 8 4" xfId="669" xr:uid="{00000000-0005-0000-0000-0000D8020000}"/>
    <cellStyle name="Moneda 2 2 9" xfId="670" xr:uid="{00000000-0005-0000-0000-0000D9020000}"/>
    <cellStyle name="Moneda 2 2 9 2" xfId="671" xr:uid="{00000000-0005-0000-0000-0000DA020000}"/>
    <cellStyle name="Moneda 2 2 9 3" xfId="672" xr:uid="{00000000-0005-0000-0000-0000DB020000}"/>
    <cellStyle name="Moneda 2 2 9 4" xfId="673" xr:uid="{00000000-0005-0000-0000-0000DC020000}"/>
    <cellStyle name="Moneda 2 20" xfId="674" xr:uid="{00000000-0005-0000-0000-0000DD020000}"/>
    <cellStyle name="Moneda 2 20 2" xfId="675" xr:uid="{00000000-0005-0000-0000-0000DE020000}"/>
    <cellStyle name="Moneda 2 20 3" xfId="676" xr:uid="{00000000-0005-0000-0000-0000DF020000}"/>
    <cellStyle name="Moneda 2 20 4" xfId="677" xr:uid="{00000000-0005-0000-0000-0000E0020000}"/>
    <cellStyle name="Moneda 2 21" xfId="678" xr:uid="{00000000-0005-0000-0000-0000E1020000}"/>
    <cellStyle name="Moneda 2 21 2" xfId="679" xr:uid="{00000000-0005-0000-0000-0000E2020000}"/>
    <cellStyle name="Moneda 2 21 3" xfId="680" xr:uid="{00000000-0005-0000-0000-0000E3020000}"/>
    <cellStyle name="Moneda 2 21 4" xfId="681" xr:uid="{00000000-0005-0000-0000-0000E4020000}"/>
    <cellStyle name="Moneda 2 22" xfId="682" xr:uid="{00000000-0005-0000-0000-0000E5020000}"/>
    <cellStyle name="Moneda 2 22 2" xfId="683" xr:uid="{00000000-0005-0000-0000-0000E6020000}"/>
    <cellStyle name="Moneda 2 22 3" xfId="684" xr:uid="{00000000-0005-0000-0000-0000E7020000}"/>
    <cellStyle name="Moneda 2 22 4" xfId="685" xr:uid="{00000000-0005-0000-0000-0000E8020000}"/>
    <cellStyle name="Moneda 2 23" xfId="686" xr:uid="{00000000-0005-0000-0000-0000E9020000}"/>
    <cellStyle name="Moneda 2 23 2" xfId="687" xr:uid="{00000000-0005-0000-0000-0000EA020000}"/>
    <cellStyle name="Moneda 2 23 3" xfId="688" xr:uid="{00000000-0005-0000-0000-0000EB020000}"/>
    <cellStyle name="Moneda 2 23 4" xfId="689" xr:uid="{00000000-0005-0000-0000-0000EC020000}"/>
    <cellStyle name="Moneda 2 24" xfId="690" xr:uid="{00000000-0005-0000-0000-0000ED020000}"/>
    <cellStyle name="Moneda 2 24 2" xfId="691" xr:uid="{00000000-0005-0000-0000-0000EE020000}"/>
    <cellStyle name="Moneda 2 24 3" xfId="692" xr:uid="{00000000-0005-0000-0000-0000EF020000}"/>
    <cellStyle name="Moneda 2 24 4" xfId="693" xr:uid="{00000000-0005-0000-0000-0000F0020000}"/>
    <cellStyle name="Moneda 2 25" xfId="694" xr:uid="{00000000-0005-0000-0000-0000F1020000}"/>
    <cellStyle name="Moneda 2 25 2" xfId="695" xr:uid="{00000000-0005-0000-0000-0000F2020000}"/>
    <cellStyle name="Moneda 2 25 3" xfId="696" xr:uid="{00000000-0005-0000-0000-0000F3020000}"/>
    <cellStyle name="Moneda 2 25 4" xfId="697" xr:uid="{00000000-0005-0000-0000-0000F4020000}"/>
    <cellStyle name="Moneda 2 26" xfId="698" xr:uid="{00000000-0005-0000-0000-0000F5020000}"/>
    <cellStyle name="Moneda 2 26 2" xfId="699" xr:uid="{00000000-0005-0000-0000-0000F6020000}"/>
    <cellStyle name="Moneda 2 26 3" xfId="700" xr:uid="{00000000-0005-0000-0000-0000F7020000}"/>
    <cellStyle name="Moneda 2 26 4" xfId="701" xr:uid="{00000000-0005-0000-0000-0000F8020000}"/>
    <cellStyle name="Moneda 2 27" xfId="702" xr:uid="{00000000-0005-0000-0000-0000F9020000}"/>
    <cellStyle name="Moneda 2 27 2" xfId="703" xr:uid="{00000000-0005-0000-0000-0000FA020000}"/>
    <cellStyle name="Moneda 2 27 3" xfId="704" xr:uid="{00000000-0005-0000-0000-0000FB020000}"/>
    <cellStyle name="Moneda 2 27 4" xfId="705" xr:uid="{00000000-0005-0000-0000-0000FC020000}"/>
    <cellStyle name="Moneda 2 28" xfId="706" xr:uid="{00000000-0005-0000-0000-0000FD020000}"/>
    <cellStyle name="Moneda 2 28 2" xfId="707" xr:uid="{00000000-0005-0000-0000-0000FE020000}"/>
    <cellStyle name="Moneda 2 28 3" xfId="708" xr:uid="{00000000-0005-0000-0000-0000FF020000}"/>
    <cellStyle name="Moneda 2 28 4" xfId="709" xr:uid="{00000000-0005-0000-0000-000000030000}"/>
    <cellStyle name="Moneda 2 29" xfId="710" xr:uid="{00000000-0005-0000-0000-000001030000}"/>
    <cellStyle name="Moneda 2 29 2" xfId="711" xr:uid="{00000000-0005-0000-0000-000002030000}"/>
    <cellStyle name="Moneda 2 29 3" xfId="712" xr:uid="{00000000-0005-0000-0000-000003030000}"/>
    <cellStyle name="Moneda 2 29 4" xfId="713" xr:uid="{00000000-0005-0000-0000-000004030000}"/>
    <cellStyle name="Moneda 2 3" xfId="714" xr:uid="{00000000-0005-0000-0000-000005030000}"/>
    <cellStyle name="Moneda 2 3 2" xfId="715" xr:uid="{00000000-0005-0000-0000-000006030000}"/>
    <cellStyle name="Moneda 2 3 3" xfId="716" xr:uid="{00000000-0005-0000-0000-000007030000}"/>
    <cellStyle name="Moneda 2 3 4" xfId="717" xr:uid="{00000000-0005-0000-0000-000008030000}"/>
    <cellStyle name="Moneda 2 3 5" xfId="718" xr:uid="{00000000-0005-0000-0000-000009030000}"/>
    <cellStyle name="Moneda 2 30" xfId="719" xr:uid="{00000000-0005-0000-0000-00000A030000}"/>
    <cellStyle name="Moneda 2 30 2" xfId="720" xr:uid="{00000000-0005-0000-0000-00000B030000}"/>
    <cellStyle name="Moneda 2 30 3" xfId="721" xr:uid="{00000000-0005-0000-0000-00000C030000}"/>
    <cellStyle name="Moneda 2 30 4" xfId="722" xr:uid="{00000000-0005-0000-0000-00000D030000}"/>
    <cellStyle name="Moneda 2 31" xfId="723" xr:uid="{00000000-0005-0000-0000-00000E030000}"/>
    <cellStyle name="Moneda 2 31 2" xfId="724" xr:uid="{00000000-0005-0000-0000-00000F030000}"/>
    <cellStyle name="Moneda 2 31 3" xfId="725" xr:uid="{00000000-0005-0000-0000-000010030000}"/>
    <cellStyle name="Moneda 2 31 4" xfId="726" xr:uid="{00000000-0005-0000-0000-000011030000}"/>
    <cellStyle name="Moneda 2 32" xfId="727" xr:uid="{00000000-0005-0000-0000-000012030000}"/>
    <cellStyle name="Moneda 2 33" xfId="728" xr:uid="{00000000-0005-0000-0000-000013030000}"/>
    <cellStyle name="Moneda 2 33 2" xfId="3900" xr:uid="{00000000-0005-0000-0000-000014030000}"/>
    <cellStyle name="Moneda 2 34" xfId="729" xr:uid="{00000000-0005-0000-0000-000015030000}"/>
    <cellStyle name="Moneda 2 34 2" xfId="3901" xr:uid="{00000000-0005-0000-0000-000016030000}"/>
    <cellStyle name="Moneda 2 35" xfId="506" xr:uid="{00000000-0005-0000-0000-000017030000}"/>
    <cellStyle name="Moneda 2 4" xfId="730" xr:uid="{00000000-0005-0000-0000-000018030000}"/>
    <cellStyle name="Moneda 2 4 2" xfId="731" xr:uid="{00000000-0005-0000-0000-000019030000}"/>
    <cellStyle name="Moneda 2 4 3" xfId="732" xr:uid="{00000000-0005-0000-0000-00001A030000}"/>
    <cellStyle name="Moneda 2 4 4" xfId="733" xr:uid="{00000000-0005-0000-0000-00001B030000}"/>
    <cellStyle name="Moneda 2 5" xfId="734" xr:uid="{00000000-0005-0000-0000-00001C030000}"/>
    <cellStyle name="Moneda 2 5 2" xfId="735" xr:uid="{00000000-0005-0000-0000-00001D030000}"/>
    <cellStyle name="Moneda 2 5 3" xfId="736" xr:uid="{00000000-0005-0000-0000-00001E030000}"/>
    <cellStyle name="Moneda 2 5 4" xfId="737" xr:uid="{00000000-0005-0000-0000-00001F030000}"/>
    <cellStyle name="Moneda 2 6" xfId="738" xr:uid="{00000000-0005-0000-0000-000020030000}"/>
    <cellStyle name="Moneda 2 6 2" xfId="739" xr:uid="{00000000-0005-0000-0000-000021030000}"/>
    <cellStyle name="Moneda 2 6 3" xfId="740" xr:uid="{00000000-0005-0000-0000-000022030000}"/>
    <cellStyle name="Moneda 2 6 4" xfId="741" xr:uid="{00000000-0005-0000-0000-000023030000}"/>
    <cellStyle name="Moneda 2 7" xfId="742" xr:uid="{00000000-0005-0000-0000-000024030000}"/>
    <cellStyle name="Moneda 2 7 2" xfId="743" xr:uid="{00000000-0005-0000-0000-000025030000}"/>
    <cellStyle name="Moneda 2 7 3" xfId="744" xr:uid="{00000000-0005-0000-0000-000026030000}"/>
    <cellStyle name="Moneda 2 7 4" xfId="745" xr:uid="{00000000-0005-0000-0000-000027030000}"/>
    <cellStyle name="Moneda 2 8" xfId="746" xr:uid="{00000000-0005-0000-0000-000028030000}"/>
    <cellStyle name="Moneda 2 8 2" xfId="747" xr:uid="{00000000-0005-0000-0000-000029030000}"/>
    <cellStyle name="Moneda 2 8 3" xfId="748" xr:uid="{00000000-0005-0000-0000-00002A030000}"/>
    <cellStyle name="Moneda 2 8 4" xfId="749" xr:uid="{00000000-0005-0000-0000-00002B030000}"/>
    <cellStyle name="Moneda 2 9" xfId="750" xr:uid="{00000000-0005-0000-0000-00002C030000}"/>
    <cellStyle name="Moneda 2 9 2" xfId="751" xr:uid="{00000000-0005-0000-0000-00002D030000}"/>
    <cellStyle name="Moneda 2 9 3" xfId="752" xr:uid="{00000000-0005-0000-0000-00002E030000}"/>
    <cellStyle name="Moneda 2 9 4" xfId="753" xr:uid="{00000000-0005-0000-0000-00002F030000}"/>
    <cellStyle name="Moneda 20" xfId="754" xr:uid="{00000000-0005-0000-0000-000030030000}"/>
    <cellStyle name="Moneda 21" xfId="755" xr:uid="{00000000-0005-0000-0000-000031030000}"/>
    <cellStyle name="Moneda 22" xfId="756" xr:uid="{00000000-0005-0000-0000-000032030000}"/>
    <cellStyle name="Moneda 23" xfId="757" xr:uid="{00000000-0005-0000-0000-000033030000}"/>
    <cellStyle name="Moneda 24" xfId="758" xr:uid="{00000000-0005-0000-0000-000034030000}"/>
    <cellStyle name="Moneda 25" xfId="759" xr:uid="{00000000-0005-0000-0000-000035030000}"/>
    <cellStyle name="Moneda 26" xfId="760" xr:uid="{00000000-0005-0000-0000-000036030000}"/>
    <cellStyle name="Moneda 27" xfId="761" xr:uid="{00000000-0005-0000-0000-000037030000}"/>
    <cellStyle name="Moneda 28" xfId="762" xr:uid="{00000000-0005-0000-0000-000038030000}"/>
    <cellStyle name="Moneda 29" xfId="50" xr:uid="{00000000-0005-0000-0000-000039030000}"/>
    <cellStyle name="Moneda 29 2" xfId="3902" xr:uid="{00000000-0005-0000-0000-00003A030000}"/>
    <cellStyle name="Moneda 29 3" xfId="3903" xr:uid="{00000000-0005-0000-0000-00003B030000}"/>
    <cellStyle name="Moneda 29 3 2" xfId="3904" xr:uid="{00000000-0005-0000-0000-00003C030000}"/>
    <cellStyle name="Moneda 29 4" xfId="3905" xr:uid="{00000000-0005-0000-0000-00003D030000}"/>
    <cellStyle name="Moneda 29 5" xfId="763" xr:uid="{00000000-0005-0000-0000-00003E030000}"/>
    <cellStyle name="Moneda 3" xfId="764" xr:uid="{00000000-0005-0000-0000-00003F030000}"/>
    <cellStyle name="Moneda 3 10" xfId="765" xr:uid="{00000000-0005-0000-0000-000040030000}"/>
    <cellStyle name="Moneda 3 11" xfId="51" xr:uid="{00000000-0005-0000-0000-000041030000}"/>
    <cellStyle name="Moneda 3 11 2" xfId="3906" xr:uid="{00000000-0005-0000-0000-000042030000}"/>
    <cellStyle name="Moneda 3 11 3" xfId="3907" xr:uid="{00000000-0005-0000-0000-000043030000}"/>
    <cellStyle name="Moneda 3 12" xfId="3908" xr:uid="{00000000-0005-0000-0000-000044030000}"/>
    <cellStyle name="Moneda 3 12 2" xfId="3909" xr:uid="{00000000-0005-0000-0000-000045030000}"/>
    <cellStyle name="Moneda 3 2" xfId="766" xr:uid="{00000000-0005-0000-0000-000046030000}"/>
    <cellStyle name="Moneda 3 2 2" xfId="3910" xr:uid="{00000000-0005-0000-0000-000047030000}"/>
    <cellStyle name="Moneda 3 2 3" xfId="3911" xr:uid="{00000000-0005-0000-0000-000048030000}"/>
    <cellStyle name="Moneda 3 3" xfId="767" xr:uid="{00000000-0005-0000-0000-000049030000}"/>
    <cellStyle name="Moneda 3 3 10" xfId="3912" xr:uid="{00000000-0005-0000-0000-00004A030000}"/>
    <cellStyle name="Moneda 3 3 11" xfId="3913" xr:uid="{00000000-0005-0000-0000-00004B030000}"/>
    <cellStyle name="Moneda 3 3 2" xfId="768" xr:uid="{00000000-0005-0000-0000-00004C030000}"/>
    <cellStyle name="Moneda 3 3 2 2" xfId="769" xr:uid="{00000000-0005-0000-0000-00004D030000}"/>
    <cellStyle name="Moneda 3 3 2 3" xfId="770" xr:uid="{00000000-0005-0000-0000-00004E030000}"/>
    <cellStyle name="Moneda 3 3 2 4" xfId="771" xr:uid="{00000000-0005-0000-0000-00004F030000}"/>
    <cellStyle name="Moneda 3 3 3" xfId="772" xr:uid="{00000000-0005-0000-0000-000050030000}"/>
    <cellStyle name="Moneda 3 3 4" xfId="773" xr:uid="{00000000-0005-0000-0000-000051030000}"/>
    <cellStyle name="Moneda 3 3 5" xfId="774" xr:uid="{00000000-0005-0000-0000-000052030000}"/>
    <cellStyle name="Moneda 3 3 6" xfId="775" xr:uid="{00000000-0005-0000-0000-000053030000}"/>
    <cellStyle name="Moneda 3 3 7" xfId="776" xr:uid="{00000000-0005-0000-0000-000054030000}"/>
    <cellStyle name="Moneda 3 3 8" xfId="777" xr:uid="{00000000-0005-0000-0000-000055030000}"/>
    <cellStyle name="Moneda 3 3 9" xfId="778" xr:uid="{00000000-0005-0000-0000-000056030000}"/>
    <cellStyle name="Moneda 3 4" xfId="779" xr:uid="{00000000-0005-0000-0000-000057030000}"/>
    <cellStyle name="Moneda 3 5" xfId="780" xr:uid="{00000000-0005-0000-0000-000058030000}"/>
    <cellStyle name="Moneda 3 6" xfId="781" xr:uid="{00000000-0005-0000-0000-000059030000}"/>
    <cellStyle name="Moneda 3 7" xfId="782" xr:uid="{00000000-0005-0000-0000-00005A030000}"/>
    <cellStyle name="Moneda 3 8" xfId="783" xr:uid="{00000000-0005-0000-0000-00005B030000}"/>
    <cellStyle name="Moneda 3 9" xfId="784" xr:uid="{00000000-0005-0000-0000-00005C030000}"/>
    <cellStyle name="Moneda 30" xfId="785" xr:uid="{00000000-0005-0000-0000-00005D030000}"/>
    <cellStyle name="Moneda 31" xfId="786" xr:uid="{00000000-0005-0000-0000-00005E030000}"/>
    <cellStyle name="Moneda 32" xfId="787" xr:uid="{00000000-0005-0000-0000-00005F030000}"/>
    <cellStyle name="Moneda 33" xfId="3813" xr:uid="{00000000-0005-0000-0000-000060030000}"/>
    <cellStyle name="Moneda 33 2" xfId="3914" xr:uid="{00000000-0005-0000-0000-000061030000}"/>
    <cellStyle name="Moneda 34" xfId="3915" xr:uid="{00000000-0005-0000-0000-000062030000}"/>
    <cellStyle name="Moneda 35" xfId="3916" xr:uid="{00000000-0005-0000-0000-000063030000}"/>
    <cellStyle name="Moneda 36" xfId="3917" xr:uid="{00000000-0005-0000-0000-000064030000}"/>
    <cellStyle name="Moneda 37" xfId="3783" xr:uid="{00000000-0005-0000-0000-000065030000}"/>
    <cellStyle name="Moneda 4" xfId="788" xr:uid="{00000000-0005-0000-0000-000066030000}"/>
    <cellStyle name="Moneda 4 2" xfId="789" xr:uid="{00000000-0005-0000-0000-000067030000}"/>
    <cellStyle name="Moneda 4 2 2" xfId="790" xr:uid="{00000000-0005-0000-0000-000068030000}"/>
    <cellStyle name="Moneda 4 2 3" xfId="3918" xr:uid="{00000000-0005-0000-0000-000069030000}"/>
    <cellStyle name="Moneda 4 3" xfId="3919" xr:uid="{00000000-0005-0000-0000-00006A030000}"/>
    <cellStyle name="Moneda 4 4" xfId="3920" xr:uid="{00000000-0005-0000-0000-00006B030000}"/>
    <cellStyle name="Moneda 5" xfId="791" xr:uid="{00000000-0005-0000-0000-00006C030000}"/>
    <cellStyle name="Moneda 5 2" xfId="3921" xr:uid="{00000000-0005-0000-0000-00006D030000}"/>
    <cellStyle name="Moneda 5 3" xfId="3922" xr:uid="{00000000-0005-0000-0000-00006E030000}"/>
    <cellStyle name="Moneda 5 4" xfId="3923" xr:uid="{00000000-0005-0000-0000-00006F030000}"/>
    <cellStyle name="Moneda 6" xfId="792" xr:uid="{00000000-0005-0000-0000-000070030000}"/>
    <cellStyle name="Moneda 6 2" xfId="3798" xr:uid="{00000000-0005-0000-0000-000071030000}"/>
    <cellStyle name="Moneda 6 3" xfId="3924" xr:uid="{00000000-0005-0000-0000-000072030000}"/>
    <cellStyle name="Moneda 6 4" xfId="3925" xr:uid="{00000000-0005-0000-0000-000073030000}"/>
    <cellStyle name="Moneda 7" xfId="793" xr:uid="{00000000-0005-0000-0000-000074030000}"/>
    <cellStyle name="Moneda 7 2" xfId="3926" xr:uid="{00000000-0005-0000-0000-000075030000}"/>
    <cellStyle name="Moneda 7 2 2" xfId="3927" xr:uid="{00000000-0005-0000-0000-000076030000}"/>
    <cellStyle name="Moneda 7 3" xfId="3928" xr:uid="{00000000-0005-0000-0000-000077030000}"/>
    <cellStyle name="Moneda 8" xfId="794" xr:uid="{00000000-0005-0000-0000-000078030000}"/>
    <cellStyle name="Moneda 8 2" xfId="3929" xr:uid="{00000000-0005-0000-0000-000079030000}"/>
    <cellStyle name="Moneda 8 3" xfId="3930" xr:uid="{00000000-0005-0000-0000-00007A030000}"/>
    <cellStyle name="Moneda 8 4" xfId="3931" xr:uid="{00000000-0005-0000-0000-00007B030000}"/>
    <cellStyle name="Moneda 9" xfId="795" xr:uid="{00000000-0005-0000-0000-00007C030000}"/>
    <cellStyle name="Moneda 9 2" xfId="3932" xr:uid="{00000000-0005-0000-0000-00007D030000}"/>
    <cellStyle name="Neutral 2" xfId="796" xr:uid="{00000000-0005-0000-0000-00007E030000}"/>
    <cellStyle name="Neutral 3" xfId="797" xr:uid="{00000000-0005-0000-0000-00007F030000}"/>
    <cellStyle name="Neutral 4" xfId="798" xr:uid="{00000000-0005-0000-0000-000080030000}"/>
    <cellStyle name="Neutral 5" xfId="799" xr:uid="{00000000-0005-0000-0000-000081030000}"/>
    <cellStyle name="Neutral 6" xfId="800" xr:uid="{00000000-0005-0000-0000-000082030000}"/>
    <cellStyle name="No. punto" xfId="801" xr:uid="{00000000-0005-0000-0000-000083030000}"/>
    <cellStyle name="Normal" xfId="0" builtinId="0"/>
    <cellStyle name="Normal 10" xfId="42" xr:uid="{00000000-0005-0000-0000-000085030000}"/>
    <cellStyle name="Normal 10 10" xfId="803" xr:uid="{00000000-0005-0000-0000-000086030000}"/>
    <cellStyle name="Normal 10 11" xfId="804" xr:uid="{00000000-0005-0000-0000-000087030000}"/>
    <cellStyle name="Normal 10 12" xfId="805" xr:uid="{00000000-0005-0000-0000-000088030000}"/>
    <cellStyle name="Normal 10 13" xfId="806" xr:uid="{00000000-0005-0000-0000-000089030000}"/>
    <cellStyle name="Normal 10 14" xfId="807" xr:uid="{00000000-0005-0000-0000-00008A030000}"/>
    <cellStyle name="Normal 10 15" xfId="808" xr:uid="{00000000-0005-0000-0000-00008B030000}"/>
    <cellStyle name="Normal 10 16" xfId="809" xr:uid="{00000000-0005-0000-0000-00008C030000}"/>
    <cellStyle name="Normal 10 17" xfId="810" xr:uid="{00000000-0005-0000-0000-00008D030000}"/>
    <cellStyle name="Normal 10 18" xfId="811" xr:uid="{00000000-0005-0000-0000-00008E030000}"/>
    <cellStyle name="Normal 10 19" xfId="812" xr:uid="{00000000-0005-0000-0000-00008F030000}"/>
    <cellStyle name="Normal 10 2" xfId="813" xr:uid="{00000000-0005-0000-0000-000090030000}"/>
    <cellStyle name="Normal 10 2 2" xfId="3784" xr:uid="{00000000-0005-0000-0000-000091030000}"/>
    <cellStyle name="Normal 10 20" xfId="814" xr:uid="{00000000-0005-0000-0000-000092030000}"/>
    <cellStyle name="Normal 10 21" xfId="815" xr:uid="{00000000-0005-0000-0000-000093030000}"/>
    <cellStyle name="Normal 10 22" xfId="816" xr:uid="{00000000-0005-0000-0000-000094030000}"/>
    <cellStyle name="Normal 10 23" xfId="817" xr:uid="{00000000-0005-0000-0000-000095030000}"/>
    <cellStyle name="Normal 10 24" xfId="818" xr:uid="{00000000-0005-0000-0000-000096030000}"/>
    <cellStyle name="Normal 10 25" xfId="819" xr:uid="{00000000-0005-0000-0000-000097030000}"/>
    <cellStyle name="Normal 10 26" xfId="820" xr:uid="{00000000-0005-0000-0000-000098030000}"/>
    <cellStyle name="Normal 10 27" xfId="821" xr:uid="{00000000-0005-0000-0000-000099030000}"/>
    <cellStyle name="Normal 10 28" xfId="822" xr:uid="{00000000-0005-0000-0000-00009A030000}"/>
    <cellStyle name="Normal 10 29" xfId="823" xr:uid="{00000000-0005-0000-0000-00009B030000}"/>
    <cellStyle name="Normal 10 3" xfId="824" xr:uid="{00000000-0005-0000-0000-00009C030000}"/>
    <cellStyle name="Normal 10 30" xfId="825" xr:uid="{00000000-0005-0000-0000-00009D030000}"/>
    <cellStyle name="Normal 10 31" xfId="826" xr:uid="{00000000-0005-0000-0000-00009E030000}"/>
    <cellStyle name="Normal 10 32" xfId="827" xr:uid="{00000000-0005-0000-0000-00009F030000}"/>
    <cellStyle name="Normal 10 33" xfId="828" xr:uid="{00000000-0005-0000-0000-0000A0030000}"/>
    <cellStyle name="Normal 10 34" xfId="829" xr:uid="{00000000-0005-0000-0000-0000A1030000}"/>
    <cellStyle name="Normal 10 35" xfId="830" xr:uid="{00000000-0005-0000-0000-0000A2030000}"/>
    <cellStyle name="Normal 10 36" xfId="831" xr:uid="{00000000-0005-0000-0000-0000A3030000}"/>
    <cellStyle name="Normal 10 37" xfId="832" xr:uid="{00000000-0005-0000-0000-0000A4030000}"/>
    <cellStyle name="Normal 10 38" xfId="833" xr:uid="{00000000-0005-0000-0000-0000A5030000}"/>
    <cellStyle name="Normal 10 39" xfId="834" xr:uid="{00000000-0005-0000-0000-0000A6030000}"/>
    <cellStyle name="Normal 10 4" xfId="835" xr:uid="{00000000-0005-0000-0000-0000A7030000}"/>
    <cellStyle name="Normal 10 40" xfId="836" xr:uid="{00000000-0005-0000-0000-0000A8030000}"/>
    <cellStyle name="Normal 10 41" xfId="837" xr:uid="{00000000-0005-0000-0000-0000A9030000}"/>
    <cellStyle name="Normal 10 42" xfId="838" xr:uid="{00000000-0005-0000-0000-0000AA030000}"/>
    <cellStyle name="Normal 10 43" xfId="839" xr:uid="{00000000-0005-0000-0000-0000AB030000}"/>
    <cellStyle name="Normal 10 44" xfId="840" xr:uid="{00000000-0005-0000-0000-0000AC030000}"/>
    <cellStyle name="Normal 10 45" xfId="3810" xr:uid="{00000000-0005-0000-0000-0000AD030000}"/>
    <cellStyle name="Normal 10 46" xfId="802" xr:uid="{00000000-0005-0000-0000-0000AE030000}"/>
    <cellStyle name="Normal 10 5" xfId="841" xr:uid="{00000000-0005-0000-0000-0000AF030000}"/>
    <cellStyle name="Normal 10 6" xfId="842" xr:uid="{00000000-0005-0000-0000-0000B0030000}"/>
    <cellStyle name="Normal 10 7" xfId="843" xr:uid="{00000000-0005-0000-0000-0000B1030000}"/>
    <cellStyle name="Normal 10 8" xfId="844" xr:uid="{00000000-0005-0000-0000-0000B2030000}"/>
    <cellStyle name="Normal 10 9" xfId="845" xr:uid="{00000000-0005-0000-0000-0000B3030000}"/>
    <cellStyle name="Normal 11" xfId="12" xr:uid="{00000000-0005-0000-0000-0000B4030000}"/>
    <cellStyle name="Normal 11 10" xfId="847" xr:uid="{00000000-0005-0000-0000-0000B5030000}"/>
    <cellStyle name="Normal 11 11" xfId="848" xr:uid="{00000000-0005-0000-0000-0000B6030000}"/>
    <cellStyle name="Normal 11 12" xfId="849" xr:uid="{00000000-0005-0000-0000-0000B7030000}"/>
    <cellStyle name="Normal 11 13" xfId="850" xr:uid="{00000000-0005-0000-0000-0000B8030000}"/>
    <cellStyle name="Normal 11 14" xfId="851" xr:uid="{00000000-0005-0000-0000-0000B9030000}"/>
    <cellStyle name="Normal 11 15" xfId="852" xr:uid="{00000000-0005-0000-0000-0000BA030000}"/>
    <cellStyle name="Normal 11 16" xfId="853" xr:uid="{00000000-0005-0000-0000-0000BB030000}"/>
    <cellStyle name="Normal 11 17" xfId="854" xr:uid="{00000000-0005-0000-0000-0000BC030000}"/>
    <cellStyle name="Normal 11 18" xfId="855" xr:uid="{00000000-0005-0000-0000-0000BD030000}"/>
    <cellStyle name="Normal 11 19" xfId="856" xr:uid="{00000000-0005-0000-0000-0000BE030000}"/>
    <cellStyle name="Normal 11 2" xfId="857" xr:uid="{00000000-0005-0000-0000-0000BF030000}"/>
    <cellStyle name="Normal 11 20" xfId="858" xr:uid="{00000000-0005-0000-0000-0000C0030000}"/>
    <cellStyle name="Normal 11 21" xfId="859" xr:uid="{00000000-0005-0000-0000-0000C1030000}"/>
    <cellStyle name="Normal 11 22" xfId="860" xr:uid="{00000000-0005-0000-0000-0000C2030000}"/>
    <cellStyle name="Normal 11 23" xfId="861" xr:uid="{00000000-0005-0000-0000-0000C3030000}"/>
    <cellStyle name="Normal 11 24" xfId="862" xr:uid="{00000000-0005-0000-0000-0000C4030000}"/>
    <cellStyle name="Normal 11 25" xfId="863" xr:uid="{00000000-0005-0000-0000-0000C5030000}"/>
    <cellStyle name="Normal 11 26" xfId="864" xr:uid="{00000000-0005-0000-0000-0000C6030000}"/>
    <cellStyle name="Normal 11 27" xfId="865" xr:uid="{00000000-0005-0000-0000-0000C7030000}"/>
    <cellStyle name="Normal 11 28" xfId="866" xr:uid="{00000000-0005-0000-0000-0000C8030000}"/>
    <cellStyle name="Normal 11 29" xfId="867" xr:uid="{00000000-0005-0000-0000-0000C9030000}"/>
    <cellStyle name="Normal 11 3" xfId="868" xr:uid="{00000000-0005-0000-0000-0000CA030000}"/>
    <cellStyle name="Normal 11 30" xfId="869" xr:uid="{00000000-0005-0000-0000-0000CB030000}"/>
    <cellStyle name="Normal 11 31" xfId="870" xr:uid="{00000000-0005-0000-0000-0000CC030000}"/>
    <cellStyle name="Normal 11 32" xfId="871" xr:uid="{00000000-0005-0000-0000-0000CD030000}"/>
    <cellStyle name="Normal 11 33" xfId="872" xr:uid="{00000000-0005-0000-0000-0000CE030000}"/>
    <cellStyle name="Normal 11 34" xfId="873" xr:uid="{00000000-0005-0000-0000-0000CF030000}"/>
    <cellStyle name="Normal 11 35" xfId="874" xr:uid="{00000000-0005-0000-0000-0000D0030000}"/>
    <cellStyle name="Normal 11 36" xfId="875" xr:uid="{00000000-0005-0000-0000-0000D1030000}"/>
    <cellStyle name="Normal 11 37" xfId="876" xr:uid="{00000000-0005-0000-0000-0000D2030000}"/>
    <cellStyle name="Normal 11 38" xfId="877" xr:uid="{00000000-0005-0000-0000-0000D3030000}"/>
    <cellStyle name="Normal 11 39" xfId="878" xr:uid="{00000000-0005-0000-0000-0000D4030000}"/>
    <cellStyle name="Normal 11 4" xfId="879" xr:uid="{00000000-0005-0000-0000-0000D5030000}"/>
    <cellStyle name="Normal 11 40" xfId="880" xr:uid="{00000000-0005-0000-0000-0000D6030000}"/>
    <cellStyle name="Normal 11 41" xfId="881" xr:uid="{00000000-0005-0000-0000-0000D7030000}"/>
    <cellStyle name="Normal 11 42" xfId="882" xr:uid="{00000000-0005-0000-0000-0000D8030000}"/>
    <cellStyle name="Normal 11 43" xfId="883" xr:uid="{00000000-0005-0000-0000-0000D9030000}"/>
    <cellStyle name="Normal 11 44" xfId="884" xr:uid="{00000000-0005-0000-0000-0000DA030000}"/>
    <cellStyle name="Normal 11 45" xfId="885" xr:uid="{00000000-0005-0000-0000-0000DB030000}"/>
    <cellStyle name="Normal 11 45 10" xfId="3933" xr:uid="{00000000-0005-0000-0000-0000DC030000}"/>
    <cellStyle name="Normal 11 45 10 2" xfId="3934" xr:uid="{00000000-0005-0000-0000-0000DD030000}"/>
    <cellStyle name="Normal 11 45 11" xfId="3935" xr:uid="{00000000-0005-0000-0000-0000DE030000}"/>
    <cellStyle name="Normal 11 45 12" xfId="3936" xr:uid="{00000000-0005-0000-0000-0000DF030000}"/>
    <cellStyle name="Normal 11 45 12 2" xfId="3937" xr:uid="{00000000-0005-0000-0000-0000E0030000}"/>
    <cellStyle name="Normal 11 45 2" xfId="886" xr:uid="{00000000-0005-0000-0000-0000E1030000}"/>
    <cellStyle name="Normal 11 45 3" xfId="887" xr:uid="{00000000-0005-0000-0000-0000E2030000}"/>
    <cellStyle name="Normal 11 45 4" xfId="888" xr:uid="{00000000-0005-0000-0000-0000E3030000}"/>
    <cellStyle name="Normal 11 45 5" xfId="889" xr:uid="{00000000-0005-0000-0000-0000E4030000}"/>
    <cellStyle name="Normal 11 45 6" xfId="890" xr:uid="{00000000-0005-0000-0000-0000E5030000}"/>
    <cellStyle name="Normal 11 45 7" xfId="891" xr:uid="{00000000-0005-0000-0000-0000E6030000}"/>
    <cellStyle name="Normal 11 45 8" xfId="892" xr:uid="{00000000-0005-0000-0000-0000E7030000}"/>
    <cellStyle name="Normal 11 45 9" xfId="893" xr:uid="{00000000-0005-0000-0000-0000E8030000}"/>
    <cellStyle name="Normal 11 45 9 2" xfId="3786" xr:uid="{00000000-0005-0000-0000-0000E9030000}"/>
    <cellStyle name="Normal 11 45 9 2 2" xfId="13788" xr:uid="{00000000-0005-0000-0000-0000EA030000}"/>
    <cellStyle name="Normal 11 45 9 3" xfId="3815" xr:uid="{00000000-0005-0000-0000-0000EB030000}"/>
    <cellStyle name="Normal 11 45 9 3 2" xfId="13787" xr:uid="{00000000-0005-0000-0000-0000EC030000}"/>
    <cellStyle name="Normal 11 46" xfId="894" xr:uid="{00000000-0005-0000-0000-0000ED030000}"/>
    <cellStyle name="Normal 11 47" xfId="895" xr:uid="{00000000-0005-0000-0000-0000EE030000}"/>
    <cellStyle name="Normal 11 47 2" xfId="3938" xr:uid="{00000000-0005-0000-0000-0000EF030000}"/>
    <cellStyle name="Normal 11 47 2 2" xfId="3939" xr:uid="{00000000-0005-0000-0000-0000F0030000}"/>
    <cellStyle name="Normal 11 47 3" xfId="3940" xr:uid="{00000000-0005-0000-0000-0000F1030000}"/>
    <cellStyle name="Normal 11 47 3 2" xfId="3941" xr:uid="{00000000-0005-0000-0000-0000F2030000}"/>
    <cellStyle name="Normal 11 47 4" xfId="3942" xr:uid="{00000000-0005-0000-0000-0000F3030000}"/>
    <cellStyle name="Normal 11 47 5" xfId="3943" xr:uid="{00000000-0005-0000-0000-0000F4030000}"/>
    <cellStyle name="Normal 11 48" xfId="896" xr:uid="{00000000-0005-0000-0000-0000F5030000}"/>
    <cellStyle name="Normal 11 48 2" xfId="3944" xr:uid="{00000000-0005-0000-0000-0000F6030000}"/>
    <cellStyle name="Normal 11 48 2 2" xfId="3945" xr:uid="{00000000-0005-0000-0000-0000F7030000}"/>
    <cellStyle name="Normal 11 48 3" xfId="3946" xr:uid="{00000000-0005-0000-0000-0000F8030000}"/>
    <cellStyle name="Normal 11 48 3 2" xfId="3947" xr:uid="{00000000-0005-0000-0000-0000F9030000}"/>
    <cellStyle name="Normal 11 48 4" xfId="3948" xr:uid="{00000000-0005-0000-0000-0000FA030000}"/>
    <cellStyle name="Normal 11 48 5" xfId="3949" xr:uid="{00000000-0005-0000-0000-0000FB030000}"/>
    <cellStyle name="Normal 11 49" xfId="897" xr:uid="{00000000-0005-0000-0000-0000FC030000}"/>
    <cellStyle name="Normal 11 49 2" xfId="3950" xr:uid="{00000000-0005-0000-0000-0000FD030000}"/>
    <cellStyle name="Normal 11 49 2 2" xfId="3951" xr:uid="{00000000-0005-0000-0000-0000FE030000}"/>
    <cellStyle name="Normal 11 49 3" xfId="3952" xr:uid="{00000000-0005-0000-0000-0000FF030000}"/>
    <cellStyle name="Normal 11 49 3 2" xfId="3953" xr:uid="{00000000-0005-0000-0000-000000040000}"/>
    <cellStyle name="Normal 11 49 4" xfId="3954" xr:uid="{00000000-0005-0000-0000-000001040000}"/>
    <cellStyle name="Normal 11 49 5" xfId="3955" xr:uid="{00000000-0005-0000-0000-000002040000}"/>
    <cellStyle name="Normal 11 5" xfId="898" xr:uid="{00000000-0005-0000-0000-000003040000}"/>
    <cellStyle name="Normal 11 50" xfId="899" xr:uid="{00000000-0005-0000-0000-000004040000}"/>
    <cellStyle name="Normal 11 50 2" xfId="3956" xr:uid="{00000000-0005-0000-0000-000005040000}"/>
    <cellStyle name="Normal 11 50 2 2" xfId="3957" xr:uid="{00000000-0005-0000-0000-000006040000}"/>
    <cellStyle name="Normal 11 50 3" xfId="3958" xr:uid="{00000000-0005-0000-0000-000007040000}"/>
    <cellStyle name="Normal 11 50 3 2" xfId="3959" xr:uid="{00000000-0005-0000-0000-000008040000}"/>
    <cellStyle name="Normal 11 50 4" xfId="3960" xr:uid="{00000000-0005-0000-0000-000009040000}"/>
    <cellStyle name="Normal 11 50 5" xfId="3961" xr:uid="{00000000-0005-0000-0000-00000A040000}"/>
    <cellStyle name="Normal 11 51" xfId="900" xr:uid="{00000000-0005-0000-0000-00000B040000}"/>
    <cellStyle name="Normal 11 51 2" xfId="3962" xr:uid="{00000000-0005-0000-0000-00000C040000}"/>
    <cellStyle name="Normal 11 51 2 2" xfId="3963" xr:uid="{00000000-0005-0000-0000-00000D040000}"/>
    <cellStyle name="Normal 11 51 3" xfId="3964" xr:uid="{00000000-0005-0000-0000-00000E040000}"/>
    <cellStyle name="Normal 11 51 3 2" xfId="3965" xr:uid="{00000000-0005-0000-0000-00000F040000}"/>
    <cellStyle name="Normal 11 51 4" xfId="3966" xr:uid="{00000000-0005-0000-0000-000010040000}"/>
    <cellStyle name="Normal 11 51 5" xfId="3967" xr:uid="{00000000-0005-0000-0000-000011040000}"/>
    <cellStyle name="Normal 11 52" xfId="901" xr:uid="{00000000-0005-0000-0000-000012040000}"/>
    <cellStyle name="Normal 11 52 2" xfId="3968" xr:uid="{00000000-0005-0000-0000-000013040000}"/>
    <cellStyle name="Normal 11 52 2 2" xfId="3969" xr:uid="{00000000-0005-0000-0000-000014040000}"/>
    <cellStyle name="Normal 11 52 3" xfId="3970" xr:uid="{00000000-0005-0000-0000-000015040000}"/>
    <cellStyle name="Normal 11 52 3 2" xfId="3971" xr:uid="{00000000-0005-0000-0000-000016040000}"/>
    <cellStyle name="Normal 11 52 4" xfId="3972" xr:uid="{00000000-0005-0000-0000-000017040000}"/>
    <cellStyle name="Normal 11 52 5" xfId="3973" xr:uid="{00000000-0005-0000-0000-000018040000}"/>
    <cellStyle name="Normal 11 53" xfId="846" xr:uid="{00000000-0005-0000-0000-000019040000}"/>
    <cellStyle name="Normal 11 6" xfId="902" xr:uid="{00000000-0005-0000-0000-00001A040000}"/>
    <cellStyle name="Normal 11 7" xfId="903" xr:uid="{00000000-0005-0000-0000-00001B040000}"/>
    <cellStyle name="Normal 11 8" xfId="904" xr:uid="{00000000-0005-0000-0000-00001C040000}"/>
    <cellStyle name="Normal 11 9" xfId="905" xr:uid="{00000000-0005-0000-0000-00001D040000}"/>
    <cellStyle name="Normal 12" xfId="906" xr:uid="{00000000-0005-0000-0000-00001E040000}"/>
    <cellStyle name="Normal 12 2" xfId="907" xr:uid="{00000000-0005-0000-0000-00001F040000}"/>
    <cellStyle name="Normal 12 3" xfId="908" xr:uid="{00000000-0005-0000-0000-000020040000}"/>
    <cellStyle name="Normal 12 4" xfId="909" xr:uid="{00000000-0005-0000-0000-000021040000}"/>
    <cellStyle name="Normal 13" xfId="910" xr:uid="{00000000-0005-0000-0000-000022040000}"/>
    <cellStyle name="Normal 13 10" xfId="911" xr:uid="{00000000-0005-0000-0000-000023040000}"/>
    <cellStyle name="Normal 13 11" xfId="912" xr:uid="{00000000-0005-0000-0000-000024040000}"/>
    <cellStyle name="Normal 13 12" xfId="913" xr:uid="{00000000-0005-0000-0000-000025040000}"/>
    <cellStyle name="Normal 13 13" xfId="914" xr:uid="{00000000-0005-0000-0000-000026040000}"/>
    <cellStyle name="Normal 13 14" xfId="915" xr:uid="{00000000-0005-0000-0000-000027040000}"/>
    <cellStyle name="Normal 13 15" xfId="916" xr:uid="{00000000-0005-0000-0000-000028040000}"/>
    <cellStyle name="Normal 13 16" xfId="917" xr:uid="{00000000-0005-0000-0000-000029040000}"/>
    <cellStyle name="Normal 13 17" xfId="918" xr:uid="{00000000-0005-0000-0000-00002A040000}"/>
    <cellStyle name="Normal 13 18" xfId="919" xr:uid="{00000000-0005-0000-0000-00002B040000}"/>
    <cellStyle name="Normal 13 19" xfId="920" xr:uid="{00000000-0005-0000-0000-00002C040000}"/>
    <cellStyle name="Normal 13 2" xfId="921" xr:uid="{00000000-0005-0000-0000-00002D040000}"/>
    <cellStyle name="Normal 13 20" xfId="922" xr:uid="{00000000-0005-0000-0000-00002E040000}"/>
    <cellStyle name="Normal 13 21" xfId="923" xr:uid="{00000000-0005-0000-0000-00002F040000}"/>
    <cellStyle name="Normal 13 22" xfId="924" xr:uid="{00000000-0005-0000-0000-000030040000}"/>
    <cellStyle name="Normal 13 23" xfId="925" xr:uid="{00000000-0005-0000-0000-000031040000}"/>
    <cellStyle name="Normal 13 24" xfId="926" xr:uid="{00000000-0005-0000-0000-000032040000}"/>
    <cellStyle name="Normal 13 25" xfId="927" xr:uid="{00000000-0005-0000-0000-000033040000}"/>
    <cellStyle name="Normal 13 26" xfId="928" xr:uid="{00000000-0005-0000-0000-000034040000}"/>
    <cellStyle name="Normal 13 27" xfId="929" xr:uid="{00000000-0005-0000-0000-000035040000}"/>
    <cellStyle name="Normal 13 28" xfId="930" xr:uid="{00000000-0005-0000-0000-000036040000}"/>
    <cellStyle name="Normal 13 29" xfId="931" xr:uid="{00000000-0005-0000-0000-000037040000}"/>
    <cellStyle name="Normal 13 3" xfId="932" xr:uid="{00000000-0005-0000-0000-000038040000}"/>
    <cellStyle name="Normal 13 30" xfId="933" xr:uid="{00000000-0005-0000-0000-000039040000}"/>
    <cellStyle name="Normal 13 31" xfId="934" xr:uid="{00000000-0005-0000-0000-00003A040000}"/>
    <cellStyle name="Normal 13 32" xfId="935" xr:uid="{00000000-0005-0000-0000-00003B040000}"/>
    <cellStyle name="Normal 13 33" xfId="936" xr:uid="{00000000-0005-0000-0000-00003C040000}"/>
    <cellStyle name="Normal 13 34" xfId="937" xr:uid="{00000000-0005-0000-0000-00003D040000}"/>
    <cellStyle name="Normal 13 35" xfId="938" xr:uid="{00000000-0005-0000-0000-00003E040000}"/>
    <cellStyle name="Normal 13 36" xfId="939" xr:uid="{00000000-0005-0000-0000-00003F040000}"/>
    <cellStyle name="Normal 13 37" xfId="940" xr:uid="{00000000-0005-0000-0000-000040040000}"/>
    <cellStyle name="Normal 13 38" xfId="941" xr:uid="{00000000-0005-0000-0000-000041040000}"/>
    <cellStyle name="Normal 13 39" xfId="942" xr:uid="{00000000-0005-0000-0000-000042040000}"/>
    <cellStyle name="Normal 13 4" xfId="943" xr:uid="{00000000-0005-0000-0000-000043040000}"/>
    <cellStyle name="Normal 13 40" xfId="944" xr:uid="{00000000-0005-0000-0000-000044040000}"/>
    <cellStyle name="Normal 13 41" xfId="945" xr:uid="{00000000-0005-0000-0000-000045040000}"/>
    <cellStyle name="Normal 13 42" xfId="946" xr:uid="{00000000-0005-0000-0000-000046040000}"/>
    <cellStyle name="Normal 13 43" xfId="947" xr:uid="{00000000-0005-0000-0000-000047040000}"/>
    <cellStyle name="Normal 13 44" xfId="948" xr:uid="{00000000-0005-0000-0000-000048040000}"/>
    <cellStyle name="Normal 13 5" xfId="949" xr:uid="{00000000-0005-0000-0000-000049040000}"/>
    <cellStyle name="Normal 13 6" xfId="950" xr:uid="{00000000-0005-0000-0000-00004A040000}"/>
    <cellStyle name="Normal 13 7" xfId="951" xr:uid="{00000000-0005-0000-0000-00004B040000}"/>
    <cellStyle name="Normal 13 8" xfId="952" xr:uid="{00000000-0005-0000-0000-00004C040000}"/>
    <cellStyle name="Normal 13 9" xfId="953" xr:uid="{00000000-0005-0000-0000-00004D040000}"/>
    <cellStyle name="Normal 14" xfId="954" xr:uid="{00000000-0005-0000-0000-00004E040000}"/>
    <cellStyle name="Normal 14 10" xfId="955" xr:uid="{00000000-0005-0000-0000-00004F040000}"/>
    <cellStyle name="Normal 14 11" xfId="956" xr:uid="{00000000-0005-0000-0000-000050040000}"/>
    <cellStyle name="Normal 14 12" xfId="957" xr:uid="{00000000-0005-0000-0000-000051040000}"/>
    <cellStyle name="Normal 14 13" xfId="958" xr:uid="{00000000-0005-0000-0000-000052040000}"/>
    <cellStyle name="Normal 14 14" xfId="959" xr:uid="{00000000-0005-0000-0000-000053040000}"/>
    <cellStyle name="Normal 14 15" xfId="960" xr:uid="{00000000-0005-0000-0000-000054040000}"/>
    <cellStyle name="Normal 14 16" xfId="961" xr:uid="{00000000-0005-0000-0000-000055040000}"/>
    <cellStyle name="Normal 14 17" xfId="962" xr:uid="{00000000-0005-0000-0000-000056040000}"/>
    <cellStyle name="Normal 14 18" xfId="963" xr:uid="{00000000-0005-0000-0000-000057040000}"/>
    <cellStyle name="Normal 14 19" xfId="964" xr:uid="{00000000-0005-0000-0000-000058040000}"/>
    <cellStyle name="Normal 14 2" xfId="965" xr:uid="{00000000-0005-0000-0000-000059040000}"/>
    <cellStyle name="Normal 14 20" xfId="966" xr:uid="{00000000-0005-0000-0000-00005A040000}"/>
    <cellStyle name="Normal 14 21" xfId="967" xr:uid="{00000000-0005-0000-0000-00005B040000}"/>
    <cellStyle name="Normal 14 22" xfId="968" xr:uid="{00000000-0005-0000-0000-00005C040000}"/>
    <cellStyle name="Normal 14 23" xfId="969" xr:uid="{00000000-0005-0000-0000-00005D040000}"/>
    <cellStyle name="Normal 14 24" xfId="970" xr:uid="{00000000-0005-0000-0000-00005E040000}"/>
    <cellStyle name="Normal 14 25" xfId="971" xr:uid="{00000000-0005-0000-0000-00005F040000}"/>
    <cellStyle name="Normal 14 26" xfId="972" xr:uid="{00000000-0005-0000-0000-000060040000}"/>
    <cellStyle name="Normal 14 27" xfId="973" xr:uid="{00000000-0005-0000-0000-000061040000}"/>
    <cellStyle name="Normal 14 28" xfId="974" xr:uid="{00000000-0005-0000-0000-000062040000}"/>
    <cellStyle name="Normal 14 29" xfId="975" xr:uid="{00000000-0005-0000-0000-000063040000}"/>
    <cellStyle name="Normal 14 3" xfId="976" xr:uid="{00000000-0005-0000-0000-000064040000}"/>
    <cellStyle name="Normal 14 30" xfId="977" xr:uid="{00000000-0005-0000-0000-000065040000}"/>
    <cellStyle name="Normal 14 31" xfId="978" xr:uid="{00000000-0005-0000-0000-000066040000}"/>
    <cellStyle name="Normal 14 32" xfId="979" xr:uid="{00000000-0005-0000-0000-000067040000}"/>
    <cellStyle name="Normal 14 33" xfId="980" xr:uid="{00000000-0005-0000-0000-000068040000}"/>
    <cellStyle name="Normal 14 34" xfId="981" xr:uid="{00000000-0005-0000-0000-000069040000}"/>
    <cellStyle name="Normal 14 35" xfId="982" xr:uid="{00000000-0005-0000-0000-00006A040000}"/>
    <cellStyle name="Normal 14 36" xfId="983" xr:uid="{00000000-0005-0000-0000-00006B040000}"/>
    <cellStyle name="Normal 14 37" xfId="984" xr:uid="{00000000-0005-0000-0000-00006C040000}"/>
    <cellStyle name="Normal 14 38" xfId="985" xr:uid="{00000000-0005-0000-0000-00006D040000}"/>
    <cellStyle name="Normal 14 39" xfId="986" xr:uid="{00000000-0005-0000-0000-00006E040000}"/>
    <cellStyle name="Normal 14 4" xfId="987" xr:uid="{00000000-0005-0000-0000-00006F040000}"/>
    <cellStyle name="Normal 14 40" xfId="988" xr:uid="{00000000-0005-0000-0000-000070040000}"/>
    <cellStyle name="Normal 14 41" xfId="989" xr:uid="{00000000-0005-0000-0000-000071040000}"/>
    <cellStyle name="Normal 14 42" xfId="990" xr:uid="{00000000-0005-0000-0000-000072040000}"/>
    <cellStyle name="Normal 14 43" xfId="991" xr:uid="{00000000-0005-0000-0000-000073040000}"/>
    <cellStyle name="Normal 14 44" xfId="992" xr:uid="{00000000-0005-0000-0000-000074040000}"/>
    <cellStyle name="Normal 14 5" xfId="993" xr:uid="{00000000-0005-0000-0000-000075040000}"/>
    <cellStyle name="Normal 14 6" xfId="994" xr:uid="{00000000-0005-0000-0000-000076040000}"/>
    <cellStyle name="Normal 14 7" xfId="995" xr:uid="{00000000-0005-0000-0000-000077040000}"/>
    <cellStyle name="Normal 14 8" xfId="996" xr:uid="{00000000-0005-0000-0000-000078040000}"/>
    <cellStyle name="Normal 14 9" xfId="997" xr:uid="{00000000-0005-0000-0000-000079040000}"/>
    <cellStyle name="Normal 15" xfId="998" xr:uid="{00000000-0005-0000-0000-00007A040000}"/>
    <cellStyle name="Normal 15 10" xfId="999" xr:uid="{00000000-0005-0000-0000-00007B040000}"/>
    <cellStyle name="Normal 15 11" xfId="1000" xr:uid="{00000000-0005-0000-0000-00007C040000}"/>
    <cellStyle name="Normal 15 12" xfId="1001" xr:uid="{00000000-0005-0000-0000-00007D040000}"/>
    <cellStyle name="Normal 15 13" xfId="1002" xr:uid="{00000000-0005-0000-0000-00007E040000}"/>
    <cellStyle name="Normal 15 14" xfId="1003" xr:uid="{00000000-0005-0000-0000-00007F040000}"/>
    <cellStyle name="Normal 15 15" xfId="1004" xr:uid="{00000000-0005-0000-0000-000080040000}"/>
    <cellStyle name="Normal 15 16" xfId="1005" xr:uid="{00000000-0005-0000-0000-000081040000}"/>
    <cellStyle name="Normal 15 17" xfId="1006" xr:uid="{00000000-0005-0000-0000-000082040000}"/>
    <cellStyle name="Normal 15 18" xfId="1007" xr:uid="{00000000-0005-0000-0000-000083040000}"/>
    <cellStyle name="Normal 15 19" xfId="1008" xr:uid="{00000000-0005-0000-0000-000084040000}"/>
    <cellStyle name="Normal 15 2" xfId="1009" xr:uid="{00000000-0005-0000-0000-000085040000}"/>
    <cellStyle name="Normal 15 20" xfId="1010" xr:uid="{00000000-0005-0000-0000-000086040000}"/>
    <cellStyle name="Normal 15 21" xfId="1011" xr:uid="{00000000-0005-0000-0000-000087040000}"/>
    <cellStyle name="Normal 15 22" xfId="1012" xr:uid="{00000000-0005-0000-0000-000088040000}"/>
    <cellStyle name="Normal 15 23" xfId="1013" xr:uid="{00000000-0005-0000-0000-000089040000}"/>
    <cellStyle name="Normal 15 24" xfId="1014" xr:uid="{00000000-0005-0000-0000-00008A040000}"/>
    <cellStyle name="Normal 15 25" xfId="1015" xr:uid="{00000000-0005-0000-0000-00008B040000}"/>
    <cellStyle name="Normal 15 26" xfId="1016" xr:uid="{00000000-0005-0000-0000-00008C040000}"/>
    <cellStyle name="Normal 15 27" xfId="1017" xr:uid="{00000000-0005-0000-0000-00008D040000}"/>
    <cellStyle name="Normal 15 28" xfId="1018" xr:uid="{00000000-0005-0000-0000-00008E040000}"/>
    <cellStyle name="Normal 15 29" xfId="1019" xr:uid="{00000000-0005-0000-0000-00008F040000}"/>
    <cellStyle name="Normal 15 3" xfId="1020" xr:uid="{00000000-0005-0000-0000-000090040000}"/>
    <cellStyle name="Normal 15 30" xfId="1021" xr:uid="{00000000-0005-0000-0000-000091040000}"/>
    <cellStyle name="Normal 15 31" xfId="1022" xr:uid="{00000000-0005-0000-0000-000092040000}"/>
    <cellStyle name="Normal 15 32" xfId="1023" xr:uid="{00000000-0005-0000-0000-000093040000}"/>
    <cellStyle name="Normal 15 33" xfId="1024" xr:uid="{00000000-0005-0000-0000-000094040000}"/>
    <cellStyle name="Normal 15 34" xfId="1025" xr:uid="{00000000-0005-0000-0000-000095040000}"/>
    <cellStyle name="Normal 15 35" xfId="1026" xr:uid="{00000000-0005-0000-0000-000096040000}"/>
    <cellStyle name="Normal 15 36" xfId="1027" xr:uid="{00000000-0005-0000-0000-000097040000}"/>
    <cellStyle name="Normal 15 37" xfId="1028" xr:uid="{00000000-0005-0000-0000-000098040000}"/>
    <cellStyle name="Normal 15 38" xfId="1029" xr:uid="{00000000-0005-0000-0000-000099040000}"/>
    <cellStyle name="Normal 15 39" xfId="1030" xr:uid="{00000000-0005-0000-0000-00009A040000}"/>
    <cellStyle name="Normal 15 4" xfId="1031" xr:uid="{00000000-0005-0000-0000-00009B040000}"/>
    <cellStyle name="Normal 15 40" xfId="1032" xr:uid="{00000000-0005-0000-0000-00009C040000}"/>
    <cellStyle name="Normal 15 41" xfId="1033" xr:uid="{00000000-0005-0000-0000-00009D040000}"/>
    <cellStyle name="Normal 15 42" xfId="1034" xr:uid="{00000000-0005-0000-0000-00009E040000}"/>
    <cellStyle name="Normal 15 43" xfId="1035" xr:uid="{00000000-0005-0000-0000-00009F040000}"/>
    <cellStyle name="Normal 15 44" xfId="1036" xr:uid="{00000000-0005-0000-0000-0000A0040000}"/>
    <cellStyle name="Normal 15 5" xfId="1037" xr:uid="{00000000-0005-0000-0000-0000A1040000}"/>
    <cellStyle name="Normal 15 6" xfId="1038" xr:uid="{00000000-0005-0000-0000-0000A2040000}"/>
    <cellStyle name="Normal 15 7" xfId="1039" xr:uid="{00000000-0005-0000-0000-0000A3040000}"/>
    <cellStyle name="Normal 15 8" xfId="1040" xr:uid="{00000000-0005-0000-0000-0000A4040000}"/>
    <cellStyle name="Normal 15 9" xfId="1041" xr:uid="{00000000-0005-0000-0000-0000A5040000}"/>
    <cellStyle name="Normal 16" xfId="1042" xr:uid="{00000000-0005-0000-0000-0000A6040000}"/>
    <cellStyle name="Normal 16 10" xfId="1043" xr:uid="{00000000-0005-0000-0000-0000A7040000}"/>
    <cellStyle name="Normal 16 11" xfId="1044" xr:uid="{00000000-0005-0000-0000-0000A8040000}"/>
    <cellStyle name="Normal 16 12" xfId="1045" xr:uid="{00000000-0005-0000-0000-0000A9040000}"/>
    <cellStyle name="Normal 16 13" xfId="1046" xr:uid="{00000000-0005-0000-0000-0000AA040000}"/>
    <cellStyle name="Normal 16 14" xfId="1047" xr:uid="{00000000-0005-0000-0000-0000AB040000}"/>
    <cellStyle name="Normal 16 15" xfId="1048" xr:uid="{00000000-0005-0000-0000-0000AC040000}"/>
    <cellStyle name="Normal 16 16" xfId="1049" xr:uid="{00000000-0005-0000-0000-0000AD040000}"/>
    <cellStyle name="Normal 16 17" xfId="1050" xr:uid="{00000000-0005-0000-0000-0000AE040000}"/>
    <cellStyle name="Normal 16 18" xfId="1051" xr:uid="{00000000-0005-0000-0000-0000AF040000}"/>
    <cellStyle name="Normal 16 19" xfId="1052" xr:uid="{00000000-0005-0000-0000-0000B0040000}"/>
    <cellStyle name="Normal 16 2" xfId="1053" xr:uid="{00000000-0005-0000-0000-0000B1040000}"/>
    <cellStyle name="Normal 16 20" xfId="1054" xr:uid="{00000000-0005-0000-0000-0000B2040000}"/>
    <cellStyle name="Normal 16 21" xfId="1055" xr:uid="{00000000-0005-0000-0000-0000B3040000}"/>
    <cellStyle name="Normal 16 22" xfId="1056" xr:uid="{00000000-0005-0000-0000-0000B4040000}"/>
    <cellStyle name="Normal 16 23" xfId="1057" xr:uid="{00000000-0005-0000-0000-0000B5040000}"/>
    <cellStyle name="Normal 16 24" xfId="1058" xr:uid="{00000000-0005-0000-0000-0000B6040000}"/>
    <cellStyle name="Normal 16 25" xfId="1059" xr:uid="{00000000-0005-0000-0000-0000B7040000}"/>
    <cellStyle name="Normal 16 26" xfId="1060" xr:uid="{00000000-0005-0000-0000-0000B8040000}"/>
    <cellStyle name="Normal 16 27" xfId="1061" xr:uid="{00000000-0005-0000-0000-0000B9040000}"/>
    <cellStyle name="Normal 16 28" xfId="1062" xr:uid="{00000000-0005-0000-0000-0000BA040000}"/>
    <cellStyle name="Normal 16 29" xfId="1063" xr:uid="{00000000-0005-0000-0000-0000BB040000}"/>
    <cellStyle name="Normal 16 3" xfId="1064" xr:uid="{00000000-0005-0000-0000-0000BC040000}"/>
    <cellStyle name="Normal 16 30" xfId="1065" xr:uid="{00000000-0005-0000-0000-0000BD040000}"/>
    <cellStyle name="Normal 16 31" xfId="1066" xr:uid="{00000000-0005-0000-0000-0000BE040000}"/>
    <cellStyle name="Normal 16 32" xfId="1067" xr:uid="{00000000-0005-0000-0000-0000BF040000}"/>
    <cellStyle name="Normal 16 33" xfId="1068" xr:uid="{00000000-0005-0000-0000-0000C0040000}"/>
    <cellStyle name="Normal 16 34" xfId="1069" xr:uid="{00000000-0005-0000-0000-0000C1040000}"/>
    <cellStyle name="Normal 16 35" xfId="1070" xr:uid="{00000000-0005-0000-0000-0000C2040000}"/>
    <cellStyle name="Normal 16 36" xfId="1071" xr:uid="{00000000-0005-0000-0000-0000C3040000}"/>
    <cellStyle name="Normal 16 37" xfId="1072" xr:uid="{00000000-0005-0000-0000-0000C4040000}"/>
    <cellStyle name="Normal 16 38" xfId="1073" xr:uid="{00000000-0005-0000-0000-0000C5040000}"/>
    <cellStyle name="Normal 16 39" xfId="1074" xr:uid="{00000000-0005-0000-0000-0000C6040000}"/>
    <cellStyle name="Normal 16 4" xfId="1075" xr:uid="{00000000-0005-0000-0000-0000C7040000}"/>
    <cellStyle name="Normal 16 40" xfId="1076" xr:uid="{00000000-0005-0000-0000-0000C8040000}"/>
    <cellStyle name="Normal 16 41" xfId="1077" xr:uid="{00000000-0005-0000-0000-0000C9040000}"/>
    <cellStyle name="Normal 16 42" xfId="1078" xr:uid="{00000000-0005-0000-0000-0000CA040000}"/>
    <cellStyle name="Normal 16 43" xfId="1079" xr:uid="{00000000-0005-0000-0000-0000CB040000}"/>
    <cellStyle name="Normal 16 44" xfId="1080" xr:uid="{00000000-0005-0000-0000-0000CC040000}"/>
    <cellStyle name="Normal 16 5" xfId="1081" xr:uid="{00000000-0005-0000-0000-0000CD040000}"/>
    <cellStyle name="Normal 16 6" xfId="1082" xr:uid="{00000000-0005-0000-0000-0000CE040000}"/>
    <cellStyle name="Normal 16 7" xfId="1083" xr:uid="{00000000-0005-0000-0000-0000CF040000}"/>
    <cellStyle name="Normal 16 8" xfId="1084" xr:uid="{00000000-0005-0000-0000-0000D0040000}"/>
    <cellStyle name="Normal 16 9" xfId="1085" xr:uid="{00000000-0005-0000-0000-0000D1040000}"/>
    <cellStyle name="Normal 17" xfId="1086" xr:uid="{00000000-0005-0000-0000-0000D2040000}"/>
    <cellStyle name="Normal 17 10" xfId="1087" xr:uid="{00000000-0005-0000-0000-0000D3040000}"/>
    <cellStyle name="Normal 17 11" xfId="1088" xr:uid="{00000000-0005-0000-0000-0000D4040000}"/>
    <cellStyle name="Normal 17 12" xfId="1089" xr:uid="{00000000-0005-0000-0000-0000D5040000}"/>
    <cellStyle name="Normal 17 13" xfId="1090" xr:uid="{00000000-0005-0000-0000-0000D6040000}"/>
    <cellStyle name="Normal 17 14" xfId="1091" xr:uid="{00000000-0005-0000-0000-0000D7040000}"/>
    <cellStyle name="Normal 17 15" xfId="1092" xr:uid="{00000000-0005-0000-0000-0000D8040000}"/>
    <cellStyle name="Normal 17 16" xfId="1093" xr:uid="{00000000-0005-0000-0000-0000D9040000}"/>
    <cellStyle name="Normal 17 17" xfId="1094" xr:uid="{00000000-0005-0000-0000-0000DA040000}"/>
    <cellStyle name="Normal 17 18" xfId="1095" xr:uid="{00000000-0005-0000-0000-0000DB040000}"/>
    <cellStyle name="Normal 17 19" xfId="1096" xr:uid="{00000000-0005-0000-0000-0000DC040000}"/>
    <cellStyle name="Normal 17 2" xfId="1097" xr:uid="{00000000-0005-0000-0000-0000DD040000}"/>
    <cellStyle name="Normal 17 20" xfId="1098" xr:uid="{00000000-0005-0000-0000-0000DE040000}"/>
    <cellStyle name="Normal 17 21" xfId="1099" xr:uid="{00000000-0005-0000-0000-0000DF040000}"/>
    <cellStyle name="Normal 17 22" xfId="1100" xr:uid="{00000000-0005-0000-0000-0000E0040000}"/>
    <cellStyle name="Normal 17 23" xfId="1101" xr:uid="{00000000-0005-0000-0000-0000E1040000}"/>
    <cellStyle name="Normal 17 24" xfId="1102" xr:uid="{00000000-0005-0000-0000-0000E2040000}"/>
    <cellStyle name="Normal 17 25" xfId="1103" xr:uid="{00000000-0005-0000-0000-0000E3040000}"/>
    <cellStyle name="Normal 17 26" xfId="1104" xr:uid="{00000000-0005-0000-0000-0000E4040000}"/>
    <cellStyle name="Normal 17 27" xfId="1105" xr:uid="{00000000-0005-0000-0000-0000E5040000}"/>
    <cellStyle name="Normal 17 28" xfId="1106" xr:uid="{00000000-0005-0000-0000-0000E6040000}"/>
    <cellStyle name="Normal 17 29" xfId="1107" xr:uid="{00000000-0005-0000-0000-0000E7040000}"/>
    <cellStyle name="Normal 17 3" xfId="1108" xr:uid="{00000000-0005-0000-0000-0000E8040000}"/>
    <cellStyle name="Normal 17 30" xfId="1109" xr:uid="{00000000-0005-0000-0000-0000E9040000}"/>
    <cellStyle name="Normal 17 31" xfId="1110" xr:uid="{00000000-0005-0000-0000-0000EA040000}"/>
    <cellStyle name="Normal 17 32" xfId="1111" xr:uid="{00000000-0005-0000-0000-0000EB040000}"/>
    <cellStyle name="Normal 17 33" xfId="1112" xr:uid="{00000000-0005-0000-0000-0000EC040000}"/>
    <cellStyle name="Normal 17 34" xfId="1113" xr:uid="{00000000-0005-0000-0000-0000ED040000}"/>
    <cellStyle name="Normal 17 35" xfId="1114" xr:uid="{00000000-0005-0000-0000-0000EE040000}"/>
    <cellStyle name="Normal 17 36" xfId="1115" xr:uid="{00000000-0005-0000-0000-0000EF040000}"/>
    <cellStyle name="Normal 17 37" xfId="1116" xr:uid="{00000000-0005-0000-0000-0000F0040000}"/>
    <cellStyle name="Normal 17 38" xfId="1117" xr:uid="{00000000-0005-0000-0000-0000F1040000}"/>
    <cellStyle name="Normal 17 39" xfId="1118" xr:uid="{00000000-0005-0000-0000-0000F2040000}"/>
    <cellStyle name="Normal 17 4" xfId="1119" xr:uid="{00000000-0005-0000-0000-0000F3040000}"/>
    <cellStyle name="Normal 17 40" xfId="1120" xr:uid="{00000000-0005-0000-0000-0000F4040000}"/>
    <cellStyle name="Normal 17 41" xfId="1121" xr:uid="{00000000-0005-0000-0000-0000F5040000}"/>
    <cellStyle name="Normal 17 42" xfId="1122" xr:uid="{00000000-0005-0000-0000-0000F6040000}"/>
    <cellStyle name="Normal 17 43" xfId="1123" xr:uid="{00000000-0005-0000-0000-0000F7040000}"/>
    <cellStyle name="Normal 17 44" xfId="1124" xr:uid="{00000000-0005-0000-0000-0000F8040000}"/>
    <cellStyle name="Normal 17 5" xfId="1125" xr:uid="{00000000-0005-0000-0000-0000F9040000}"/>
    <cellStyle name="Normal 17 6" xfId="1126" xr:uid="{00000000-0005-0000-0000-0000FA040000}"/>
    <cellStyle name="Normal 17 7" xfId="1127" xr:uid="{00000000-0005-0000-0000-0000FB040000}"/>
    <cellStyle name="Normal 17 8" xfId="1128" xr:uid="{00000000-0005-0000-0000-0000FC040000}"/>
    <cellStyle name="Normal 17 9" xfId="1129" xr:uid="{00000000-0005-0000-0000-0000FD040000}"/>
    <cellStyle name="Normal 18" xfId="1130" xr:uid="{00000000-0005-0000-0000-0000FE040000}"/>
    <cellStyle name="Normal 18 10" xfId="1131" xr:uid="{00000000-0005-0000-0000-0000FF040000}"/>
    <cellStyle name="Normal 18 11" xfId="1132" xr:uid="{00000000-0005-0000-0000-000000050000}"/>
    <cellStyle name="Normal 18 12" xfId="1133" xr:uid="{00000000-0005-0000-0000-000001050000}"/>
    <cellStyle name="Normal 18 13" xfId="1134" xr:uid="{00000000-0005-0000-0000-000002050000}"/>
    <cellStyle name="Normal 18 14" xfId="1135" xr:uid="{00000000-0005-0000-0000-000003050000}"/>
    <cellStyle name="Normal 18 15" xfId="1136" xr:uid="{00000000-0005-0000-0000-000004050000}"/>
    <cellStyle name="Normal 18 16" xfId="1137" xr:uid="{00000000-0005-0000-0000-000005050000}"/>
    <cellStyle name="Normal 18 17" xfId="1138" xr:uid="{00000000-0005-0000-0000-000006050000}"/>
    <cellStyle name="Normal 18 18" xfId="1139" xr:uid="{00000000-0005-0000-0000-000007050000}"/>
    <cellStyle name="Normal 18 19" xfId="1140" xr:uid="{00000000-0005-0000-0000-000008050000}"/>
    <cellStyle name="Normal 18 2" xfId="1141" xr:uid="{00000000-0005-0000-0000-000009050000}"/>
    <cellStyle name="Normal 18 20" xfId="1142" xr:uid="{00000000-0005-0000-0000-00000A050000}"/>
    <cellStyle name="Normal 18 21" xfId="1143" xr:uid="{00000000-0005-0000-0000-00000B050000}"/>
    <cellStyle name="Normal 18 22" xfId="1144" xr:uid="{00000000-0005-0000-0000-00000C050000}"/>
    <cellStyle name="Normal 18 23" xfId="1145" xr:uid="{00000000-0005-0000-0000-00000D050000}"/>
    <cellStyle name="Normal 18 24" xfId="1146" xr:uid="{00000000-0005-0000-0000-00000E050000}"/>
    <cellStyle name="Normal 18 25" xfId="1147" xr:uid="{00000000-0005-0000-0000-00000F050000}"/>
    <cellStyle name="Normal 18 26" xfId="1148" xr:uid="{00000000-0005-0000-0000-000010050000}"/>
    <cellStyle name="Normal 18 27" xfId="1149" xr:uid="{00000000-0005-0000-0000-000011050000}"/>
    <cellStyle name="Normal 18 28" xfId="1150" xr:uid="{00000000-0005-0000-0000-000012050000}"/>
    <cellStyle name="Normal 18 29" xfId="1151" xr:uid="{00000000-0005-0000-0000-000013050000}"/>
    <cellStyle name="Normal 18 3" xfId="48" xr:uid="{00000000-0005-0000-0000-000014050000}"/>
    <cellStyle name="Normal 18 3 2" xfId="3811" xr:uid="{00000000-0005-0000-0000-000015050000}"/>
    <cellStyle name="Normal 18 3 3" xfId="1152" xr:uid="{00000000-0005-0000-0000-000016050000}"/>
    <cellStyle name="Normal 18 30" xfId="1153" xr:uid="{00000000-0005-0000-0000-000017050000}"/>
    <cellStyle name="Normal 18 31" xfId="1154" xr:uid="{00000000-0005-0000-0000-000018050000}"/>
    <cellStyle name="Normal 18 32" xfId="1155" xr:uid="{00000000-0005-0000-0000-000019050000}"/>
    <cellStyle name="Normal 18 33" xfId="1156" xr:uid="{00000000-0005-0000-0000-00001A050000}"/>
    <cellStyle name="Normal 18 34" xfId="1157" xr:uid="{00000000-0005-0000-0000-00001B050000}"/>
    <cellStyle name="Normal 18 35" xfId="1158" xr:uid="{00000000-0005-0000-0000-00001C050000}"/>
    <cellStyle name="Normal 18 36" xfId="1159" xr:uid="{00000000-0005-0000-0000-00001D050000}"/>
    <cellStyle name="Normal 18 37" xfId="1160" xr:uid="{00000000-0005-0000-0000-00001E050000}"/>
    <cellStyle name="Normal 18 38" xfId="1161" xr:uid="{00000000-0005-0000-0000-00001F050000}"/>
    <cellStyle name="Normal 18 39" xfId="1162" xr:uid="{00000000-0005-0000-0000-000020050000}"/>
    <cellStyle name="Normal 18 4" xfId="1163" xr:uid="{00000000-0005-0000-0000-000021050000}"/>
    <cellStyle name="Normal 18 40" xfId="1164" xr:uid="{00000000-0005-0000-0000-000022050000}"/>
    <cellStyle name="Normal 18 41" xfId="1165" xr:uid="{00000000-0005-0000-0000-000023050000}"/>
    <cellStyle name="Normal 18 42" xfId="1166" xr:uid="{00000000-0005-0000-0000-000024050000}"/>
    <cellStyle name="Normal 18 43" xfId="1167" xr:uid="{00000000-0005-0000-0000-000025050000}"/>
    <cellStyle name="Normal 18 44" xfId="1168" xr:uid="{00000000-0005-0000-0000-000026050000}"/>
    <cellStyle name="Normal 18 5" xfId="1169" xr:uid="{00000000-0005-0000-0000-000027050000}"/>
    <cellStyle name="Normal 18 6" xfId="1170" xr:uid="{00000000-0005-0000-0000-000028050000}"/>
    <cellStyle name="Normal 18 7" xfId="1171" xr:uid="{00000000-0005-0000-0000-000029050000}"/>
    <cellStyle name="Normal 18 8" xfId="1172" xr:uid="{00000000-0005-0000-0000-00002A050000}"/>
    <cellStyle name="Normal 18 9" xfId="1173" xr:uid="{00000000-0005-0000-0000-00002B050000}"/>
    <cellStyle name="Normal 19" xfId="1174" xr:uid="{00000000-0005-0000-0000-00002C050000}"/>
    <cellStyle name="Normal 19 10" xfId="1175" xr:uid="{00000000-0005-0000-0000-00002D050000}"/>
    <cellStyle name="Normal 19 11" xfId="1176" xr:uid="{00000000-0005-0000-0000-00002E050000}"/>
    <cellStyle name="Normal 19 12" xfId="1177" xr:uid="{00000000-0005-0000-0000-00002F050000}"/>
    <cellStyle name="Normal 19 13" xfId="1178" xr:uid="{00000000-0005-0000-0000-000030050000}"/>
    <cellStyle name="Normal 19 14" xfId="1179" xr:uid="{00000000-0005-0000-0000-000031050000}"/>
    <cellStyle name="Normal 19 15" xfId="1180" xr:uid="{00000000-0005-0000-0000-000032050000}"/>
    <cellStyle name="Normal 19 16" xfId="1181" xr:uid="{00000000-0005-0000-0000-000033050000}"/>
    <cellStyle name="Normal 19 17" xfId="1182" xr:uid="{00000000-0005-0000-0000-000034050000}"/>
    <cellStyle name="Normal 19 18" xfId="1183" xr:uid="{00000000-0005-0000-0000-000035050000}"/>
    <cellStyle name="Normal 19 19" xfId="1184" xr:uid="{00000000-0005-0000-0000-000036050000}"/>
    <cellStyle name="Normal 19 2" xfId="1185" xr:uid="{00000000-0005-0000-0000-000037050000}"/>
    <cellStyle name="Normal 19 20" xfId="1186" xr:uid="{00000000-0005-0000-0000-000038050000}"/>
    <cellStyle name="Normal 19 21" xfId="1187" xr:uid="{00000000-0005-0000-0000-000039050000}"/>
    <cellStyle name="Normal 19 22" xfId="1188" xr:uid="{00000000-0005-0000-0000-00003A050000}"/>
    <cellStyle name="Normal 19 23" xfId="1189" xr:uid="{00000000-0005-0000-0000-00003B050000}"/>
    <cellStyle name="Normal 19 24" xfId="1190" xr:uid="{00000000-0005-0000-0000-00003C050000}"/>
    <cellStyle name="Normal 19 25" xfId="1191" xr:uid="{00000000-0005-0000-0000-00003D050000}"/>
    <cellStyle name="Normal 19 26" xfId="1192" xr:uid="{00000000-0005-0000-0000-00003E050000}"/>
    <cellStyle name="Normal 19 27" xfId="1193" xr:uid="{00000000-0005-0000-0000-00003F050000}"/>
    <cellStyle name="Normal 19 28" xfId="1194" xr:uid="{00000000-0005-0000-0000-000040050000}"/>
    <cellStyle name="Normal 19 29" xfId="1195" xr:uid="{00000000-0005-0000-0000-000041050000}"/>
    <cellStyle name="Normal 19 3" xfId="1196" xr:uid="{00000000-0005-0000-0000-000042050000}"/>
    <cellStyle name="Normal 19 30" xfId="1197" xr:uid="{00000000-0005-0000-0000-000043050000}"/>
    <cellStyle name="Normal 19 31" xfId="1198" xr:uid="{00000000-0005-0000-0000-000044050000}"/>
    <cellStyle name="Normal 19 32" xfId="1199" xr:uid="{00000000-0005-0000-0000-000045050000}"/>
    <cellStyle name="Normal 19 33" xfId="1200" xr:uid="{00000000-0005-0000-0000-000046050000}"/>
    <cellStyle name="Normal 19 34" xfId="1201" xr:uid="{00000000-0005-0000-0000-000047050000}"/>
    <cellStyle name="Normal 19 35" xfId="1202" xr:uid="{00000000-0005-0000-0000-000048050000}"/>
    <cellStyle name="Normal 19 36" xfId="1203" xr:uid="{00000000-0005-0000-0000-000049050000}"/>
    <cellStyle name="Normal 19 37" xfId="1204" xr:uid="{00000000-0005-0000-0000-00004A050000}"/>
    <cellStyle name="Normal 19 38" xfId="1205" xr:uid="{00000000-0005-0000-0000-00004B050000}"/>
    <cellStyle name="Normal 19 39" xfId="1206" xr:uid="{00000000-0005-0000-0000-00004C050000}"/>
    <cellStyle name="Normal 19 4" xfId="1207" xr:uid="{00000000-0005-0000-0000-00004D050000}"/>
    <cellStyle name="Normal 19 40" xfId="1208" xr:uid="{00000000-0005-0000-0000-00004E050000}"/>
    <cellStyle name="Normal 19 41" xfId="1209" xr:uid="{00000000-0005-0000-0000-00004F050000}"/>
    <cellStyle name="Normal 19 42" xfId="1210" xr:uid="{00000000-0005-0000-0000-000050050000}"/>
    <cellStyle name="Normal 19 43" xfId="1211" xr:uid="{00000000-0005-0000-0000-000051050000}"/>
    <cellStyle name="Normal 19 44" xfId="1212" xr:uid="{00000000-0005-0000-0000-000052050000}"/>
    <cellStyle name="Normal 19 5" xfId="1213" xr:uid="{00000000-0005-0000-0000-000053050000}"/>
    <cellStyle name="Normal 19 6" xfId="1214" xr:uid="{00000000-0005-0000-0000-000054050000}"/>
    <cellStyle name="Normal 19 7" xfId="1215" xr:uid="{00000000-0005-0000-0000-000055050000}"/>
    <cellStyle name="Normal 19 8" xfId="1216" xr:uid="{00000000-0005-0000-0000-000056050000}"/>
    <cellStyle name="Normal 19 9" xfId="1217" xr:uid="{00000000-0005-0000-0000-000057050000}"/>
    <cellStyle name="Normal 2" xfId="13" xr:uid="{00000000-0005-0000-0000-000058050000}"/>
    <cellStyle name="Normal 2 10" xfId="5" xr:uid="{00000000-0005-0000-0000-000059050000}"/>
    <cellStyle name="Normal 2 10 2" xfId="1218" xr:uid="{00000000-0005-0000-0000-00005A050000}"/>
    <cellStyle name="Normal 2 10 2 2" xfId="44" xr:uid="{00000000-0005-0000-0000-00005B050000}"/>
    <cellStyle name="Normal 2 10 3" xfId="23" xr:uid="{00000000-0005-0000-0000-00005C050000}"/>
    <cellStyle name="Normal 2 10 4" xfId="1219" xr:uid="{00000000-0005-0000-0000-00005D050000}"/>
    <cellStyle name="Normal 2 10 5" xfId="20" xr:uid="{00000000-0005-0000-0000-00005E050000}"/>
    <cellStyle name="Normal 2 11" xfId="1220" xr:uid="{00000000-0005-0000-0000-00005F050000}"/>
    <cellStyle name="Normal 2 11 2" xfId="1221" xr:uid="{00000000-0005-0000-0000-000060050000}"/>
    <cellStyle name="Normal 2 11 3" xfId="1222" xr:uid="{00000000-0005-0000-0000-000061050000}"/>
    <cellStyle name="Normal 2 11 4" xfId="1223" xr:uid="{00000000-0005-0000-0000-000062050000}"/>
    <cellStyle name="Normal 2 12" xfId="1224" xr:uid="{00000000-0005-0000-0000-000063050000}"/>
    <cellStyle name="Normal 2 12 2" xfId="1225" xr:uid="{00000000-0005-0000-0000-000064050000}"/>
    <cellStyle name="Normal 2 12 3" xfId="1226" xr:uid="{00000000-0005-0000-0000-000065050000}"/>
    <cellStyle name="Normal 2 12 4" xfId="1227" xr:uid="{00000000-0005-0000-0000-000066050000}"/>
    <cellStyle name="Normal 2 13" xfId="1228" xr:uid="{00000000-0005-0000-0000-000067050000}"/>
    <cellStyle name="Normal 2 13 2" xfId="1229" xr:uid="{00000000-0005-0000-0000-000068050000}"/>
    <cellStyle name="Normal 2 13 3" xfId="1230" xr:uid="{00000000-0005-0000-0000-000069050000}"/>
    <cellStyle name="Normal 2 13 4" xfId="1231" xr:uid="{00000000-0005-0000-0000-00006A050000}"/>
    <cellStyle name="Normal 2 14" xfId="1232" xr:uid="{00000000-0005-0000-0000-00006B050000}"/>
    <cellStyle name="Normal 2 14 2" xfId="1233" xr:uid="{00000000-0005-0000-0000-00006C050000}"/>
    <cellStyle name="Normal 2 14 3" xfId="1234" xr:uid="{00000000-0005-0000-0000-00006D050000}"/>
    <cellStyle name="Normal 2 14 4" xfId="1235" xr:uid="{00000000-0005-0000-0000-00006E050000}"/>
    <cellStyle name="Normal 2 15" xfId="1236" xr:uid="{00000000-0005-0000-0000-00006F050000}"/>
    <cellStyle name="Normal 2 15 2" xfId="1237" xr:uid="{00000000-0005-0000-0000-000070050000}"/>
    <cellStyle name="Normal 2 15 3" xfId="1238" xr:uid="{00000000-0005-0000-0000-000071050000}"/>
    <cellStyle name="Normal 2 15 4" xfId="1239" xr:uid="{00000000-0005-0000-0000-000072050000}"/>
    <cellStyle name="Normal 2 16" xfId="1240" xr:uid="{00000000-0005-0000-0000-000073050000}"/>
    <cellStyle name="Normal 2 16 2" xfId="1241" xr:uid="{00000000-0005-0000-0000-000074050000}"/>
    <cellStyle name="Normal 2 16 3" xfId="1242" xr:uid="{00000000-0005-0000-0000-000075050000}"/>
    <cellStyle name="Normal 2 16 4" xfId="1243" xr:uid="{00000000-0005-0000-0000-000076050000}"/>
    <cellStyle name="Normal 2 17" xfId="1244" xr:uid="{00000000-0005-0000-0000-000077050000}"/>
    <cellStyle name="Normal 2 17 2" xfId="1245" xr:uid="{00000000-0005-0000-0000-000078050000}"/>
    <cellStyle name="Normal 2 17 3" xfId="1246" xr:uid="{00000000-0005-0000-0000-000079050000}"/>
    <cellStyle name="Normal 2 17 4" xfId="1247" xr:uid="{00000000-0005-0000-0000-00007A050000}"/>
    <cellStyle name="Normal 2 18" xfId="1248" xr:uid="{00000000-0005-0000-0000-00007B050000}"/>
    <cellStyle name="Normal 2 18 2" xfId="1249" xr:uid="{00000000-0005-0000-0000-00007C050000}"/>
    <cellStyle name="Normal 2 18 3" xfId="1250" xr:uid="{00000000-0005-0000-0000-00007D050000}"/>
    <cellStyle name="Normal 2 18 4" xfId="1251" xr:uid="{00000000-0005-0000-0000-00007E050000}"/>
    <cellStyle name="Normal 2 19" xfId="1252" xr:uid="{00000000-0005-0000-0000-00007F050000}"/>
    <cellStyle name="Normal 2 19 2" xfId="1253" xr:uid="{00000000-0005-0000-0000-000080050000}"/>
    <cellStyle name="Normal 2 19 3" xfId="1254" xr:uid="{00000000-0005-0000-0000-000081050000}"/>
    <cellStyle name="Normal 2 19 4" xfId="1255" xr:uid="{00000000-0005-0000-0000-000082050000}"/>
    <cellStyle name="Normal 2 2" xfId="30" xr:uid="{00000000-0005-0000-0000-000083050000}"/>
    <cellStyle name="Normal 2 2 2" xfId="1256" xr:uid="{00000000-0005-0000-0000-000084050000}"/>
    <cellStyle name="Normal 2 2 2 2 2" xfId="55" xr:uid="{00000000-0005-0000-0000-000085050000}"/>
    <cellStyle name="Normal 2 2 3" xfId="1257" xr:uid="{00000000-0005-0000-0000-000086050000}"/>
    <cellStyle name="Normal 2 2 4" xfId="1258" xr:uid="{00000000-0005-0000-0000-000087050000}"/>
    <cellStyle name="Normal 2 2 5" xfId="3974" xr:uid="{00000000-0005-0000-0000-000088050000}"/>
    <cellStyle name="Normal 2 20" xfId="1259" xr:uid="{00000000-0005-0000-0000-000089050000}"/>
    <cellStyle name="Normal 2 20 2" xfId="1260" xr:uid="{00000000-0005-0000-0000-00008A050000}"/>
    <cellStyle name="Normal 2 20 3" xfId="1261" xr:uid="{00000000-0005-0000-0000-00008B050000}"/>
    <cellStyle name="Normal 2 20 4" xfId="1262" xr:uid="{00000000-0005-0000-0000-00008C050000}"/>
    <cellStyle name="Normal 2 21" xfId="1263" xr:uid="{00000000-0005-0000-0000-00008D050000}"/>
    <cellStyle name="Normal 2 21 2" xfId="1264" xr:uid="{00000000-0005-0000-0000-00008E050000}"/>
    <cellStyle name="Normal 2 21 3" xfId="1265" xr:uid="{00000000-0005-0000-0000-00008F050000}"/>
    <cellStyle name="Normal 2 21 4" xfId="1266" xr:uid="{00000000-0005-0000-0000-000090050000}"/>
    <cellStyle name="Normal 2 22" xfId="1267" xr:uid="{00000000-0005-0000-0000-000091050000}"/>
    <cellStyle name="Normal 2 22 2" xfId="1268" xr:uid="{00000000-0005-0000-0000-000092050000}"/>
    <cellStyle name="Normal 2 22 3" xfId="1269" xr:uid="{00000000-0005-0000-0000-000093050000}"/>
    <cellStyle name="Normal 2 22 4" xfId="1270" xr:uid="{00000000-0005-0000-0000-000094050000}"/>
    <cellStyle name="Normal 2 23" xfId="1271" xr:uid="{00000000-0005-0000-0000-000095050000}"/>
    <cellStyle name="Normal 2 23 2" xfId="1272" xr:uid="{00000000-0005-0000-0000-000096050000}"/>
    <cellStyle name="Normal 2 23 3" xfId="1273" xr:uid="{00000000-0005-0000-0000-000097050000}"/>
    <cellStyle name="Normal 2 23 4" xfId="1274" xr:uid="{00000000-0005-0000-0000-000098050000}"/>
    <cellStyle name="Normal 2 24" xfId="1275" xr:uid="{00000000-0005-0000-0000-000099050000}"/>
    <cellStyle name="Normal 2 24 2" xfId="1276" xr:uid="{00000000-0005-0000-0000-00009A050000}"/>
    <cellStyle name="Normal 2 24 3" xfId="1277" xr:uid="{00000000-0005-0000-0000-00009B050000}"/>
    <cellStyle name="Normal 2 24 4" xfId="1278" xr:uid="{00000000-0005-0000-0000-00009C050000}"/>
    <cellStyle name="Normal 2 25" xfId="1279" xr:uid="{00000000-0005-0000-0000-00009D050000}"/>
    <cellStyle name="Normal 2 25 2" xfId="1280" xr:uid="{00000000-0005-0000-0000-00009E050000}"/>
    <cellStyle name="Normal 2 25 3" xfId="1281" xr:uid="{00000000-0005-0000-0000-00009F050000}"/>
    <cellStyle name="Normal 2 25 4" xfId="1282" xr:uid="{00000000-0005-0000-0000-0000A0050000}"/>
    <cellStyle name="Normal 2 26" xfId="1283" xr:uid="{00000000-0005-0000-0000-0000A1050000}"/>
    <cellStyle name="Normal 2 26 2" xfId="1284" xr:uid="{00000000-0005-0000-0000-0000A2050000}"/>
    <cellStyle name="Normal 2 26 3" xfId="1285" xr:uid="{00000000-0005-0000-0000-0000A3050000}"/>
    <cellStyle name="Normal 2 26 4" xfId="1286" xr:uid="{00000000-0005-0000-0000-0000A4050000}"/>
    <cellStyle name="Normal 2 27" xfId="1287" xr:uid="{00000000-0005-0000-0000-0000A5050000}"/>
    <cellStyle name="Normal 2 27 2" xfId="1288" xr:uid="{00000000-0005-0000-0000-0000A6050000}"/>
    <cellStyle name="Normal 2 27 3" xfId="1289" xr:uid="{00000000-0005-0000-0000-0000A7050000}"/>
    <cellStyle name="Normal 2 27 4" xfId="1290" xr:uid="{00000000-0005-0000-0000-0000A8050000}"/>
    <cellStyle name="Normal 2 28" xfId="1291" xr:uid="{00000000-0005-0000-0000-0000A9050000}"/>
    <cellStyle name="Normal 2 28 2" xfId="1292" xr:uid="{00000000-0005-0000-0000-0000AA050000}"/>
    <cellStyle name="Normal 2 28 3" xfId="1293" xr:uid="{00000000-0005-0000-0000-0000AB050000}"/>
    <cellStyle name="Normal 2 28 4" xfId="1294" xr:uid="{00000000-0005-0000-0000-0000AC050000}"/>
    <cellStyle name="Normal 2 29" xfId="1295" xr:uid="{00000000-0005-0000-0000-0000AD050000}"/>
    <cellStyle name="Normal 2 29 2" xfId="1296" xr:uid="{00000000-0005-0000-0000-0000AE050000}"/>
    <cellStyle name="Normal 2 29 3" xfId="1297" xr:uid="{00000000-0005-0000-0000-0000AF050000}"/>
    <cellStyle name="Normal 2 29 4" xfId="1298" xr:uid="{00000000-0005-0000-0000-0000B0050000}"/>
    <cellStyle name="Normal 2 3" xfId="1299" xr:uid="{00000000-0005-0000-0000-0000B1050000}"/>
    <cellStyle name="Normal 2 3 2" xfId="1300" xr:uid="{00000000-0005-0000-0000-0000B2050000}"/>
    <cellStyle name="Normal 2 3 3" xfId="1301" xr:uid="{00000000-0005-0000-0000-0000B3050000}"/>
    <cellStyle name="Normal 2 3 4" xfId="1302" xr:uid="{00000000-0005-0000-0000-0000B4050000}"/>
    <cellStyle name="Normal 2 3_CUCARACHO" xfId="1303" xr:uid="{00000000-0005-0000-0000-0000B5050000}"/>
    <cellStyle name="Normal 2 30" xfId="1304" xr:uid="{00000000-0005-0000-0000-0000B6050000}"/>
    <cellStyle name="Normal 2 30 2" xfId="1305" xr:uid="{00000000-0005-0000-0000-0000B7050000}"/>
    <cellStyle name="Normal 2 30 3" xfId="1306" xr:uid="{00000000-0005-0000-0000-0000B8050000}"/>
    <cellStyle name="Normal 2 30 4" xfId="1307" xr:uid="{00000000-0005-0000-0000-0000B9050000}"/>
    <cellStyle name="Normal 2 31" xfId="1308" xr:uid="{00000000-0005-0000-0000-0000BA050000}"/>
    <cellStyle name="Normal 2 31 2" xfId="1309" xr:uid="{00000000-0005-0000-0000-0000BB050000}"/>
    <cellStyle name="Normal 2 31 3" xfId="1310" xr:uid="{00000000-0005-0000-0000-0000BC050000}"/>
    <cellStyle name="Normal 2 31 4" xfId="1311" xr:uid="{00000000-0005-0000-0000-0000BD050000}"/>
    <cellStyle name="Normal 2 32" xfId="1312" xr:uid="{00000000-0005-0000-0000-0000BE050000}"/>
    <cellStyle name="Normal 2 32 2" xfId="1313" xr:uid="{00000000-0005-0000-0000-0000BF050000}"/>
    <cellStyle name="Normal 2 32 3" xfId="1314" xr:uid="{00000000-0005-0000-0000-0000C0050000}"/>
    <cellStyle name="Normal 2 32 4" xfId="1315" xr:uid="{00000000-0005-0000-0000-0000C1050000}"/>
    <cellStyle name="Normal 2 33" xfId="1316" xr:uid="{00000000-0005-0000-0000-0000C2050000}"/>
    <cellStyle name="Normal 2 33 2" xfId="1317" xr:uid="{00000000-0005-0000-0000-0000C3050000}"/>
    <cellStyle name="Normal 2 33 3" xfId="1318" xr:uid="{00000000-0005-0000-0000-0000C4050000}"/>
    <cellStyle name="Normal 2 33 4" xfId="1319" xr:uid="{00000000-0005-0000-0000-0000C5050000}"/>
    <cellStyle name="Normal 2 34" xfId="1320" xr:uid="{00000000-0005-0000-0000-0000C6050000}"/>
    <cellStyle name="Normal 2 34 2" xfId="1321" xr:uid="{00000000-0005-0000-0000-0000C7050000}"/>
    <cellStyle name="Normal 2 34 3" xfId="1322" xr:uid="{00000000-0005-0000-0000-0000C8050000}"/>
    <cellStyle name="Normal 2 34 4" xfId="1323" xr:uid="{00000000-0005-0000-0000-0000C9050000}"/>
    <cellStyle name="Normal 2 35" xfId="1324" xr:uid="{00000000-0005-0000-0000-0000CA050000}"/>
    <cellStyle name="Normal 2 35 2" xfId="1325" xr:uid="{00000000-0005-0000-0000-0000CB050000}"/>
    <cellStyle name="Normal 2 35 3" xfId="1326" xr:uid="{00000000-0005-0000-0000-0000CC050000}"/>
    <cellStyle name="Normal 2 35 4" xfId="1327" xr:uid="{00000000-0005-0000-0000-0000CD050000}"/>
    <cellStyle name="Normal 2 36" xfId="1328" xr:uid="{00000000-0005-0000-0000-0000CE050000}"/>
    <cellStyle name="Normal 2 36 2" xfId="1329" xr:uid="{00000000-0005-0000-0000-0000CF050000}"/>
    <cellStyle name="Normal 2 36 3" xfId="1330" xr:uid="{00000000-0005-0000-0000-0000D0050000}"/>
    <cellStyle name="Normal 2 36 4" xfId="1331" xr:uid="{00000000-0005-0000-0000-0000D1050000}"/>
    <cellStyle name="Normal 2 37" xfId="1332" xr:uid="{00000000-0005-0000-0000-0000D2050000}"/>
    <cellStyle name="Normal 2 37 2" xfId="1333" xr:uid="{00000000-0005-0000-0000-0000D3050000}"/>
    <cellStyle name="Normal 2 37 3" xfId="1334" xr:uid="{00000000-0005-0000-0000-0000D4050000}"/>
    <cellStyle name="Normal 2 37 4" xfId="1335" xr:uid="{00000000-0005-0000-0000-0000D5050000}"/>
    <cellStyle name="Normal 2 38" xfId="1336" xr:uid="{00000000-0005-0000-0000-0000D6050000}"/>
    <cellStyle name="Normal 2 38 2" xfId="1337" xr:uid="{00000000-0005-0000-0000-0000D7050000}"/>
    <cellStyle name="Normal 2 38 3" xfId="1338" xr:uid="{00000000-0005-0000-0000-0000D8050000}"/>
    <cellStyle name="Normal 2 38 4" xfId="1339" xr:uid="{00000000-0005-0000-0000-0000D9050000}"/>
    <cellStyle name="Normal 2 39" xfId="1340" xr:uid="{00000000-0005-0000-0000-0000DA050000}"/>
    <cellStyle name="Normal 2 39 2" xfId="1341" xr:uid="{00000000-0005-0000-0000-0000DB050000}"/>
    <cellStyle name="Normal 2 39 3" xfId="1342" xr:uid="{00000000-0005-0000-0000-0000DC050000}"/>
    <cellStyle name="Normal 2 39 4" xfId="1343" xr:uid="{00000000-0005-0000-0000-0000DD050000}"/>
    <cellStyle name="Normal 2 4" xfId="1344" xr:uid="{00000000-0005-0000-0000-0000DE050000}"/>
    <cellStyle name="Normal 2 4 2" xfId="1345" xr:uid="{00000000-0005-0000-0000-0000DF050000}"/>
    <cellStyle name="Normal 2 4 3" xfId="1346" xr:uid="{00000000-0005-0000-0000-0000E0050000}"/>
    <cellStyle name="Normal 2 4 4" xfId="1347" xr:uid="{00000000-0005-0000-0000-0000E1050000}"/>
    <cellStyle name="Normal 2 4_CUCARACHO" xfId="1348" xr:uid="{00000000-0005-0000-0000-0000E2050000}"/>
    <cellStyle name="Normal 2 40" xfId="1349" xr:uid="{00000000-0005-0000-0000-0000E3050000}"/>
    <cellStyle name="Normal 2 40 2" xfId="1350" xr:uid="{00000000-0005-0000-0000-0000E4050000}"/>
    <cellStyle name="Normal 2 40 3" xfId="1351" xr:uid="{00000000-0005-0000-0000-0000E5050000}"/>
    <cellStyle name="Normal 2 40 4" xfId="1352" xr:uid="{00000000-0005-0000-0000-0000E6050000}"/>
    <cellStyle name="Normal 2 41" xfId="1353" xr:uid="{00000000-0005-0000-0000-0000E7050000}"/>
    <cellStyle name="Normal 2 42" xfId="1354" xr:uid="{00000000-0005-0000-0000-0000E8050000}"/>
    <cellStyle name="Normal 2 43" xfId="1355" xr:uid="{00000000-0005-0000-0000-0000E9050000}"/>
    <cellStyle name="Normal 2 44" xfId="1356" xr:uid="{00000000-0005-0000-0000-0000EA050000}"/>
    <cellStyle name="Normal 2 45" xfId="1357" xr:uid="{00000000-0005-0000-0000-0000EB050000}"/>
    <cellStyle name="Normal 2 46" xfId="1358" xr:uid="{00000000-0005-0000-0000-0000EC050000}"/>
    <cellStyle name="Normal 2 47" xfId="1359" xr:uid="{00000000-0005-0000-0000-0000ED050000}"/>
    <cellStyle name="Normal 2 48" xfId="1360" xr:uid="{00000000-0005-0000-0000-0000EE050000}"/>
    <cellStyle name="Normal 2 49" xfId="1361" xr:uid="{00000000-0005-0000-0000-0000EF050000}"/>
    <cellStyle name="Normal 2 5" xfId="1362" xr:uid="{00000000-0005-0000-0000-0000F0050000}"/>
    <cellStyle name="Normal 2 5 2" xfId="1363" xr:uid="{00000000-0005-0000-0000-0000F1050000}"/>
    <cellStyle name="Normal 2 5 3" xfId="1364" xr:uid="{00000000-0005-0000-0000-0000F2050000}"/>
    <cellStyle name="Normal 2 5 4" xfId="1365" xr:uid="{00000000-0005-0000-0000-0000F3050000}"/>
    <cellStyle name="Normal 2 50" xfId="1366" xr:uid="{00000000-0005-0000-0000-0000F4050000}"/>
    <cellStyle name="Normal 2 51" xfId="1367" xr:uid="{00000000-0005-0000-0000-0000F5050000}"/>
    <cellStyle name="Normal 2 52" xfId="3975" xr:uid="{00000000-0005-0000-0000-0000F6050000}"/>
    <cellStyle name="Normal 2 53" xfId="3976" xr:uid="{00000000-0005-0000-0000-0000F7050000}"/>
    <cellStyle name="Normal 2 6" xfId="1368" xr:uid="{00000000-0005-0000-0000-0000F8050000}"/>
    <cellStyle name="Normal 2 6 2" xfId="1369" xr:uid="{00000000-0005-0000-0000-0000F9050000}"/>
    <cellStyle name="Normal 2 6 3" xfId="1370" xr:uid="{00000000-0005-0000-0000-0000FA050000}"/>
    <cellStyle name="Normal 2 6 4" xfId="1371" xr:uid="{00000000-0005-0000-0000-0000FB050000}"/>
    <cellStyle name="Normal 2 7" xfId="1372" xr:uid="{00000000-0005-0000-0000-0000FC050000}"/>
    <cellStyle name="Normal 2 7 2" xfId="1373" xr:uid="{00000000-0005-0000-0000-0000FD050000}"/>
    <cellStyle name="Normal 2 7 3" xfId="1374" xr:uid="{00000000-0005-0000-0000-0000FE050000}"/>
    <cellStyle name="Normal 2 7 4" xfId="1375" xr:uid="{00000000-0005-0000-0000-0000FF050000}"/>
    <cellStyle name="Normal 2 8" xfId="1376" xr:uid="{00000000-0005-0000-0000-000000060000}"/>
    <cellStyle name="Normal 2 8 2" xfId="1377" xr:uid="{00000000-0005-0000-0000-000001060000}"/>
    <cellStyle name="Normal 2 8 3" xfId="1378" xr:uid="{00000000-0005-0000-0000-000002060000}"/>
    <cellStyle name="Normal 2 8 4" xfId="1379" xr:uid="{00000000-0005-0000-0000-000003060000}"/>
    <cellStyle name="Normal 2 9" xfId="1380" xr:uid="{00000000-0005-0000-0000-000004060000}"/>
    <cellStyle name="Normal 2 9 2" xfId="1381" xr:uid="{00000000-0005-0000-0000-000005060000}"/>
    <cellStyle name="Normal 2 9 3" xfId="1382" xr:uid="{00000000-0005-0000-0000-000006060000}"/>
    <cellStyle name="Normal 2 9 4" xfId="1383" xr:uid="{00000000-0005-0000-0000-000007060000}"/>
    <cellStyle name="Normal 2_DA_PROCESO_09-1-40369_124002002_987074(1)" xfId="1384" xr:uid="{00000000-0005-0000-0000-000008060000}"/>
    <cellStyle name="Normal 20" xfId="1385" xr:uid="{00000000-0005-0000-0000-000009060000}"/>
    <cellStyle name="Normal 20 2" xfId="1386" xr:uid="{00000000-0005-0000-0000-00000A060000}"/>
    <cellStyle name="Normal 20 3" xfId="1387" xr:uid="{00000000-0005-0000-0000-00000B060000}"/>
    <cellStyle name="Normal 20 4" xfId="1388" xr:uid="{00000000-0005-0000-0000-00000C060000}"/>
    <cellStyle name="Normal 21" xfId="1389" xr:uid="{00000000-0005-0000-0000-00000D060000}"/>
    <cellStyle name="Normal 21 10" xfId="1390" xr:uid="{00000000-0005-0000-0000-00000E060000}"/>
    <cellStyle name="Normal 21 11" xfId="1391" xr:uid="{00000000-0005-0000-0000-00000F060000}"/>
    <cellStyle name="Normal 21 12" xfId="1392" xr:uid="{00000000-0005-0000-0000-000010060000}"/>
    <cellStyle name="Normal 21 13" xfId="1393" xr:uid="{00000000-0005-0000-0000-000011060000}"/>
    <cellStyle name="Normal 21 14" xfId="1394" xr:uid="{00000000-0005-0000-0000-000012060000}"/>
    <cellStyle name="Normal 21 15" xfId="1395" xr:uid="{00000000-0005-0000-0000-000013060000}"/>
    <cellStyle name="Normal 21 16" xfId="1396" xr:uid="{00000000-0005-0000-0000-000014060000}"/>
    <cellStyle name="Normal 21 17" xfId="1397" xr:uid="{00000000-0005-0000-0000-000015060000}"/>
    <cellStyle name="Normal 21 18" xfId="1398" xr:uid="{00000000-0005-0000-0000-000016060000}"/>
    <cellStyle name="Normal 21 19" xfId="1399" xr:uid="{00000000-0005-0000-0000-000017060000}"/>
    <cellStyle name="Normal 21 2" xfId="1400" xr:uid="{00000000-0005-0000-0000-000018060000}"/>
    <cellStyle name="Normal 21 20" xfId="1401" xr:uid="{00000000-0005-0000-0000-000019060000}"/>
    <cellStyle name="Normal 21 21" xfId="1402" xr:uid="{00000000-0005-0000-0000-00001A060000}"/>
    <cellStyle name="Normal 21 22" xfId="1403" xr:uid="{00000000-0005-0000-0000-00001B060000}"/>
    <cellStyle name="Normal 21 23" xfId="1404" xr:uid="{00000000-0005-0000-0000-00001C060000}"/>
    <cellStyle name="Normal 21 24" xfId="1405" xr:uid="{00000000-0005-0000-0000-00001D060000}"/>
    <cellStyle name="Normal 21 25" xfId="1406" xr:uid="{00000000-0005-0000-0000-00001E060000}"/>
    <cellStyle name="Normal 21 26" xfId="1407" xr:uid="{00000000-0005-0000-0000-00001F060000}"/>
    <cellStyle name="Normal 21 27" xfId="1408" xr:uid="{00000000-0005-0000-0000-000020060000}"/>
    <cellStyle name="Normal 21 28" xfId="1409" xr:uid="{00000000-0005-0000-0000-000021060000}"/>
    <cellStyle name="Normal 21 29" xfId="1410" xr:uid="{00000000-0005-0000-0000-000022060000}"/>
    <cellStyle name="Normal 21 3" xfId="1411" xr:uid="{00000000-0005-0000-0000-000023060000}"/>
    <cellStyle name="Normal 21 30" xfId="1412" xr:uid="{00000000-0005-0000-0000-000024060000}"/>
    <cellStyle name="Normal 21 31" xfId="1413" xr:uid="{00000000-0005-0000-0000-000025060000}"/>
    <cellStyle name="Normal 21 32" xfId="1414" xr:uid="{00000000-0005-0000-0000-000026060000}"/>
    <cellStyle name="Normal 21 33" xfId="1415" xr:uid="{00000000-0005-0000-0000-000027060000}"/>
    <cellStyle name="Normal 21 34" xfId="1416" xr:uid="{00000000-0005-0000-0000-000028060000}"/>
    <cellStyle name="Normal 21 35" xfId="1417" xr:uid="{00000000-0005-0000-0000-000029060000}"/>
    <cellStyle name="Normal 21 36" xfId="1418" xr:uid="{00000000-0005-0000-0000-00002A060000}"/>
    <cellStyle name="Normal 21 37" xfId="1419" xr:uid="{00000000-0005-0000-0000-00002B060000}"/>
    <cellStyle name="Normal 21 38" xfId="1420" xr:uid="{00000000-0005-0000-0000-00002C060000}"/>
    <cellStyle name="Normal 21 39" xfId="1421" xr:uid="{00000000-0005-0000-0000-00002D060000}"/>
    <cellStyle name="Normal 21 4" xfId="1422" xr:uid="{00000000-0005-0000-0000-00002E060000}"/>
    <cellStyle name="Normal 21 40" xfId="1423" xr:uid="{00000000-0005-0000-0000-00002F060000}"/>
    <cellStyle name="Normal 21 41" xfId="1424" xr:uid="{00000000-0005-0000-0000-000030060000}"/>
    <cellStyle name="Normal 21 42" xfId="1425" xr:uid="{00000000-0005-0000-0000-000031060000}"/>
    <cellStyle name="Normal 21 43" xfId="1426" xr:uid="{00000000-0005-0000-0000-000032060000}"/>
    <cellStyle name="Normal 21 44" xfId="1427" xr:uid="{00000000-0005-0000-0000-000033060000}"/>
    <cellStyle name="Normal 21 5" xfId="1428" xr:uid="{00000000-0005-0000-0000-000034060000}"/>
    <cellStyle name="Normal 21 6" xfId="1429" xr:uid="{00000000-0005-0000-0000-000035060000}"/>
    <cellStyle name="Normal 21 7" xfId="1430" xr:uid="{00000000-0005-0000-0000-000036060000}"/>
    <cellStyle name="Normal 21 8" xfId="1431" xr:uid="{00000000-0005-0000-0000-000037060000}"/>
    <cellStyle name="Normal 21 9" xfId="1432" xr:uid="{00000000-0005-0000-0000-000038060000}"/>
    <cellStyle name="Normal 22" xfId="1433" xr:uid="{00000000-0005-0000-0000-000039060000}"/>
    <cellStyle name="Normal 22 10" xfId="1434" xr:uid="{00000000-0005-0000-0000-00003A060000}"/>
    <cellStyle name="Normal 22 11" xfId="1435" xr:uid="{00000000-0005-0000-0000-00003B060000}"/>
    <cellStyle name="Normal 22 12" xfId="1436" xr:uid="{00000000-0005-0000-0000-00003C060000}"/>
    <cellStyle name="Normal 22 13" xfId="1437" xr:uid="{00000000-0005-0000-0000-00003D060000}"/>
    <cellStyle name="Normal 22 14" xfId="1438" xr:uid="{00000000-0005-0000-0000-00003E060000}"/>
    <cellStyle name="Normal 22 15" xfId="1439" xr:uid="{00000000-0005-0000-0000-00003F060000}"/>
    <cellStyle name="Normal 22 16" xfId="1440" xr:uid="{00000000-0005-0000-0000-000040060000}"/>
    <cellStyle name="Normal 22 17" xfId="1441" xr:uid="{00000000-0005-0000-0000-000041060000}"/>
    <cellStyle name="Normal 22 18" xfId="1442" xr:uid="{00000000-0005-0000-0000-000042060000}"/>
    <cellStyle name="Normal 22 19" xfId="1443" xr:uid="{00000000-0005-0000-0000-000043060000}"/>
    <cellStyle name="Normal 22 2" xfId="1444" xr:uid="{00000000-0005-0000-0000-000044060000}"/>
    <cellStyle name="Normal 22 20" xfId="1445" xr:uid="{00000000-0005-0000-0000-000045060000}"/>
    <cellStyle name="Normal 22 21" xfId="1446" xr:uid="{00000000-0005-0000-0000-000046060000}"/>
    <cellStyle name="Normal 22 22" xfId="1447" xr:uid="{00000000-0005-0000-0000-000047060000}"/>
    <cellStyle name="Normal 22 23" xfId="1448" xr:uid="{00000000-0005-0000-0000-000048060000}"/>
    <cellStyle name="Normal 22 24" xfId="1449" xr:uid="{00000000-0005-0000-0000-000049060000}"/>
    <cellStyle name="Normal 22 25" xfId="1450" xr:uid="{00000000-0005-0000-0000-00004A060000}"/>
    <cellStyle name="Normal 22 26" xfId="1451" xr:uid="{00000000-0005-0000-0000-00004B060000}"/>
    <cellStyle name="Normal 22 27" xfId="1452" xr:uid="{00000000-0005-0000-0000-00004C060000}"/>
    <cellStyle name="Normal 22 28" xfId="1453" xr:uid="{00000000-0005-0000-0000-00004D060000}"/>
    <cellStyle name="Normal 22 29" xfId="1454" xr:uid="{00000000-0005-0000-0000-00004E060000}"/>
    <cellStyle name="Normal 22 3" xfId="1455" xr:uid="{00000000-0005-0000-0000-00004F060000}"/>
    <cellStyle name="Normal 22 30" xfId="1456" xr:uid="{00000000-0005-0000-0000-000050060000}"/>
    <cellStyle name="Normal 22 31" xfId="1457" xr:uid="{00000000-0005-0000-0000-000051060000}"/>
    <cellStyle name="Normal 22 32" xfId="1458" xr:uid="{00000000-0005-0000-0000-000052060000}"/>
    <cellStyle name="Normal 22 33" xfId="1459" xr:uid="{00000000-0005-0000-0000-000053060000}"/>
    <cellStyle name="Normal 22 34" xfId="1460" xr:uid="{00000000-0005-0000-0000-000054060000}"/>
    <cellStyle name="Normal 22 35" xfId="1461" xr:uid="{00000000-0005-0000-0000-000055060000}"/>
    <cellStyle name="Normal 22 36" xfId="1462" xr:uid="{00000000-0005-0000-0000-000056060000}"/>
    <cellStyle name="Normal 22 37" xfId="1463" xr:uid="{00000000-0005-0000-0000-000057060000}"/>
    <cellStyle name="Normal 22 38" xfId="1464" xr:uid="{00000000-0005-0000-0000-000058060000}"/>
    <cellStyle name="Normal 22 39" xfId="1465" xr:uid="{00000000-0005-0000-0000-000059060000}"/>
    <cellStyle name="Normal 22 4" xfId="1466" xr:uid="{00000000-0005-0000-0000-00005A060000}"/>
    <cellStyle name="Normal 22 40" xfId="1467" xr:uid="{00000000-0005-0000-0000-00005B060000}"/>
    <cellStyle name="Normal 22 41" xfId="1468" xr:uid="{00000000-0005-0000-0000-00005C060000}"/>
    <cellStyle name="Normal 22 42" xfId="1469" xr:uid="{00000000-0005-0000-0000-00005D060000}"/>
    <cellStyle name="Normal 22 43" xfId="1470" xr:uid="{00000000-0005-0000-0000-00005E060000}"/>
    <cellStyle name="Normal 22 44" xfId="1471" xr:uid="{00000000-0005-0000-0000-00005F060000}"/>
    <cellStyle name="Normal 22 5" xfId="1472" xr:uid="{00000000-0005-0000-0000-000060060000}"/>
    <cellStyle name="Normal 22 6" xfId="1473" xr:uid="{00000000-0005-0000-0000-000061060000}"/>
    <cellStyle name="Normal 22 7" xfId="1474" xr:uid="{00000000-0005-0000-0000-000062060000}"/>
    <cellStyle name="Normal 22 8" xfId="1475" xr:uid="{00000000-0005-0000-0000-000063060000}"/>
    <cellStyle name="Normal 22 9" xfId="1476" xr:uid="{00000000-0005-0000-0000-000064060000}"/>
    <cellStyle name="Normal 23" xfId="1477" xr:uid="{00000000-0005-0000-0000-000065060000}"/>
    <cellStyle name="Normal 23 10" xfId="1478" xr:uid="{00000000-0005-0000-0000-000066060000}"/>
    <cellStyle name="Normal 23 11" xfId="1479" xr:uid="{00000000-0005-0000-0000-000067060000}"/>
    <cellStyle name="Normal 23 12" xfId="1480" xr:uid="{00000000-0005-0000-0000-000068060000}"/>
    <cellStyle name="Normal 23 13" xfId="1481" xr:uid="{00000000-0005-0000-0000-000069060000}"/>
    <cellStyle name="Normal 23 14" xfId="1482" xr:uid="{00000000-0005-0000-0000-00006A060000}"/>
    <cellStyle name="Normal 23 15" xfId="1483" xr:uid="{00000000-0005-0000-0000-00006B060000}"/>
    <cellStyle name="Normal 23 16" xfId="1484" xr:uid="{00000000-0005-0000-0000-00006C060000}"/>
    <cellStyle name="Normal 23 17" xfId="1485" xr:uid="{00000000-0005-0000-0000-00006D060000}"/>
    <cellStyle name="Normal 23 18" xfId="1486" xr:uid="{00000000-0005-0000-0000-00006E060000}"/>
    <cellStyle name="Normal 23 19" xfId="1487" xr:uid="{00000000-0005-0000-0000-00006F060000}"/>
    <cellStyle name="Normal 23 2" xfId="1488" xr:uid="{00000000-0005-0000-0000-000070060000}"/>
    <cellStyle name="Normal 23 20" xfId="1489" xr:uid="{00000000-0005-0000-0000-000071060000}"/>
    <cellStyle name="Normal 23 21" xfId="1490" xr:uid="{00000000-0005-0000-0000-000072060000}"/>
    <cellStyle name="Normal 23 22" xfId="1491" xr:uid="{00000000-0005-0000-0000-000073060000}"/>
    <cellStyle name="Normal 23 23" xfId="1492" xr:uid="{00000000-0005-0000-0000-000074060000}"/>
    <cellStyle name="Normal 23 24" xfId="1493" xr:uid="{00000000-0005-0000-0000-000075060000}"/>
    <cellStyle name="Normal 23 25" xfId="1494" xr:uid="{00000000-0005-0000-0000-000076060000}"/>
    <cellStyle name="Normal 23 26" xfId="1495" xr:uid="{00000000-0005-0000-0000-000077060000}"/>
    <cellStyle name="Normal 23 27" xfId="1496" xr:uid="{00000000-0005-0000-0000-000078060000}"/>
    <cellStyle name="Normal 23 28" xfId="1497" xr:uid="{00000000-0005-0000-0000-000079060000}"/>
    <cellStyle name="Normal 23 29" xfId="1498" xr:uid="{00000000-0005-0000-0000-00007A060000}"/>
    <cellStyle name="Normal 23 3" xfId="1499" xr:uid="{00000000-0005-0000-0000-00007B060000}"/>
    <cellStyle name="Normal 23 30" xfId="1500" xr:uid="{00000000-0005-0000-0000-00007C060000}"/>
    <cellStyle name="Normal 23 31" xfId="1501" xr:uid="{00000000-0005-0000-0000-00007D060000}"/>
    <cellStyle name="Normal 23 32" xfId="1502" xr:uid="{00000000-0005-0000-0000-00007E060000}"/>
    <cellStyle name="Normal 23 33" xfId="1503" xr:uid="{00000000-0005-0000-0000-00007F060000}"/>
    <cellStyle name="Normal 23 34" xfId="1504" xr:uid="{00000000-0005-0000-0000-000080060000}"/>
    <cellStyle name="Normal 23 35" xfId="1505" xr:uid="{00000000-0005-0000-0000-000081060000}"/>
    <cellStyle name="Normal 23 36" xfId="1506" xr:uid="{00000000-0005-0000-0000-000082060000}"/>
    <cellStyle name="Normal 23 37" xfId="1507" xr:uid="{00000000-0005-0000-0000-000083060000}"/>
    <cellStyle name="Normal 23 38" xfId="1508" xr:uid="{00000000-0005-0000-0000-000084060000}"/>
    <cellStyle name="Normal 23 39" xfId="1509" xr:uid="{00000000-0005-0000-0000-000085060000}"/>
    <cellStyle name="Normal 23 4" xfId="1510" xr:uid="{00000000-0005-0000-0000-000086060000}"/>
    <cellStyle name="Normal 23 5" xfId="1511" xr:uid="{00000000-0005-0000-0000-000087060000}"/>
    <cellStyle name="Normal 23 6" xfId="1512" xr:uid="{00000000-0005-0000-0000-000088060000}"/>
    <cellStyle name="Normal 23 7" xfId="1513" xr:uid="{00000000-0005-0000-0000-000089060000}"/>
    <cellStyle name="Normal 23 8" xfId="1514" xr:uid="{00000000-0005-0000-0000-00008A060000}"/>
    <cellStyle name="Normal 23 9" xfId="1515" xr:uid="{00000000-0005-0000-0000-00008B060000}"/>
    <cellStyle name="Normal 24" xfId="1516" xr:uid="{00000000-0005-0000-0000-00008C060000}"/>
    <cellStyle name="Normal 24 2" xfId="1517" xr:uid="{00000000-0005-0000-0000-00008D060000}"/>
    <cellStyle name="Normal 24 3" xfId="1518" xr:uid="{00000000-0005-0000-0000-00008E060000}"/>
    <cellStyle name="Normal 24 4" xfId="1519" xr:uid="{00000000-0005-0000-0000-00008F060000}"/>
    <cellStyle name="Normal 25" xfId="1520" xr:uid="{00000000-0005-0000-0000-000090060000}"/>
    <cellStyle name="Normal 25 10" xfId="1521" xr:uid="{00000000-0005-0000-0000-000091060000}"/>
    <cellStyle name="Normal 25 11" xfId="1522" xr:uid="{00000000-0005-0000-0000-000092060000}"/>
    <cellStyle name="Normal 25 12" xfId="1523" xr:uid="{00000000-0005-0000-0000-000093060000}"/>
    <cellStyle name="Normal 25 13" xfId="1524" xr:uid="{00000000-0005-0000-0000-000094060000}"/>
    <cellStyle name="Normal 25 14" xfId="1525" xr:uid="{00000000-0005-0000-0000-000095060000}"/>
    <cellStyle name="Normal 25 15" xfId="1526" xr:uid="{00000000-0005-0000-0000-000096060000}"/>
    <cellStyle name="Normal 25 16" xfId="1527" xr:uid="{00000000-0005-0000-0000-000097060000}"/>
    <cellStyle name="Normal 25 17" xfId="1528" xr:uid="{00000000-0005-0000-0000-000098060000}"/>
    <cellStyle name="Normal 25 18" xfId="1529" xr:uid="{00000000-0005-0000-0000-000099060000}"/>
    <cellStyle name="Normal 25 19" xfId="1530" xr:uid="{00000000-0005-0000-0000-00009A060000}"/>
    <cellStyle name="Normal 25 2" xfId="1531" xr:uid="{00000000-0005-0000-0000-00009B060000}"/>
    <cellStyle name="Normal 25 20" xfId="1532" xr:uid="{00000000-0005-0000-0000-00009C060000}"/>
    <cellStyle name="Normal 25 21" xfId="1533" xr:uid="{00000000-0005-0000-0000-00009D060000}"/>
    <cellStyle name="Normal 25 22" xfId="1534" xr:uid="{00000000-0005-0000-0000-00009E060000}"/>
    <cellStyle name="Normal 25 23" xfId="1535" xr:uid="{00000000-0005-0000-0000-00009F060000}"/>
    <cellStyle name="Normal 25 24" xfId="1536" xr:uid="{00000000-0005-0000-0000-0000A0060000}"/>
    <cellStyle name="Normal 25 25" xfId="1537" xr:uid="{00000000-0005-0000-0000-0000A1060000}"/>
    <cellStyle name="Normal 25 26" xfId="1538" xr:uid="{00000000-0005-0000-0000-0000A2060000}"/>
    <cellStyle name="Normal 25 27" xfId="1539" xr:uid="{00000000-0005-0000-0000-0000A3060000}"/>
    <cellStyle name="Normal 25 28" xfId="1540" xr:uid="{00000000-0005-0000-0000-0000A4060000}"/>
    <cellStyle name="Normal 25 29" xfId="1541" xr:uid="{00000000-0005-0000-0000-0000A5060000}"/>
    <cellStyle name="Normal 25 3" xfId="1542" xr:uid="{00000000-0005-0000-0000-0000A6060000}"/>
    <cellStyle name="Normal 25 30" xfId="1543" xr:uid="{00000000-0005-0000-0000-0000A7060000}"/>
    <cellStyle name="Normal 25 31" xfId="1544" xr:uid="{00000000-0005-0000-0000-0000A8060000}"/>
    <cellStyle name="Normal 25 32" xfId="1545" xr:uid="{00000000-0005-0000-0000-0000A9060000}"/>
    <cellStyle name="Normal 25 33" xfId="1546" xr:uid="{00000000-0005-0000-0000-0000AA060000}"/>
    <cellStyle name="Normal 25 34" xfId="1547" xr:uid="{00000000-0005-0000-0000-0000AB060000}"/>
    <cellStyle name="Normal 25 35" xfId="1548" xr:uid="{00000000-0005-0000-0000-0000AC060000}"/>
    <cellStyle name="Normal 25 36" xfId="1549" xr:uid="{00000000-0005-0000-0000-0000AD060000}"/>
    <cellStyle name="Normal 25 37" xfId="1550" xr:uid="{00000000-0005-0000-0000-0000AE060000}"/>
    <cellStyle name="Normal 25 38" xfId="1551" xr:uid="{00000000-0005-0000-0000-0000AF060000}"/>
    <cellStyle name="Normal 25 39" xfId="1552" xr:uid="{00000000-0005-0000-0000-0000B0060000}"/>
    <cellStyle name="Normal 25 4" xfId="1553" xr:uid="{00000000-0005-0000-0000-0000B1060000}"/>
    <cellStyle name="Normal 25 5" xfId="1554" xr:uid="{00000000-0005-0000-0000-0000B2060000}"/>
    <cellStyle name="Normal 25 6" xfId="1555" xr:uid="{00000000-0005-0000-0000-0000B3060000}"/>
    <cellStyle name="Normal 25 7" xfId="1556" xr:uid="{00000000-0005-0000-0000-0000B4060000}"/>
    <cellStyle name="Normal 25 8" xfId="1557" xr:uid="{00000000-0005-0000-0000-0000B5060000}"/>
    <cellStyle name="Normal 25 9" xfId="1558" xr:uid="{00000000-0005-0000-0000-0000B6060000}"/>
    <cellStyle name="Normal 26" xfId="1559" xr:uid="{00000000-0005-0000-0000-0000B7060000}"/>
    <cellStyle name="Normal 26 10" xfId="1560" xr:uid="{00000000-0005-0000-0000-0000B8060000}"/>
    <cellStyle name="Normal 26 11" xfId="1561" xr:uid="{00000000-0005-0000-0000-0000B9060000}"/>
    <cellStyle name="Normal 26 12" xfId="1562" xr:uid="{00000000-0005-0000-0000-0000BA060000}"/>
    <cellStyle name="Normal 26 13" xfId="1563" xr:uid="{00000000-0005-0000-0000-0000BB060000}"/>
    <cellStyle name="Normal 26 14" xfId="1564" xr:uid="{00000000-0005-0000-0000-0000BC060000}"/>
    <cellStyle name="Normal 26 15" xfId="1565" xr:uid="{00000000-0005-0000-0000-0000BD060000}"/>
    <cellStyle name="Normal 26 16" xfId="1566" xr:uid="{00000000-0005-0000-0000-0000BE060000}"/>
    <cellStyle name="Normal 26 17" xfId="1567" xr:uid="{00000000-0005-0000-0000-0000BF060000}"/>
    <cellStyle name="Normal 26 18" xfId="1568" xr:uid="{00000000-0005-0000-0000-0000C0060000}"/>
    <cellStyle name="Normal 26 19" xfId="1569" xr:uid="{00000000-0005-0000-0000-0000C1060000}"/>
    <cellStyle name="Normal 26 2" xfId="1570" xr:uid="{00000000-0005-0000-0000-0000C2060000}"/>
    <cellStyle name="Normal 26 20" xfId="1571" xr:uid="{00000000-0005-0000-0000-0000C3060000}"/>
    <cellStyle name="Normal 26 21" xfId="1572" xr:uid="{00000000-0005-0000-0000-0000C4060000}"/>
    <cellStyle name="Normal 26 22" xfId="1573" xr:uid="{00000000-0005-0000-0000-0000C5060000}"/>
    <cellStyle name="Normal 26 23" xfId="1574" xr:uid="{00000000-0005-0000-0000-0000C6060000}"/>
    <cellStyle name="Normal 26 24" xfId="1575" xr:uid="{00000000-0005-0000-0000-0000C7060000}"/>
    <cellStyle name="Normal 26 25" xfId="1576" xr:uid="{00000000-0005-0000-0000-0000C8060000}"/>
    <cellStyle name="Normal 26 26" xfId="1577" xr:uid="{00000000-0005-0000-0000-0000C9060000}"/>
    <cellStyle name="Normal 26 27" xfId="1578" xr:uid="{00000000-0005-0000-0000-0000CA060000}"/>
    <cellStyle name="Normal 26 28" xfId="1579" xr:uid="{00000000-0005-0000-0000-0000CB060000}"/>
    <cellStyle name="Normal 26 29" xfId="1580" xr:uid="{00000000-0005-0000-0000-0000CC060000}"/>
    <cellStyle name="Normal 26 3" xfId="1581" xr:uid="{00000000-0005-0000-0000-0000CD060000}"/>
    <cellStyle name="Normal 26 30" xfId="1582" xr:uid="{00000000-0005-0000-0000-0000CE060000}"/>
    <cellStyle name="Normal 26 31" xfId="1583" xr:uid="{00000000-0005-0000-0000-0000CF060000}"/>
    <cellStyle name="Normal 26 32" xfId="1584" xr:uid="{00000000-0005-0000-0000-0000D0060000}"/>
    <cellStyle name="Normal 26 33" xfId="1585" xr:uid="{00000000-0005-0000-0000-0000D1060000}"/>
    <cellStyle name="Normal 26 34" xfId="1586" xr:uid="{00000000-0005-0000-0000-0000D2060000}"/>
    <cellStyle name="Normal 26 35" xfId="1587" xr:uid="{00000000-0005-0000-0000-0000D3060000}"/>
    <cellStyle name="Normal 26 36" xfId="1588" xr:uid="{00000000-0005-0000-0000-0000D4060000}"/>
    <cellStyle name="Normal 26 37" xfId="1589" xr:uid="{00000000-0005-0000-0000-0000D5060000}"/>
    <cellStyle name="Normal 26 38" xfId="1590" xr:uid="{00000000-0005-0000-0000-0000D6060000}"/>
    <cellStyle name="Normal 26 39" xfId="1591" xr:uid="{00000000-0005-0000-0000-0000D7060000}"/>
    <cellStyle name="Normal 26 4" xfId="1592" xr:uid="{00000000-0005-0000-0000-0000D8060000}"/>
    <cellStyle name="Normal 26 5" xfId="1593" xr:uid="{00000000-0005-0000-0000-0000D9060000}"/>
    <cellStyle name="Normal 26 6" xfId="1594" xr:uid="{00000000-0005-0000-0000-0000DA060000}"/>
    <cellStyle name="Normal 26 7" xfId="1595" xr:uid="{00000000-0005-0000-0000-0000DB060000}"/>
    <cellStyle name="Normal 26 8" xfId="1596" xr:uid="{00000000-0005-0000-0000-0000DC060000}"/>
    <cellStyle name="Normal 26 9" xfId="1597" xr:uid="{00000000-0005-0000-0000-0000DD060000}"/>
    <cellStyle name="Normal 27" xfId="1598" xr:uid="{00000000-0005-0000-0000-0000DE060000}"/>
    <cellStyle name="Normal 27 10" xfId="1599" xr:uid="{00000000-0005-0000-0000-0000DF060000}"/>
    <cellStyle name="Normal 27 11" xfId="1600" xr:uid="{00000000-0005-0000-0000-0000E0060000}"/>
    <cellStyle name="Normal 27 12" xfId="1601" xr:uid="{00000000-0005-0000-0000-0000E1060000}"/>
    <cellStyle name="Normal 27 13" xfId="1602" xr:uid="{00000000-0005-0000-0000-0000E2060000}"/>
    <cellStyle name="Normal 27 14" xfId="1603" xr:uid="{00000000-0005-0000-0000-0000E3060000}"/>
    <cellStyle name="Normal 27 15" xfId="1604" xr:uid="{00000000-0005-0000-0000-0000E4060000}"/>
    <cellStyle name="Normal 27 16" xfId="1605" xr:uid="{00000000-0005-0000-0000-0000E5060000}"/>
    <cellStyle name="Normal 27 17" xfId="1606" xr:uid="{00000000-0005-0000-0000-0000E6060000}"/>
    <cellStyle name="Normal 27 18" xfId="1607" xr:uid="{00000000-0005-0000-0000-0000E7060000}"/>
    <cellStyle name="Normal 27 19" xfId="1608" xr:uid="{00000000-0005-0000-0000-0000E8060000}"/>
    <cellStyle name="Normal 27 2" xfId="1609" xr:uid="{00000000-0005-0000-0000-0000E9060000}"/>
    <cellStyle name="Normal 27 20" xfId="1610" xr:uid="{00000000-0005-0000-0000-0000EA060000}"/>
    <cellStyle name="Normal 27 21" xfId="1611" xr:uid="{00000000-0005-0000-0000-0000EB060000}"/>
    <cellStyle name="Normal 27 22" xfId="1612" xr:uid="{00000000-0005-0000-0000-0000EC060000}"/>
    <cellStyle name="Normal 27 23" xfId="1613" xr:uid="{00000000-0005-0000-0000-0000ED060000}"/>
    <cellStyle name="Normal 27 24" xfId="1614" xr:uid="{00000000-0005-0000-0000-0000EE060000}"/>
    <cellStyle name="Normal 27 25" xfId="1615" xr:uid="{00000000-0005-0000-0000-0000EF060000}"/>
    <cellStyle name="Normal 27 26" xfId="1616" xr:uid="{00000000-0005-0000-0000-0000F0060000}"/>
    <cellStyle name="Normal 27 27" xfId="1617" xr:uid="{00000000-0005-0000-0000-0000F1060000}"/>
    <cellStyle name="Normal 27 28" xfId="1618" xr:uid="{00000000-0005-0000-0000-0000F2060000}"/>
    <cellStyle name="Normal 27 29" xfId="1619" xr:uid="{00000000-0005-0000-0000-0000F3060000}"/>
    <cellStyle name="Normal 27 3" xfId="1620" xr:uid="{00000000-0005-0000-0000-0000F4060000}"/>
    <cellStyle name="Normal 27 30" xfId="1621" xr:uid="{00000000-0005-0000-0000-0000F5060000}"/>
    <cellStyle name="Normal 27 31" xfId="1622" xr:uid="{00000000-0005-0000-0000-0000F6060000}"/>
    <cellStyle name="Normal 27 32" xfId="1623" xr:uid="{00000000-0005-0000-0000-0000F7060000}"/>
    <cellStyle name="Normal 27 33" xfId="1624" xr:uid="{00000000-0005-0000-0000-0000F8060000}"/>
    <cellStyle name="Normal 27 34" xfId="1625" xr:uid="{00000000-0005-0000-0000-0000F9060000}"/>
    <cellStyle name="Normal 27 35" xfId="1626" xr:uid="{00000000-0005-0000-0000-0000FA060000}"/>
    <cellStyle name="Normal 27 36" xfId="1627" xr:uid="{00000000-0005-0000-0000-0000FB060000}"/>
    <cellStyle name="Normal 27 37" xfId="1628" xr:uid="{00000000-0005-0000-0000-0000FC060000}"/>
    <cellStyle name="Normal 27 38" xfId="1629" xr:uid="{00000000-0005-0000-0000-0000FD060000}"/>
    <cellStyle name="Normal 27 39" xfId="1630" xr:uid="{00000000-0005-0000-0000-0000FE060000}"/>
    <cellStyle name="Normal 27 4" xfId="1631" xr:uid="{00000000-0005-0000-0000-0000FF060000}"/>
    <cellStyle name="Normal 27 5" xfId="1632" xr:uid="{00000000-0005-0000-0000-000000070000}"/>
    <cellStyle name="Normal 27 6" xfId="1633" xr:uid="{00000000-0005-0000-0000-000001070000}"/>
    <cellStyle name="Normal 27 7" xfId="1634" xr:uid="{00000000-0005-0000-0000-000002070000}"/>
    <cellStyle name="Normal 27 8" xfId="1635" xr:uid="{00000000-0005-0000-0000-000003070000}"/>
    <cellStyle name="Normal 27 9" xfId="1636" xr:uid="{00000000-0005-0000-0000-000004070000}"/>
    <cellStyle name="Normal 28" xfId="1637" xr:uid="{00000000-0005-0000-0000-000005070000}"/>
    <cellStyle name="Normal 29" xfId="1638" xr:uid="{00000000-0005-0000-0000-000006070000}"/>
    <cellStyle name="Normal 3" xfId="33" xr:uid="{00000000-0005-0000-0000-000007070000}"/>
    <cellStyle name="Normal 3 10" xfId="1639" xr:uid="{00000000-0005-0000-0000-000008070000}"/>
    <cellStyle name="Normal 3 10 10" xfId="1640" xr:uid="{00000000-0005-0000-0000-000009070000}"/>
    <cellStyle name="Normal 3 10 10 2" xfId="3977" xr:uid="{00000000-0005-0000-0000-00000A070000}"/>
    <cellStyle name="Normal 3 10 10 2 2" xfId="3978" xr:uid="{00000000-0005-0000-0000-00000B070000}"/>
    <cellStyle name="Normal 3 10 10 3" xfId="3979" xr:uid="{00000000-0005-0000-0000-00000C070000}"/>
    <cellStyle name="Normal 3 10 10 3 2" xfId="3980" xr:uid="{00000000-0005-0000-0000-00000D070000}"/>
    <cellStyle name="Normal 3 10 10 4" xfId="3981" xr:uid="{00000000-0005-0000-0000-00000E070000}"/>
    <cellStyle name="Normal 3 10 10 5" xfId="3982" xr:uid="{00000000-0005-0000-0000-00000F070000}"/>
    <cellStyle name="Normal 3 10 11" xfId="1641" xr:uid="{00000000-0005-0000-0000-000010070000}"/>
    <cellStyle name="Normal 3 10 11 2" xfId="3983" xr:uid="{00000000-0005-0000-0000-000011070000}"/>
    <cellStyle name="Normal 3 10 11 2 2" xfId="3984" xr:uid="{00000000-0005-0000-0000-000012070000}"/>
    <cellStyle name="Normal 3 10 11 3" xfId="3985" xr:uid="{00000000-0005-0000-0000-000013070000}"/>
    <cellStyle name="Normal 3 10 11 3 2" xfId="3986" xr:uid="{00000000-0005-0000-0000-000014070000}"/>
    <cellStyle name="Normal 3 10 11 4" xfId="3987" xr:uid="{00000000-0005-0000-0000-000015070000}"/>
    <cellStyle name="Normal 3 10 11 5" xfId="3988" xr:uid="{00000000-0005-0000-0000-000016070000}"/>
    <cellStyle name="Normal 3 10 12" xfId="1642" xr:uid="{00000000-0005-0000-0000-000017070000}"/>
    <cellStyle name="Normal 3 10 12 2" xfId="3989" xr:uid="{00000000-0005-0000-0000-000018070000}"/>
    <cellStyle name="Normal 3 10 12 2 2" xfId="3990" xr:uid="{00000000-0005-0000-0000-000019070000}"/>
    <cellStyle name="Normal 3 10 12 3" xfId="3991" xr:uid="{00000000-0005-0000-0000-00001A070000}"/>
    <cellStyle name="Normal 3 10 12 3 2" xfId="3992" xr:uid="{00000000-0005-0000-0000-00001B070000}"/>
    <cellStyle name="Normal 3 10 12 4" xfId="3993" xr:uid="{00000000-0005-0000-0000-00001C070000}"/>
    <cellStyle name="Normal 3 10 12 5" xfId="3994" xr:uid="{00000000-0005-0000-0000-00001D070000}"/>
    <cellStyle name="Normal 3 10 13" xfId="1643" xr:uid="{00000000-0005-0000-0000-00001E070000}"/>
    <cellStyle name="Normal 3 10 13 2" xfId="3995" xr:uid="{00000000-0005-0000-0000-00001F070000}"/>
    <cellStyle name="Normal 3 10 13 2 2" xfId="3996" xr:uid="{00000000-0005-0000-0000-000020070000}"/>
    <cellStyle name="Normal 3 10 13 3" xfId="3997" xr:uid="{00000000-0005-0000-0000-000021070000}"/>
    <cellStyle name="Normal 3 10 13 3 2" xfId="3998" xr:uid="{00000000-0005-0000-0000-000022070000}"/>
    <cellStyle name="Normal 3 10 13 4" xfId="3999" xr:uid="{00000000-0005-0000-0000-000023070000}"/>
    <cellStyle name="Normal 3 10 13 5" xfId="4000" xr:uid="{00000000-0005-0000-0000-000024070000}"/>
    <cellStyle name="Normal 3 10 14" xfId="3814" xr:uid="{00000000-0005-0000-0000-000025070000}"/>
    <cellStyle name="Normal 3 10 14 2" xfId="4001" xr:uid="{00000000-0005-0000-0000-000026070000}"/>
    <cellStyle name="Normal 3 10 15" xfId="4002" xr:uid="{00000000-0005-0000-0000-000027070000}"/>
    <cellStyle name="Normal 3 10 15 2" xfId="4003" xr:uid="{00000000-0005-0000-0000-000028070000}"/>
    <cellStyle name="Normal 3 10 16" xfId="4004" xr:uid="{00000000-0005-0000-0000-000029070000}"/>
    <cellStyle name="Normal 3 10 17" xfId="4005" xr:uid="{00000000-0005-0000-0000-00002A070000}"/>
    <cellStyle name="Normal 3 10 2" xfId="1644" xr:uid="{00000000-0005-0000-0000-00002B070000}"/>
    <cellStyle name="Normal 3 10 2 10" xfId="1645" xr:uid="{00000000-0005-0000-0000-00002C070000}"/>
    <cellStyle name="Normal 3 10 2 10 2" xfId="4006" xr:uid="{00000000-0005-0000-0000-00002D070000}"/>
    <cellStyle name="Normal 3 10 2 10 2 2" xfId="4007" xr:uid="{00000000-0005-0000-0000-00002E070000}"/>
    <cellStyle name="Normal 3 10 2 10 3" xfId="4008" xr:uid="{00000000-0005-0000-0000-00002F070000}"/>
    <cellStyle name="Normal 3 10 2 10 3 2" xfId="4009" xr:uid="{00000000-0005-0000-0000-000030070000}"/>
    <cellStyle name="Normal 3 10 2 10 4" xfId="4010" xr:uid="{00000000-0005-0000-0000-000031070000}"/>
    <cellStyle name="Normal 3 10 2 10 5" xfId="4011" xr:uid="{00000000-0005-0000-0000-000032070000}"/>
    <cellStyle name="Normal 3 10 2 11" xfId="1646" xr:uid="{00000000-0005-0000-0000-000033070000}"/>
    <cellStyle name="Normal 3 10 2 11 2" xfId="4012" xr:uid="{00000000-0005-0000-0000-000034070000}"/>
    <cellStyle name="Normal 3 10 2 11 2 2" xfId="4013" xr:uid="{00000000-0005-0000-0000-000035070000}"/>
    <cellStyle name="Normal 3 10 2 11 3" xfId="4014" xr:uid="{00000000-0005-0000-0000-000036070000}"/>
    <cellStyle name="Normal 3 10 2 11 3 2" xfId="4015" xr:uid="{00000000-0005-0000-0000-000037070000}"/>
    <cellStyle name="Normal 3 10 2 11 4" xfId="4016" xr:uid="{00000000-0005-0000-0000-000038070000}"/>
    <cellStyle name="Normal 3 10 2 11 5" xfId="4017" xr:uid="{00000000-0005-0000-0000-000039070000}"/>
    <cellStyle name="Normal 3 10 2 12" xfId="1647" xr:uid="{00000000-0005-0000-0000-00003A070000}"/>
    <cellStyle name="Normal 3 10 2 12 2" xfId="4018" xr:uid="{00000000-0005-0000-0000-00003B070000}"/>
    <cellStyle name="Normal 3 10 2 12 2 2" xfId="4019" xr:uid="{00000000-0005-0000-0000-00003C070000}"/>
    <cellStyle name="Normal 3 10 2 12 3" xfId="4020" xr:uid="{00000000-0005-0000-0000-00003D070000}"/>
    <cellStyle name="Normal 3 10 2 12 3 2" xfId="4021" xr:uid="{00000000-0005-0000-0000-00003E070000}"/>
    <cellStyle name="Normal 3 10 2 12 4" xfId="4022" xr:uid="{00000000-0005-0000-0000-00003F070000}"/>
    <cellStyle name="Normal 3 10 2 12 5" xfId="4023" xr:uid="{00000000-0005-0000-0000-000040070000}"/>
    <cellStyle name="Normal 3 10 2 13" xfId="4024" xr:uid="{00000000-0005-0000-0000-000041070000}"/>
    <cellStyle name="Normal 3 10 2 13 2" xfId="4025" xr:uid="{00000000-0005-0000-0000-000042070000}"/>
    <cellStyle name="Normal 3 10 2 14" xfId="4026" xr:uid="{00000000-0005-0000-0000-000043070000}"/>
    <cellStyle name="Normal 3 10 2 14 2" xfId="4027" xr:uid="{00000000-0005-0000-0000-000044070000}"/>
    <cellStyle name="Normal 3 10 2 15" xfId="4028" xr:uid="{00000000-0005-0000-0000-000045070000}"/>
    <cellStyle name="Normal 3 10 2 16" xfId="4029" xr:uid="{00000000-0005-0000-0000-000046070000}"/>
    <cellStyle name="Normal 3 10 2 2" xfId="1648" xr:uid="{00000000-0005-0000-0000-000047070000}"/>
    <cellStyle name="Normal 3 10 2 2 2" xfId="4030" xr:uid="{00000000-0005-0000-0000-000048070000}"/>
    <cellStyle name="Normal 3 10 2 2 2 2" xfId="4031" xr:uid="{00000000-0005-0000-0000-000049070000}"/>
    <cellStyle name="Normal 3 10 2 2 3" xfId="4032" xr:uid="{00000000-0005-0000-0000-00004A070000}"/>
    <cellStyle name="Normal 3 10 2 2 3 2" xfId="4033" xr:uid="{00000000-0005-0000-0000-00004B070000}"/>
    <cellStyle name="Normal 3 10 2 2 4" xfId="4034" xr:uid="{00000000-0005-0000-0000-00004C070000}"/>
    <cellStyle name="Normal 3 10 2 2 5" xfId="4035" xr:uid="{00000000-0005-0000-0000-00004D070000}"/>
    <cellStyle name="Normal 3 10 2 3" xfId="1649" xr:uid="{00000000-0005-0000-0000-00004E070000}"/>
    <cellStyle name="Normal 3 10 2 3 2" xfId="4036" xr:uid="{00000000-0005-0000-0000-00004F070000}"/>
    <cellStyle name="Normal 3 10 2 3 2 2" xfId="4037" xr:uid="{00000000-0005-0000-0000-000050070000}"/>
    <cellStyle name="Normal 3 10 2 3 3" xfId="4038" xr:uid="{00000000-0005-0000-0000-000051070000}"/>
    <cellStyle name="Normal 3 10 2 3 3 2" xfId="4039" xr:uid="{00000000-0005-0000-0000-000052070000}"/>
    <cellStyle name="Normal 3 10 2 3 4" xfId="4040" xr:uid="{00000000-0005-0000-0000-000053070000}"/>
    <cellStyle name="Normal 3 10 2 3 5" xfId="4041" xr:uid="{00000000-0005-0000-0000-000054070000}"/>
    <cellStyle name="Normal 3 10 2 4" xfId="1650" xr:uid="{00000000-0005-0000-0000-000055070000}"/>
    <cellStyle name="Normal 3 10 2 4 2" xfId="4042" xr:uid="{00000000-0005-0000-0000-000056070000}"/>
    <cellStyle name="Normal 3 10 2 4 2 2" xfId="4043" xr:uid="{00000000-0005-0000-0000-000057070000}"/>
    <cellStyle name="Normal 3 10 2 4 3" xfId="4044" xr:uid="{00000000-0005-0000-0000-000058070000}"/>
    <cellStyle name="Normal 3 10 2 4 3 2" xfId="4045" xr:uid="{00000000-0005-0000-0000-000059070000}"/>
    <cellStyle name="Normal 3 10 2 4 4" xfId="4046" xr:uid="{00000000-0005-0000-0000-00005A070000}"/>
    <cellStyle name="Normal 3 10 2 4 5" xfId="4047" xr:uid="{00000000-0005-0000-0000-00005B070000}"/>
    <cellStyle name="Normal 3 10 2 5" xfId="1651" xr:uid="{00000000-0005-0000-0000-00005C070000}"/>
    <cellStyle name="Normal 3 10 2 5 2" xfId="4048" xr:uid="{00000000-0005-0000-0000-00005D070000}"/>
    <cellStyle name="Normal 3 10 2 5 2 2" xfId="4049" xr:uid="{00000000-0005-0000-0000-00005E070000}"/>
    <cellStyle name="Normal 3 10 2 5 3" xfId="4050" xr:uid="{00000000-0005-0000-0000-00005F070000}"/>
    <cellStyle name="Normal 3 10 2 5 3 2" xfId="4051" xr:uid="{00000000-0005-0000-0000-000060070000}"/>
    <cellStyle name="Normal 3 10 2 5 4" xfId="4052" xr:uid="{00000000-0005-0000-0000-000061070000}"/>
    <cellStyle name="Normal 3 10 2 5 5" xfId="4053" xr:uid="{00000000-0005-0000-0000-000062070000}"/>
    <cellStyle name="Normal 3 10 2 6" xfId="1652" xr:uid="{00000000-0005-0000-0000-000063070000}"/>
    <cellStyle name="Normal 3 10 2 6 2" xfId="4054" xr:uid="{00000000-0005-0000-0000-000064070000}"/>
    <cellStyle name="Normal 3 10 2 6 2 2" xfId="4055" xr:uid="{00000000-0005-0000-0000-000065070000}"/>
    <cellStyle name="Normal 3 10 2 6 3" xfId="4056" xr:uid="{00000000-0005-0000-0000-000066070000}"/>
    <cellStyle name="Normal 3 10 2 6 3 2" xfId="4057" xr:uid="{00000000-0005-0000-0000-000067070000}"/>
    <cellStyle name="Normal 3 10 2 6 4" xfId="4058" xr:uid="{00000000-0005-0000-0000-000068070000}"/>
    <cellStyle name="Normal 3 10 2 6 5" xfId="4059" xr:uid="{00000000-0005-0000-0000-000069070000}"/>
    <cellStyle name="Normal 3 10 2 7" xfId="1653" xr:uid="{00000000-0005-0000-0000-00006A070000}"/>
    <cellStyle name="Normal 3 10 2 7 2" xfId="4060" xr:uid="{00000000-0005-0000-0000-00006B070000}"/>
    <cellStyle name="Normal 3 10 2 7 2 2" xfId="4061" xr:uid="{00000000-0005-0000-0000-00006C070000}"/>
    <cellStyle name="Normal 3 10 2 7 3" xfId="4062" xr:uid="{00000000-0005-0000-0000-00006D070000}"/>
    <cellStyle name="Normal 3 10 2 7 3 2" xfId="4063" xr:uid="{00000000-0005-0000-0000-00006E070000}"/>
    <cellStyle name="Normal 3 10 2 7 4" xfId="4064" xr:uid="{00000000-0005-0000-0000-00006F070000}"/>
    <cellStyle name="Normal 3 10 2 7 5" xfId="4065" xr:uid="{00000000-0005-0000-0000-000070070000}"/>
    <cellStyle name="Normal 3 10 2 8" xfId="1654" xr:uid="{00000000-0005-0000-0000-000071070000}"/>
    <cellStyle name="Normal 3 10 2 8 2" xfId="4066" xr:uid="{00000000-0005-0000-0000-000072070000}"/>
    <cellStyle name="Normal 3 10 2 8 2 2" xfId="4067" xr:uid="{00000000-0005-0000-0000-000073070000}"/>
    <cellStyle name="Normal 3 10 2 8 3" xfId="4068" xr:uid="{00000000-0005-0000-0000-000074070000}"/>
    <cellStyle name="Normal 3 10 2 8 3 2" xfId="4069" xr:uid="{00000000-0005-0000-0000-000075070000}"/>
    <cellStyle name="Normal 3 10 2 8 4" xfId="4070" xr:uid="{00000000-0005-0000-0000-000076070000}"/>
    <cellStyle name="Normal 3 10 2 8 5" xfId="4071" xr:uid="{00000000-0005-0000-0000-000077070000}"/>
    <cellStyle name="Normal 3 10 2 9" xfId="1655" xr:uid="{00000000-0005-0000-0000-000078070000}"/>
    <cellStyle name="Normal 3 10 2 9 2" xfId="4072" xr:uid="{00000000-0005-0000-0000-000079070000}"/>
    <cellStyle name="Normal 3 10 2 9 2 2" xfId="4073" xr:uid="{00000000-0005-0000-0000-00007A070000}"/>
    <cellStyle name="Normal 3 10 2 9 3" xfId="4074" xr:uid="{00000000-0005-0000-0000-00007B070000}"/>
    <cellStyle name="Normal 3 10 2 9 3 2" xfId="4075" xr:uid="{00000000-0005-0000-0000-00007C070000}"/>
    <cellStyle name="Normal 3 10 2 9 4" xfId="4076" xr:uid="{00000000-0005-0000-0000-00007D070000}"/>
    <cellStyle name="Normal 3 10 2 9 5" xfId="4077" xr:uid="{00000000-0005-0000-0000-00007E070000}"/>
    <cellStyle name="Normal 3 10 3" xfId="1656" xr:uid="{00000000-0005-0000-0000-00007F070000}"/>
    <cellStyle name="Normal 3 10 3 2" xfId="4078" xr:uid="{00000000-0005-0000-0000-000080070000}"/>
    <cellStyle name="Normal 3 10 3 2 2" xfId="4079" xr:uid="{00000000-0005-0000-0000-000081070000}"/>
    <cellStyle name="Normal 3 10 3 3" xfId="4080" xr:uid="{00000000-0005-0000-0000-000082070000}"/>
    <cellStyle name="Normal 3 10 3 3 2" xfId="4081" xr:uid="{00000000-0005-0000-0000-000083070000}"/>
    <cellStyle name="Normal 3 10 3 4" xfId="4082" xr:uid="{00000000-0005-0000-0000-000084070000}"/>
    <cellStyle name="Normal 3 10 3 5" xfId="4083" xr:uid="{00000000-0005-0000-0000-000085070000}"/>
    <cellStyle name="Normal 3 10 4" xfId="1657" xr:uid="{00000000-0005-0000-0000-000086070000}"/>
    <cellStyle name="Normal 3 10 4 2" xfId="4084" xr:uid="{00000000-0005-0000-0000-000087070000}"/>
    <cellStyle name="Normal 3 10 4 2 2" xfId="4085" xr:uid="{00000000-0005-0000-0000-000088070000}"/>
    <cellStyle name="Normal 3 10 4 3" xfId="4086" xr:uid="{00000000-0005-0000-0000-000089070000}"/>
    <cellStyle name="Normal 3 10 4 3 2" xfId="4087" xr:uid="{00000000-0005-0000-0000-00008A070000}"/>
    <cellStyle name="Normal 3 10 4 4" xfId="4088" xr:uid="{00000000-0005-0000-0000-00008B070000}"/>
    <cellStyle name="Normal 3 10 4 5" xfId="4089" xr:uid="{00000000-0005-0000-0000-00008C070000}"/>
    <cellStyle name="Normal 3 10 5" xfId="1658" xr:uid="{00000000-0005-0000-0000-00008D070000}"/>
    <cellStyle name="Normal 3 10 5 2" xfId="4090" xr:uid="{00000000-0005-0000-0000-00008E070000}"/>
    <cellStyle name="Normal 3 10 5 2 2" xfId="4091" xr:uid="{00000000-0005-0000-0000-00008F070000}"/>
    <cellStyle name="Normal 3 10 5 3" xfId="4092" xr:uid="{00000000-0005-0000-0000-000090070000}"/>
    <cellStyle name="Normal 3 10 5 3 2" xfId="4093" xr:uid="{00000000-0005-0000-0000-000091070000}"/>
    <cellStyle name="Normal 3 10 5 4" xfId="4094" xr:uid="{00000000-0005-0000-0000-000092070000}"/>
    <cellStyle name="Normal 3 10 5 5" xfId="4095" xr:uid="{00000000-0005-0000-0000-000093070000}"/>
    <cellStyle name="Normal 3 10 6" xfId="1659" xr:uid="{00000000-0005-0000-0000-000094070000}"/>
    <cellStyle name="Normal 3 10 6 2" xfId="4096" xr:uid="{00000000-0005-0000-0000-000095070000}"/>
    <cellStyle name="Normal 3 10 6 2 2" xfId="4097" xr:uid="{00000000-0005-0000-0000-000096070000}"/>
    <cellStyle name="Normal 3 10 6 3" xfId="4098" xr:uid="{00000000-0005-0000-0000-000097070000}"/>
    <cellStyle name="Normal 3 10 6 3 2" xfId="4099" xr:uid="{00000000-0005-0000-0000-000098070000}"/>
    <cellStyle name="Normal 3 10 6 4" xfId="4100" xr:uid="{00000000-0005-0000-0000-000099070000}"/>
    <cellStyle name="Normal 3 10 6 5" xfId="4101" xr:uid="{00000000-0005-0000-0000-00009A070000}"/>
    <cellStyle name="Normal 3 10 7" xfId="1660" xr:uid="{00000000-0005-0000-0000-00009B070000}"/>
    <cellStyle name="Normal 3 10 7 2" xfId="4102" xr:uid="{00000000-0005-0000-0000-00009C070000}"/>
    <cellStyle name="Normal 3 10 7 2 2" xfId="4103" xr:uid="{00000000-0005-0000-0000-00009D070000}"/>
    <cellStyle name="Normal 3 10 7 3" xfId="4104" xr:uid="{00000000-0005-0000-0000-00009E070000}"/>
    <cellStyle name="Normal 3 10 7 3 2" xfId="4105" xr:uid="{00000000-0005-0000-0000-00009F070000}"/>
    <cellStyle name="Normal 3 10 7 4" xfId="4106" xr:uid="{00000000-0005-0000-0000-0000A0070000}"/>
    <cellStyle name="Normal 3 10 7 5" xfId="4107" xr:uid="{00000000-0005-0000-0000-0000A1070000}"/>
    <cellStyle name="Normal 3 10 8" xfId="1661" xr:uid="{00000000-0005-0000-0000-0000A2070000}"/>
    <cellStyle name="Normal 3 10 8 2" xfId="4108" xr:uid="{00000000-0005-0000-0000-0000A3070000}"/>
    <cellStyle name="Normal 3 10 8 2 2" xfId="4109" xr:uid="{00000000-0005-0000-0000-0000A4070000}"/>
    <cellStyle name="Normal 3 10 8 3" xfId="4110" xr:uid="{00000000-0005-0000-0000-0000A5070000}"/>
    <cellStyle name="Normal 3 10 8 3 2" xfId="4111" xr:uid="{00000000-0005-0000-0000-0000A6070000}"/>
    <cellStyle name="Normal 3 10 8 4" xfId="4112" xr:uid="{00000000-0005-0000-0000-0000A7070000}"/>
    <cellStyle name="Normal 3 10 8 5" xfId="4113" xr:uid="{00000000-0005-0000-0000-0000A8070000}"/>
    <cellStyle name="Normal 3 10 9" xfId="1662" xr:uid="{00000000-0005-0000-0000-0000A9070000}"/>
    <cellStyle name="Normal 3 10 9 2" xfId="4114" xr:uid="{00000000-0005-0000-0000-0000AA070000}"/>
    <cellStyle name="Normal 3 10 9 2 2" xfId="4115" xr:uid="{00000000-0005-0000-0000-0000AB070000}"/>
    <cellStyle name="Normal 3 10 9 3" xfId="4116" xr:uid="{00000000-0005-0000-0000-0000AC070000}"/>
    <cellStyle name="Normal 3 10 9 3 2" xfId="4117" xr:uid="{00000000-0005-0000-0000-0000AD070000}"/>
    <cellStyle name="Normal 3 10 9 4" xfId="4118" xr:uid="{00000000-0005-0000-0000-0000AE070000}"/>
    <cellStyle name="Normal 3 10 9 5" xfId="4119" xr:uid="{00000000-0005-0000-0000-0000AF070000}"/>
    <cellStyle name="Normal 3 11" xfId="22" xr:uid="{00000000-0005-0000-0000-0000B0070000}"/>
    <cellStyle name="Normal 3 11 10" xfId="1663" xr:uid="{00000000-0005-0000-0000-0000B1070000}"/>
    <cellStyle name="Normal 3 11 10 2" xfId="4120" xr:uid="{00000000-0005-0000-0000-0000B2070000}"/>
    <cellStyle name="Normal 3 11 10 2 2" xfId="4121" xr:uid="{00000000-0005-0000-0000-0000B3070000}"/>
    <cellStyle name="Normal 3 11 10 3" xfId="4122" xr:uid="{00000000-0005-0000-0000-0000B4070000}"/>
    <cellStyle name="Normal 3 11 10 3 2" xfId="4123" xr:uid="{00000000-0005-0000-0000-0000B5070000}"/>
    <cellStyle name="Normal 3 11 10 4" xfId="4124" xr:uid="{00000000-0005-0000-0000-0000B6070000}"/>
    <cellStyle name="Normal 3 11 10 5" xfId="4125" xr:uid="{00000000-0005-0000-0000-0000B7070000}"/>
    <cellStyle name="Normal 3 11 11" xfId="1664" xr:uid="{00000000-0005-0000-0000-0000B8070000}"/>
    <cellStyle name="Normal 3 11 11 2" xfId="4126" xr:uid="{00000000-0005-0000-0000-0000B9070000}"/>
    <cellStyle name="Normal 3 11 11 2 2" xfId="4127" xr:uid="{00000000-0005-0000-0000-0000BA070000}"/>
    <cellStyle name="Normal 3 11 11 3" xfId="4128" xr:uid="{00000000-0005-0000-0000-0000BB070000}"/>
    <cellStyle name="Normal 3 11 11 3 2" xfId="4129" xr:uid="{00000000-0005-0000-0000-0000BC070000}"/>
    <cellStyle name="Normal 3 11 11 4" xfId="4130" xr:uid="{00000000-0005-0000-0000-0000BD070000}"/>
    <cellStyle name="Normal 3 11 11 5" xfId="4131" xr:uid="{00000000-0005-0000-0000-0000BE070000}"/>
    <cellStyle name="Normal 3 11 12" xfId="1665" xr:uid="{00000000-0005-0000-0000-0000BF070000}"/>
    <cellStyle name="Normal 3 11 12 2" xfId="4132" xr:uid="{00000000-0005-0000-0000-0000C0070000}"/>
    <cellStyle name="Normal 3 11 12 2 2" xfId="4133" xr:uid="{00000000-0005-0000-0000-0000C1070000}"/>
    <cellStyle name="Normal 3 11 12 3" xfId="4134" xr:uid="{00000000-0005-0000-0000-0000C2070000}"/>
    <cellStyle name="Normal 3 11 12 3 2" xfId="4135" xr:uid="{00000000-0005-0000-0000-0000C3070000}"/>
    <cellStyle name="Normal 3 11 12 4" xfId="4136" xr:uid="{00000000-0005-0000-0000-0000C4070000}"/>
    <cellStyle name="Normal 3 11 12 5" xfId="4137" xr:uid="{00000000-0005-0000-0000-0000C5070000}"/>
    <cellStyle name="Normal 3 11 13" xfId="1666" xr:uid="{00000000-0005-0000-0000-0000C6070000}"/>
    <cellStyle name="Normal 3 11 13 2" xfId="4138" xr:uid="{00000000-0005-0000-0000-0000C7070000}"/>
    <cellStyle name="Normal 3 11 13 2 2" xfId="4139" xr:uid="{00000000-0005-0000-0000-0000C8070000}"/>
    <cellStyle name="Normal 3 11 13 3" xfId="4140" xr:uid="{00000000-0005-0000-0000-0000C9070000}"/>
    <cellStyle name="Normal 3 11 13 3 2" xfId="4141" xr:uid="{00000000-0005-0000-0000-0000CA070000}"/>
    <cellStyle name="Normal 3 11 13 4" xfId="4142" xr:uid="{00000000-0005-0000-0000-0000CB070000}"/>
    <cellStyle name="Normal 3 11 13 5" xfId="4143" xr:uid="{00000000-0005-0000-0000-0000CC070000}"/>
    <cellStyle name="Normal 3 11 14" xfId="4144" xr:uid="{00000000-0005-0000-0000-0000CD070000}"/>
    <cellStyle name="Normal 3 11 14 2" xfId="4145" xr:uid="{00000000-0005-0000-0000-0000CE070000}"/>
    <cellStyle name="Normal 3 11 15" xfId="4146" xr:uid="{00000000-0005-0000-0000-0000CF070000}"/>
    <cellStyle name="Normal 3 11 15 2" xfId="4147" xr:uid="{00000000-0005-0000-0000-0000D0070000}"/>
    <cellStyle name="Normal 3 11 16" xfId="4148" xr:uid="{00000000-0005-0000-0000-0000D1070000}"/>
    <cellStyle name="Normal 3 11 17" xfId="4149" xr:uid="{00000000-0005-0000-0000-0000D2070000}"/>
    <cellStyle name="Normal 3 11 2" xfId="39" xr:uid="{00000000-0005-0000-0000-0000D3070000}"/>
    <cellStyle name="Normal 3 11 2 10" xfId="1667" xr:uid="{00000000-0005-0000-0000-0000D4070000}"/>
    <cellStyle name="Normal 3 11 2 10 2" xfId="4150" xr:uid="{00000000-0005-0000-0000-0000D5070000}"/>
    <cellStyle name="Normal 3 11 2 10 2 2" xfId="4151" xr:uid="{00000000-0005-0000-0000-0000D6070000}"/>
    <cellStyle name="Normal 3 11 2 10 3" xfId="4152" xr:uid="{00000000-0005-0000-0000-0000D7070000}"/>
    <cellStyle name="Normal 3 11 2 10 3 2" xfId="4153" xr:uid="{00000000-0005-0000-0000-0000D8070000}"/>
    <cellStyle name="Normal 3 11 2 10 4" xfId="4154" xr:uid="{00000000-0005-0000-0000-0000D9070000}"/>
    <cellStyle name="Normal 3 11 2 10 5" xfId="4155" xr:uid="{00000000-0005-0000-0000-0000DA070000}"/>
    <cellStyle name="Normal 3 11 2 11" xfId="1668" xr:uid="{00000000-0005-0000-0000-0000DB070000}"/>
    <cellStyle name="Normal 3 11 2 11 2" xfId="4156" xr:uid="{00000000-0005-0000-0000-0000DC070000}"/>
    <cellStyle name="Normal 3 11 2 11 2 2" xfId="4157" xr:uid="{00000000-0005-0000-0000-0000DD070000}"/>
    <cellStyle name="Normal 3 11 2 11 3" xfId="4158" xr:uid="{00000000-0005-0000-0000-0000DE070000}"/>
    <cellStyle name="Normal 3 11 2 11 3 2" xfId="4159" xr:uid="{00000000-0005-0000-0000-0000DF070000}"/>
    <cellStyle name="Normal 3 11 2 11 4" xfId="4160" xr:uid="{00000000-0005-0000-0000-0000E0070000}"/>
    <cellStyle name="Normal 3 11 2 11 5" xfId="4161" xr:uid="{00000000-0005-0000-0000-0000E1070000}"/>
    <cellStyle name="Normal 3 11 2 12" xfId="1669" xr:uid="{00000000-0005-0000-0000-0000E2070000}"/>
    <cellStyle name="Normal 3 11 2 12 2" xfId="4162" xr:uid="{00000000-0005-0000-0000-0000E3070000}"/>
    <cellStyle name="Normal 3 11 2 12 2 2" xfId="4163" xr:uid="{00000000-0005-0000-0000-0000E4070000}"/>
    <cellStyle name="Normal 3 11 2 12 3" xfId="4164" xr:uid="{00000000-0005-0000-0000-0000E5070000}"/>
    <cellStyle name="Normal 3 11 2 12 3 2" xfId="4165" xr:uid="{00000000-0005-0000-0000-0000E6070000}"/>
    <cellStyle name="Normal 3 11 2 12 4" xfId="4166" xr:uid="{00000000-0005-0000-0000-0000E7070000}"/>
    <cellStyle name="Normal 3 11 2 12 5" xfId="4167" xr:uid="{00000000-0005-0000-0000-0000E8070000}"/>
    <cellStyle name="Normal 3 11 2 13" xfId="4168" xr:uid="{00000000-0005-0000-0000-0000E9070000}"/>
    <cellStyle name="Normal 3 11 2 13 2" xfId="4169" xr:uid="{00000000-0005-0000-0000-0000EA070000}"/>
    <cellStyle name="Normal 3 11 2 14" xfId="4170" xr:uid="{00000000-0005-0000-0000-0000EB070000}"/>
    <cellStyle name="Normal 3 11 2 14 2" xfId="4171" xr:uid="{00000000-0005-0000-0000-0000EC070000}"/>
    <cellStyle name="Normal 3 11 2 15" xfId="4172" xr:uid="{00000000-0005-0000-0000-0000ED070000}"/>
    <cellStyle name="Normal 3 11 2 16" xfId="4173" xr:uid="{00000000-0005-0000-0000-0000EE070000}"/>
    <cellStyle name="Normal 3 11 2 2" xfId="1670" xr:uid="{00000000-0005-0000-0000-0000EF070000}"/>
    <cellStyle name="Normal 3 11 2 2 2" xfId="4174" xr:uid="{00000000-0005-0000-0000-0000F0070000}"/>
    <cellStyle name="Normal 3 11 2 2 2 2" xfId="4175" xr:uid="{00000000-0005-0000-0000-0000F1070000}"/>
    <cellStyle name="Normal 3 11 2 2 3" xfId="4176" xr:uid="{00000000-0005-0000-0000-0000F2070000}"/>
    <cellStyle name="Normal 3 11 2 2 3 2" xfId="4177" xr:uid="{00000000-0005-0000-0000-0000F3070000}"/>
    <cellStyle name="Normal 3 11 2 2 4" xfId="4178" xr:uid="{00000000-0005-0000-0000-0000F4070000}"/>
    <cellStyle name="Normal 3 11 2 2 5" xfId="4179" xr:uid="{00000000-0005-0000-0000-0000F5070000}"/>
    <cellStyle name="Normal 3 11 2 3" xfId="1671" xr:uid="{00000000-0005-0000-0000-0000F6070000}"/>
    <cellStyle name="Normal 3 11 2 3 2" xfId="4180" xr:uid="{00000000-0005-0000-0000-0000F7070000}"/>
    <cellStyle name="Normal 3 11 2 3 2 2" xfId="4181" xr:uid="{00000000-0005-0000-0000-0000F8070000}"/>
    <cellStyle name="Normal 3 11 2 3 3" xfId="4182" xr:uid="{00000000-0005-0000-0000-0000F9070000}"/>
    <cellStyle name="Normal 3 11 2 3 3 2" xfId="4183" xr:uid="{00000000-0005-0000-0000-0000FA070000}"/>
    <cellStyle name="Normal 3 11 2 3 4" xfId="4184" xr:uid="{00000000-0005-0000-0000-0000FB070000}"/>
    <cellStyle name="Normal 3 11 2 3 5" xfId="4185" xr:uid="{00000000-0005-0000-0000-0000FC070000}"/>
    <cellStyle name="Normal 3 11 2 4" xfId="1672" xr:uid="{00000000-0005-0000-0000-0000FD070000}"/>
    <cellStyle name="Normal 3 11 2 4 2" xfId="4186" xr:uid="{00000000-0005-0000-0000-0000FE070000}"/>
    <cellStyle name="Normal 3 11 2 4 2 2" xfId="4187" xr:uid="{00000000-0005-0000-0000-0000FF070000}"/>
    <cellStyle name="Normal 3 11 2 4 3" xfId="4188" xr:uid="{00000000-0005-0000-0000-000000080000}"/>
    <cellStyle name="Normal 3 11 2 4 3 2" xfId="4189" xr:uid="{00000000-0005-0000-0000-000001080000}"/>
    <cellStyle name="Normal 3 11 2 4 4" xfId="4190" xr:uid="{00000000-0005-0000-0000-000002080000}"/>
    <cellStyle name="Normal 3 11 2 4 5" xfId="4191" xr:uid="{00000000-0005-0000-0000-000003080000}"/>
    <cellStyle name="Normal 3 11 2 5" xfId="1673" xr:uid="{00000000-0005-0000-0000-000004080000}"/>
    <cellStyle name="Normal 3 11 2 5 2" xfId="4192" xr:uid="{00000000-0005-0000-0000-000005080000}"/>
    <cellStyle name="Normal 3 11 2 5 2 2" xfId="4193" xr:uid="{00000000-0005-0000-0000-000006080000}"/>
    <cellStyle name="Normal 3 11 2 5 3" xfId="4194" xr:uid="{00000000-0005-0000-0000-000007080000}"/>
    <cellStyle name="Normal 3 11 2 5 3 2" xfId="4195" xr:uid="{00000000-0005-0000-0000-000008080000}"/>
    <cellStyle name="Normal 3 11 2 5 4" xfId="4196" xr:uid="{00000000-0005-0000-0000-000009080000}"/>
    <cellStyle name="Normal 3 11 2 5 5" xfId="4197" xr:uid="{00000000-0005-0000-0000-00000A080000}"/>
    <cellStyle name="Normal 3 11 2 6" xfId="1674" xr:uid="{00000000-0005-0000-0000-00000B080000}"/>
    <cellStyle name="Normal 3 11 2 6 2" xfId="4198" xr:uid="{00000000-0005-0000-0000-00000C080000}"/>
    <cellStyle name="Normal 3 11 2 6 2 2" xfId="4199" xr:uid="{00000000-0005-0000-0000-00000D080000}"/>
    <cellStyle name="Normal 3 11 2 6 3" xfId="4200" xr:uid="{00000000-0005-0000-0000-00000E080000}"/>
    <cellStyle name="Normal 3 11 2 6 3 2" xfId="4201" xr:uid="{00000000-0005-0000-0000-00000F080000}"/>
    <cellStyle name="Normal 3 11 2 6 4" xfId="4202" xr:uid="{00000000-0005-0000-0000-000010080000}"/>
    <cellStyle name="Normal 3 11 2 6 5" xfId="4203" xr:uid="{00000000-0005-0000-0000-000011080000}"/>
    <cellStyle name="Normal 3 11 2 7" xfId="1675" xr:uid="{00000000-0005-0000-0000-000012080000}"/>
    <cellStyle name="Normal 3 11 2 7 2" xfId="4204" xr:uid="{00000000-0005-0000-0000-000013080000}"/>
    <cellStyle name="Normal 3 11 2 7 2 2" xfId="4205" xr:uid="{00000000-0005-0000-0000-000014080000}"/>
    <cellStyle name="Normal 3 11 2 7 3" xfId="4206" xr:uid="{00000000-0005-0000-0000-000015080000}"/>
    <cellStyle name="Normal 3 11 2 7 3 2" xfId="4207" xr:uid="{00000000-0005-0000-0000-000016080000}"/>
    <cellStyle name="Normal 3 11 2 7 4" xfId="4208" xr:uid="{00000000-0005-0000-0000-000017080000}"/>
    <cellStyle name="Normal 3 11 2 7 5" xfId="4209" xr:uid="{00000000-0005-0000-0000-000018080000}"/>
    <cellStyle name="Normal 3 11 2 8" xfId="1676" xr:uid="{00000000-0005-0000-0000-000019080000}"/>
    <cellStyle name="Normal 3 11 2 8 2" xfId="4210" xr:uid="{00000000-0005-0000-0000-00001A080000}"/>
    <cellStyle name="Normal 3 11 2 8 2 2" xfId="4211" xr:uid="{00000000-0005-0000-0000-00001B080000}"/>
    <cellStyle name="Normal 3 11 2 8 3" xfId="4212" xr:uid="{00000000-0005-0000-0000-00001C080000}"/>
    <cellStyle name="Normal 3 11 2 8 3 2" xfId="4213" xr:uid="{00000000-0005-0000-0000-00001D080000}"/>
    <cellStyle name="Normal 3 11 2 8 4" xfId="4214" xr:uid="{00000000-0005-0000-0000-00001E080000}"/>
    <cellStyle name="Normal 3 11 2 8 5" xfId="4215" xr:uid="{00000000-0005-0000-0000-00001F080000}"/>
    <cellStyle name="Normal 3 11 2 9" xfId="1677" xr:uid="{00000000-0005-0000-0000-000020080000}"/>
    <cellStyle name="Normal 3 11 2 9 2" xfId="4216" xr:uid="{00000000-0005-0000-0000-000021080000}"/>
    <cellStyle name="Normal 3 11 2 9 2 2" xfId="4217" xr:uid="{00000000-0005-0000-0000-000022080000}"/>
    <cellStyle name="Normal 3 11 2 9 3" xfId="4218" xr:uid="{00000000-0005-0000-0000-000023080000}"/>
    <cellStyle name="Normal 3 11 2 9 3 2" xfId="4219" xr:uid="{00000000-0005-0000-0000-000024080000}"/>
    <cellStyle name="Normal 3 11 2 9 4" xfId="4220" xr:uid="{00000000-0005-0000-0000-000025080000}"/>
    <cellStyle name="Normal 3 11 2 9 5" xfId="4221" xr:uid="{00000000-0005-0000-0000-000026080000}"/>
    <cellStyle name="Normal 3 11 3" xfId="41" xr:uid="{00000000-0005-0000-0000-000027080000}"/>
    <cellStyle name="Normal 3 11 3 2" xfId="4222" xr:uid="{00000000-0005-0000-0000-000028080000}"/>
    <cellStyle name="Normal 3 11 3 2 2" xfId="4223" xr:uid="{00000000-0005-0000-0000-000029080000}"/>
    <cellStyle name="Normal 3 11 3 3" xfId="4224" xr:uid="{00000000-0005-0000-0000-00002A080000}"/>
    <cellStyle name="Normal 3 11 3 3 2" xfId="4225" xr:uid="{00000000-0005-0000-0000-00002B080000}"/>
    <cellStyle name="Normal 3 11 3 4" xfId="4226" xr:uid="{00000000-0005-0000-0000-00002C080000}"/>
    <cellStyle name="Normal 3 11 3 5" xfId="4227" xr:uid="{00000000-0005-0000-0000-00002D080000}"/>
    <cellStyle name="Normal 3 11 4" xfId="1678" xr:uid="{00000000-0005-0000-0000-00002E080000}"/>
    <cellStyle name="Normal 3 11 4 2" xfId="4228" xr:uid="{00000000-0005-0000-0000-00002F080000}"/>
    <cellStyle name="Normal 3 11 4 2 2" xfId="4229" xr:uid="{00000000-0005-0000-0000-000030080000}"/>
    <cellStyle name="Normal 3 11 4 3" xfId="4230" xr:uid="{00000000-0005-0000-0000-000031080000}"/>
    <cellStyle name="Normal 3 11 4 3 2" xfId="4231" xr:uid="{00000000-0005-0000-0000-000032080000}"/>
    <cellStyle name="Normal 3 11 4 4" xfId="4232" xr:uid="{00000000-0005-0000-0000-000033080000}"/>
    <cellStyle name="Normal 3 11 4 5" xfId="4233" xr:uid="{00000000-0005-0000-0000-000034080000}"/>
    <cellStyle name="Normal 3 11 5" xfId="1679" xr:uid="{00000000-0005-0000-0000-000035080000}"/>
    <cellStyle name="Normal 3 11 5 2" xfId="4234" xr:uid="{00000000-0005-0000-0000-000036080000}"/>
    <cellStyle name="Normal 3 11 5 2 2" xfId="4235" xr:uid="{00000000-0005-0000-0000-000037080000}"/>
    <cellStyle name="Normal 3 11 5 3" xfId="4236" xr:uid="{00000000-0005-0000-0000-000038080000}"/>
    <cellStyle name="Normal 3 11 5 3 2" xfId="4237" xr:uid="{00000000-0005-0000-0000-000039080000}"/>
    <cellStyle name="Normal 3 11 5 4" xfId="4238" xr:uid="{00000000-0005-0000-0000-00003A080000}"/>
    <cellStyle name="Normal 3 11 5 5" xfId="4239" xr:uid="{00000000-0005-0000-0000-00003B080000}"/>
    <cellStyle name="Normal 3 11 6" xfId="1680" xr:uid="{00000000-0005-0000-0000-00003C080000}"/>
    <cellStyle name="Normal 3 11 6 2" xfId="4240" xr:uid="{00000000-0005-0000-0000-00003D080000}"/>
    <cellStyle name="Normal 3 11 6 2 2" xfId="4241" xr:uid="{00000000-0005-0000-0000-00003E080000}"/>
    <cellStyle name="Normal 3 11 6 3" xfId="4242" xr:uid="{00000000-0005-0000-0000-00003F080000}"/>
    <cellStyle name="Normal 3 11 6 3 2" xfId="4243" xr:uid="{00000000-0005-0000-0000-000040080000}"/>
    <cellStyle name="Normal 3 11 6 4" xfId="4244" xr:uid="{00000000-0005-0000-0000-000041080000}"/>
    <cellStyle name="Normal 3 11 6 5" xfId="4245" xr:uid="{00000000-0005-0000-0000-000042080000}"/>
    <cellStyle name="Normal 3 11 7" xfId="1681" xr:uid="{00000000-0005-0000-0000-000043080000}"/>
    <cellStyle name="Normal 3 11 7 2" xfId="4246" xr:uid="{00000000-0005-0000-0000-000044080000}"/>
    <cellStyle name="Normal 3 11 7 2 2" xfId="4247" xr:uid="{00000000-0005-0000-0000-000045080000}"/>
    <cellStyle name="Normal 3 11 7 3" xfId="4248" xr:uid="{00000000-0005-0000-0000-000046080000}"/>
    <cellStyle name="Normal 3 11 7 3 2" xfId="4249" xr:uid="{00000000-0005-0000-0000-000047080000}"/>
    <cellStyle name="Normal 3 11 7 4" xfId="4250" xr:uid="{00000000-0005-0000-0000-000048080000}"/>
    <cellStyle name="Normal 3 11 7 5" xfId="4251" xr:uid="{00000000-0005-0000-0000-000049080000}"/>
    <cellStyle name="Normal 3 11 8" xfId="1682" xr:uid="{00000000-0005-0000-0000-00004A080000}"/>
    <cellStyle name="Normal 3 11 8 2" xfId="4252" xr:uid="{00000000-0005-0000-0000-00004B080000}"/>
    <cellStyle name="Normal 3 11 8 2 2" xfId="4253" xr:uid="{00000000-0005-0000-0000-00004C080000}"/>
    <cellStyle name="Normal 3 11 8 3" xfId="4254" xr:uid="{00000000-0005-0000-0000-00004D080000}"/>
    <cellStyle name="Normal 3 11 8 3 2" xfId="4255" xr:uid="{00000000-0005-0000-0000-00004E080000}"/>
    <cellStyle name="Normal 3 11 8 4" xfId="4256" xr:uid="{00000000-0005-0000-0000-00004F080000}"/>
    <cellStyle name="Normal 3 11 8 5" xfId="4257" xr:uid="{00000000-0005-0000-0000-000050080000}"/>
    <cellStyle name="Normal 3 11 9" xfId="1683" xr:uid="{00000000-0005-0000-0000-000051080000}"/>
    <cellStyle name="Normal 3 11 9 2" xfId="4258" xr:uid="{00000000-0005-0000-0000-000052080000}"/>
    <cellStyle name="Normal 3 11 9 2 2" xfId="4259" xr:uid="{00000000-0005-0000-0000-000053080000}"/>
    <cellStyle name="Normal 3 11 9 3" xfId="4260" xr:uid="{00000000-0005-0000-0000-000054080000}"/>
    <cellStyle name="Normal 3 11 9 3 2" xfId="4261" xr:uid="{00000000-0005-0000-0000-000055080000}"/>
    <cellStyle name="Normal 3 11 9 4" xfId="4262" xr:uid="{00000000-0005-0000-0000-000056080000}"/>
    <cellStyle name="Normal 3 11 9 5" xfId="4263" xr:uid="{00000000-0005-0000-0000-000057080000}"/>
    <cellStyle name="Normal 3 12" xfId="1684" xr:uid="{00000000-0005-0000-0000-000058080000}"/>
    <cellStyle name="Normal 3 12 10" xfId="1685" xr:uid="{00000000-0005-0000-0000-000059080000}"/>
    <cellStyle name="Normal 3 12 10 2" xfId="4264" xr:uid="{00000000-0005-0000-0000-00005A080000}"/>
    <cellStyle name="Normal 3 12 10 2 2" xfId="4265" xr:uid="{00000000-0005-0000-0000-00005B080000}"/>
    <cellStyle name="Normal 3 12 10 3" xfId="4266" xr:uid="{00000000-0005-0000-0000-00005C080000}"/>
    <cellStyle name="Normal 3 12 10 3 2" xfId="4267" xr:uid="{00000000-0005-0000-0000-00005D080000}"/>
    <cellStyle name="Normal 3 12 10 4" xfId="4268" xr:uid="{00000000-0005-0000-0000-00005E080000}"/>
    <cellStyle name="Normal 3 12 10 5" xfId="4269" xr:uid="{00000000-0005-0000-0000-00005F080000}"/>
    <cellStyle name="Normal 3 12 11" xfId="1686" xr:uid="{00000000-0005-0000-0000-000060080000}"/>
    <cellStyle name="Normal 3 12 11 2" xfId="4270" xr:uid="{00000000-0005-0000-0000-000061080000}"/>
    <cellStyle name="Normal 3 12 11 2 2" xfId="4271" xr:uid="{00000000-0005-0000-0000-000062080000}"/>
    <cellStyle name="Normal 3 12 11 3" xfId="4272" xr:uid="{00000000-0005-0000-0000-000063080000}"/>
    <cellStyle name="Normal 3 12 11 3 2" xfId="4273" xr:uid="{00000000-0005-0000-0000-000064080000}"/>
    <cellStyle name="Normal 3 12 11 4" xfId="4274" xr:uid="{00000000-0005-0000-0000-000065080000}"/>
    <cellStyle name="Normal 3 12 11 5" xfId="4275" xr:uid="{00000000-0005-0000-0000-000066080000}"/>
    <cellStyle name="Normal 3 12 12" xfId="1687" xr:uid="{00000000-0005-0000-0000-000067080000}"/>
    <cellStyle name="Normal 3 12 12 2" xfId="4276" xr:uid="{00000000-0005-0000-0000-000068080000}"/>
    <cellStyle name="Normal 3 12 12 2 2" xfId="4277" xr:uid="{00000000-0005-0000-0000-000069080000}"/>
    <cellStyle name="Normal 3 12 12 3" xfId="4278" xr:uid="{00000000-0005-0000-0000-00006A080000}"/>
    <cellStyle name="Normal 3 12 12 3 2" xfId="4279" xr:uid="{00000000-0005-0000-0000-00006B080000}"/>
    <cellStyle name="Normal 3 12 12 4" xfId="4280" xr:uid="{00000000-0005-0000-0000-00006C080000}"/>
    <cellStyle name="Normal 3 12 12 5" xfId="4281" xr:uid="{00000000-0005-0000-0000-00006D080000}"/>
    <cellStyle name="Normal 3 12 13" xfId="1688" xr:uid="{00000000-0005-0000-0000-00006E080000}"/>
    <cellStyle name="Normal 3 12 13 2" xfId="4282" xr:uid="{00000000-0005-0000-0000-00006F080000}"/>
    <cellStyle name="Normal 3 12 13 2 2" xfId="4283" xr:uid="{00000000-0005-0000-0000-000070080000}"/>
    <cellStyle name="Normal 3 12 13 3" xfId="4284" xr:uid="{00000000-0005-0000-0000-000071080000}"/>
    <cellStyle name="Normal 3 12 13 3 2" xfId="4285" xr:uid="{00000000-0005-0000-0000-000072080000}"/>
    <cellStyle name="Normal 3 12 13 4" xfId="4286" xr:uid="{00000000-0005-0000-0000-000073080000}"/>
    <cellStyle name="Normal 3 12 13 5" xfId="4287" xr:uid="{00000000-0005-0000-0000-000074080000}"/>
    <cellStyle name="Normal 3 12 14" xfId="4288" xr:uid="{00000000-0005-0000-0000-000075080000}"/>
    <cellStyle name="Normal 3 12 14 2" xfId="4289" xr:uid="{00000000-0005-0000-0000-000076080000}"/>
    <cellStyle name="Normal 3 12 15" xfId="4290" xr:uid="{00000000-0005-0000-0000-000077080000}"/>
    <cellStyle name="Normal 3 12 15 2" xfId="4291" xr:uid="{00000000-0005-0000-0000-000078080000}"/>
    <cellStyle name="Normal 3 12 16" xfId="4292" xr:uid="{00000000-0005-0000-0000-000079080000}"/>
    <cellStyle name="Normal 3 12 17" xfId="4293" xr:uid="{00000000-0005-0000-0000-00007A080000}"/>
    <cellStyle name="Normal 3 12 2" xfId="1689" xr:uid="{00000000-0005-0000-0000-00007B080000}"/>
    <cellStyle name="Normal 3 12 2 10" xfId="1690" xr:uid="{00000000-0005-0000-0000-00007C080000}"/>
    <cellStyle name="Normal 3 12 2 10 2" xfId="4294" xr:uid="{00000000-0005-0000-0000-00007D080000}"/>
    <cellStyle name="Normal 3 12 2 10 2 2" xfId="4295" xr:uid="{00000000-0005-0000-0000-00007E080000}"/>
    <cellStyle name="Normal 3 12 2 10 3" xfId="4296" xr:uid="{00000000-0005-0000-0000-00007F080000}"/>
    <cellStyle name="Normal 3 12 2 10 3 2" xfId="4297" xr:uid="{00000000-0005-0000-0000-000080080000}"/>
    <cellStyle name="Normal 3 12 2 10 4" xfId="4298" xr:uid="{00000000-0005-0000-0000-000081080000}"/>
    <cellStyle name="Normal 3 12 2 10 5" xfId="4299" xr:uid="{00000000-0005-0000-0000-000082080000}"/>
    <cellStyle name="Normal 3 12 2 11" xfId="1691" xr:uid="{00000000-0005-0000-0000-000083080000}"/>
    <cellStyle name="Normal 3 12 2 11 2" xfId="4300" xr:uid="{00000000-0005-0000-0000-000084080000}"/>
    <cellStyle name="Normal 3 12 2 11 2 2" xfId="4301" xr:uid="{00000000-0005-0000-0000-000085080000}"/>
    <cellStyle name="Normal 3 12 2 11 3" xfId="4302" xr:uid="{00000000-0005-0000-0000-000086080000}"/>
    <cellStyle name="Normal 3 12 2 11 3 2" xfId="4303" xr:uid="{00000000-0005-0000-0000-000087080000}"/>
    <cellStyle name="Normal 3 12 2 11 4" xfId="4304" xr:uid="{00000000-0005-0000-0000-000088080000}"/>
    <cellStyle name="Normal 3 12 2 11 5" xfId="4305" xr:uid="{00000000-0005-0000-0000-000089080000}"/>
    <cellStyle name="Normal 3 12 2 12" xfId="1692" xr:uid="{00000000-0005-0000-0000-00008A080000}"/>
    <cellStyle name="Normal 3 12 2 12 2" xfId="4306" xr:uid="{00000000-0005-0000-0000-00008B080000}"/>
    <cellStyle name="Normal 3 12 2 12 2 2" xfId="4307" xr:uid="{00000000-0005-0000-0000-00008C080000}"/>
    <cellStyle name="Normal 3 12 2 12 3" xfId="4308" xr:uid="{00000000-0005-0000-0000-00008D080000}"/>
    <cellStyle name="Normal 3 12 2 12 3 2" xfId="4309" xr:uid="{00000000-0005-0000-0000-00008E080000}"/>
    <cellStyle name="Normal 3 12 2 12 4" xfId="4310" xr:uid="{00000000-0005-0000-0000-00008F080000}"/>
    <cellStyle name="Normal 3 12 2 12 5" xfId="4311" xr:uid="{00000000-0005-0000-0000-000090080000}"/>
    <cellStyle name="Normal 3 12 2 13" xfId="4312" xr:uid="{00000000-0005-0000-0000-000091080000}"/>
    <cellStyle name="Normal 3 12 2 13 2" xfId="4313" xr:uid="{00000000-0005-0000-0000-000092080000}"/>
    <cellStyle name="Normal 3 12 2 14" xfId="4314" xr:uid="{00000000-0005-0000-0000-000093080000}"/>
    <cellStyle name="Normal 3 12 2 14 2" xfId="4315" xr:uid="{00000000-0005-0000-0000-000094080000}"/>
    <cellStyle name="Normal 3 12 2 15" xfId="4316" xr:uid="{00000000-0005-0000-0000-000095080000}"/>
    <cellStyle name="Normal 3 12 2 16" xfId="4317" xr:uid="{00000000-0005-0000-0000-000096080000}"/>
    <cellStyle name="Normal 3 12 2 2" xfId="1693" xr:uid="{00000000-0005-0000-0000-000097080000}"/>
    <cellStyle name="Normal 3 12 2 2 2" xfId="4318" xr:uid="{00000000-0005-0000-0000-000098080000}"/>
    <cellStyle name="Normal 3 12 2 2 2 2" xfId="4319" xr:uid="{00000000-0005-0000-0000-000099080000}"/>
    <cellStyle name="Normal 3 12 2 2 3" xfId="4320" xr:uid="{00000000-0005-0000-0000-00009A080000}"/>
    <cellStyle name="Normal 3 12 2 2 3 2" xfId="4321" xr:uid="{00000000-0005-0000-0000-00009B080000}"/>
    <cellStyle name="Normal 3 12 2 2 4" xfId="4322" xr:uid="{00000000-0005-0000-0000-00009C080000}"/>
    <cellStyle name="Normal 3 12 2 2 5" xfId="4323" xr:uid="{00000000-0005-0000-0000-00009D080000}"/>
    <cellStyle name="Normal 3 12 2 3" xfId="1694" xr:uid="{00000000-0005-0000-0000-00009E080000}"/>
    <cellStyle name="Normal 3 12 2 3 2" xfId="4324" xr:uid="{00000000-0005-0000-0000-00009F080000}"/>
    <cellStyle name="Normal 3 12 2 3 2 2" xfId="4325" xr:uid="{00000000-0005-0000-0000-0000A0080000}"/>
    <cellStyle name="Normal 3 12 2 3 3" xfId="4326" xr:uid="{00000000-0005-0000-0000-0000A1080000}"/>
    <cellStyle name="Normal 3 12 2 3 3 2" xfId="4327" xr:uid="{00000000-0005-0000-0000-0000A2080000}"/>
    <cellStyle name="Normal 3 12 2 3 4" xfId="4328" xr:uid="{00000000-0005-0000-0000-0000A3080000}"/>
    <cellStyle name="Normal 3 12 2 3 5" xfId="4329" xr:uid="{00000000-0005-0000-0000-0000A4080000}"/>
    <cellStyle name="Normal 3 12 2 4" xfId="1695" xr:uid="{00000000-0005-0000-0000-0000A5080000}"/>
    <cellStyle name="Normal 3 12 2 4 2" xfId="4330" xr:uid="{00000000-0005-0000-0000-0000A6080000}"/>
    <cellStyle name="Normal 3 12 2 4 2 2" xfId="4331" xr:uid="{00000000-0005-0000-0000-0000A7080000}"/>
    <cellStyle name="Normal 3 12 2 4 3" xfId="4332" xr:uid="{00000000-0005-0000-0000-0000A8080000}"/>
    <cellStyle name="Normal 3 12 2 4 3 2" xfId="4333" xr:uid="{00000000-0005-0000-0000-0000A9080000}"/>
    <cellStyle name="Normal 3 12 2 4 4" xfId="4334" xr:uid="{00000000-0005-0000-0000-0000AA080000}"/>
    <cellStyle name="Normal 3 12 2 4 5" xfId="4335" xr:uid="{00000000-0005-0000-0000-0000AB080000}"/>
    <cellStyle name="Normal 3 12 2 5" xfId="1696" xr:uid="{00000000-0005-0000-0000-0000AC080000}"/>
    <cellStyle name="Normal 3 12 2 5 2" xfId="4336" xr:uid="{00000000-0005-0000-0000-0000AD080000}"/>
    <cellStyle name="Normal 3 12 2 5 2 2" xfId="4337" xr:uid="{00000000-0005-0000-0000-0000AE080000}"/>
    <cellStyle name="Normal 3 12 2 5 3" xfId="4338" xr:uid="{00000000-0005-0000-0000-0000AF080000}"/>
    <cellStyle name="Normal 3 12 2 5 3 2" xfId="4339" xr:uid="{00000000-0005-0000-0000-0000B0080000}"/>
    <cellStyle name="Normal 3 12 2 5 4" xfId="4340" xr:uid="{00000000-0005-0000-0000-0000B1080000}"/>
    <cellStyle name="Normal 3 12 2 5 5" xfId="4341" xr:uid="{00000000-0005-0000-0000-0000B2080000}"/>
    <cellStyle name="Normal 3 12 2 6" xfId="1697" xr:uid="{00000000-0005-0000-0000-0000B3080000}"/>
    <cellStyle name="Normal 3 12 2 6 2" xfId="4342" xr:uid="{00000000-0005-0000-0000-0000B4080000}"/>
    <cellStyle name="Normal 3 12 2 6 2 2" xfId="4343" xr:uid="{00000000-0005-0000-0000-0000B5080000}"/>
    <cellStyle name="Normal 3 12 2 6 3" xfId="4344" xr:uid="{00000000-0005-0000-0000-0000B6080000}"/>
    <cellStyle name="Normal 3 12 2 6 3 2" xfId="4345" xr:uid="{00000000-0005-0000-0000-0000B7080000}"/>
    <cellStyle name="Normal 3 12 2 6 4" xfId="4346" xr:uid="{00000000-0005-0000-0000-0000B8080000}"/>
    <cellStyle name="Normal 3 12 2 6 5" xfId="4347" xr:uid="{00000000-0005-0000-0000-0000B9080000}"/>
    <cellStyle name="Normal 3 12 2 7" xfId="1698" xr:uid="{00000000-0005-0000-0000-0000BA080000}"/>
    <cellStyle name="Normal 3 12 2 7 2" xfId="4348" xr:uid="{00000000-0005-0000-0000-0000BB080000}"/>
    <cellStyle name="Normal 3 12 2 7 2 2" xfId="4349" xr:uid="{00000000-0005-0000-0000-0000BC080000}"/>
    <cellStyle name="Normal 3 12 2 7 3" xfId="4350" xr:uid="{00000000-0005-0000-0000-0000BD080000}"/>
    <cellStyle name="Normal 3 12 2 7 3 2" xfId="4351" xr:uid="{00000000-0005-0000-0000-0000BE080000}"/>
    <cellStyle name="Normal 3 12 2 7 4" xfId="4352" xr:uid="{00000000-0005-0000-0000-0000BF080000}"/>
    <cellStyle name="Normal 3 12 2 7 5" xfId="4353" xr:uid="{00000000-0005-0000-0000-0000C0080000}"/>
    <cellStyle name="Normal 3 12 2 8" xfId="1699" xr:uid="{00000000-0005-0000-0000-0000C1080000}"/>
    <cellStyle name="Normal 3 12 2 8 2" xfId="4354" xr:uid="{00000000-0005-0000-0000-0000C2080000}"/>
    <cellStyle name="Normal 3 12 2 8 2 2" xfId="4355" xr:uid="{00000000-0005-0000-0000-0000C3080000}"/>
    <cellStyle name="Normal 3 12 2 8 3" xfId="4356" xr:uid="{00000000-0005-0000-0000-0000C4080000}"/>
    <cellStyle name="Normal 3 12 2 8 3 2" xfId="4357" xr:uid="{00000000-0005-0000-0000-0000C5080000}"/>
    <cellStyle name="Normal 3 12 2 8 4" xfId="4358" xr:uid="{00000000-0005-0000-0000-0000C6080000}"/>
    <cellStyle name="Normal 3 12 2 8 5" xfId="4359" xr:uid="{00000000-0005-0000-0000-0000C7080000}"/>
    <cellStyle name="Normal 3 12 2 9" xfId="1700" xr:uid="{00000000-0005-0000-0000-0000C8080000}"/>
    <cellStyle name="Normal 3 12 2 9 2" xfId="4360" xr:uid="{00000000-0005-0000-0000-0000C9080000}"/>
    <cellStyle name="Normal 3 12 2 9 2 2" xfId="4361" xr:uid="{00000000-0005-0000-0000-0000CA080000}"/>
    <cellStyle name="Normal 3 12 2 9 3" xfId="4362" xr:uid="{00000000-0005-0000-0000-0000CB080000}"/>
    <cellStyle name="Normal 3 12 2 9 3 2" xfId="4363" xr:uid="{00000000-0005-0000-0000-0000CC080000}"/>
    <cellStyle name="Normal 3 12 2 9 4" xfId="4364" xr:uid="{00000000-0005-0000-0000-0000CD080000}"/>
    <cellStyle name="Normal 3 12 2 9 5" xfId="4365" xr:uid="{00000000-0005-0000-0000-0000CE080000}"/>
    <cellStyle name="Normal 3 12 3" xfId="1701" xr:uid="{00000000-0005-0000-0000-0000CF080000}"/>
    <cellStyle name="Normal 3 12 3 2" xfId="4366" xr:uid="{00000000-0005-0000-0000-0000D0080000}"/>
    <cellStyle name="Normal 3 12 3 2 2" xfId="4367" xr:uid="{00000000-0005-0000-0000-0000D1080000}"/>
    <cellStyle name="Normal 3 12 3 3" xfId="4368" xr:uid="{00000000-0005-0000-0000-0000D2080000}"/>
    <cellStyle name="Normal 3 12 3 3 2" xfId="4369" xr:uid="{00000000-0005-0000-0000-0000D3080000}"/>
    <cellStyle name="Normal 3 12 3 4" xfId="4370" xr:uid="{00000000-0005-0000-0000-0000D4080000}"/>
    <cellStyle name="Normal 3 12 3 5" xfId="4371" xr:uid="{00000000-0005-0000-0000-0000D5080000}"/>
    <cellStyle name="Normal 3 12 4" xfId="1702" xr:uid="{00000000-0005-0000-0000-0000D6080000}"/>
    <cellStyle name="Normal 3 12 4 2" xfId="4372" xr:uid="{00000000-0005-0000-0000-0000D7080000}"/>
    <cellStyle name="Normal 3 12 4 2 2" xfId="4373" xr:uid="{00000000-0005-0000-0000-0000D8080000}"/>
    <cellStyle name="Normal 3 12 4 3" xfId="4374" xr:uid="{00000000-0005-0000-0000-0000D9080000}"/>
    <cellStyle name="Normal 3 12 4 3 2" xfId="4375" xr:uid="{00000000-0005-0000-0000-0000DA080000}"/>
    <cellStyle name="Normal 3 12 4 4" xfId="4376" xr:uid="{00000000-0005-0000-0000-0000DB080000}"/>
    <cellStyle name="Normal 3 12 4 5" xfId="4377" xr:uid="{00000000-0005-0000-0000-0000DC080000}"/>
    <cellStyle name="Normal 3 12 5" xfId="1703" xr:uid="{00000000-0005-0000-0000-0000DD080000}"/>
    <cellStyle name="Normal 3 12 5 2" xfId="4378" xr:uid="{00000000-0005-0000-0000-0000DE080000}"/>
    <cellStyle name="Normal 3 12 5 2 2" xfId="4379" xr:uid="{00000000-0005-0000-0000-0000DF080000}"/>
    <cellStyle name="Normal 3 12 5 3" xfId="4380" xr:uid="{00000000-0005-0000-0000-0000E0080000}"/>
    <cellStyle name="Normal 3 12 5 3 2" xfId="4381" xr:uid="{00000000-0005-0000-0000-0000E1080000}"/>
    <cellStyle name="Normal 3 12 5 4" xfId="4382" xr:uid="{00000000-0005-0000-0000-0000E2080000}"/>
    <cellStyle name="Normal 3 12 5 5" xfId="4383" xr:uid="{00000000-0005-0000-0000-0000E3080000}"/>
    <cellStyle name="Normal 3 12 6" xfId="1704" xr:uid="{00000000-0005-0000-0000-0000E4080000}"/>
    <cellStyle name="Normal 3 12 6 2" xfId="4384" xr:uid="{00000000-0005-0000-0000-0000E5080000}"/>
    <cellStyle name="Normal 3 12 6 2 2" xfId="4385" xr:uid="{00000000-0005-0000-0000-0000E6080000}"/>
    <cellStyle name="Normal 3 12 6 3" xfId="4386" xr:uid="{00000000-0005-0000-0000-0000E7080000}"/>
    <cellStyle name="Normal 3 12 6 3 2" xfId="4387" xr:uid="{00000000-0005-0000-0000-0000E8080000}"/>
    <cellStyle name="Normal 3 12 6 4" xfId="4388" xr:uid="{00000000-0005-0000-0000-0000E9080000}"/>
    <cellStyle name="Normal 3 12 6 5" xfId="4389" xr:uid="{00000000-0005-0000-0000-0000EA080000}"/>
    <cellStyle name="Normal 3 12 7" xfId="1705" xr:uid="{00000000-0005-0000-0000-0000EB080000}"/>
    <cellStyle name="Normal 3 12 7 2" xfId="4390" xr:uid="{00000000-0005-0000-0000-0000EC080000}"/>
    <cellStyle name="Normal 3 12 7 2 2" xfId="4391" xr:uid="{00000000-0005-0000-0000-0000ED080000}"/>
    <cellStyle name="Normal 3 12 7 3" xfId="4392" xr:uid="{00000000-0005-0000-0000-0000EE080000}"/>
    <cellStyle name="Normal 3 12 7 3 2" xfId="4393" xr:uid="{00000000-0005-0000-0000-0000EF080000}"/>
    <cellStyle name="Normal 3 12 7 4" xfId="4394" xr:uid="{00000000-0005-0000-0000-0000F0080000}"/>
    <cellStyle name="Normal 3 12 7 5" xfId="4395" xr:uid="{00000000-0005-0000-0000-0000F1080000}"/>
    <cellStyle name="Normal 3 12 8" xfId="1706" xr:uid="{00000000-0005-0000-0000-0000F2080000}"/>
    <cellStyle name="Normal 3 12 8 2" xfId="4396" xr:uid="{00000000-0005-0000-0000-0000F3080000}"/>
    <cellStyle name="Normal 3 12 8 2 2" xfId="4397" xr:uid="{00000000-0005-0000-0000-0000F4080000}"/>
    <cellStyle name="Normal 3 12 8 3" xfId="4398" xr:uid="{00000000-0005-0000-0000-0000F5080000}"/>
    <cellStyle name="Normal 3 12 8 3 2" xfId="4399" xr:uid="{00000000-0005-0000-0000-0000F6080000}"/>
    <cellStyle name="Normal 3 12 8 4" xfId="4400" xr:uid="{00000000-0005-0000-0000-0000F7080000}"/>
    <cellStyle name="Normal 3 12 8 5" xfId="4401" xr:uid="{00000000-0005-0000-0000-0000F8080000}"/>
    <cellStyle name="Normal 3 12 9" xfId="1707" xr:uid="{00000000-0005-0000-0000-0000F9080000}"/>
    <cellStyle name="Normal 3 12 9 2" xfId="4402" xr:uid="{00000000-0005-0000-0000-0000FA080000}"/>
    <cellStyle name="Normal 3 12 9 2 2" xfId="4403" xr:uid="{00000000-0005-0000-0000-0000FB080000}"/>
    <cellStyle name="Normal 3 12 9 3" xfId="4404" xr:uid="{00000000-0005-0000-0000-0000FC080000}"/>
    <cellStyle name="Normal 3 12 9 3 2" xfId="4405" xr:uid="{00000000-0005-0000-0000-0000FD080000}"/>
    <cellStyle name="Normal 3 12 9 4" xfId="4406" xr:uid="{00000000-0005-0000-0000-0000FE080000}"/>
    <cellStyle name="Normal 3 12 9 5" xfId="4407" xr:uid="{00000000-0005-0000-0000-0000FF080000}"/>
    <cellStyle name="Normal 3 13" xfId="1708" xr:uid="{00000000-0005-0000-0000-000000090000}"/>
    <cellStyle name="Normal 3 13 10" xfId="1709" xr:uid="{00000000-0005-0000-0000-000001090000}"/>
    <cellStyle name="Normal 3 13 10 2" xfId="4408" xr:uid="{00000000-0005-0000-0000-000002090000}"/>
    <cellStyle name="Normal 3 13 10 2 2" xfId="4409" xr:uid="{00000000-0005-0000-0000-000003090000}"/>
    <cellStyle name="Normal 3 13 10 3" xfId="4410" xr:uid="{00000000-0005-0000-0000-000004090000}"/>
    <cellStyle name="Normal 3 13 10 3 2" xfId="4411" xr:uid="{00000000-0005-0000-0000-000005090000}"/>
    <cellStyle name="Normal 3 13 10 4" xfId="4412" xr:uid="{00000000-0005-0000-0000-000006090000}"/>
    <cellStyle name="Normal 3 13 10 5" xfId="4413" xr:uid="{00000000-0005-0000-0000-000007090000}"/>
    <cellStyle name="Normal 3 13 11" xfId="1710" xr:uid="{00000000-0005-0000-0000-000008090000}"/>
    <cellStyle name="Normal 3 13 11 2" xfId="4414" xr:uid="{00000000-0005-0000-0000-000009090000}"/>
    <cellStyle name="Normal 3 13 11 2 2" xfId="4415" xr:uid="{00000000-0005-0000-0000-00000A090000}"/>
    <cellStyle name="Normal 3 13 11 3" xfId="4416" xr:uid="{00000000-0005-0000-0000-00000B090000}"/>
    <cellStyle name="Normal 3 13 11 3 2" xfId="4417" xr:uid="{00000000-0005-0000-0000-00000C090000}"/>
    <cellStyle name="Normal 3 13 11 4" xfId="4418" xr:uid="{00000000-0005-0000-0000-00000D090000}"/>
    <cellStyle name="Normal 3 13 11 5" xfId="4419" xr:uid="{00000000-0005-0000-0000-00000E090000}"/>
    <cellStyle name="Normal 3 13 12" xfId="1711" xr:uid="{00000000-0005-0000-0000-00000F090000}"/>
    <cellStyle name="Normal 3 13 12 2" xfId="4420" xr:uid="{00000000-0005-0000-0000-000010090000}"/>
    <cellStyle name="Normal 3 13 12 2 2" xfId="4421" xr:uid="{00000000-0005-0000-0000-000011090000}"/>
    <cellStyle name="Normal 3 13 12 3" xfId="4422" xr:uid="{00000000-0005-0000-0000-000012090000}"/>
    <cellStyle name="Normal 3 13 12 3 2" xfId="4423" xr:uid="{00000000-0005-0000-0000-000013090000}"/>
    <cellStyle name="Normal 3 13 12 4" xfId="4424" xr:uid="{00000000-0005-0000-0000-000014090000}"/>
    <cellStyle name="Normal 3 13 12 5" xfId="4425" xr:uid="{00000000-0005-0000-0000-000015090000}"/>
    <cellStyle name="Normal 3 13 13" xfId="1712" xr:uid="{00000000-0005-0000-0000-000016090000}"/>
    <cellStyle name="Normal 3 13 13 2" xfId="4426" xr:uid="{00000000-0005-0000-0000-000017090000}"/>
    <cellStyle name="Normal 3 13 13 2 2" xfId="4427" xr:uid="{00000000-0005-0000-0000-000018090000}"/>
    <cellStyle name="Normal 3 13 13 3" xfId="4428" xr:uid="{00000000-0005-0000-0000-000019090000}"/>
    <cellStyle name="Normal 3 13 13 3 2" xfId="4429" xr:uid="{00000000-0005-0000-0000-00001A090000}"/>
    <cellStyle name="Normal 3 13 13 4" xfId="4430" xr:uid="{00000000-0005-0000-0000-00001B090000}"/>
    <cellStyle name="Normal 3 13 13 5" xfId="4431" xr:uid="{00000000-0005-0000-0000-00001C090000}"/>
    <cellStyle name="Normal 3 13 14" xfId="4432" xr:uid="{00000000-0005-0000-0000-00001D090000}"/>
    <cellStyle name="Normal 3 13 14 2" xfId="4433" xr:uid="{00000000-0005-0000-0000-00001E090000}"/>
    <cellStyle name="Normal 3 13 15" xfId="4434" xr:uid="{00000000-0005-0000-0000-00001F090000}"/>
    <cellStyle name="Normal 3 13 15 2" xfId="4435" xr:uid="{00000000-0005-0000-0000-000020090000}"/>
    <cellStyle name="Normal 3 13 16" xfId="4436" xr:uid="{00000000-0005-0000-0000-000021090000}"/>
    <cellStyle name="Normal 3 13 17" xfId="4437" xr:uid="{00000000-0005-0000-0000-000022090000}"/>
    <cellStyle name="Normal 3 13 2" xfId="1713" xr:uid="{00000000-0005-0000-0000-000023090000}"/>
    <cellStyle name="Normal 3 13 2 10" xfId="1714" xr:uid="{00000000-0005-0000-0000-000024090000}"/>
    <cellStyle name="Normal 3 13 2 10 2" xfId="4438" xr:uid="{00000000-0005-0000-0000-000025090000}"/>
    <cellStyle name="Normal 3 13 2 10 2 2" xfId="4439" xr:uid="{00000000-0005-0000-0000-000026090000}"/>
    <cellStyle name="Normal 3 13 2 10 3" xfId="4440" xr:uid="{00000000-0005-0000-0000-000027090000}"/>
    <cellStyle name="Normal 3 13 2 10 3 2" xfId="4441" xr:uid="{00000000-0005-0000-0000-000028090000}"/>
    <cellStyle name="Normal 3 13 2 10 4" xfId="4442" xr:uid="{00000000-0005-0000-0000-000029090000}"/>
    <cellStyle name="Normal 3 13 2 10 5" xfId="4443" xr:uid="{00000000-0005-0000-0000-00002A090000}"/>
    <cellStyle name="Normal 3 13 2 11" xfId="1715" xr:uid="{00000000-0005-0000-0000-00002B090000}"/>
    <cellStyle name="Normal 3 13 2 11 2" xfId="4444" xr:uid="{00000000-0005-0000-0000-00002C090000}"/>
    <cellStyle name="Normal 3 13 2 11 2 2" xfId="4445" xr:uid="{00000000-0005-0000-0000-00002D090000}"/>
    <cellStyle name="Normal 3 13 2 11 3" xfId="4446" xr:uid="{00000000-0005-0000-0000-00002E090000}"/>
    <cellStyle name="Normal 3 13 2 11 3 2" xfId="4447" xr:uid="{00000000-0005-0000-0000-00002F090000}"/>
    <cellStyle name="Normal 3 13 2 11 4" xfId="4448" xr:uid="{00000000-0005-0000-0000-000030090000}"/>
    <cellStyle name="Normal 3 13 2 11 5" xfId="4449" xr:uid="{00000000-0005-0000-0000-000031090000}"/>
    <cellStyle name="Normal 3 13 2 12" xfId="1716" xr:uid="{00000000-0005-0000-0000-000032090000}"/>
    <cellStyle name="Normal 3 13 2 12 2" xfId="4450" xr:uid="{00000000-0005-0000-0000-000033090000}"/>
    <cellStyle name="Normal 3 13 2 12 2 2" xfId="4451" xr:uid="{00000000-0005-0000-0000-000034090000}"/>
    <cellStyle name="Normal 3 13 2 12 3" xfId="4452" xr:uid="{00000000-0005-0000-0000-000035090000}"/>
    <cellStyle name="Normal 3 13 2 12 3 2" xfId="4453" xr:uid="{00000000-0005-0000-0000-000036090000}"/>
    <cellStyle name="Normal 3 13 2 12 4" xfId="4454" xr:uid="{00000000-0005-0000-0000-000037090000}"/>
    <cellStyle name="Normal 3 13 2 12 5" xfId="4455" xr:uid="{00000000-0005-0000-0000-000038090000}"/>
    <cellStyle name="Normal 3 13 2 13" xfId="4456" xr:uid="{00000000-0005-0000-0000-000039090000}"/>
    <cellStyle name="Normal 3 13 2 13 2" xfId="4457" xr:uid="{00000000-0005-0000-0000-00003A090000}"/>
    <cellStyle name="Normal 3 13 2 14" xfId="4458" xr:uid="{00000000-0005-0000-0000-00003B090000}"/>
    <cellStyle name="Normal 3 13 2 14 2" xfId="4459" xr:uid="{00000000-0005-0000-0000-00003C090000}"/>
    <cellStyle name="Normal 3 13 2 15" xfId="4460" xr:uid="{00000000-0005-0000-0000-00003D090000}"/>
    <cellStyle name="Normal 3 13 2 16" xfId="4461" xr:uid="{00000000-0005-0000-0000-00003E090000}"/>
    <cellStyle name="Normal 3 13 2 2" xfId="1717" xr:uid="{00000000-0005-0000-0000-00003F090000}"/>
    <cellStyle name="Normal 3 13 2 2 2" xfId="4462" xr:uid="{00000000-0005-0000-0000-000040090000}"/>
    <cellStyle name="Normal 3 13 2 2 2 2" xfId="4463" xr:uid="{00000000-0005-0000-0000-000041090000}"/>
    <cellStyle name="Normal 3 13 2 2 3" xfId="4464" xr:uid="{00000000-0005-0000-0000-000042090000}"/>
    <cellStyle name="Normal 3 13 2 2 3 2" xfId="4465" xr:uid="{00000000-0005-0000-0000-000043090000}"/>
    <cellStyle name="Normal 3 13 2 2 4" xfId="4466" xr:uid="{00000000-0005-0000-0000-000044090000}"/>
    <cellStyle name="Normal 3 13 2 2 5" xfId="4467" xr:uid="{00000000-0005-0000-0000-000045090000}"/>
    <cellStyle name="Normal 3 13 2 3" xfId="1718" xr:uid="{00000000-0005-0000-0000-000046090000}"/>
    <cellStyle name="Normal 3 13 2 3 2" xfId="4468" xr:uid="{00000000-0005-0000-0000-000047090000}"/>
    <cellStyle name="Normal 3 13 2 3 2 2" xfId="4469" xr:uid="{00000000-0005-0000-0000-000048090000}"/>
    <cellStyle name="Normal 3 13 2 3 3" xfId="4470" xr:uid="{00000000-0005-0000-0000-000049090000}"/>
    <cellStyle name="Normal 3 13 2 3 3 2" xfId="4471" xr:uid="{00000000-0005-0000-0000-00004A090000}"/>
    <cellStyle name="Normal 3 13 2 3 4" xfId="4472" xr:uid="{00000000-0005-0000-0000-00004B090000}"/>
    <cellStyle name="Normal 3 13 2 3 5" xfId="4473" xr:uid="{00000000-0005-0000-0000-00004C090000}"/>
    <cellStyle name="Normal 3 13 2 4" xfId="1719" xr:uid="{00000000-0005-0000-0000-00004D090000}"/>
    <cellStyle name="Normal 3 13 2 4 2" xfId="4474" xr:uid="{00000000-0005-0000-0000-00004E090000}"/>
    <cellStyle name="Normal 3 13 2 4 2 2" xfId="4475" xr:uid="{00000000-0005-0000-0000-00004F090000}"/>
    <cellStyle name="Normal 3 13 2 4 3" xfId="4476" xr:uid="{00000000-0005-0000-0000-000050090000}"/>
    <cellStyle name="Normal 3 13 2 4 3 2" xfId="4477" xr:uid="{00000000-0005-0000-0000-000051090000}"/>
    <cellStyle name="Normal 3 13 2 4 4" xfId="4478" xr:uid="{00000000-0005-0000-0000-000052090000}"/>
    <cellStyle name="Normal 3 13 2 4 5" xfId="4479" xr:uid="{00000000-0005-0000-0000-000053090000}"/>
    <cellStyle name="Normal 3 13 2 5" xfId="1720" xr:uid="{00000000-0005-0000-0000-000054090000}"/>
    <cellStyle name="Normal 3 13 2 5 2" xfId="4480" xr:uid="{00000000-0005-0000-0000-000055090000}"/>
    <cellStyle name="Normal 3 13 2 5 2 2" xfId="4481" xr:uid="{00000000-0005-0000-0000-000056090000}"/>
    <cellStyle name="Normal 3 13 2 5 3" xfId="4482" xr:uid="{00000000-0005-0000-0000-000057090000}"/>
    <cellStyle name="Normal 3 13 2 5 3 2" xfId="4483" xr:uid="{00000000-0005-0000-0000-000058090000}"/>
    <cellStyle name="Normal 3 13 2 5 4" xfId="4484" xr:uid="{00000000-0005-0000-0000-000059090000}"/>
    <cellStyle name="Normal 3 13 2 5 5" xfId="4485" xr:uid="{00000000-0005-0000-0000-00005A090000}"/>
    <cellStyle name="Normal 3 13 2 6" xfId="1721" xr:uid="{00000000-0005-0000-0000-00005B090000}"/>
    <cellStyle name="Normal 3 13 2 6 2" xfId="4486" xr:uid="{00000000-0005-0000-0000-00005C090000}"/>
    <cellStyle name="Normal 3 13 2 6 2 2" xfId="4487" xr:uid="{00000000-0005-0000-0000-00005D090000}"/>
    <cellStyle name="Normal 3 13 2 6 3" xfId="4488" xr:uid="{00000000-0005-0000-0000-00005E090000}"/>
    <cellStyle name="Normal 3 13 2 6 3 2" xfId="4489" xr:uid="{00000000-0005-0000-0000-00005F090000}"/>
    <cellStyle name="Normal 3 13 2 6 4" xfId="4490" xr:uid="{00000000-0005-0000-0000-000060090000}"/>
    <cellStyle name="Normal 3 13 2 6 5" xfId="4491" xr:uid="{00000000-0005-0000-0000-000061090000}"/>
    <cellStyle name="Normal 3 13 2 7" xfId="1722" xr:uid="{00000000-0005-0000-0000-000062090000}"/>
    <cellStyle name="Normal 3 13 2 7 2" xfId="4492" xr:uid="{00000000-0005-0000-0000-000063090000}"/>
    <cellStyle name="Normal 3 13 2 7 2 2" xfId="4493" xr:uid="{00000000-0005-0000-0000-000064090000}"/>
    <cellStyle name="Normal 3 13 2 7 3" xfId="4494" xr:uid="{00000000-0005-0000-0000-000065090000}"/>
    <cellStyle name="Normal 3 13 2 7 3 2" xfId="4495" xr:uid="{00000000-0005-0000-0000-000066090000}"/>
    <cellStyle name="Normal 3 13 2 7 4" xfId="4496" xr:uid="{00000000-0005-0000-0000-000067090000}"/>
    <cellStyle name="Normal 3 13 2 7 5" xfId="4497" xr:uid="{00000000-0005-0000-0000-000068090000}"/>
    <cellStyle name="Normal 3 13 2 8" xfId="1723" xr:uid="{00000000-0005-0000-0000-000069090000}"/>
    <cellStyle name="Normal 3 13 2 8 2" xfId="4498" xr:uid="{00000000-0005-0000-0000-00006A090000}"/>
    <cellStyle name="Normal 3 13 2 8 2 2" xfId="4499" xr:uid="{00000000-0005-0000-0000-00006B090000}"/>
    <cellStyle name="Normal 3 13 2 8 3" xfId="4500" xr:uid="{00000000-0005-0000-0000-00006C090000}"/>
    <cellStyle name="Normal 3 13 2 8 3 2" xfId="4501" xr:uid="{00000000-0005-0000-0000-00006D090000}"/>
    <cellStyle name="Normal 3 13 2 8 4" xfId="4502" xr:uid="{00000000-0005-0000-0000-00006E090000}"/>
    <cellStyle name="Normal 3 13 2 8 5" xfId="4503" xr:uid="{00000000-0005-0000-0000-00006F090000}"/>
    <cellStyle name="Normal 3 13 2 9" xfId="1724" xr:uid="{00000000-0005-0000-0000-000070090000}"/>
    <cellStyle name="Normal 3 13 2 9 2" xfId="4504" xr:uid="{00000000-0005-0000-0000-000071090000}"/>
    <cellStyle name="Normal 3 13 2 9 2 2" xfId="4505" xr:uid="{00000000-0005-0000-0000-000072090000}"/>
    <cellStyle name="Normal 3 13 2 9 3" xfId="4506" xr:uid="{00000000-0005-0000-0000-000073090000}"/>
    <cellStyle name="Normal 3 13 2 9 3 2" xfId="4507" xr:uid="{00000000-0005-0000-0000-000074090000}"/>
    <cellStyle name="Normal 3 13 2 9 4" xfId="4508" xr:uid="{00000000-0005-0000-0000-000075090000}"/>
    <cellStyle name="Normal 3 13 2 9 5" xfId="4509" xr:uid="{00000000-0005-0000-0000-000076090000}"/>
    <cellStyle name="Normal 3 13 3" xfId="1725" xr:uid="{00000000-0005-0000-0000-000077090000}"/>
    <cellStyle name="Normal 3 13 3 2" xfId="4510" xr:uid="{00000000-0005-0000-0000-000078090000}"/>
    <cellStyle name="Normal 3 13 3 2 2" xfId="4511" xr:uid="{00000000-0005-0000-0000-000079090000}"/>
    <cellStyle name="Normal 3 13 3 3" xfId="4512" xr:uid="{00000000-0005-0000-0000-00007A090000}"/>
    <cellStyle name="Normal 3 13 3 3 2" xfId="4513" xr:uid="{00000000-0005-0000-0000-00007B090000}"/>
    <cellStyle name="Normal 3 13 3 4" xfId="4514" xr:uid="{00000000-0005-0000-0000-00007C090000}"/>
    <cellStyle name="Normal 3 13 3 5" xfId="4515" xr:uid="{00000000-0005-0000-0000-00007D090000}"/>
    <cellStyle name="Normal 3 13 4" xfId="1726" xr:uid="{00000000-0005-0000-0000-00007E090000}"/>
    <cellStyle name="Normal 3 13 4 2" xfId="4516" xr:uid="{00000000-0005-0000-0000-00007F090000}"/>
    <cellStyle name="Normal 3 13 4 2 2" xfId="4517" xr:uid="{00000000-0005-0000-0000-000080090000}"/>
    <cellStyle name="Normal 3 13 4 3" xfId="4518" xr:uid="{00000000-0005-0000-0000-000081090000}"/>
    <cellStyle name="Normal 3 13 4 3 2" xfId="4519" xr:uid="{00000000-0005-0000-0000-000082090000}"/>
    <cellStyle name="Normal 3 13 4 4" xfId="4520" xr:uid="{00000000-0005-0000-0000-000083090000}"/>
    <cellStyle name="Normal 3 13 4 5" xfId="4521" xr:uid="{00000000-0005-0000-0000-000084090000}"/>
    <cellStyle name="Normal 3 13 5" xfId="1727" xr:uid="{00000000-0005-0000-0000-000085090000}"/>
    <cellStyle name="Normal 3 13 5 2" xfId="4522" xr:uid="{00000000-0005-0000-0000-000086090000}"/>
    <cellStyle name="Normal 3 13 5 2 2" xfId="4523" xr:uid="{00000000-0005-0000-0000-000087090000}"/>
    <cellStyle name="Normal 3 13 5 3" xfId="4524" xr:uid="{00000000-0005-0000-0000-000088090000}"/>
    <cellStyle name="Normal 3 13 5 3 2" xfId="4525" xr:uid="{00000000-0005-0000-0000-000089090000}"/>
    <cellStyle name="Normal 3 13 5 4" xfId="4526" xr:uid="{00000000-0005-0000-0000-00008A090000}"/>
    <cellStyle name="Normal 3 13 5 5" xfId="4527" xr:uid="{00000000-0005-0000-0000-00008B090000}"/>
    <cellStyle name="Normal 3 13 6" xfId="1728" xr:uid="{00000000-0005-0000-0000-00008C090000}"/>
    <cellStyle name="Normal 3 13 6 2" xfId="4528" xr:uid="{00000000-0005-0000-0000-00008D090000}"/>
    <cellStyle name="Normal 3 13 6 2 2" xfId="4529" xr:uid="{00000000-0005-0000-0000-00008E090000}"/>
    <cellStyle name="Normal 3 13 6 3" xfId="4530" xr:uid="{00000000-0005-0000-0000-00008F090000}"/>
    <cellStyle name="Normal 3 13 6 3 2" xfId="4531" xr:uid="{00000000-0005-0000-0000-000090090000}"/>
    <cellStyle name="Normal 3 13 6 4" xfId="4532" xr:uid="{00000000-0005-0000-0000-000091090000}"/>
    <cellStyle name="Normal 3 13 6 5" xfId="4533" xr:uid="{00000000-0005-0000-0000-000092090000}"/>
    <cellStyle name="Normal 3 13 7" xfId="1729" xr:uid="{00000000-0005-0000-0000-000093090000}"/>
    <cellStyle name="Normal 3 13 7 2" xfId="4534" xr:uid="{00000000-0005-0000-0000-000094090000}"/>
    <cellStyle name="Normal 3 13 7 2 2" xfId="4535" xr:uid="{00000000-0005-0000-0000-000095090000}"/>
    <cellStyle name="Normal 3 13 7 3" xfId="4536" xr:uid="{00000000-0005-0000-0000-000096090000}"/>
    <cellStyle name="Normal 3 13 7 3 2" xfId="4537" xr:uid="{00000000-0005-0000-0000-000097090000}"/>
    <cellStyle name="Normal 3 13 7 4" xfId="4538" xr:uid="{00000000-0005-0000-0000-000098090000}"/>
    <cellStyle name="Normal 3 13 7 5" xfId="4539" xr:uid="{00000000-0005-0000-0000-000099090000}"/>
    <cellStyle name="Normal 3 13 8" xfId="1730" xr:uid="{00000000-0005-0000-0000-00009A090000}"/>
    <cellStyle name="Normal 3 13 8 2" xfId="4540" xr:uid="{00000000-0005-0000-0000-00009B090000}"/>
    <cellStyle name="Normal 3 13 8 2 2" xfId="4541" xr:uid="{00000000-0005-0000-0000-00009C090000}"/>
    <cellStyle name="Normal 3 13 8 3" xfId="4542" xr:uid="{00000000-0005-0000-0000-00009D090000}"/>
    <cellStyle name="Normal 3 13 8 3 2" xfId="4543" xr:uid="{00000000-0005-0000-0000-00009E090000}"/>
    <cellStyle name="Normal 3 13 8 4" xfId="4544" xr:uid="{00000000-0005-0000-0000-00009F090000}"/>
    <cellStyle name="Normal 3 13 8 5" xfId="4545" xr:uid="{00000000-0005-0000-0000-0000A0090000}"/>
    <cellStyle name="Normal 3 13 9" xfId="1731" xr:uid="{00000000-0005-0000-0000-0000A1090000}"/>
    <cellStyle name="Normal 3 13 9 2" xfId="4546" xr:uid="{00000000-0005-0000-0000-0000A2090000}"/>
    <cellStyle name="Normal 3 13 9 2 2" xfId="4547" xr:uid="{00000000-0005-0000-0000-0000A3090000}"/>
    <cellStyle name="Normal 3 13 9 3" xfId="4548" xr:uid="{00000000-0005-0000-0000-0000A4090000}"/>
    <cellStyle name="Normal 3 13 9 3 2" xfId="4549" xr:uid="{00000000-0005-0000-0000-0000A5090000}"/>
    <cellStyle name="Normal 3 13 9 4" xfId="4550" xr:uid="{00000000-0005-0000-0000-0000A6090000}"/>
    <cellStyle name="Normal 3 13 9 5" xfId="4551" xr:uid="{00000000-0005-0000-0000-0000A7090000}"/>
    <cellStyle name="Normal 3 14" xfId="1732" xr:uid="{00000000-0005-0000-0000-0000A8090000}"/>
    <cellStyle name="Normal 3 14 10" xfId="1733" xr:uid="{00000000-0005-0000-0000-0000A9090000}"/>
    <cellStyle name="Normal 3 14 10 2" xfId="4552" xr:uid="{00000000-0005-0000-0000-0000AA090000}"/>
    <cellStyle name="Normal 3 14 10 2 2" xfId="4553" xr:uid="{00000000-0005-0000-0000-0000AB090000}"/>
    <cellStyle name="Normal 3 14 10 3" xfId="4554" xr:uid="{00000000-0005-0000-0000-0000AC090000}"/>
    <cellStyle name="Normal 3 14 10 3 2" xfId="4555" xr:uid="{00000000-0005-0000-0000-0000AD090000}"/>
    <cellStyle name="Normal 3 14 10 4" xfId="4556" xr:uid="{00000000-0005-0000-0000-0000AE090000}"/>
    <cellStyle name="Normal 3 14 10 5" xfId="4557" xr:uid="{00000000-0005-0000-0000-0000AF090000}"/>
    <cellStyle name="Normal 3 14 11" xfId="1734" xr:uid="{00000000-0005-0000-0000-0000B0090000}"/>
    <cellStyle name="Normal 3 14 11 2" xfId="4558" xr:uid="{00000000-0005-0000-0000-0000B1090000}"/>
    <cellStyle name="Normal 3 14 11 2 2" xfId="4559" xr:uid="{00000000-0005-0000-0000-0000B2090000}"/>
    <cellStyle name="Normal 3 14 11 3" xfId="4560" xr:uid="{00000000-0005-0000-0000-0000B3090000}"/>
    <cellStyle name="Normal 3 14 11 3 2" xfId="4561" xr:uid="{00000000-0005-0000-0000-0000B4090000}"/>
    <cellStyle name="Normal 3 14 11 4" xfId="4562" xr:uid="{00000000-0005-0000-0000-0000B5090000}"/>
    <cellStyle name="Normal 3 14 11 5" xfId="4563" xr:uid="{00000000-0005-0000-0000-0000B6090000}"/>
    <cellStyle name="Normal 3 14 12" xfId="1735" xr:uid="{00000000-0005-0000-0000-0000B7090000}"/>
    <cellStyle name="Normal 3 14 12 2" xfId="4564" xr:uid="{00000000-0005-0000-0000-0000B8090000}"/>
    <cellStyle name="Normal 3 14 12 2 2" xfId="4565" xr:uid="{00000000-0005-0000-0000-0000B9090000}"/>
    <cellStyle name="Normal 3 14 12 3" xfId="4566" xr:uid="{00000000-0005-0000-0000-0000BA090000}"/>
    <cellStyle name="Normal 3 14 12 3 2" xfId="4567" xr:uid="{00000000-0005-0000-0000-0000BB090000}"/>
    <cellStyle name="Normal 3 14 12 4" xfId="4568" xr:uid="{00000000-0005-0000-0000-0000BC090000}"/>
    <cellStyle name="Normal 3 14 12 5" xfId="4569" xr:uid="{00000000-0005-0000-0000-0000BD090000}"/>
    <cellStyle name="Normal 3 14 13" xfId="1736" xr:uid="{00000000-0005-0000-0000-0000BE090000}"/>
    <cellStyle name="Normal 3 14 13 2" xfId="4570" xr:uid="{00000000-0005-0000-0000-0000BF090000}"/>
    <cellStyle name="Normal 3 14 13 2 2" xfId="4571" xr:uid="{00000000-0005-0000-0000-0000C0090000}"/>
    <cellStyle name="Normal 3 14 13 3" xfId="4572" xr:uid="{00000000-0005-0000-0000-0000C1090000}"/>
    <cellStyle name="Normal 3 14 13 3 2" xfId="4573" xr:uid="{00000000-0005-0000-0000-0000C2090000}"/>
    <cellStyle name="Normal 3 14 13 4" xfId="4574" xr:uid="{00000000-0005-0000-0000-0000C3090000}"/>
    <cellStyle name="Normal 3 14 13 5" xfId="4575" xr:uid="{00000000-0005-0000-0000-0000C4090000}"/>
    <cellStyle name="Normal 3 14 14" xfId="4576" xr:uid="{00000000-0005-0000-0000-0000C5090000}"/>
    <cellStyle name="Normal 3 14 14 2" xfId="4577" xr:uid="{00000000-0005-0000-0000-0000C6090000}"/>
    <cellStyle name="Normal 3 14 15" xfId="4578" xr:uid="{00000000-0005-0000-0000-0000C7090000}"/>
    <cellStyle name="Normal 3 14 15 2" xfId="4579" xr:uid="{00000000-0005-0000-0000-0000C8090000}"/>
    <cellStyle name="Normal 3 14 16" xfId="4580" xr:uid="{00000000-0005-0000-0000-0000C9090000}"/>
    <cellStyle name="Normal 3 14 17" xfId="4581" xr:uid="{00000000-0005-0000-0000-0000CA090000}"/>
    <cellStyle name="Normal 3 14 2" xfId="1737" xr:uid="{00000000-0005-0000-0000-0000CB090000}"/>
    <cellStyle name="Normal 3 14 2 10" xfId="1738" xr:uid="{00000000-0005-0000-0000-0000CC090000}"/>
    <cellStyle name="Normal 3 14 2 10 2" xfId="4582" xr:uid="{00000000-0005-0000-0000-0000CD090000}"/>
    <cellStyle name="Normal 3 14 2 10 2 2" xfId="4583" xr:uid="{00000000-0005-0000-0000-0000CE090000}"/>
    <cellStyle name="Normal 3 14 2 10 3" xfId="4584" xr:uid="{00000000-0005-0000-0000-0000CF090000}"/>
    <cellStyle name="Normal 3 14 2 10 3 2" xfId="4585" xr:uid="{00000000-0005-0000-0000-0000D0090000}"/>
    <cellStyle name="Normal 3 14 2 10 4" xfId="4586" xr:uid="{00000000-0005-0000-0000-0000D1090000}"/>
    <cellStyle name="Normal 3 14 2 10 5" xfId="4587" xr:uid="{00000000-0005-0000-0000-0000D2090000}"/>
    <cellStyle name="Normal 3 14 2 11" xfId="1739" xr:uid="{00000000-0005-0000-0000-0000D3090000}"/>
    <cellStyle name="Normal 3 14 2 11 2" xfId="4588" xr:uid="{00000000-0005-0000-0000-0000D4090000}"/>
    <cellStyle name="Normal 3 14 2 11 2 2" xfId="4589" xr:uid="{00000000-0005-0000-0000-0000D5090000}"/>
    <cellStyle name="Normal 3 14 2 11 3" xfId="4590" xr:uid="{00000000-0005-0000-0000-0000D6090000}"/>
    <cellStyle name="Normal 3 14 2 11 3 2" xfId="4591" xr:uid="{00000000-0005-0000-0000-0000D7090000}"/>
    <cellStyle name="Normal 3 14 2 11 4" xfId="4592" xr:uid="{00000000-0005-0000-0000-0000D8090000}"/>
    <cellStyle name="Normal 3 14 2 11 5" xfId="4593" xr:uid="{00000000-0005-0000-0000-0000D9090000}"/>
    <cellStyle name="Normal 3 14 2 12" xfId="1740" xr:uid="{00000000-0005-0000-0000-0000DA090000}"/>
    <cellStyle name="Normal 3 14 2 12 2" xfId="4594" xr:uid="{00000000-0005-0000-0000-0000DB090000}"/>
    <cellStyle name="Normal 3 14 2 12 2 2" xfId="4595" xr:uid="{00000000-0005-0000-0000-0000DC090000}"/>
    <cellStyle name="Normal 3 14 2 12 3" xfId="4596" xr:uid="{00000000-0005-0000-0000-0000DD090000}"/>
    <cellStyle name="Normal 3 14 2 12 3 2" xfId="4597" xr:uid="{00000000-0005-0000-0000-0000DE090000}"/>
    <cellStyle name="Normal 3 14 2 12 4" xfId="4598" xr:uid="{00000000-0005-0000-0000-0000DF090000}"/>
    <cellStyle name="Normal 3 14 2 12 5" xfId="4599" xr:uid="{00000000-0005-0000-0000-0000E0090000}"/>
    <cellStyle name="Normal 3 14 2 13" xfId="4600" xr:uid="{00000000-0005-0000-0000-0000E1090000}"/>
    <cellStyle name="Normal 3 14 2 13 2" xfId="4601" xr:uid="{00000000-0005-0000-0000-0000E2090000}"/>
    <cellStyle name="Normal 3 14 2 14" xfId="4602" xr:uid="{00000000-0005-0000-0000-0000E3090000}"/>
    <cellStyle name="Normal 3 14 2 14 2" xfId="4603" xr:uid="{00000000-0005-0000-0000-0000E4090000}"/>
    <cellStyle name="Normal 3 14 2 15" xfId="4604" xr:uid="{00000000-0005-0000-0000-0000E5090000}"/>
    <cellStyle name="Normal 3 14 2 16" xfId="4605" xr:uid="{00000000-0005-0000-0000-0000E6090000}"/>
    <cellStyle name="Normal 3 14 2 2" xfId="1741" xr:uid="{00000000-0005-0000-0000-0000E7090000}"/>
    <cellStyle name="Normal 3 14 2 2 2" xfId="4606" xr:uid="{00000000-0005-0000-0000-0000E8090000}"/>
    <cellStyle name="Normal 3 14 2 2 2 2" xfId="4607" xr:uid="{00000000-0005-0000-0000-0000E9090000}"/>
    <cellStyle name="Normal 3 14 2 2 3" xfId="4608" xr:uid="{00000000-0005-0000-0000-0000EA090000}"/>
    <cellStyle name="Normal 3 14 2 2 3 2" xfId="4609" xr:uid="{00000000-0005-0000-0000-0000EB090000}"/>
    <cellStyle name="Normal 3 14 2 2 4" xfId="4610" xr:uid="{00000000-0005-0000-0000-0000EC090000}"/>
    <cellStyle name="Normal 3 14 2 2 5" xfId="4611" xr:uid="{00000000-0005-0000-0000-0000ED090000}"/>
    <cellStyle name="Normal 3 14 2 3" xfId="1742" xr:uid="{00000000-0005-0000-0000-0000EE090000}"/>
    <cellStyle name="Normal 3 14 2 3 2" xfId="4612" xr:uid="{00000000-0005-0000-0000-0000EF090000}"/>
    <cellStyle name="Normal 3 14 2 3 2 2" xfId="4613" xr:uid="{00000000-0005-0000-0000-0000F0090000}"/>
    <cellStyle name="Normal 3 14 2 3 3" xfId="4614" xr:uid="{00000000-0005-0000-0000-0000F1090000}"/>
    <cellStyle name="Normal 3 14 2 3 3 2" xfId="4615" xr:uid="{00000000-0005-0000-0000-0000F2090000}"/>
    <cellStyle name="Normal 3 14 2 3 4" xfId="4616" xr:uid="{00000000-0005-0000-0000-0000F3090000}"/>
    <cellStyle name="Normal 3 14 2 3 5" xfId="4617" xr:uid="{00000000-0005-0000-0000-0000F4090000}"/>
    <cellStyle name="Normal 3 14 2 4" xfId="1743" xr:uid="{00000000-0005-0000-0000-0000F5090000}"/>
    <cellStyle name="Normal 3 14 2 4 2" xfId="4618" xr:uid="{00000000-0005-0000-0000-0000F6090000}"/>
    <cellStyle name="Normal 3 14 2 4 2 2" xfId="4619" xr:uid="{00000000-0005-0000-0000-0000F7090000}"/>
    <cellStyle name="Normal 3 14 2 4 3" xfId="4620" xr:uid="{00000000-0005-0000-0000-0000F8090000}"/>
    <cellStyle name="Normal 3 14 2 4 3 2" xfId="4621" xr:uid="{00000000-0005-0000-0000-0000F9090000}"/>
    <cellStyle name="Normal 3 14 2 4 4" xfId="4622" xr:uid="{00000000-0005-0000-0000-0000FA090000}"/>
    <cellStyle name="Normal 3 14 2 4 5" xfId="4623" xr:uid="{00000000-0005-0000-0000-0000FB090000}"/>
    <cellStyle name="Normal 3 14 2 5" xfId="1744" xr:uid="{00000000-0005-0000-0000-0000FC090000}"/>
    <cellStyle name="Normal 3 14 2 5 2" xfId="4624" xr:uid="{00000000-0005-0000-0000-0000FD090000}"/>
    <cellStyle name="Normal 3 14 2 5 2 2" xfId="4625" xr:uid="{00000000-0005-0000-0000-0000FE090000}"/>
    <cellStyle name="Normal 3 14 2 5 3" xfId="4626" xr:uid="{00000000-0005-0000-0000-0000FF090000}"/>
    <cellStyle name="Normal 3 14 2 5 3 2" xfId="4627" xr:uid="{00000000-0005-0000-0000-0000000A0000}"/>
    <cellStyle name="Normal 3 14 2 5 4" xfId="4628" xr:uid="{00000000-0005-0000-0000-0000010A0000}"/>
    <cellStyle name="Normal 3 14 2 5 5" xfId="4629" xr:uid="{00000000-0005-0000-0000-0000020A0000}"/>
    <cellStyle name="Normal 3 14 2 6" xfId="1745" xr:uid="{00000000-0005-0000-0000-0000030A0000}"/>
    <cellStyle name="Normal 3 14 2 6 2" xfId="4630" xr:uid="{00000000-0005-0000-0000-0000040A0000}"/>
    <cellStyle name="Normal 3 14 2 6 2 2" xfId="4631" xr:uid="{00000000-0005-0000-0000-0000050A0000}"/>
    <cellStyle name="Normal 3 14 2 6 3" xfId="4632" xr:uid="{00000000-0005-0000-0000-0000060A0000}"/>
    <cellStyle name="Normal 3 14 2 6 3 2" xfId="4633" xr:uid="{00000000-0005-0000-0000-0000070A0000}"/>
    <cellStyle name="Normal 3 14 2 6 4" xfId="4634" xr:uid="{00000000-0005-0000-0000-0000080A0000}"/>
    <cellStyle name="Normal 3 14 2 6 5" xfId="4635" xr:uid="{00000000-0005-0000-0000-0000090A0000}"/>
    <cellStyle name="Normal 3 14 2 7" xfId="1746" xr:uid="{00000000-0005-0000-0000-00000A0A0000}"/>
    <cellStyle name="Normal 3 14 2 7 2" xfId="4636" xr:uid="{00000000-0005-0000-0000-00000B0A0000}"/>
    <cellStyle name="Normal 3 14 2 7 2 2" xfId="4637" xr:uid="{00000000-0005-0000-0000-00000C0A0000}"/>
    <cellStyle name="Normal 3 14 2 7 3" xfId="4638" xr:uid="{00000000-0005-0000-0000-00000D0A0000}"/>
    <cellStyle name="Normal 3 14 2 7 3 2" xfId="4639" xr:uid="{00000000-0005-0000-0000-00000E0A0000}"/>
    <cellStyle name="Normal 3 14 2 7 4" xfId="4640" xr:uid="{00000000-0005-0000-0000-00000F0A0000}"/>
    <cellStyle name="Normal 3 14 2 7 5" xfId="4641" xr:uid="{00000000-0005-0000-0000-0000100A0000}"/>
    <cellStyle name="Normal 3 14 2 8" xfId="1747" xr:uid="{00000000-0005-0000-0000-0000110A0000}"/>
    <cellStyle name="Normal 3 14 2 8 2" xfId="4642" xr:uid="{00000000-0005-0000-0000-0000120A0000}"/>
    <cellStyle name="Normal 3 14 2 8 2 2" xfId="4643" xr:uid="{00000000-0005-0000-0000-0000130A0000}"/>
    <cellStyle name="Normal 3 14 2 8 3" xfId="4644" xr:uid="{00000000-0005-0000-0000-0000140A0000}"/>
    <cellStyle name="Normal 3 14 2 8 3 2" xfId="4645" xr:uid="{00000000-0005-0000-0000-0000150A0000}"/>
    <cellStyle name="Normal 3 14 2 8 4" xfId="4646" xr:uid="{00000000-0005-0000-0000-0000160A0000}"/>
    <cellStyle name="Normal 3 14 2 8 5" xfId="4647" xr:uid="{00000000-0005-0000-0000-0000170A0000}"/>
    <cellStyle name="Normal 3 14 2 9" xfId="1748" xr:uid="{00000000-0005-0000-0000-0000180A0000}"/>
    <cellStyle name="Normal 3 14 2 9 2" xfId="4648" xr:uid="{00000000-0005-0000-0000-0000190A0000}"/>
    <cellStyle name="Normal 3 14 2 9 2 2" xfId="4649" xr:uid="{00000000-0005-0000-0000-00001A0A0000}"/>
    <cellStyle name="Normal 3 14 2 9 3" xfId="4650" xr:uid="{00000000-0005-0000-0000-00001B0A0000}"/>
    <cellStyle name="Normal 3 14 2 9 3 2" xfId="4651" xr:uid="{00000000-0005-0000-0000-00001C0A0000}"/>
    <cellStyle name="Normal 3 14 2 9 4" xfId="4652" xr:uid="{00000000-0005-0000-0000-00001D0A0000}"/>
    <cellStyle name="Normal 3 14 2 9 5" xfId="4653" xr:uid="{00000000-0005-0000-0000-00001E0A0000}"/>
    <cellStyle name="Normal 3 14 3" xfId="1749" xr:uid="{00000000-0005-0000-0000-00001F0A0000}"/>
    <cellStyle name="Normal 3 14 3 2" xfId="4654" xr:uid="{00000000-0005-0000-0000-0000200A0000}"/>
    <cellStyle name="Normal 3 14 3 2 2" xfId="4655" xr:uid="{00000000-0005-0000-0000-0000210A0000}"/>
    <cellStyle name="Normal 3 14 3 3" xfId="4656" xr:uid="{00000000-0005-0000-0000-0000220A0000}"/>
    <cellStyle name="Normal 3 14 3 3 2" xfId="4657" xr:uid="{00000000-0005-0000-0000-0000230A0000}"/>
    <cellStyle name="Normal 3 14 3 4" xfId="4658" xr:uid="{00000000-0005-0000-0000-0000240A0000}"/>
    <cellStyle name="Normal 3 14 3 5" xfId="4659" xr:uid="{00000000-0005-0000-0000-0000250A0000}"/>
    <cellStyle name="Normal 3 14 4" xfId="1750" xr:uid="{00000000-0005-0000-0000-0000260A0000}"/>
    <cellStyle name="Normal 3 14 4 2" xfId="4660" xr:uid="{00000000-0005-0000-0000-0000270A0000}"/>
    <cellStyle name="Normal 3 14 4 2 2" xfId="4661" xr:uid="{00000000-0005-0000-0000-0000280A0000}"/>
    <cellStyle name="Normal 3 14 4 3" xfId="4662" xr:uid="{00000000-0005-0000-0000-0000290A0000}"/>
    <cellStyle name="Normal 3 14 4 3 2" xfId="4663" xr:uid="{00000000-0005-0000-0000-00002A0A0000}"/>
    <cellStyle name="Normal 3 14 4 4" xfId="4664" xr:uid="{00000000-0005-0000-0000-00002B0A0000}"/>
    <cellStyle name="Normal 3 14 4 5" xfId="4665" xr:uid="{00000000-0005-0000-0000-00002C0A0000}"/>
    <cellStyle name="Normal 3 14 5" xfId="1751" xr:uid="{00000000-0005-0000-0000-00002D0A0000}"/>
    <cellStyle name="Normal 3 14 5 2" xfId="4666" xr:uid="{00000000-0005-0000-0000-00002E0A0000}"/>
    <cellStyle name="Normal 3 14 5 2 2" xfId="4667" xr:uid="{00000000-0005-0000-0000-00002F0A0000}"/>
    <cellStyle name="Normal 3 14 5 3" xfId="4668" xr:uid="{00000000-0005-0000-0000-0000300A0000}"/>
    <cellStyle name="Normal 3 14 5 3 2" xfId="4669" xr:uid="{00000000-0005-0000-0000-0000310A0000}"/>
    <cellStyle name="Normal 3 14 5 4" xfId="4670" xr:uid="{00000000-0005-0000-0000-0000320A0000}"/>
    <cellStyle name="Normal 3 14 5 5" xfId="4671" xr:uid="{00000000-0005-0000-0000-0000330A0000}"/>
    <cellStyle name="Normal 3 14 6" xfId="1752" xr:uid="{00000000-0005-0000-0000-0000340A0000}"/>
    <cellStyle name="Normal 3 14 6 2" xfId="4672" xr:uid="{00000000-0005-0000-0000-0000350A0000}"/>
    <cellStyle name="Normal 3 14 6 2 2" xfId="4673" xr:uid="{00000000-0005-0000-0000-0000360A0000}"/>
    <cellStyle name="Normal 3 14 6 3" xfId="4674" xr:uid="{00000000-0005-0000-0000-0000370A0000}"/>
    <cellStyle name="Normal 3 14 6 3 2" xfId="4675" xr:uid="{00000000-0005-0000-0000-0000380A0000}"/>
    <cellStyle name="Normal 3 14 6 4" xfId="4676" xr:uid="{00000000-0005-0000-0000-0000390A0000}"/>
    <cellStyle name="Normal 3 14 6 5" xfId="4677" xr:uid="{00000000-0005-0000-0000-00003A0A0000}"/>
    <cellStyle name="Normal 3 14 7" xfId="1753" xr:uid="{00000000-0005-0000-0000-00003B0A0000}"/>
    <cellStyle name="Normal 3 14 7 2" xfId="4678" xr:uid="{00000000-0005-0000-0000-00003C0A0000}"/>
    <cellStyle name="Normal 3 14 7 2 2" xfId="4679" xr:uid="{00000000-0005-0000-0000-00003D0A0000}"/>
    <cellStyle name="Normal 3 14 7 3" xfId="4680" xr:uid="{00000000-0005-0000-0000-00003E0A0000}"/>
    <cellStyle name="Normal 3 14 7 3 2" xfId="4681" xr:uid="{00000000-0005-0000-0000-00003F0A0000}"/>
    <cellStyle name="Normal 3 14 7 4" xfId="4682" xr:uid="{00000000-0005-0000-0000-0000400A0000}"/>
    <cellStyle name="Normal 3 14 7 5" xfId="4683" xr:uid="{00000000-0005-0000-0000-0000410A0000}"/>
    <cellStyle name="Normal 3 14 8" xfId="1754" xr:uid="{00000000-0005-0000-0000-0000420A0000}"/>
    <cellStyle name="Normal 3 14 8 2" xfId="4684" xr:uid="{00000000-0005-0000-0000-0000430A0000}"/>
    <cellStyle name="Normal 3 14 8 2 2" xfId="4685" xr:uid="{00000000-0005-0000-0000-0000440A0000}"/>
    <cellStyle name="Normal 3 14 8 3" xfId="4686" xr:uid="{00000000-0005-0000-0000-0000450A0000}"/>
    <cellStyle name="Normal 3 14 8 3 2" xfId="4687" xr:uid="{00000000-0005-0000-0000-0000460A0000}"/>
    <cellStyle name="Normal 3 14 8 4" xfId="4688" xr:uid="{00000000-0005-0000-0000-0000470A0000}"/>
    <cellStyle name="Normal 3 14 8 5" xfId="4689" xr:uid="{00000000-0005-0000-0000-0000480A0000}"/>
    <cellStyle name="Normal 3 14 9" xfId="1755" xr:uid="{00000000-0005-0000-0000-0000490A0000}"/>
    <cellStyle name="Normal 3 14 9 2" xfId="4690" xr:uid="{00000000-0005-0000-0000-00004A0A0000}"/>
    <cellStyle name="Normal 3 14 9 2 2" xfId="4691" xr:uid="{00000000-0005-0000-0000-00004B0A0000}"/>
    <cellStyle name="Normal 3 14 9 3" xfId="4692" xr:uid="{00000000-0005-0000-0000-00004C0A0000}"/>
    <cellStyle name="Normal 3 14 9 3 2" xfId="4693" xr:uid="{00000000-0005-0000-0000-00004D0A0000}"/>
    <cellStyle name="Normal 3 14 9 4" xfId="4694" xr:uid="{00000000-0005-0000-0000-00004E0A0000}"/>
    <cellStyle name="Normal 3 14 9 5" xfId="4695" xr:uid="{00000000-0005-0000-0000-00004F0A0000}"/>
    <cellStyle name="Normal 3 15" xfId="1756" xr:uid="{00000000-0005-0000-0000-0000500A0000}"/>
    <cellStyle name="Normal 3 15 10" xfId="1757" xr:uid="{00000000-0005-0000-0000-0000510A0000}"/>
    <cellStyle name="Normal 3 15 10 2" xfId="4696" xr:uid="{00000000-0005-0000-0000-0000520A0000}"/>
    <cellStyle name="Normal 3 15 10 2 2" xfId="4697" xr:uid="{00000000-0005-0000-0000-0000530A0000}"/>
    <cellStyle name="Normal 3 15 10 3" xfId="4698" xr:uid="{00000000-0005-0000-0000-0000540A0000}"/>
    <cellStyle name="Normal 3 15 10 3 2" xfId="4699" xr:uid="{00000000-0005-0000-0000-0000550A0000}"/>
    <cellStyle name="Normal 3 15 10 4" xfId="4700" xr:uid="{00000000-0005-0000-0000-0000560A0000}"/>
    <cellStyle name="Normal 3 15 10 5" xfId="4701" xr:uid="{00000000-0005-0000-0000-0000570A0000}"/>
    <cellStyle name="Normal 3 15 11" xfId="1758" xr:uid="{00000000-0005-0000-0000-0000580A0000}"/>
    <cellStyle name="Normal 3 15 11 2" xfId="4702" xr:uid="{00000000-0005-0000-0000-0000590A0000}"/>
    <cellStyle name="Normal 3 15 11 2 2" xfId="4703" xr:uid="{00000000-0005-0000-0000-00005A0A0000}"/>
    <cellStyle name="Normal 3 15 11 3" xfId="4704" xr:uid="{00000000-0005-0000-0000-00005B0A0000}"/>
    <cellStyle name="Normal 3 15 11 3 2" xfId="4705" xr:uid="{00000000-0005-0000-0000-00005C0A0000}"/>
    <cellStyle name="Normal 3 15 11 4" xfId="4706" xr:uid="{00000000-0005-0000-0000-00005D0A0000}"/>
    <cellStyle name="Normal 3 15 11 5" xfId="4707" xr:uid="{00000000-0005-0000-0000-00005E0A0000}"/>
    <cellStyle name="Normal 3 15 12" xfId="1759" xr:uid="{00000000-0005-0000-0000-00005F0A0000}"/>
    <cellStyle name="Normal 3 15 12 2" xfId="4708" xr:uid="{00000000-0005-0000-0000-0000600A0000}"/>
    <cellStyle name="Normal 3 15 12 2 2" xfId="4709" xr:uid="{00000000-0005-0000-0000-0000610A0000}"/>
    <cellStyle name="Normal 3 15 12 3" xfId="4710" xr:uid="{00000000-0005-0000-0000-0000620A0000}"/>
    <cellStyle name="Normal 3 15 12 3 2" xfId="4711" xr:uid="{00000000-0005-0000-0000-0000630A0000}"/>
    <cellStyle name="Normal 3 15 12 4" xfId="4712" xr:uid="{00000000-0005-0000-0000-0000640A0000}"/>
    <cellStyle name="Normal 3 15 12 5" xfId="4713" xr:uid="{00000000-0005-0000-0000-0000650A0000}"/>
    <cellStyle name="Normal 3 15 13" xfId="1760" xr:uid="{00000000-0005-0000-0000-0000660A0000}"/>
    <cellStyle name="Normal 3 15 13 2" xfId="4714" xr:uid="{00000000-0005-0000-0000-0000670A0000}"/>
    <cellStyle name="Normal 3 15 13 2 2" xfId="4715" xr:uid="{00000000-0005-0000-0000-0000680A0000}"/>
    <cellStyle name="Normal 3 15 13 3" xfId="4716" xr:uid="{00000000-0005-0000-0000-0000690A0000}"/>
    <cellStyle name="Normal 3 15 13 3 2" xfId="4717" xr:uid="{00000000-0005-0000-0000-00006A0A0000}"/>
    <cellStyle name="Normal 3 15 13 4" xfId="4718" xr:uid="{00000000-0005-0000-0000-00006B0A0000}"/>
    <cellStyle name="Normal 3 15 13 5" xfId="4719" xr:uid="{00000000-0005-0000-0000-00006C0A0000}"/>
    <cellStyle name="Normal 3 15 14" xfId="4720" xr:uid="{00000000-0005-0000-0000-00006D0A0000}"/>
    <cellStyle name="Normal 3 15 14 2" xfId="4721" xr:uid="{00000000-0005-0000-0000-00006E0A0000}"/>
    <cellStyle name="Normal 3 15 15" xfId="4722" xr:uid="{00000000-0005-0000-0000-00006F0A0000}"/>
    <cellStyle name="Normal 3 15 15 2" xfId="4723" xr:uid="{00000000-0005-0000-0000-0000700A0000}"/>
    <cellStyle name="Normal 3 15 16" xfId="4724" xr:uid="{00000000-0005-0000-0000-0000710A0000}"/>
    <cellStyle name="Normal 3 15 17" xfId="4725" xr:uid="{00000000-0005-0000-0000-0000720A0000}"/>
    <cellStyle name="Normal 3 15 2" xfId="1761" xr:uid="{00000000-0005-0000-0000-0000730A0000}"/>
    <cellStyle name="Normal 3 15 2 10" xfId="1762" xr:uid="{00000000-0005-0000-0000-0000740A0000}"/>
    <cellStyle name="Normal 3 15 2 10 2" xfId="4726" xr:uid="{00000000-0005-0000-0000-0000750A0000}"/>
    <cellStyle name="Normal 3 15 2 10 2 2" xfId="4727" xr:uid="{00000000-0005-0000-0000-0000760A0000}"/>
    <cellStyle name="Normal 3 15 2 10 3" xfId="4728" xr:uid="{00000000-0005-0000-0000-0000770A0000}"/>
    <cellStyle name="Normal 3 15 2 10 3 2" xfId="4729" xr:uid="{00000000-0005-0000-0000-0000780A0000}"/>
    <cellStyle name="Normal 3 15 2 10 4" xfId="4730" xr:uid="{00000000-0005-0000-0000-0000790A0000}"/>
    <cellStyle name="Normal 3 15 2 10 5" xfId="4731" xr:uid="{00000000-0005-0000-0000-00007A0A0000}"/>
    <cellStyle name="Normal 3 15 2 11" xfId="1763" xr:uid="{00000000-0005-0000-0000-00007B0A0000}"/>
    <cellStyle name="Normal 3 15 2 11 2" xfId="4732" xr:uid="{00000000-0005-0000-0000-00007C0A0000}"/>
    <cellStyle name="Normal 3 15 2 11 2 2" xfId="4733" xr:uid="{00000000-0005-0000-0000-00007D0A0000}"/>
    <cellStyle name="Normal 3 15 2 11 3" xfId="4734" xr:uid="{00000000-0005-0000-0000-00007E0A0000}"/>
    <cellStyle name="Normal 3 15 2 11 3 2" xfId="4735" xr:uid="{00000000-0005-0000-0000-00007F0A0000}"/>
    <cellStyle name="Normal 3 15 2 11 4" xfId="4736" xr:uid="{00000000-0005-0000-0000-0000800A0000}"/>
    <cellStyle name="Normal 3 15 2 11 5" xfId="4737" xr:uid="{00000000-0005-0000-0000-0000810A0000}"/>
    <cellStyle name="Normal 3 15 2 12" xfId="1764" xr:uid="{00000000-0005-0000-0000-0000820A0000}"/>
    <cellStyle name="Normal 3 15 2 12 2" xfId="4738" xr:uid="{00000000-0005-0000-0000-0000830A0000}"/>
    <cellStyle name="Normal 3 15 2 12 2 2" xfId="4739" xr:uid="{00000000-0005-0000-0000-0000840A0000}"/>
    <cellStyle name="Normal 3 15 2 12 3" xfId="4740" xr:uid="{00000000-0005-0000-0000-0000850A0000}"/>
    <cellStyle name="Normal 3 15 2 12 3 2" xfId="4741" xr:uid="{00000000-0005-0000-0000-0000860A0000}"/>
    <cellStyle name="Normal 3 15 2 12 4" xfId="4742" xr:uid="{00000000-0005-0000-0000-0000870A0000}"/>
    <cellStyle name="Normal 3 15 2 12 5" xfId="4743" xr:uid="{00000000-0005-0000-0000-0000880A0000}"/>
    <cellStyle name="Normal 3 15 2 13" xfId="4744" xr:uid="{00000000-0005-0000-0000-0000890A0000}"/>
    <cellStyle name="Normal 3 15 2 13 2" xfId="4745" xr:uid="{00000000-0005-0000-0000-00008A0A0000}"/>
    <cellStyle name="Normal 3 15 2 14" xfId="4746" xr:uid="{00000000-0005-0000-0000-00008B0A0000}"/>
    <cellStyle name="Normal 3 15 2 14 2" xfId="4747" xr:uid="{00000000-0005-0000-0000-00008C0A0000}"/>
    <cellStyle name="Normal 3 15 2 15" xfId="4748" xr:uid="{00000000-0005-0000-0000-00008D0A0000}"/>
    <cellStyle name="Normal 3 15 2 16" xfId="4749" xr:uid="{00000000-0005-0000-0000-00008E0A0000}"/>
    <cellStyle name="Normal 3 15 2 2" xfId="1765" xr:uid="{00000000-0005-0000-0000-00008F0A0000}"/>
    <cellStyle name="Normal 3 15 2 2 2" xfId="4750" xr:uid="{00000000-0005-0000-0000-0000900A0000}"/>
    <cellStyle name="Normal 3 15 2 2 2 2" xfId="4751" xr:uid="{00000000-0005-0000-0000-0000910A0000}"/>
    <cellStyle name="Normal 3 15 2 2 3" xfId="4752" xr:uid="{00000000-0005-0000-0000-0000920A0000}"/>
    <cellStyle name="Normal 3 15 2 2 3 2" xfId="4753" xr:uid="{00000000-0005-0000-0000-0000930A0000}"/>
    <cellStyle name="Normal 3 15 2 2 4" xfId="4754" xr:uid="{00000000-0005-0000-0000-0000940A0000}"/>
    <cellStyle name="Normal 3 15 2 2 5" xfId="4755" xr:uid="{00000000-0005-0000-0000-0000950A0000}"/>
    <cellStyle name="Normal 3 15 2 3" xfId="1766" xr:uid="{00000000-0005-0000-0000-0000960A0000}"/>
    <cellStyle name="Normal 3 15 2 3 2" xfId="4756" xr:uid="{00000000-0005-0000-0000-0000970A0000}"/>
    <cellStyle name="Normal 3 15 2 3 2 2" xfId="4757" xr:uid="{00000000-0005-0000-0000-0000980A0000}"/>
    <cellStyle name="Normal 3 15 2 3 3" xfId="4758" xr:uid="{00000000-0005-0000-0000-0000990A0000}"/>
    <cellStyle name="Normal 3 15 2 3 3 2" xfId="4759" xr:uid="{00000000-0005-0000-0000-00009A0A0000}"/>
    <cellStyle name="Normal 3 15 2 3 4" xfId="4760" xr:uid="{00000000-0005-0000-0000-00009B0A0000}"/>
    <cellStyle name="Normal 3 15 2 3 5" xfId="4761" xr:uid="{00000000-0005-0000-0000-00009C0A0000}"/>
    <cellStyle name="Normal 3 15 2 4" xfId="1767" xr:uid="{00000000-0005-0000-0000-00009D0A0000}"/>
    <cellStyle name="Normal 3 15 2 4 2" xfId="4762" xr:uid="{00000000-0005-0000-0000-00009E0A0000}"/>
    <cellStyle name="Normal 3 15 2 4 2 2" xfId="4763" xr:uid="{00000000-0005-0000-0000-00009F0A0000}"/>
    <cellStyle name="Normal 3 15 2 4 3" xfId="4764" xr:uid="{00000000-0005-0000-0000-0000A00A0000}"/>
    <cellStyle name="Normal 3 15 2 4 3 2" xfId="4765" xr:uid="{00000000-0005-0000-0000-0000A10A0000}"/>
    <cellStyle name="Normal 3 15 2 4 4" xfId="4766" xr:uid="{00000000-0005-0000-0000-0000A20A0000}"/>
    <cellStyle name="Normal 3 15 2 4 5" xfId="4767" xr:uid="{00000000-0005-0000-0000-0000A30A0000}"/>
    <cellStyle name="Normal 3 15 2 5" xfId="1768" xr:uid="{00000000-0005-0000-0000-0000A40A0000}"/>
    <cellStyle name="Normal 3 15 2 5 2" xfId="4768" xr:uid="{00000000-0005-0000-0000-0000A50A0000}"/>
    <cellStyle name="Normal 3 15 2 5 2 2" xfId="4769" xr:uid="{00000000-0005-0000-0000-0000A60A0000}"/>
    <cellStyle name="Normal 3 15 2 5 3" xfId="4770" xr:uid="{00000000-0005-0000-0000-0000A70A0000}"/>
    <cellStyle name="Normal 3 15 2 5 3 2" xfId="4771" xr:uid="{00000000-0005-0000-0000-0000A80A0000}"/>
    <cellStyle name="Normal 3 15 2 5 4" xfId="4772" xr:uid="{00000000-0005-0000-0000-0000A90A0000}"/>
    <cellStyle name="Normal 3 15 2 5 5" xfId="4773" xr:uid="{00000000-0005-0000-0000-0000AA0A0000}"/>
    <cellStyle name="Normal 3 15 2 6" xfId="1769" xr:uid="{00000000-0005-0000-0000-0000AB0A0000}"/>
    <cellStyle name="Normal 3 15 2 6 2" xfId="4774" xr:uid="{00000000-0005-0000-0000-0000AC0A0000}"/>
    <cellStyle name="Normal 3 15 2 6 2 2" xfId="4775" xr:uid="{00000000-0005-0000-0000-0000AD0A0000}"/>
    <cellStyle name="Normal 3 15 2 6 3" xfId="4776" xr:uid="{00000000-0005-0000-0000-0000AE0A0000}"/>
    <cellStyle name="Normal 3 15 2 6 3 2" xfId="4777" xr:uid="{00000000-0005-0000-0000-0000AF0A0000}"/>
    <cellStyle name="Normal 3 15 2 6 4" xfId="4778" xr:uid="{00000000-0005-0000-0000-0000B00A0000}"/>
    <cellStyle name="Normal 3 15 2 6 5" xfId="4779" xr:uid="{00000000-0005-0000-0000-0000B10A0000}"/>
    <cellStyle name="Normal 3 15 2 7" xfId="1770" xr:uid="{00000000-0005-0000-0000-0000B20A0000}"/>
    <cellStyle name="Normal 3 15 2 7 2" xfId="4780" xr:uid="{00000000-0005-0000-0000-0000B30A0000}"/>
    <cellStyle name="Normal 3 15 2 7 2 2" xfId="4781" xr:uid="{00000000-0005-0000-0000-0000B40A0000}"/>
    <cellStyle name="Normal 3 15 2 7 3" xfId="4782" xr:uid="{00000000-0005-0000-0000-0000B50A0000}"/>
    <cellStyle name="Normal 3 15 2 7 3 2" xfId="4783" xr:uid="{00000000-0005-0000-0000-0000B60A0000}"/>
    <cellStyle name="Normal 3 15 2 7 4" xfId="4784" xr:uid="{00000000-0005-0000-0000-0000B70A0000}"/>
    <cellStyle name="Normal 3 15 2 7 5" xfId="4785" xr:uid="{00000000-0005-0000-0000-0000B80A0000}"/>
    <cellStyle name="Normal 3 15 2 8" xfId="1771" xr:uid="{00000000-0005-0000-0000-0000B90A0000}"/>
    <cellStyle name="Normal 3 15 2 8 2" xfId="4786" xr:uid="{00000000-0005-0000-0000-0000BA0A0000}"/>
    <cellStyle name="Normal 3 15 2 8 2 2" xfId="4787" xr:uid="{00000000-0005-0000-0000-0000BB0A0000}"/>
    <cellStyle name="Normal 3 15 2 8 3" xfId="4788" xr:uid="{00000000-0005-0000-0000-0000BC0A0000}"/>
    <cellStyle name="Normal 3 15 2 8 3 2" xfId="4789" xr:uid="{00000000-0005-0000-0000-0000BD0A0000}"/>
    <cellStyle name="Normal 3 15 2 8 4" xfId="4790" xr:uid="{00000000-0005-0000-0000-0000BE0A0000}"/>
    <cellStyle name="Normal 3 15 2 8 5" xfId="4791" xr:uid="{00000000-0005-0000-0000-0000BF0A0000}"/>
    <cellStyle name="Normal 3 15 2 9" xfId="1772" xr:uid="{00000000-0005-0000-0000-0000C00A0000}"/>
    <cellStyle name="Normal 3 15 2 9 2" xfId="4792" xr:uid="{00000000-0005-0000-0000-0000C10A0000}"/>
    <cellStyle name="Normal 3 15 2 9 2 2" xfId="4793" xr:uid="{00000000-0005-0000-0000-0000C20A0000}"/>
    <cellStyle name="Normal 3 15 2 9 3" xfId="4794" xr:uid="{00000000-0005-0000-0000-0000C30A0000}"/>
    <cellStyle name="Normal 3 15 2 9 3 2" xfId="4795" xr:uid="{00000000-0005-0000-0000-0000C40A0000}"/>
    <cellStyle name="Normal 3 15 2 9 4" xfId="4796" xr:uid="{00000000-0005-0000-0000-0000C50A0000}"/>
    <cellStyle name="Normal 3 15 2 9 5" xfId="4797" xr:uid="{00000000-0005-0000-0000-0000C60A0000}"/>
    <cellStyle name="Normal 3 15 3" xfId="1773" xr:uid="{00000000-0005-0000-0000-0000C70A0000}"/>
    <cellStyle name="Normal 3 15 3 2" xfId="4798" xr:uid="{00000000-0005-0000-0000-0000C80A0000}"/>
    <cellStyle name="Normal 3 15 3 2 2" xfId="4799" xr:uid="{00000000-0005-0000-0000-0000C90A0000}"/>
    <cellStyle name="Normal 3 15 3 3" xfId="4800" xr:uid="{00000000-0005-0000-0000-0000CA0A0000}"/>
    <cellStyle name="Normal 3 15 3 3 2" xfId="4801" xr:uid="{00000000-0005-0000-0000-0000CB0A0000}"/>
    <cellStyle name="Normal 3 15 3 4" xfId="4802" xr:uid="{00000000-0005-0000-0000-0000CC0A0000}"/>
    <cellStyle name="Normal 3 15 3 5" xfId="4803" xr:uid="{00000000-0005-0000-0000-0000CD0A0000}"/>
    <cellStyle name="Normal 3 15 4" xfId="1774" xr:uid="{00000000-0005-0000-0000-0000CE0A0000}"/>
    <cellStyle name="Normal 3 15 4 2" xfId="4804" xr:uid="{00000000-0005-0000-0000-0000CF0A0000}"/>
    <cellStyle name="Normal 3 15 4 2 2" xfId="4805" xr:uid="{00000000-0005-0000-0000-0000D00A0000}"/>
    <cellStyle name="Normal 3 15 4 3" xfId="4806" xr:uid="{00000000-0005-0000-0000-0000D10A0000}"/>
    <cellStyle name="Normal 3 15 4 3 2" xfId="4807" xr:uid="{00000000-0005-0000-0000-0000D20A0000}"/>
    <cellStyle name="Normal 3 15 4 4" xfId="4808" xr:uid="{00000000-0005-0000-0000-0000D30A0000}"/>
    <cellStyle name="Normal 3 15 4 5" xfId="4809" xr:uid="{00000000-0005-0000-0000-0000D40A0000}"/>
    <cellStyle name="Normal 3 15 5" xfId="1775" xr:uid="{00000000-0005-0000-0000-0000D50A0000}"/>
    <cellStyle name="Normal 3 15 5 2" xfId="4810" xr:uid="{00000000-0005-0000-0000-0000D60A0000}"/>
    <cellStyle name="Normal 3 15 5 2 2" xfId="4811" xr:uid="{00000000-0005-0000-0000-0000D70A0000}"/>
    <cellStyle name="Normal 3 15 5 3" xfId="4812" xr:uid="{00000000-0005-0000-0000-0000D80A0000}"/>
    <cellStyle name="Normal 3 15 5 3 2" xfId="4813" xr:uid="{00000000-0005-0000-0000-0000D90A0000}"/>
    <cellStyle name="Normal 3 15 5 4" xfId="4814" xr:uid="{00000000-0005-0000-0000-0000DA0A0000}"/>
    <cellStyle name="Normal 3 15 5 5" xfId="4815" xr:uid="{00000000-0005-0000-0000-0000DB0A0000}"/>
    <cellStyle name="Normal 3 15 6" xfId="1776" xr:uid="{00000000-0005-0000-0000-0000DC0A0000}"/>
    <cellStyle name="Normal 3 15 6 2" xfId="4816" xr:uid="{00000000-0005-0000-0000-0000DD0A0000}"/>
    <cellStyle name="Normal 3 15 6 2 2" xfId="4817" xr:uid="{00000000-0005-0000-0000-0000DE0A0000}"/>
    <cellStyle name="Normal 3 15 6 3" xfId="4818" xr:uid="{00000000-0005-0000-0000-0000DF0A0000}"/>
    <cellStyle name="Normal 3 15 6 3 2" xfId="4819" xr:uid="{00000000-0005-0000-0000-0000E00A0000}"/>
    <cellStyle name="Normal 3 15 6 4" xfId="4820" xr:uid="{00000000-0005-0000-0000-0000E10A0000}"/>
    <cellStyle name="Normal 3 15 6 5" xfId="4821" xr:uid="{00000000-0005-0000-0000-0000E20A0000}"/>
    <cellStyle name="Normal 3 15 7" xfId="1777" xr:uid="{00000000-0005-0000-0000-0000E30A0000}"/>
    <cellStyle name="Normal 3 15 7 2" xfId="4822" xr:uid="{00000000-0005-0000-0000-0000E40A0000}"/>
    <cellStyle name="Normal 3 15 7 2 2" xfId="4823" xr:uid="{00000000-0005-0000-0000-0000E50A0000}"/>
    <cellStyle name="Normal 3 15 7 3" xfId="4824" xr:uid="{00000000-0005-0000-0000-0000E60A0000}"/>
    <cellStyle name="Normal 3 15 7 3 2" xfId="4825" xr:uid="{00000000-0005-0000-0000-0000E70A0000}"/>
    <cellStyle name="Normal 3 15 7 4" xfId="4826" xr:uid="{00000000-0005-0000-0000-0000E80A0000}"/>
    <cellStyle name="Normal 3 15 7 5" xfId="4827" xr:uid="{00000000-0005-0000-0000-0000E90A0000}"/>
    <cellStyle name="Normal 3 15 8" xfId="1778" xr:uid="{00000000-0005-0000-0000-0000EA0A0000}"/>
    <cellStyle name="Normal 3 15 8 2" xfId="4828" xr:uid="{00000000-0005-0000-0000-0000EB0A0000}"/>
    <cellStyle name="Normal 3 15 8 2 2" xfId="4829" xr:uid="{00000000-0005-0000-0000-0000EC0A0000}"/>
    <cellStyle name="Normal 3 15 8 3" xfId="4830" xr:uid="{00000000-0005-0000-0000-0000ED0A0000}"/>
    <cellStyle name="Normal 3 15 8 3 2" xfId="4831" xr:uid="{00000000-0005-0000-0000-0000EE0A0000}"/>
    <cellStyle name="Normal 3 15 8 4" xfId="4832" xr:uid="{00000000-0005-0000-0000-0000EF0A0000}"/>
    <cellStyle name="Normal 3 15 8 5" xfId="4833" xr:uid="{00000000-0005-0000-0000-0000F00A0000}"/>
    <cellStyle name="Normal 3 15 9" xfId="1779" xr:uid="{00000000-0005-0000-0000-0000F10A0000}"/>
    <cellStyle name="Normal 3 15 9 2" xfId="4834" xr:uid="{00000000-0005-0000-0000-0000F20A0000}"/>
    <cellStyle name="Normal 3 15 9 2 2" xfId="4835" xr:uid="{00000000-0005-0000-0000-0000F30A0000}"/>
    <cellStyle name="Normal 3 15 9 3" xfId="4836" xr:uid="{00000000-0005-0000-0000-0000F40A0000}"/>
    <cellStyle name="Normal 3 15 9 3 2" xfId="4837" xr:uid="{00000000-0005-0000-0000-0000F50A0000}"/>
    <cellStyle name="Normal 3 15 9 4" xfId="4838" xr:uid="{00000000-0005-0000-0000-0000F60A0000}"/>
    <cellStyle name="Normal 3 15 9 5" xfId="4839" xr:uid="{00000000-0005-0000-0000-0000F70A0000}"/>
    <cellStyle name="Normal 3 16" xfId="1780" xr:uid="{00000000-0005-0000-0000-0000F80A0000}"/>
    <cellStyle name="Normal 3 16 10" xfId="1781" xr:uid="{00000000-0005-0000-0000-0000F90A0000}"/>
    <cellStyle name="Normal 3 16 10 2" xfId="4840" xr:uid="{00000000-0005-0000-0000-0000FA0A0000}"/>
    <cellStyle name="Normal 3 16 10 2 2" xfId="4841" xr:uid="{00000000-0005-0000-0000-0000FB0A0000}"/>
    <cellStyle name="Normal 3 16 10 3" xfId="4842" xr:uid="{00000000-0005-0000-0000-0000FC0A0000}"/>
    <cellStyle name="Normal 3 16 10 3 2" xfId="4843" xr:uid="{00000000-0005-0000-0000-0000FD0A0000}"/>
    <cellStyle name="Normal 3 16 10 4" xfId="4844" xr:uid="{00000000-0005-0000-0000-0000FE0A0000}"/>
    <cellStyle name="Normal 3 16 10 5" xfId="4845" xr:uid="{00000000-0005-0000-0000-0000FF0A0000}"/>
    <cellStyle name="Normal 3 16 11" xfId="1782" xr:uid="{00000000-0005-0000-0000-0000000B0000}"/>
    <cellStyle name="Normal 3 16 11 2" xfId="4846" xr:uid="{00000000-0005-0000-0000-0000010B0000}"/>
    <cellStyle name="Normal 3 16 11 2 2" xfId="4847" xr:uid="{00000000-0005-0000-0000-0000020B0000}"/>
    <cellStyle name="Normal 3 16 11 3" xfId="4848" xr:uid="{00000000-0005-0000-0000-0000030B0000}"/>
    <cellStyle name="Normal 3 16 11 3 2" xfId="4849" xr:uid="{00000000-0005-0000-0000-0000040B0000}"/>
    <cellStyle name="Normal 3 16 11 4" xfId="4850" xr:uid="{00000000-0005-0000-0000-0000050B0000}"/>
    <cellStyle name="Normal 3 16 11 5" xfId="4851" xr:uid="{00000000-0005-0000-0000-0000060B0000}"/>
    <cellStyle name="Normal 3 16 12" xfId="1783" xr:uid="{00000000-0005-0000-0000-0000070B0000}"/>
    <cellStyle name="Normal 3 16 12 2" xfId="4852" xr:uid="{00000000-0005-0000-0000-0000080B0000}"/>
    <cellStyle name="Normal 3 16 12 2 2" xfId="4853" xr:uid="{00000000-0005-0000-0000-0000090B0000}"/>
    <cellStyle name="Normal 3 16 12 3" xfId="4854" xr:uid="{00000000-0005-0000-0000-00000A0B0000}"/>
    <cellStyle name="Normal 3 16 12 3 2" xfId="4855" xr:uid="{00000000-0005-0000-0000-00000B0B0000}"/>
    <cellStyle name="Normal 3 16 12 4" xfId="4856" xr:uid="{00000000-0005-0000-0000-00000C0B0000}"/>
    <cellStyle name="Normal 3 16 12 5" xfId="4857" xr:uid="{00000000-0005-0000-0000-00000D0B0000}"/>
    <cellStyle name="Normal 3 16 13" xfId="1784" xr:uid="{00000000-0005-0000-0000-00000E0B0000}"/>
    <cellStyle name="Normal 3 16 13 2" xfId="4858" xr:uid="{00000000-0005-0000-0000-00000F0B0000}"/>
    <cellStyle name="Normal 3 16 13 2 2" xfId="4859" xr:uid="{00000000-0005-0000-0000-0000100B0000}"/>
    <cellStyle name="Normal 3 16 13 3" xfId="4860" xr:uid="{00000000-0005-0000-0000-0000110B0000}"/>
    <cellStyle name="Normal 3 16 13 3 2" xfId="4861" xr:uid="{00000000-0005-0000-0000-0000120B0000}"/>
    <cellStyle name="Normal 3 16 13 4" xfId="4862" xr:uid="{00000000-0005-0000-0000-0000130B0000}"/>
    <cellStyle name="Normal 3 16 13 5" xfId="4863" xr:uid="{00000000-0005-0000-0000-0000140B0000}"/>
    <cellStyle name="Normal 3 16 14" xfId="4864" xr:uid="{00000000-0005-0000-0000-0000150B0000}"/>
    <cellStyle name="Normal 3 16 14 2" xfId="4865" xr:uid="{00000000-0005-0000-0000-0000160B0000}"/>
    <cellStyle name="Normal 3 16 15" xfId="4866" xr:uid="{00000000-0005-0000-0000-0000170B0000}"/>
    <cellStyle name="Normal 3 16 15 2" xfId="4867" xr:uid="{00000000-0005-0000-0000-0000180B0000}"/>
    <cellStyle name="Normal 3 16 16" xfId="4868" xr:uid="{00000000-0005-0000-0000-0000190B0000}"/>
    <cellStyle name="Normal 3 16 17" xfId="4869" xr:uid="{00000000-0005-0000-0000-00001A0B0000}"/>
    <cellStyle name="Normal 3 16 2" xfId="1785" xr:uid="{00000000-0005-0000-0000-00001B0B0000}"/>
    <cellStyle name="Normal 3 16 2 10" xfId="1786" xr:uid="{00000000-0005-0000-0000-00001C0B0000}"/>
    <cellStyle name="Normal 3 16 2 10 2" xfId="4870" xr:uid="{00000000-0005-0000-0000-00001D0B0000}"/>
    <cellStyle name="Normal 3 16 2 10 2 2" xfId="4871" xr:uid="{00000000-0005-0000-0000-00001E0B0000}"/>
    <cellStyle name="Normal 3 16 2 10 3" xfId="4872" xr:uid="{00000000-0005-0000-0000-00001F0B0000}"/>
    <cellStyle name="Normal 3 16 2 10 3 2" xfId="4873" xr:uid="{00000000-0005-0000-0000-0000200B0000}"/>
    <cellStyle name="Normal 3 16 2 10 4" xfId="4874" xr:uid="{00000000-0005-0000-0000-0000210B0000}"/>
    <cellStyle name="Normal 3 16 2 10 5" xfId="4875" xr:uid="{00000000-0005-0000-0000-0000220B0000}"/>
    <cellStyle name="Normal 3 16 2 11" xfId="1787" xr:uid="{00000000-0005-0000-0000-0000230B0000}"/>
    <cellStyle name="Normal 3 16 2 11 2" xfId="4876" xr:uid="{00000000-0005-0000-0000-0000240B0000}"/>
    <cellStyle name="Normal 3 16 2 11 2 2" xfId="4877" xr:uid="{00000000-0005-0000-0000-0000250B0000}"/>
    <cellStyle name="Normal 3 16 2 11 3" xfId="4878" xr:uid="{00000000-0005-0000-0000-0000260B0000}"/>
    <cellStyle name="Normal 3 16 2 11 3 2" xfId="4879" xr:uid="{00000000-0005-0000-0000-0000270B0000}"/>
    <cellStyle name="Normal 3 16 2 11 4" xfId="4880" xr:uid="{00000000-0005-0000-0000-0000280B0000}"/>
    <cellStyle name="Normal 3 16 2 11 5" xfId="4881" xr:uid="{00000000-0005-0000-0000-0000290B0000}"/>
    <cellStyle name="Normal 3 16 2 12" xfId="1788" xr:uid="{00000000-0005-0000-0000-00002A0B0000}"/>
    <cellStyle name="Normal 3 16 2 12 2" xfId="4882" xr:uid="{00000000-0005-0000-0000-00002B0B0000}"/>
    <cellStyle name="Normal 3 16 2 12 2 2" xfId="4883" xr:uid="{00000000-0005-0000-0000-00002C0B0000}"/>
    <cellStyle name="Normal 3 16 2 12 3" xfId="4884" xr:uid="{00000000-0005-0000-0000-00002D0B0000}"/>
    <cellStyle name="Normal 3 16 2 12 3 2" xfId="4885" xr:uid="{00000000-0005-0000-0000-00002E0B0000}"/>
    <cellStyle name="Normal 3 16 2 12 4" xfId="4886" xr:uid="{00000000-0005-0000-0000-00002F0B0000}"/>
    <cellStyle name="Normal 3 16 2 12 5" xfId="4887" xr:uid="{00000000-0005-0000-0000-0000300B0000}"/>
    <cellStyle name="Normal 3 16 2 13" xfId="4888" xr:uid="{00000000-0005-0000-0000-0000310B0000}"/>
    <cellStyle name="Normal 3 16 2 13 2" xfId="4889" xr:uid="{00000000-0005-0000-0000-0000320B0000}"/>
    <cellStyle name="Normal 3 16 2 14" xfId="4890" xr:uid="{00000000-0005-0000-0000-0000330B0000}"/>
    <cellStyle name="Normal 3 16 2 14 2" xfId="4891" xr:uid="{00000000-0005-0000-0000-0000340B0000}"/>
    <cellStyle name="Normal 3 16 2 15" xfId="4892" xr:uid="{00000000-0005-0000-0000-0000350B0000}"/>
    <cellStyle name="Normal 3 16 2 16" xfId="4893" xr:uid="{00000000-0005-0000-0000-0000360B0000}"/>
    <cellStyle name="Normal 3 16 2 2" xfId="1789" xr:uid="{00000000-0005-0000-0000-0000370B0000}"/>
    <cellStyle name="Normal 3 16 2 2 2" xfId="4894" xr:uid="{00000000-0005-0000-0000-0000380B0000}"/>
    <cellStyle name="Normal 3 16 2 2 2 2" xfId="4895" xr:uid="{00000000-0005-0000-0000-0000390B0000}"/>
    <cellStyle name="Normal 3 16 2 2 3" xfId="4896" xr:uid="{00000000-0005-0000-0000-00003A0B0000}"/>
    <cellStyle name="Normal 3 16 2 2 3 2" xfId="4897" xr:uid="{00000000-0005-0000-0000-00003B0B0000}"/>
    <cellStyle name="Normal 3 16 2 2 4" xfId="4898" xr:uid="{00000000-0005-0000-0000-00003C0B0000}"/>
    <cellStyle name="Normal 3 16 2 2 5" xfId="4899" xr:uid="{00000000-0005-0000-0000-00003D0B0000}"/>
    <cellStyle name="Normal 3 16 2 3" xfId="1790" xr:uid="{00000000-0005-0000-0000-00003E0B0000}"/>
    <cellStyle name="Normal 3 16 2 3 2" xfId="4900" xr:uid="{00000000-0005-0000-0000-00003F0B0000}"/>
    <cellStyle name="Normal 3 16 2 3 2 2" xfId="4901" xr:uid="{00000000-0005-0000-0000-0000400B0000}"/>
    <cellStyle name="Normal 3 16 2 3 3" xfId="4902" xr:uid="{00000000-0005-0000-0000-0000410B0000}"/>
    <cellStyle name="Normal 3 16 2 3 3 2" xfId="4903" xr:uid="{00000000-0005-0000-0000-0000420B0000}"/>
    <cellStyle name="Normal 3 16 2 3 4" xfId="4904" xr:uid="{00000000-0005-0000-0000-0000430B0000}"/>
    <cellStyle name="Normal 3 16 2 3 5" xfId="4905" xr:uid="{00000000-0005-0000-0000-0000440B0000}"/>
    <cellStyle name="Normal 3 16 2 4" xfId="1791" xr:uid="{00000000-0005-0000-0000-0000450B0000}"/>
    <cellStyle name="Normal 3 16 2 4 2" xfId="4906" xr:uid="{00000000-0005-0000-0000-0000460B0000}"/>
    <cellStyle name="Normal 3 16 2 4 2 2" xfId="4907" xr:uid="{00000000-0005-0000-0000-0000470B0000}"/>
    <cellStyle name="Normal 3 16 2 4 3" xfId="4908" xr:uid="{00000000-0005-0000-0000-0000480B0000}"/>
    <cellStyle name="Normal 3 16 2 4 3 2" xfId="4909" xr:uid="{00000000-0005-0000-0000-0000490B0000}"/>
    <cellStyle name="Normal 3 16 2 4 4" xfId="4910" xr:uid="{00000000-0005-0000-0000-00004A0B0000}"/>
    <cellStyle name="Normal 3 16 2 4 5" xfId="4911" xr:uid="{00000000-0005-0000-0000-00004B0B0000}"/>
    <cellStyle name="Normal 3 16 2 5" xfId="1792" xr:uid="{00000000-0005-0000-0000-00004C0B0000}"/>
    <cellStyle name="Normal 3 16 2 5 2" xfId="4912" xr:uid="{00000000-0005-0000-0000-00004D0B0000}"/>
    <cellStyle name="Normal 3 16 2 5 2 2" xfId="4913" xr:uid="{00000000-0005-0000-0000-00004E0B0000}"/>
    <cellStyle name="Normal 3 16 2 5 3" xfId="4914" xr:uid="{00000000-0005-0000-0000-00004F0B0000}"/>
    <cellStyle name="Normal 3 16 2 5 3 2" xfId="4915" xr:uid="{00000000-0005-0000-0000-0000500B0000}"/>
    <cellStyle name="Normal 3 16 2 5 4" xfId="4916" xr:uid="{00000000-0005-0000-0000-0000510B0000}"/>
    <cellStyle name="Normal 3 16 2 5 5" xfId="4917" xr:uid="{00000000-0005-0000-0000-0000520B0000}"/>
    <cellStyle name="Normal 3 16 2 6" xfId="1793" xr:uid="{00000000-0005-0000-0000-0000530B0000}"/>
    <cellStyle name="Normal 3 16 2 6 2" xfId="4918" xr:uid="{00000000-0005-0000-0000-0000540B0000}"/>
    <cellStyle name="Normal 3 16 2 6 2 2" xfId="4919" xr:uid="{00000000-0005-0000-0000-0000550B0000}"/>
    <cellStyle name="Normal 3 16 2 6 3" xfId="4920" xr:uid="{00000000-0005-0000-0000-0000560B0000}"/>
    <cellStyle name="Normal 3 16 2 6 3 2" xfId="4921" xr:uid="{00000000-0005-0000-0000-0000570B0000}"/>
    <cellStyle name="Normal 3 16 2 6 4" xfId="4922" xr:uid="{00000000-0005-0000-0000-0000580B0000}"/>
    <cellStyle name="Normal 3 16 2 6 5" xfId="4923" xr:uid="{00000000-0005-0000-0000-0000590B0000}"/>
    <cellStyle name="Normal 3 16 2 7" xfId="1794" xr:uid="{00000000-0005-0000-0000-00005A0B0000}"/>
    <cellStyle name="Normal 3 16 2 7 2" xfId="4924" xr:uid="{00000000-0005-0000-0000-00005B0B0000}"/>
    <cellStyle name="Normal 3 16 2 7 2 2" xfId="4925" xr:uid="{00000000-0005-0000-0000-00005C0B0000}"/>
    <cellStyle name="Normal 3 16 2 7 3" xfId="4926" xr:uid="{00000000-0005-0000-0000-00005D0B0000}"/>
    <cellStyle name="Normal 3 16 2 7 3 2" xfId="4927" xr:uid="{00000000-0005-0000-0000-00005E0B0000}"/>
    <cellStyle name="Normal 3 16 2 7 4" xfId="4928" xr:uid="{00000000-0005-0000-0000-00005F0B0000}"/>
    <cellStyle name="Normal 3 16 2 7 5" xfId="4929" xr:uid="{00000000-0005-0000-0000-0000600B0000}"/>
    <cellStyle name="Normal 3 16 2 8" xfId="1795" xr:uid="{00000000-0005-0000-0000-0000610B0000}"/>
    <cellStyle name="Normal 3 16 2 8 2" xfId="4930" xr:uid="{00000000-0005-0000-0000-0000620B0000}"/>
    <cellStyle name="Normal 3 16 2 8 2 2" xfId="4931" xr:uid="{00000000-0005-0000-0000-0000630B0000}"/>
    <cellStyle name="Normal 3 16 2 8 3" xfId="4932" xr:uid="{00000000-0005-0000-0000-0000640B0000}"/>
    <cellStyle name="Normal 3 16 2 8 3 2" xfId="4933" xr:uid="{00000000-0005-0000-0000-0000650B0000}"/>
    <cellStyle name="Normal 3 16 2 8 4" xfId="4934" xr:uid="{00000000-0005-0000-0000-0000660B0000}"/>
    <cellStyle name="Normal 3 16 2 8 5" xfId="4935" xr:uid="{00000000-0005-0000-0000-0000670B0000}"/>
    <cellStyle name="Normal 3 16 2 9" xfId="1796" xr:uid="{00000000-0005-0000-0000-0000680B0000}"/>
    <cellStyle name="Normal 3 16 2 9 2" xfId="4936" xr:uid="{00000000-0005-0000-0000-0000690B0000}"/>
    <cellStyle name="Normal 3 16 2 9 2 2" xfId="4937" xr:uid="{00000000-0005-0000-0000-00006A0B0000}"/>
    <cellStyle name="Normal 3 16 2 9 3" xfId="4938" xr:uid="{00000000-0005-0000-0000-00006B0B0000}"/>
    <cellStyle name="Normal 3 16 2 9 3 2" xfId="4939" xr:uid="{00000000-0005-0000-0000-00006C0B0000}"/>
    <cellStyle name="Normal 3 16 2 9 4" xfId="4940" xr:uid="{00000000-0005-0000-0000-00006D0B0000}"/>
    <cellStyle name="Normal 3 16 2 9 5" xfId="4941" xr:uid="{00000000-0005-0000-0000-00006E0B0000}"/>
    <cellStyle name="Normal 3 16 3" xfId="1797" xr:uid="{00000000-0005-0000-0000-00006F0B0000}"/>
    <cellStyle name="Normal 3 16 3 2" xfId="4942" xr:uid="{00000000-0005-0000-0000-0000700B0000}"/>
    <cellStyle name="Normal 3 16 3 2 2" xfId="4943" xr:uid="{00000000-0005-0000-0000-0000710B0000}"/>
    <cellStyle name="Normal 3 16 3 3" xfId="4944" xr:uid="{00000000-0005-0000-0000-0000720B0000}"/>
    <cellStyle name="Normal 3 16 3 3 2" xfId="4945" xr:uid="{00000000-0005-0000-0000-0000730B0000}"/>
    <cellStyle name="Normal 3 16 3 4" xfId="4946" xr:uid="{00000000-0005-0000-0000-0000740B0000}"/>
    <cellStyle name="Normal 3 16 3 5" xfId="4947" xr:uid="{00000000-0005-0000-0000-0000750B0000}"/>
    <cellStyle name="Normal 3 16 4" xfId="1798" xr:uid="{00000000-0005-0000-0000-0000760B0000}"/>
    <cellStyle name="Normal 3 16 4 2" xfId="4948" xr:uid="{00000000-0005-0000-0000-0000770B0000}"/>
    <cellStyle name="Normal 3 16 4 2 2" xfId="4949" xr:uid="{00000000-0005-0000-0000-0000780B0000}"/>
    <cellStyle name="Normal 3 16 4 3" xfId="4950" xr:uid="{00000000-0005-0000-0000-0000790B0000}"/>
    <cellStyle name="Normal 3 16 4 3 2" xfId="4951" xr:uid="{00000000-0005-0000-0000-00007A0B0000}"/>
    <cellStyle name="Normal 3 16 4 4" xfId="4952" xr:uid="{00000000-0005-0000-0000-00007B0B0000}"/>
    <cellStyle name="Normal 3 16 4 5" xfId="4953" xr:uid="{00000000-0005-0000-0000-00007C0B0000}"/>
    <cellStyle name="Normal 3 16 5" xfId="1799" xr:uid="{00000000-0005-0000-0000-00007D0B0000}"/>
    <cellStyle name="Normal 3 16 5 2" xfId="4954" xr:uid="{00000000-0005-0000-0000-00007E0B0000}"/>
    <cellStyle name="Normal 3 16 5 2 2" xfId="4955" xr:uid="{00000000-0005-0000-0000-00007F0B0000}"/>
    <cellStyle name="Normal 3 16 5 3" xfId="4956" xr:uid="{00000000-0005-0000-0000-0000800B0000}"/>
    <cellStyle name="Normal 3 16 5 3 2" xfId="4957" xr:uid="{00000000-0005-0000-0000-0000810B0000}"/>
    <cellStyle name="Normal 3 16 5 4" xfId="4958" xr:uid="{00000000-0005-0000-0000-0000820B0000}"/>
    <cellStyle name="Normal 3 16 5 5" xfId="4959" xr:uid="{00000000-0005-0000-0000-0000830B0000}"/>
    <cellStyle name="Normal 3 16 6" xfId="1800" xr:uid="{00000000-0005-0000-0000-0000840B0000}"/>
    <cellStyle name="Normal 3 16 6 2" xfId="4960" xr:uid="{00000000-0005-0000-0000-0000850B0000}"/>
    <cellStyle name="Normal 3 16 6 2 2" xfId="4961" xr:uid="{00000000-0005-0000-0000-0000860B0000}"/>
    <cellStyle name="Normal 3 16 6 3" xfId="4962" xr:uid="{00000000-0005-0000-0000-0000870B0000}"/>
    <cellStyle name="Normal 3 16 6 3 2" xfId="4963" xr:uid="{00000000-0005-0000-0000-0000880B0000}"/>
    <cellStyle name="Normal 3 16 6 4" xfId="4964" xr:uid="{00000000-0005-0000-0000-0000890B0000}"/>
    <cellStyle name="Normal 3 16 6 5" xfId="4965" xr:uid="{00000000-0005-0000-0000-00008A0B0000}"/>
    <cellStyle name="Normal 3 16 7" xfId="1801" xr:uid="{00000000-0005-0000-0000-00008B0B0000}"/>
    <cellStyle name="Normal 3 16 7 2" xfId="4966" xr:uid="{00000000-0005-0000-0000-00008C0B0000}"/>
    <cellStyle name="Normal 3 16 7 2 2" xfId="4967" xr:uid="{00000000-0005-0000-0000-00008D0B0000}"/>
    <cellStyle name="Normal 3 16 7 3" xfId="4968" xr:uid="{00000000-0005-0000-0000-00008E0B0000}"/>
    <cellStyle name="Normal 3 16 7 3 2" xfId="4969" xr:uid="{00000000-0005-0000-0000-00008F0B0000}"/>
    <cellStyle name="Normal 3 16 7 4" xfId="4970" xr:uid="{00000000-0005-0000-0000-0000900B0000}"/>
    <cellStyle name="Normal 3 16 7 5" xfId="4971" xr:uid="{00000000-0005-0000-0000-0000910B0000}"/>
    <cellStyle name="Normal 3 16 8" xfId="1802" xr:uid="{00000000-0005-0000-0000-0000920B0000}"/>
    <cellStyle name="Normal 3 16 8 2" xfId="4972" xr:uid="{00000000-0005-0000-0000-0000930B0000}"/>
    <cellStyle name="Normal 3 16 8 2 2" xfId="4973" xr:uid="{00000000-0005-0000-0000-0000940B0000}"/>
    <cellStyle name="Normal 3 16 8 3" xfId="4974" xr:uid="{00000000-0005-0000-0000-0000950B0000}"/>
    <cellStyle name="Normal 3 16 8 3 2" xfId="4975" xr:uid="{00000000-0005-0000-0000-0000960B0000}"/>
    <cellStyle name="Normal 3 16 8 4" xfId="4976" xr:uid="{00000000-0005-0000-0000-0000970B0000}"/>
    <cellStyle name="Normal 3 16 8 5" xfId="4977" xr:uid="{00000000-0005-0000-0000-0000980B0000}"/>
    <cellStyle name="Normal 3 16 9" xfId="1803" xr:uid="{00000000-0005-0000-0000-0000990B0000}"/>
    <cellStyle name="Normal 3 16 9 2" xfId="4978" xr:uid="{00000000-0005-0000-0000-00009A0B0000}"/>
    <cellStyle name="Normal 3 16 9 2 2" xfId="4979" xr:uid="{00000000-0005-0000-0000-00009B0B0000}"/>
    <cellStyle name="Normal 3 16 9 3" xfId="4980" xr:uid="{00000000-0005-0000-0000-00009C0B0000}"/>
    <cellStyle name="Normal 3 16 9 3 2" xfId="4981" xr:uid="{00000000-0005-0000-0000-00009D0B0000}"/>
    <cellStyle name="Normal 3 16 9 4" xfId="4982" xr:uid="{00000000-0005-0000-0000-00009E0B0000}"/>
    <cellStyle name="Normal 3 16 9 5" xfId="4983" xr:uid="{00000000-0005-0000-0000-00009F0B0000}"/>
    <cellStyle name="Normal 3 17" xfId="1804" xr:uid="{00000000-0005-0000-0000-0000A00B0000}"/>
    <cellStyle name="Normal 3 17 10" xfId="1805" xr:uid="{00000000-0005-0000-0000-0000A10B0000}"/>
    <cellStyle name="Normal 3 17 10 2" xfId="4984" xr:uid="{00000000-0005-0000-0000-0000A20B0000}"/>
    <cellStyle name="Normal 3 17 10 2 2" xfId="4985" xr:uid="{00000000-0005-0000-0000-0000A30B0000}"/>
    <cellStyle name="Normal 3 17 10 3" xfId="4986" xr:uid="{00000000-0005-0000-0000-0000A40B0000}"/>
    <cellStyle name="Normal 3 17 10 3 2" xfId="4987" xr:uid="{00000000-0005-0000-0000-0000A50B0000}"/>
    <cellStyle name="Normal 3 17 10 4" xfId="4988" xr:uid="{00000000-0005-0000-0000-0000A60B0000}"/>
    <cellStyle name="Normal 3 17 10 5" xfId="4989" xr:uid="{00000000-0005-0000-0000-0000A70B0000}"/>
    <cellStyle name="Normal 3 17 11" xfId="1806" xr:uid="{00000000-0005-0000-0000-0000A80B0000}"/>
    <cellStyle name="Normal 3 17 11 2" xfId="4990" xr:uid="{00000000-0005-0000-0000-0000A90B0000}"/>
    <cellStyle name="Normal 3 17 11 2 2" xfId="4991" xr:uid="{00000000-0005-0000-0000-0000AA0B0000}"/>
    <cellStyle name="Normal 3 17 11 3" xfId="4992" xr:uid="{00000000-0005-0000-0000-0000AB0B0000}"/>
    <cellStyle name="Normal 3 17 11 3 2" xfId="4993" xr:uid="{00000000-0005-0000-0000-0000AC0B0000}"/>
    <cellStyle name="Normal 3 17 11 4" xfId="4994" xr:uid="{00000000-0005-0000-0000-0000AD0B0000}"/>
    <cellStyle name="Normal 3 17 11 5" xfId="4995" xr:uid="{00000000-0005-0000-0000-0000AE0B0000}"/>
    <cellStyle name="Normal 3 17 12" xfId="1807" xr:uid="{00000000-0005-0000-0000-0000AF0B0000}"/>
    <cellStyle name="Normal 3 17 12 2" xfId="4996" xr:uid="{00000000-0005-0000-0000-0000B00B0000}"/>
    <cellStyle name="Normal 3 17 12 2 2" xfId="4997" xr:uid="{00000000-0005-0000-0000-0000B10B0000}"/>
    <cellStyle name="Normal 3 17 12 3" xfId="4998" xr:uid="{00000000-0005-0000-0000-0000B20B0000}"/>
    <cellStyle name="Normal 3 17 12 3 2" xfId="4999" xr:uid="{00000000-0005-0000-0000-0000B30B0000}"/>
    <cellStyle name="Normal 3 17 12 4" xfId="5000" xr:uid="{00000000-0005-0000-0000-0000B40B0000}"/>
    <cellStyle name="Normal 3 17 12 5" xfId="5001" xr:uid="{00000000-0005-0000-0000-0000B50B0000}"/>
    <cellStyle name="Normal 3 17 13" xfId="1808" xr:uid="{00000000-0005-0000-0000-0000B60B0000}"/>
    <cellStyle name="Normal 3 17 13 2" xfId="5002" xr:uid="{00000000-0005-0000-0000-0000B70B0000}"/>
    <cellStyle name="Normal 3 17 13 2 2" xfId="5003" xr:uid="{00000000-0005-0000-0000-0000B80B0000}"/>
    <cellStyle name="Normal 3 17 13 3" xfId="5004" xr:uid="{00000000-0005-0000-0000-0000B90B0000}"/>
    <cellStyle name="Normal 3 17 13 3 2" xfId="5005" xr:uid="{00000000-0005-0000-0000-0000BA0B0000}"/>
    <cellStyle name="Normal 3 17 13 4" xfId="5006" xr:uid="{00000000-0005-0000-0000-0000BB0B0000}"/>
    <cellStyle name="Normal 3 17 13 5" xfId="5007" xr:uid="{00000000-0005-0000-0000-0000BC0B0000}"/>
    <cellStyle name="Normal 3 17 14" xfId="5008" xr:uid="{00000000-0005-0000-0000-0000BD0B0000}"/>
    <cellStyle name="Normal 3 17 14 2" xfId="5009" xr:uid="{00000000-0005-0000-0000-0000BE0B0000}"/>
    <cellStyle name="Normal 3 17 15" xfId="5010" xr:uid="{00000000-0005-0000-0000-0000BF0B0000}"/>
    <cellStyle name="Normal 3 17 15 2" xfId="5011" xr:uid="{00000000-0005-0000-0000-0000C00B0000}"/>
    <cellStyle name="Normal 3 17 16" xfId="5012" xr:uid="{00000000-0005-0000-0000-0000C10B0000}"/>
    <cellStyle name="Normal 3 17 17" xfId="5013" xr:uid="{00000000-0005-0000-0000-0000C20B0000}"/>
    <cellStyle name="Normal 3 17 2" xfId="1809" xr:uid="{00000000-0005-0000-0000-0000C30B0000}"/>
    <cellStyle name="Normal 3 17 2 10" xfId="1810" xr:uid="{00000000-0005-0000-0000-0000C40B0000}"/>
    <cellStyle name="Normal 3 17 2 10 2" xfId="5014" xr:uid="{00000000-0005-0000-0000-0000C50B0000}"/>
    <cellStyle name="Normal 3 17 2 10 2 2" xfId="5015" xr:uid="{00000000-0005-0000-0000-0000C60B0000}"/>
    <cellStyle name="Normal 3 17 2 10 3" xfId="5016" xr:uid="{00000000-0005-0000-0000-0000C70B0000}"/>
    <cellStyle name="Normal 3 17 2 10 3 2" xfId="5017" xr:uid="{00000000-0005-0000-0000-0000C80B0000}"/>
    <cellStyle name="Normal 3 17 2 10 4" xfId="5018" xr:uid="{00000000-0005-0000-0000-0000C90B0000}"/>
    <cellStyle name="Normal 3 17 2 10 5" xfId="5019" xr:uid="{00000000-0005-0000-0000-0000CA0B0000}"/>
    <cellStyle name="Normal 3 17 2 11" xfId="1811" xr:uid="{00000000-0005-0000-0000-0000CB0B0000}"/>
    <cellStyle name="Normal 3 17 2 11 2" xfId="5020" xr:uid="{00000000-0005-0000-0000-0000CC0B0000}"/>
    <cellStyle name="Normal 3 17 2 11 2 2" xfId="5021" xr:uid="{00000000-0005-0000-0000-0000CD0B0000}"/>
    <cellStyle name="Normal 3 17 2 11 3" xfId="5022" xr:uid="{00000000-0005-0000-0000-0000CE0B0000}"/>
    <cellStyle name="Normal 3 17 2 11 3 2" xfId="5023" xr:uid="{00000000-0005-0000-0000-0000CF0B0000}"/>
    <cellStyle name="Normal 3 17 2 11 4" xfId="5024" xr:uid="{00000000-0005-0000-0000-0000D00B0000}"/>
    <cellStyle name="Normal 3 17 2 11 5" xfId="5025" xr:uid="{00000000-0005-0000-0000-0000D10B0000}"/>
    <cellStyle name="Normal 3 17 2 12" xfId="1812" xr:uid="{00000000-0005-0000-0000-0000D20B0000}"/>
    <cellStyle name="Normal 3 17 2 12 2" xfId="5026" xr:uid="{00000000-0005-0000-0000-0000D30B0000}"/>
    <cellStyle name="Normal 3 17 2 12 2 2" xfId="5027" xr:uid="{00000000-0005-0000-0000-0000D40B0000}"/>
    <cellStyle name="Normal 3 17 2 12 3" xfId="5028" xr:uid="{00000000-0005-0000-0000-0000D50B0000}"/>
    <cellStyle name="Normal 3 17 2 12 3 2" xfId="5029" xr:uid="{00000000-0005-0000-0000-0000D60B0000}"/>
    <cellStyle name="Normal 3 17 2 12 4" xfId="5030" xr:uid="{00000000-0005-0000-0000-0000D70B0000}"/>
    <cellStyle name="Normal 3 17 2 12 5" xfId="5031" xr:uid="{00000000-0005-0000-0000-0000D80B0000}"/>
    <cellStyle name="Normal 3 17 2 13" xfId="5032" xr:uid="{00000000-0005-0000-0000-0000D90B0000}"/>
    <cellStyle name="Normal 3 17 2 13 2" xfId="5033" xr:uid="{00000000-0005-0000-0000-0000DA0B0000}"/>
    <cellStyle name="Normal 3 17 2 14" xfId="5034" xr:uid="{00000000-0005-0000-0000-0000DB0B0000}"/>
    <cellStyle name="Normal 3 17 2 14 2" xfId="5035" xr:uid="{00000000-0005-0000-0000-0000DC0B0000}"/>
    <cellStyle name="Normal 3 17 2 15" xfId="5036" xr:uid="{00000000-0005-0000-0000-0000DD0B0000}"/>
    <cellStyle name="Normal 3 17 2 16" xfId="5037" xr:uid="{00000000-0005-0000-0000-0000DE0B0000}"/>
    <cellStyle name="Normal 3 17 2 2" xfId="1813" xr:uid="{00000000-0005-0000-0000-0000DF0B0000}"/>
    <cellStyle name="Normal 3 17 2 2 2" xfId="5038" xr:uid="{00000000-0005-0000-0000-0000E00B0000}"/>
    <cellStyle name="Normal 3 17 2 2 2 2" xfId="5039" xr:uid="{00000000-0005-0000-0000-0000E10B0000}"/>
    <cellStyle name="Normal 3 17 2 2 3" xfId="5040" xr:uid="{00000000-0005-0000-0000-0000E20B0000}"/>
    <cellStyle name="Normal 3 17 2 2 3 2" xfId="5041" xr:uid="{00000000-0005-0000-0000-0000E30B0000}"/>
    <cellStyle name="Normal 3 17 2 2 4" xfId="5042" xr:uid="{00000000-0005-0000-0000-0000E40B0000}"/>
    <cellStyle name="Normal 3 17 2 2 5" xfId="5043" xr:uid="{00000000-0005-0000-0000-0000E50B0000}"/>
    <cellStyle name="Normal 3 17 2 3" xfId="1814" xr:uid="{00000000-0005-0000-0000-0000E60B0000}"/>
    <cellStyle name="Normal 3 17 2 3 2" xfId="5044" xr:uid="{00000000-0005-0000-0000-0000E70B0000}"/>
    <cellStyle name="Normal 3 17 2 3 2 2" xfId="5045" xr:uid="{00000000-0005-0000-0000-0000E80B0000}"/>
    <cellStyle name="Normal 3 17 2 3 3" xfId="5046" xr:uid="{00000000-0005-0000-0000-0000E90B0000}"/>
    <cellStyle name="Normal 3 17 2 3 3 2" xfId="5047" xr:uid="{00000000-0005-0000-0000-0000EA0B0000}"/>
    <cellStyle name="Normal 3 17 2 3 4" xfId="5048" xr:uid="{00000000-0005-0000-0000-0000EB0B0000}"/>
    <cellStyle name="Normal 3 17 2 3 5" xfId="5049" xr:uid="{00000000-0005-0000-0000-0000EC0B0000}"/>
    <cellStyle name="Normal 3 17 2 4" xfId="1815" xr:uid="{00000000-0005-0000-0000-0000ED0B0000}"/>
    <cellStyle name="Normal 3 17 2 4 2" xfId="5050" xr:uid="{00000000-0005-0000-0000-0000EE0B0000}"/>
    <cellStyle name="Normal 3 17 2 4 2 2" xfId="5051" xr:uid="{00000000-0005-0000-0000-0000EF0B0000}"/>
    <cellStyle name="Normal 3 17 2 4 3" xfId="5052" xr:uid="{00000000-0005-0000-0000-0000F00B0000}"/>
    <cellStyle name="Normal 3 17 2 4 3 2" xfId="5053" xr:uid="{00000000-0005-0000-0000-0000F10B0000}"/>
    <cellStyle name="Normal 3 17 2 4 4" xfId="5054" xr:uid="{00000000-0005-0000-0000-0000F20B0000}"/>
    <cellStyle name="Normal 3 17 2 4 5" xfId="5055" xr:uid="{00000000-0005-0000-0000-0000F30B0000}"/>
    <cellStyle name="Normal 3 17 2 5" xfId="1816" xr:uid="{00000000-0005-0000-0000-0000F40B0000}"/>
    <cellStyle name="Normal 3 17 2 5 2" xfId="5056" xr:uid="{00000000-0005-0000-0000-0000F50B0000}"/>
    <cellStyle name="Normal 3 17 2 5 2 2" xfId="5057" xr:uid="{00000000-0005-0000-0000-0000F60B0000}"/>
    <cellStyle name="Normal 3 17 2 5 3" xfId="5058" xr:uid="{00000000-0005-0000-0000-0000F70B0000}"/>
    <cellStyle name="Normal 3 17 2 5 3 2" xfId="5059" xr:uid="{00000000-0005-0000-0000-0000F80B0000}"/>
    <cellStyle name="Normal 3 17 2 5 4" xfId="5060" xr:uid="{00000000-0005-0000-0000-0000F90B0000}"/>
    <cellStyle name="Normal 3 17 2 5 5" xfId="5061" xr:uid="{00000000-0005-0000-0000-0000FA0B0000}"/>
    <cellStyle name="Normal 3 17 2 6" xfId="1817" xr:uid="{00000000-0005-0000-0000-0000FB0B0000}"/>
    <cellStyle name="Normal 3 17 2 6 2" xfId="5062" xr:uid="{00000000-0005-0000-0000-0000FC0B0000}"/>
    <cellStyle name="Normal 3 17 2 6 2 2" xfId="5063" xr:uid="{00000000-0005-0000-0000-0000FD0B0000}"/>
    <cellStyle name="Normal 3 17 2 6 3" xfId="5064" xr:uid="{00000000-0005-0000-0000-0000FE0B0000}"/>
    <cellStyle name="Normal 3 17 2 6 3 2" xfId="5065" xr:uid="{00000000-0005-0000-0000-0000FF0B0000}"/>
    <cellStyle name="Normal 3 17 2 6 4" xfId="5066" xr:uid="{00000000-0005-0000-0000-0000000C0000}"/>
    <cellStyle name="Normal 3 17 2 6 5" xfId="5067" xr:uid="{00000000-0005-0000-0000-0000010C0000}"/>
    <cellStyle name="Normal 3 17 2 7" xfId="1818" xr:uid="{00000000-0005-0000-0000-0000020C0000}"/>
    <cellStyle name="Normal 3 17 2 7 2" xfId="5068" xr:uid="{00000000-0005-0000-0000-0000030C0000}"/>
    <cellStyle name="Normal 3 17 2 7 2 2" xfId="5069" xr:uid="{00000000-0005-0000-0000-0000040C0000}"/>
    <cellStyle name="Normal 3 17 2 7 3" xfId="5070" xr:uid="{00000000-0005-0000-0000-0000050C0000}"/>
    <cellStyle name="Normal 3 17 2 7 3 2" xfId="5071" xr:uid="{00000000-0005-0000-0000-0000060C0000}"/>
    <cellStyle name="Normal 3 17 2 7 4" xfId="5072" xr:uid="{00000000-0005-0000-0000-0000070C0000}"/>
    <cellStyle name="Normal 3 17 2 7 5" xfId="5073" xr:uid="{00000000-0005-0000-0000-0000080C0000}"/>
    <cellStyle name="Normal 3 17 2 8" xfId="1819" xr:uid="{00000000-0005-0000-0000-0000090C0000}"/>
    <cellStyle name="Normal 3 17 2 8 2" xfId="5074" xr:uid="{00000000-0005-0000-0000-00000A0C0000}"/>
    <cellStyle name="Normal 3 17 2 8 2 2" xfId="5075" xr:uid="{00000000-0005-0000-0000-00000B0C0000}"/>
    <cellStyle name="Normal 3 17 2 8 3" xfId="5076" xr:uid="{00000000-0005-0000-0000-00000C0C0000}"/>
    <cellStyle name="Normal 3 17 2 8 3 2" xfId="5077" xr:uid="{00000000-0005-0000-0000-00000D0C0000}"/>
    <cellStyle name="Normal 3 17 2 8 4" xfId="5078" xr:uid="{00000000-0005-0000-0000-00000E0C0000}"/>
    <cellStyle name="Normal 3 17 2 8 5" xfId="5079" xr:uid="{00000000-0005-0000-0000-00000F0C0000}"/>
    <cellStyle name="Normal 3 17 2 9" xfId="1820" xr:uid="{00000000-0005-0000-0000-0000100C0000}"/>
    <cellStyle name="Normal 3 17 2 9 2" xfId="5080" xr:uid="{00000000-0005-0000-0000-0000110C0000}"/>
    <cellStyle name="Normal 3 17 2 9 2 2" xfId="5081" xr:uid="{00000000-0005-0000-0000-0000120C0000}"/>
    <cellStyle name="Normal 3 17 2 9 3" xfId="5082" xr:uid="{00000000-0005-0000-0000-0000130C0000}"/>
    <cellStyle name="Normal 3 17 2 9 3 2" xfId="5083" xr:uid="{00000000-0005-0000-0000-0000140C0000}"/>
    <cellStyle name="Normal 3 17 2 9 4" xfId="5084" xr:uid="{00000000-0005-0000-0000-0000150C0000}"/>
    <cellStyle name="Normal 3 17 2 9 5" xfId="5085" xr:uid="{00000000-0005-0000-0000-0000160C0000}"/>
    <cellStyle name="Normal 3 17 3" xfId="1821" xr:uid="{00000000-0005-0000-0000-0000170C0000}"/>
    <cellStyle name="Normal 3 17 3 2" xfId="5086" xr:uid="{00000000-0005-0000-0000-0000180C0000}"/>
    <cellStyle name="Normal 3 17 3 2 2" xfId="5087" xr:uid="{00000000-0005-0000-0000-0000190C0000}"/>
    <cellStyle name="Normal 3 17 3 3" xfId="5088" xr:uid="{00000000-0005-0000-0000-00001A0C0000}"/>
    <cellStyle name="Normal 3 17 3 3 2" xfId="5089" xr:uid="{00000000-0005-0000-0000-00001B0C0000}"/>
    <cellStyle name="Normal 3 17 3 4" xfId="5090" xr:uid="{00000000-0005-0000-0000-00001C0C0000}"/>
    <cellStyle name="Normal 3 17 3 5" xfId="5091" xr:uid="{00000000-0005-0000-0000-00001D0C0000}"/>
    <cellStyle name="Normal 3 17 4" xfId="1822" xr:uid="{00000000-0005-0000-0000-00001E0C0000}"/>
    <cellStyle name="Normal 3 17 4 2" xfId="5092" xr:uid="{00000000-0005-0000-0000-00001F0C0000}"/>
    <cellStyle name="Normal 3 17 4 2 2" xfId="5093" xr:uid="{00000000-0005-0000-0000-0000200C0000}"/>
    <cellStyle name="Normal 3 17 4 3" xfId="5094" xr:uid="{00000000-0005-0000-0000-0000210C0000}"/>
    <cellStyle name="Normal 3 17 4 3 2" xfId="5095" xr:uid="{00000000-0005-0000-0000-0000220C0000}"/>
    <cellStyle name="Normal 3 17 4 4" xfId="5096" xr:uid="{00000000-0005-0000-0000-0000230C0000}"/>
    <cellStyle name="Normal 3 17 4 5" xfId="5097" xr:uid="{00000000-0005-0000-0000-0000240C0000}"/>
    <cellStyle name="Normal 3 17 5" xfId="1823" xr:uid="{00000000-0005-0000-0000-0000250C0000}"/>
    <cellStyle name="Normal 3 17 5 2" xfId="5098" xr:uid="{00000000-0005-0000-0000-0000260C0000}"/>
    <cellStyle name="Normal 3 17 5 2 2" xfId="5099" xr:uid="{00000000-0005-0000-0000-0000270C0000}"/>
    <cellStyle name="Normal 3 17 5 3" xfId="5100" xr:uid="{00000000-0005-0000-0000-0000280C0000}"/>
    <cellStyle name="Normal 3 17 5 3 2" xfId="5101" xr:uid="{00000000-0005-0000-0000-0000290C0000}"/>
    <cellStyle name="Normal 3 17 5 4" xfId="5102" xr:uid="{00000000-0005-0000-0000-00002A0C0000}"/>
    <cellStyle name="Normal 3 17 5 5" xfId="5103" xr:uid="{00000000-0005-0000-0000-00002B0C0000}"/>
    <cellStyle name="Normal 3 17 6" xfId="1824" xr:uid="{00000000-0005-0000-0000-00002C0C0000}"/>
    <cellStyle name="Normal 3 17 6 2" xfId="5104" xr:uid="{00000000-0005-0000-0000-00002D0C0000}"/>
    <cellStyle name="Normal 3 17 6 2 2" xfId="5105" xr:uid="{00000000-0005-0000-0000-00002E0C0000}"/>
    <cellStyle name="Normal 3 17 6 3" xfId="5106" xr:uid="{00000000-0005-0000-0000-00002F0C0000}"/>
    <cellStyle name="Normal 3 17 6 3 2" xfId="5107" xr:uid="{00000000-0005-0000-0000-0000300C0000}"/>
    <cellStyle name="Normal 3 17 6 4" xfId="5108" xr:uid="{00000000-0005-0000-0000-0000310C0000}"/>
    <cellStyle name="Normal 3 17 6 5" xfId="5109" xr:uid="{00000000-0005-0000-0000-0000320C0000}"/>
    <cellStyle name="Normal 3 17 7" xfId="1825" xr:uid="{00000000-0005-0000-0000-0000330C0000}"/>
    <cellStyle name="Normal 3 17 7 2" xfId="5110" xr:uid="{00000000-0005-0000-0000-0000340C0000}"/>
    <cellStyle name="Normal 3 17 7 2 2" xfId="5111" xr:uid="{00000000-0005-0000-0000-0000350C0000}"/>
    <cellStyle name="Normal 3 17 7 3" xfId="5112" xr:uid="{00000000-0005-0000-0000-0000360C0000}"/>
    <cellStyle name="Normal 3 17 7 3 2" xfId="5113" xr:uid="{00000000-0005-0000-0000-0000370C0000}"/>
    <cellStyle name="Normal 3 17 7 4" xfId="5114" xr:uid="{00000000-0005-0000-0000-0000380C0000}"/>
    <cellStyle name="Normal 3 17 7 5" xfId="5115" xr:uid="{00000000-0005-0000-0000-0000390C0000}"/>
    <cellStyle name="Normal 3 17 8" xfId="1826" xr:uid="{00000000-0005-0000-0000-00003A0C0000}"/>
    <cellStyle name="Normal 3 17 8 2" xfId="5116" xr:uid="{00000000-0005-0000-0000-00003B0C0000}"/>
    <cellStyle name="Normal 3 17 8 2 2" xfId="5117" xr:uid="{00000000-0005-0000-0000-00003C0C0000}"/>
    <cellStyle name="Normal 3 17 8 3" xfId="5118" xr:uid="{00000000-0005-0000-0000-00003D0C0000}"/>
    <cellStyle name="Normal 3 17 8 3 2" xfId="5119" xr:uid="{00000000-0005-0000-0000-00003E0C0000}"/>
    <cellStyle name="Normal 3 17 8 4" xfId="5120" xr:uid="{00000000-0005-0000-0000-00003F0C0000}"/>
    <cellStyle name="Normal 3 17 8 5" xfId="5121" xr:uid="{00000000-0005-0000-0000-0000400C0000}"/>
    <cellStyle name="Normal 3 17 9" xfId="1827" xr:uid="{00000000-0005-0000-0000-0000410C0000}"/>
    <cellStyle name="Normal 3 17 9 2" xfId="5122" xr:uid="{00000000-0005-0000-0000-0000420C0000}"/>
    <cellStyle name="Normal 3 17 9 2 2" xfId="5123" xr:uid="{00000000-0005-0000-0000-0000430C0000}"/>
    <cellStyle name="Normal 3 17 9 3" xfId="5124" xr:uid="{00000000-0005-0000-0000-0000440C0000}"/>
    <cellStyle name="Normal 3 17 9 3 2" xfId="5125" xr:uid="{00000000-0005-0000-0000-0000450C0000}"/>
    <cellStyle name="Normal 3 17 9 4" xfId="5126" xr:uid="{00000000-0005-0000-0000-0000460C0000}"/>
    <cellStyle name="Normal 3 17 9 5" xfId="5127" xr:uid="{00000000-0005-0000-0000-0000470C0000}"/>
    <cellStyle name="Normal 3 18" xfId="1828" xr:uid="{00000000-0005-0000-0000-0000480C0000}"/>
    <cellStyle name="Normal 3 18 10" xfId="1829" xr:uid="{00000000-0005-0000-0000-0000490C0000}"/>
    <cellStyle name="Normal 3 18 10 2" xfId="5128" xr:uid="{00000000-0005-0000-0000-00004A0C0000}"/>
    <cellStyle name="Normal 3 18 10 2 2" xfId="5129" xr:uid="{00000000-0005-0000-0000-00004B0C0000}"/>
    <cellStyle name="Normal 3 18 10 3" xfId="5130" xr:uid="{00000000-0005-0000-0000-00004C0C0000}"/>
    <cellStyle name="Normal 3 18 10 3 2" xfId="5131" xr:uid="{00000000-0005-0000-0000-00004D0C0000}"/>
    <cellStyle name="Normal 3 18 10 4" xfId="5132" xr:uid="{00000000-0005-0000-0000-00004E0C0000}"/>
    <cellStyle name="Normal 3 18 10 5" xfId="5133" xr:uid="{00000000-0005-0000-0000-00004F0C0000}"/>
    <cellStyle name="Normal 3 18 11" xfId="1830" xr:uid="{00000000-0005-0000-0000-0000500C0000}"/>
    <cellStyle name="Normal 3 18 11 2" xfId="5134" xr:uid="{00000000-0005-0000-0000-0000510C0000}"/>
    <cellStyle name="Normal 3 18 11 2 2" xfId="5135" xr:uid="{00000000-0005-0000-0000-0000520C0000}"/>
    <cellStyle name="Normal 3 18 11 3" xfId="5136" xr:uid="{00000000-0005-0000-0000-0000530C0000}"/>
    <cellStyle name="Normal 3 18 11 3 2" xfId="5137" xr:uid="{00000000-0005-0000-0000-0000540C0000}"/>
    <cellStyle name="Normal 3 18 11 4" xfId="5138" xr:uid="{00000000-0005-0000-0000-0000550C0000}"/>
    <cellStyle name="Normal 3 18 11 5" xfId="5139" xr:uid="{00000000-0005-0000-0000-0000560C0000}"/>
    <cellStyle name="Normal 3 18 12" xfId="1831" xr:uid="{00000000-0005-0000-0000-0000570C0000}"/>
    <cellStyle name="Normal 3 18 12 2" xfId="5140" xr:uid="{00000000-0005-0000-0000-0000580C0000}"/>
    <cellStyle name="Normal 3 18 12 2 2" xfId="5141" xr:uid="{00000000-0005-0000-0000-0000590C0000}"/>
    <cellStyle name="Normal 3 18 12 3" xfId="5142" xr:uid="{00000000-0005-0000-0000-00005A0C0000}"/>
    <cellStyle name="Normal 3 18 12 3 2" xfId="5143" xr:uid="{00000000-0005-0000-0000-00005B0C0000}"/>
    <cellStyle name="Normal 3 18 12 4" xfId="5144" xr:uid="{00000000-0005-0000-0000-00005C0C0000}"/>
    <cellStyle name="Normal 3 18 12 5" xfId="5145" xr:uid="{00000000-0005-0000-0000-00005D0C0000}"/>
    <cellStyle name="Normal 3 18 13" xfId="1832" xr:uid="{00000000-0005-0000-0000-00005E0C0000}"/>
    <cellStyle name="Normal 3 18 13 2" xfId="5146" xr:uid="{00000000-0005-0000-0000-00005F0C0000}"/>
    <cellStyle name="Normal 3 18 13 2 2" xfId="5147" xr:uid="{00000000-0005-0000-0000-0000600C0000}"/>
    <cellStyle name="Normal 3 18 13 3" xfId="5148" xr:uid="{00000000-0005-0000-0000-0000610C0000}"/>
    <cellStyle name="Normal 3 18 13 3 2" xfId="5149" xr:uid="{00000000-0005-0000-0000-0000620C0000}"/>
    <cellStyle name="Normal 3 18 13 4" xfId="5150" xr:uid="{00000000-0005-0000-0000-0000630C0000}"/>
    <cellStyle name="Normal 3 18 13 5" xfId="5151" xr:uid="{00000000-0005-0000-0000-0000640C0000}"/>
    <cellStyle name="Normal 3 18 14" xfId="5152" xr:uid="{00000000-0005-0000-0000-0000650C0000}"/>
    <cellStyle name="Normal 3 18 14 2" xfId="5153" xr:uid="{00000000-0005-0000-0000-0000660C0000}"/>
    <cellStyle name="Normal 3 18 15" xfId="5154" xr:uid="{00000000-0005-0000-0000-0000670C0000}"/>
    <cellStyle name="Normal 3 18 15 2" xfId="5155" xr:uid="{00000000-0005-0000-0000-0000680C0000}"/>
    <cellStyle name="Normal 3 18 16" xfId="5156" xr:uid="{00000000-0005-0000-0000-0000690C0000}"/>
    <cellStyle name="Normal 3 18 17" xfId="5157" xr:uid="{00000000-0005-0000-0000-00006A0C0000}"/>
    <cellStyle name="Normal 3 18 2" xfId="1833" xr:uid="{00000000-0005-0000-0000-00006B0C0000}"/>
    <cellStyle name="Normal 3 18 2 10" xfId="1834" xr:uid="{00000000-0005-0000-0000-00006C0C0000}"/>
    <cellStyle name="Normal 3 18 2 10 2" xfId="5158" xr:uid="{00000000-0005-0000-0000-00006D0C0000}"/>
    <cellStyle name="Normal 3 18 2 10 2 2" xfId="5159" xr:uid="{00000000-0005-0000-0000-00006E0C0000}"/>
    <cellStyle name="Normal 3 18 2 10 3" xfId="5160" xr:uid="{00000000-0005-0000-0000-00006F0C0000}"/>
    <cellStyle name="Normal 3 18 2 10 3 2" xfId="5161" xr:uid="{00000000-0005-0000-0000-0000700C0000}"/>
    <cellStyle name="Normal 3 18 2 10 4" xfId="5162" xr:uid="{00000000-0005-0000-0000-0000710C0000}"/>
    <cellStyle name="Normal 3 18 2 10 5" xfId="5163" xr:uid="{00000000-0005-0000-0000-0000720C0000}"/>
    <cellStyle name="Normal 3 18 2 11" xfId="1835" xr:uid="{00000000-0005-0000-0000-0000730C0000}"/>
    <cellStyle name="Normal 3 18 2 11 2" xfId="5164" xr:uid="{00000000-0005-0000-0000-0000740C0000}"/>
    <cellStyle name="Normal 3 18 2 11 2 2" xfId="5165" xr:uid="{00000000-0005-0000-0000-0000750C0000}"/>
    <cellStyle name="Normal 3 18 2 11 3" xfId="5166" xr:uid="{00000000-0005-0000-0000-0000760C0000}"/>
    <cellStyle name="Normal 3 18 2 11 3 2" xfId="5167" xr:uid="{00000000-0005-0000-0000-0000770C0000}"/>
    <cellStyle name="Normal 3 18 2 11 4" xfId="5168" xr:uid="{00000000-0005-0000-0000-0000780C0000}"/>
    <cellStyle name="Normal 3 18 2 11 5" xfId="5169" xr:uid="{00000000-0005-0000-0000-0000790C0000}"/>
    <cellStyle name="Normal 3 18 2 12" xfId="1836" xr:uid="{00000000-0005-0000-0000-00007A0C0000}"/>
    <cellStyle name="Normal 3 18 2 12 2" xfId="5170" xr:uid="{00000000-0005-0000-0000-00007B0C0000}"/>
    <cellStyle name="Normal 3 18 2 12 2 2" xfId="5171" xr:uid="{00000000-0005-0000-0000-00007C0C0000}"/>
    <cellStyle name="Normal 3 18 2 12 3" xfId="5172" xr:uid="{00000000-0005-0000-0000-00007D0C0000}"/>
    <cellStyle name="Normal 3 18 2 12 3 2" xfId="5173" xr:uid="{00000000-0005-0000-0000-00007E0C0000}"/>
    <cellStyle name="Normal 3 18 2 12 4" xfId="5174" xr:uid="{00000000-0005-0000-0000-00007F0C0000}"/>
    <cellStyle name="Normal 3 18 2 12 5" xfId="5175" xr:uid="{00000000-0005-0000-0000-0000800C0000}"/>
    <cellStyle name="Normal 3 18 2 13" xfId="5176" xr:uid="{00000000-0005-0000-0000-0000810C0000}"/>
    <cellStyle name="Normal 3 18 2 13 2" xfId="5177" xr:uid="{00000000-0005-0000-0000-0000820C0000}"/>
    <cellStyle name="Normal 3 18 2 14" xfId="5178" xr:uid="{00000000-0005-0000-0000-0000830C0000}"/>
    <cellStyle name="Normal 3 18 2 14 2" xfId="5179" xr:uid="{00000000-0005-0000-0000-0000840C0000}"/>
    <cellStyle name="Normal 3 18 2 15" xfId="5180" xr:uid="{00000000-0005-0000-0000-0000850C0000}"/>
    <cellStyle name="Normal 3 18 2 16" xfId="5181" xr:uid="{00000000-0005-0000-0000-0000860C0000}"/>
    <cellStyle name="Normal 3 18 2 2" xfId="1837" xr:uid="{00000000-0005-0000-0000-0000870C0000}"/>
    <cellStyle name="Normal 3 18 2 2 2" xfId="5182" xr:uid="{00000000-0005-0000-0000-0000880C0000}"/>
    <cellStyle name="Normal 3 18 2 2 2 2" xfId="5183" xr:uid="{00000000-0005-0000-0000-0000890C0000}"/>
    <cellStyle name="Normal 3 18 2 2 3" xfId="5184" xr:uid="{00000000-0005-0000-0000-00008A0C0000}"/>
    <cellStyle name="Normal 3 18 2 2 3 2" xfId="5185" xr:uid="{00000000-0005-0000-0000-00008B0C0000}"/>
    <cellStyle name="Normal 3 18 2 2 4" xfId="5186" xr:uid="{00000000-0005-0000-0000-00008C0C0000}"/>
    <cellStyle name="Normal 3 18 2 2 5" xfId="5187" xr:uid="{00000000-0005-0000-0000-00008D0C0000}"/>
    <cellStyle name="Normal 3 18 2 3" xfId="1838" xr:uid="{00000000-0005-0000-0000-00008E0C0000}"/>
    <cellStyle name="Normal 3 18 2 3 2" xfId="5188" xr:uid="{00000000-0005-0000-0000-00008F0C0000}"/>
    <cellStyle name="Normal 3 18 2 3 2 2" xfId="5189" xr:uid="{00000000-0005-0000-0000-0000900C0000}"/>
    <cellStyle name="Normal 3 18 2 3 3" xfId="5190" xr:uid="{00000000-0005-0000-0000-0000910C0000}"/>
    <cellStyle name="Normal 3 18 2 3 3 2" xfId="5191" xr:uid="{00000000-0005-0000-0000-0000920C0000}"/>
    <cellStyle name="Normal 3 18 2 3 4" xfId="5192" xr:uid="{00000000-0005-0000-0000-0000930C0000}"/>
    <cellStyle name="Normal 3 18 2 3 5" xfId="5193" xr:uid="{00000000-0005-0000-0000-0000940C0000}"/>
    <cellStyle name="Normal 3 18 2 4" xfId="1839" xr:uid="{00000000-0005-0000-0000-0000950C0000}"/>
    <cellStyle name="Normal 3 18 2 4 2" xfId="5194" xr:uid="{00000000-0005-0000-0000-0000960C0000}"/>
    <cellStyle name="Normal 3 18 2 4 2 2" xfId="5195" xr:uid="{00000000-0005-0000-0000-0000970C0000}"/>
    <cellStyle name="Normal 3 18 2 4 3" xfId="5196" xr:uid="{00000000-0005-0000-0000-0000980C0000}"/>
    <cellStyle name="Normal 3 18 2 4 3 2" xfId="5197" xr:uid="{00000000-0005-0000-0000-0000990C0000}"/>
    <cellStyle name="Normal 3 18 2 4 4" xfId="5198" xr:uid="{00000000-0005-0000-0000-00009A0C0000}"/>
    <cellStyle name="Normal 3 18 2 4 5" xfId="5199" xr:uid="{00000000-0005-0000-0000-00009B0C0000}"/>
    <cellStyle name="Normal 3 18 2 5" xfId="1840" xr:uid="{00000000-0005-0000-0000-00009C0C0000}"/>
    <cellStyle name="Normal 3 18 2 5 2" xfId="5200" xr:uid="{00000000-0005-0000-0000-00009D0C0000}"/>
    <cellStyle name="Normal 3 18 2 5 2 2" xfId="5201" xr:uid="{00000000-0005-0000-0000-00009E0C0000}"/>
    <cellStyle name="Normal 3 18 2 5 3" xfId="5202" xr:uid="{00000000-0005-0000-0000-00009F0C0000}"/>
    <cellStyle name="Normal 3 18 2 5 3 2" xfId="5203" xr:uid="{00000000-0005-0000-0000-0000A00C0000}"/>
    <cellStyle name="Normal 3 18 2 5 4" xfId="5204" xr:uid="{00000000-0005-0000-0000-0000A10C0000}"/>
    <cellStyle name="Normal 3 18 2 5 5" xfId="5205" xr:uid="{00000000-0005-0000-0000-0000A20C0000}"/>
    <cellStyle name="Normal 3 18 2 6" xfId="1841" xr:uid="{00000000-0005-0000-0000-0000A30C0000}"/>
    <cellStyle name="Normal 3 18 2 6 2" xfId="5206" xr:uid="{00000000-0005-0000-0000-0000A40C0000}"/>
    <cellStyle name="Normal 3 18 2 6 2 2" xfId="5207" xr:uid="{00000000-0005-0000-0000-0000A50C0000}"/>
    <cellStyle name="Normal 3 18 2 6 3" xfId="5208" xr:uid="{00000000-0005-0000-0000-0000A60C0000}"/>
    <cellStyle name="Normal 3 18 2 6 3 2" xfId="5209" xr:uid="{00000000-0005-0000-0000-0000A70C0000}"/>
    <cellStyle name="Normal 3 18 2 6 4" xfId="5210" xr:uid="{00000000-0005-0000-0000-0000A80C0000}"/>
    <cellStyle name="Normal 3 18 2 6 5" xfId="5211" xr:uid="{00000000-0005-0000-0000-0000A90C0000}"/>
    <cellStyle name="Normal 3 18 2 7" xfId="1842" xr:uid="{00000000-0005-0000-0000-0000AA0C0000}"/>
    <cellStyle name="Normal 3 18 2 7 2" xfId="5212" xr:uid="{00000000-0005-0000-0000-0000AB0C0000}"/>
    <cellStyle name="Normal 3 18 2 7 2 2" xfId="5213" xr:uid="{00000000-0005-0000-0000-0000AC0C0000}"/>
    <cellStyle name="Normal 3 18 2 7 3" xfId="5214" xr:uid="{00000000-0005-0000-0000-0000AD0C0000}"/>
    <cellStyle name="Normal 3 18 2 7 3 2" xfId="5215" xr:uid="{00000000-0005-0000-0000-0000AE0C0000}"/>
    <cellStyle name="Normal 3 18 2 7 4" xfId="5216" xr:uid="{00000000-0005-0000-0000-0000AF0C0000}"/>
    <cellStyle name="Normal 3 18 2 7 5" xfId="5217" xr:uid="{00000000-0005-0000-0000-0000B00C0000}"/>
    <cellStyle name="Normal 3 18 2 8" xfId="1843" xr:uid="{00000000-0005-0000-0000-0000B10C0000}"/>
    <cellStyle name="Normal 3 18 2 8 2" xfId="5218" xr:uid="{00000000-0005-0000-0000-0000B20C0000}"/>
    <cellStyle name="Normal 3 18 2 8 2 2" xfId="5219" xr:uid="{00000000-0005-0000-0000-0000B30C0000}"/>
    <cellStyle name="Normal 3 18 2 8 3" xfId="5220" xr:uid="{00000000-0005-0000-0000-0000B40C0000}"/>
    <cellStyle name="Normal 3 18 2 8 3 2" xfId="5221" xr:uid="{00000000-0005-0000-0000-0000B50C0000}"/>
    <cellStyle name="Normal 3 18 2 8 4" xfId="5222" xr:uid="{00000000-0005-0000-0000-0000B60C0000}"/>
    <cellStyle name="Normal 3 18 2 8 5" xfId="5223" xr:uid="{00000000-0005-0000-0000-0000B70C0000}"/>
    <cellStyle name="Normal 3 18 2 9" xfId="1844" xr:uid="{00000000-0005-0000-0000-0000B80C0000}"/>
    <cellStyle name="Normal 3 18 2 9 2" xfId="5224" xr:uid="{00000000-0005-0000-0000-0000B90C0000}"/>
    <cellStyle name="Normal 3 18 2 9 2 2" xfId="5225" xr:uid="{00000000-0005-0000-0000-0000BA0C0000}"/>
    <cellStyle name="Normal 3 18 2 9 3" xfId="5226" xr:uid="{00000000-0005-0000-0000-0000BB0C0000}"/>
    <cellStyle name="Normal 3 18 2 9 3 2" xfId="5227" xr:uid="{00000000-0005-0000-0000-0000BC0C0000}"/>
    <cellStyle name="Normal 3 18 2 9 4" xfId="5228" xr:uid="{00000000-0005-0000-0000-0000BD0C0000}"/>
    <cellStyle name="Normal 3 18 2 9 5" xfId="5229" xr:uid="{00000000-0005-0000-0000-0000BE0C0000}"/>
    <cellStyle name="Normal 3 18 3" xfId="1845" xr:uid="{00000000-0005-0000-0000-0000BF0C0000}"/>
    <cellStyle name="Normal 3 18 3 2" xfId="5230" xr:uid="{00000000-0005-0000-0000-0000C00C0000}"/>
    <cellStyle name="Normal 3 18 3 2 2" xfId="5231" xr:uid="{00000000-0005-0000-0000-0000C10C0000}"/>
    <cellStyle name="Normal 3 18 3 3" xfId="5232" xr:uid="{00000000-0005-0000-0000-0000C20C0000}"/>
    <cellStyle name="Normal 3 18 3 3 2" xfId="5233" xr:uid="{00000000-0005-0000-0000-0000C30C0000}"/>
    <cellStyle name="Normal 3 18 3 4" xfId="5234" xr:uid="{00000000-0005-0000-0000-0000C40C0000}"/>
    <cellStyle name="Normal 3 18 3 5" xfId="5235" xr:uid="{00000000-0005-0000-0000-0000C50C0000}"/>
    <cellStyle name="Normal 3 18 4" xfId="1846" xr:uid="{00000000-0005-0000-0000-0000C60C0000}"/>
    <cellStyle name="Normal 3 18 4 2" xfId="5236" xr:uid="{00000000-0005-0000-0000-0000C70C0000}"/>
    <cellStyle name="Normal 3 18 4 2 2" xfId="5237" xr:uid="{00000000-0005-0000-0000-0000C80C0000}"/>
    <cellStyle name="Normal 3 18 4 3" xfId="5238" xr:uid="{00000000-0005-0000-0000-0000C90C0000}"/>
    <cellStyle name="Normal 3 18 4 3 2" xfId="5239" xr:uid="{00000000-0005-0000-0000-0000CA0C0000}"/>
    <cellStyle name="Normal 3 18 4 4" xfId="5240" xr:uid="{00000000-0005-0000-0000-0000CB0C0000}"/>
    <cellStyle name="Normal 3 18 4 5" xfId="5241" xr:uid="{00000000-0005-0000-0000-0000CC0C0000}"/>
    <cellStyle name="Normal 3 18 5" xfId="1847" xr:uid="{00000000-0005-0000-0000-0000CD0C0000}"/>
    <cellStyle name="Normal 3 18 5 2" xfId="5242" xr:uid="{00000000-0005-0000-0000-0000CE0C0000}"/>
    <cellStyle name="Normal 3 18 5 2 2" xfId="5243" xr:uid="{00000000-0005-0000-0000-0000CF0C0000}"/>
    <cellStyle name="Normal 3 18 5 3" xfId="5244" xr:uid="{00000000-0005-0000-0000-0000D00C0000}"/>
    <cellStyle name="Normal 3 18 5 3 2" xfId="5245" xr:uid="{00000000-0005-0000-0000-0000D10C0000}"/>
    <cellStyle name="Normal 3 18 5 4" xfId="5246" xr:uid="{00000000-0005-0000-0000-0000D20C0000}"/>
    <cellStyle name="Normal 3 18 5 5" xfId="5247" xr:uid="{00000000-0005-0000-0000-0000D30C0000}"/>
    <cellStyle name="Normal 3 18 6" xfId="1848" xr:uid="{00000000-0005-0000-0000-0000D40C0000}"/>
    <cellStyle name="Normal 3 18 6 2" xfId="5248" xr:uid="{00000000-0005-0000-0000-0000D50C0000}"/>
    <cellStyle name="Normal 3 18 6 2 2" xfId="5249" xr:uid="{00000000-0005-0000-0000-0000D60C0000}"/>
    <cellStyle name="Normal 3 18 6 3" xfId="5250" xr:uid="{00000000-0005-0000-0000-0000D70C0000}"/>
    <cellStyle name="Normal 3 18 6 3 2" xfId="5251" xr:uid="{00000000-0005-0000-0000-0000D80C0000}"/>
    <cellStyle name="Normal 3 18 6 4" xfId="5252" xr:uid="{00000000-0005-0000-0000-0000D90C0000}"/>
    <cellStyle name="Normal 3 18 6 5" xfId="5253" xr:uid="{00000000-0005-0000-0000-0000DA0C0000}"/>
    <cellStyle name="Normal 3 18 7" xfId="1849" xr:uid="{00000000-0005-0000-0000-0000DB0C0000}"/>
    <cellStyle name="Normal 3 18 7 2" xfId="5254" xr:uid="{00000000-0005-0000-0000-0000DC0C0000}"/>
    <cellStyle name="Normal 3 18 7 2 2" xfId="5255" xr:uid="{00000000-0005-0000-0000-0000DD0C0000}"/>
    <cellStyle name="Normal 3 18 7 3" xfId="5256" xr:uid="{00000000-0005-0000-0000-0000DE0C0000}"/>
    <cellStyle name="Normal 3 18 7 3 2" xfId="5257" xr:uid="{00000000-0005-0000-0000-0000DF0C0000}"/>
    <cellStyle name="Normal 3 18 7 4" xfId="5258" xr:uid="{00000000-0005-0000-0000-0000E00C0000}"/>
    <cellStyle name="Normal 3 18 7 5" xfId="5259" xr:uid="{00000000-0005-0000-0000-0000E10C0000}"/>
    <cellStyle name="Normal 3 18 8" xfId="1850" xr:uid="{00000000-0005-0000-0000-0000E20C0000}"/>
    <cellStyle name="Normal 3 18 8 2" xfId="5260" xr:uid="{00000000-0005-0000-0000-0000E30C0000}"/>
    <cellStyle name="Normal 3 18 8 2 2" xfId="5261" xr:uid="{00000000-0005-0000-0000-0000E40C0000}"/>
    <cellStyle name="Normal 3 18 8 3" xfId="5262" xr:uid="{00000000-0005-0000-0000-0000E50C0000}"/>
    <cellStyle name="Normal 3 18 8 3 2" xfId="5263" xr:uid="{00000000-0005-0000-0000-0000E60C0000}"/>
    <cellStyle name="Normal 3 18 8 4" xfId="5264" xr:uid="{00000000-0005-0000-0000-0000E70C0000}"/>
    <cellStyle name="Normal 3 18 8 5" xfId="5265" xr:uid="{00000000-0005-0000-0000-0000E80C0000}"/>
    <cellStyle name="Normal 3 18 9" xfId="1851" xr:uid="{00000000-0005-0000-0000-0000E90C0000}"/>
    <cellStyle name="Normal 3 18 9 2" xfId="5266" xr:uid="{00000000-0005-0000-0000-0000EA0C0000}"/>
    <cellStyle name="Normal 3 18 9 2 2" xfId="5267" xr:uid="{00000000-0005-0000-0000-0000EB0C0000}"/>
    <cellStyle name="Normal 3 18 9 3" xfId="5268" xr:uid="{00000000-0005-0000-0000-0000EC0C0000}"/>
    <cellStyle name="Normal 3 18 9 3 2" xfId="5269" xr:uid="{00000000-0005-0000-0000-0000ED0C0000}"/>
    <cellStyle name="Normal 3 18 9 4" xfId="5270" xr:uid="{00000000-0005-0000-0000-0000EE0C0000}"/>
    <cellStyle name="Normal 3 18 9 5" xfId="5271" xr:uid="{00000000-0005-0000-0000-0000EF0C0000}"/>
    <cellStyle name="Normal 3 19" xfId="1852" xr:uid="{00000000-0005-0000-0000-0000F00C0000}"/>
    <cellStyle name="Normal 3 19 10" xfId="1853" xr:uid="{00000000-0005-0000-0000-0000F10C0000}"/>
    <cellStyle name="Normal 3 19 10 2" xfId="5272" xr:uid="{00000000-0005-0000-0000-0000F20C0000}"/>
    <cellStyle name="Normal 3 19 10 2 2" xfId="5273" xr:uid="{00000000-0005-0000-0000-0000F30C0000}"/>
    <cellStyle name="Normal 3 19 10 3" xfId="5274" xr:uid="{00000000-0005-0000-0000-0000F40C0000}"/>
    <cellStyle name="Normal 3 19 10 3 2" xfId="5275" xr:uid="{00000000-0005-0000-0000-0000F50C0000}"/>
    <cellStyle name="Normal 3 19 10 4" xfId="5276" xr:uid="{00000000-0005-0000-0000-0000F60C0000}"/>
    <cellStyle name="Normal 3 19 10 5" xfId="5277" xr:uid="{00000000-0005-0000-0000-0000F70C0000}"/>
    <cellStyle name="Normal 3 19 11" xfId="1854" xr:uid="{00000000-0005-0000-0000-0000F80C0000}"/>
    <cellStyle name="Normal 3 19 11 2" xfId="5278" xr:uid="{00000000-0005-0000-0000-0000F90C0000}"/>
    <cellStyle name="Normal 3 19 11 2 2" xfId="5279" xr:uid="{00000000-0005-0000-0000-0000FA0C0000}"/>
    <cellStyle name="Normal 3 19 11 3" xfId="5280" xr:uid="{00000000-0005-0000-0000-0000FB0C0000}"/>
    <cellStyle name="Normal 3 19 11 3 2" xfId="5281" xr:uid="{00000000-0005-0000-0000-0000FC0C0000}"/>
    <cellStyle name="Normal 3 19 11 4" xfId="5282" xr:uid="{00000000-0005-0000-0000-0000FD0C0000}"/>
    <cellStyle name="Normal 3 19 11 5" xfId="5283" xr:uid="{00000000-0005-0000-0000-0000FE0C0000}"/>
    <cellStyle name="Normal 3 19 12" xfId="1855" xr:uid="{00000000-0005-0000-0000-0000FF0C0000}"/>
    <cellStyle name="Normal 3 19 12 2" xfId="5284" xr:uid="{00000000-0005-0000-0000-0000000D0000}"/>
    <cellStyle name="Normal 3 19 12 2 2" xfId="5285" xr:uid="{00000000-0005-0000-0000-0000010D0000}"/>
    <cellStyle name="Normal 3 19 12 3" xfId="5286" xr:uid="{00000000-0005-0000-0000-0000020D0000}"/>
    <cellStyle name="Normal 3 19 12 3 2" xfId="5287" xr:uid="{00000000-0005-0000-0000-0000030D0000}"/>
    <cellStyle name="Normal 3 19 12 4" xfId="5288" xr:uid="{00000000-0005-0000-0000-0000040D0000}"/>
    <cellStyle name="Normal 3 19 12 5" xfId="5289" xr:uid="{00000000-0005-0000-0000-0000050D0000}"/>
    <cellStyle name="Normal 3 19 13" xfId="1856" xr:uid="{00000000-0005-0000-0000-0000060D0000}"/>
    <cellStyle name="Normal 3 19 13 2" xfId="5290" xr:uid="{00000000-0005-0000-0000-0000070D0000}"/>
    <cellStyle name="Normal 3 19 13 2 2" xfId="5291" xr:uid="{00000000-0005-0000-0000-0000080D0000}"/>
    <cellStyle name="Normal 3 19 13 3" xfId="5292" xr:uid="{00000000-0005-0000-0000-0000090D0000}"/>
    <cellStyle name="Normal 3 19 13 3 2" xfId="5293" xr:uid="{00000000-0005-0000-0000-00000A0D0000}"/>
    <cellStyle name="Normal 3 19 13 4" xfId="5294" xr:uid="{00000000-0005-0000-0000-00000B0D0000}"/>
    <cellStyle name="Normal 3 19 13 5" xfId="5295" xr:uid="{00000000-0005-0000-0000-00000C0D0000}"/>
    <cellStyle name="Normal 3 19 14" xfId="5296" xr:uid="{00000000-0005-0000-0000-00000D0D0000}"/>
    <cellStyle name="Normal 3 19 14 2" xfId="5297" xr:uid="{00000000-0005-0000-0000-00000E0D0000}"/>
    <cellStyle name="Normal 3 19 15" xfId="5298" xr:uid="{00000000-0005-0000-0000-00000F0D0000}"/>
    <cellStyle name="Normal 3 19 15 2" xfId="5299" xr:uid="{00000000-0005-0000-0000-0000100D0000}"/>
    <cellStyle name="Normal 3 19 16" xfId="5300" xr:uid="{00000000-0005-0000-0000-0000110D0000}"/>
    <cellStyle name="Normal 3 19 17" xfId="5301" xr:uid="{00000000-0005-0000-0000-0000120D0000}"/>
    <cellStyle name="Normal 3 19 2" xfId="1857" xr:uid="{00000000-0005-0000-0000-0000130D0000}"/>
    <cellStyle name="Normal 3 19 2 10" xfId="1858" xr:uid="{00000000-0005-0000-0000-0000140D0000}"/>
    <cellStyle name="Normal 3 19 2 10 2" xfId="5302" xr:uid="{00000000-0005-0000-0000-0000150D0000}"/>
    <cellStyle name="Normal 3 19 2 10 2 2" xfId="5303" xr:uid="{00000000-0005-0000-0000-0000160D0000}"/>
    <cellStyle name="Normal 3 19 2 10 3" xfId="5304" xr:uid="{00000000-0005-0000-0000-0000170D0000}"/>
    <cellStyle name="Normal 3 19 2 10 3 2" xfId="5305" xr:uid="{00000000-0005-0000-0000-0000180D0000}"/>
    <cellStyle name="Normal 3 19 2 10 4" xfId="5306" xr:uid="{00000000-0005-0000-0000-0000190D0000}"/>
    <cellStyle name="Normal 3 19 2 10 5" xfId="5307" xr:uid="{00000000-0005-0000-0000-00001A0D0000}"/>
    <cellStyle name="Normal 3 19 2 11" xfId="1859" xr:uid="{00000000-0005-0000-0000-00001B0D0000}"/>
    <cellStyle name="Normal 3 19 2 11 2" xfId="5308" xr:uid="{00000000-0005-0000-0000-00001C0D0000}"/>
    <cellStyle name="Normal 3 19 2 11 2 2" xfId="5309" xr:uid="{00000000-0005-0000-0000-00001D0D0000}"/>
    <cellStyle name="Normal 3 19 2 11 3" xfId="5310" xr:uid="{00000000-0005-0000-0000-00001E0D0000}"/>
    <cellStyle name="Normal 3 19 2 11 3 2" xfId="5311" xr:uid="{00000000-0005-0000-0000-00001F0D0000}"/>
    <cellStyle name="Normal 3 19 2 11 4" xfId="5312" xr:uid="{00000000-0005-0000-0000-0000200D0000}"/>
    <cellStyle name="Normal 3 19 2 11 5" xfId="5313" xr:uid="{00000000-0005-0000-0000-0000210D0000}"/>
    <cellStyle name="Normal 3 19 2 12" xfId="1860" xr:uid="{00000000-0005-0000-0000-0000220D0000}"/>
    <cellStyle name="Normal 3 19 2 12 2" xfId="5314" xr:uid="{00000000-0005-0000-0000-0000230D0000}"/>
    <cellStyle name="Normal 3 19 2 12 2 2" xfId="5315" xr:uid="{00000000-0005-0000-0000-0000240D0000}"/>
    <cellStyle name="Normal 3 19 2 12 3" xfId="5316" xr:uid="{00000000-0005-0000-0000-0000250D0000}"/>
    <cellStyle name="Normal 3 19 2 12 3 2" xfId="5317" xr:uid="{00000000-0005-0000-0000-0000260D0000}"/>
    <cellStyle name="Normal 3 19 2 12 4" xfId="5318" xr:uid="{00000000-0005-0000-0000-0000270D0000}"/>
    <cellStyle name="Normal 3 19 2 12 5" xfId="5319" xr:uid="{00000000-0005-0000-0000-0000280D0000}"/>
    <cellStyle name="Normal 3 19 2 13" xfId="5320" xr:uid="{00000000-0005-0000-0000-0000290D0000}"/>
    <cellStyle name="Normal 3 19 2 13 2" xfId="5321" xr:uid="{00000000-0005-0000-0000-00002A0D0000}"/>
    <cellStyle name="Normal 3 19 2 14" xfId="5322" xr:uid="{00000000-0005-0000-0000-00002B0D0000}"/>
    <cellStyle name="Normal 3 19 2 14 2" xfId="5323" xr:uid="{00000000-0005-0000-0000-00002C0D0000}"/>
    <cellStyle name="Normal 3 19 2 15" xfId="5324" xr:uid="{00000000-0005-0000-0000-00002D0D0000}"/>
    <cellStyle name="Normal 3 19 2 16" xfId="5325" xr:uid="{00000000-0005-0000-0000-00002E0D0000}"/>
    <cellStyle name="Normal 3 19 2 2" xfId="1861" xr:uid="{00000000-0005-0000-0000-00002F0D0000}"/>
    <cellStyle name="Normal 3 19 2 2 2" xfId="5326" xr:uid="{00000000-0005-0000-0000-0000300D0000}"/>
    <cellStyle name="Normal 3 19 2 2 2 2" xfId="5327" xr:uid="{00000000-0005-0000-0000-0000310D0000}"/>
    <cellStyle name="Normal 3 19 2 2 3" xfId="5328" xr:uid="{00000000-0005-0000-0000-0000320D0000}"/>
    <cellStyle name="Normal 3 19 2 2 3 2" xfId="5329" xr:uid="{00000000-0005-0000-0000-0000330D0000}"/>
    <cellStyle name="Normal 3 19 2 2 4" xfId="5330" xr:uid="{00000000-0005-0000-0000-0000340D0000}"/>
    <cellStyle name="Normal 3 19 2 2 5" xfId="5331" xr:uid="{00000000-0005-0000-0000-0000350D0000}"/>
    <cellStyle name="Normal 3 19 2 3" xfId="1862" xr:uid="{00000000-0005-0000-0000-0000360D0000}"/>
    <cellStyle name="Normal 3 19 2 3 2" xfId="5332" xr:uid="{00000000-0005-0000-0000-0000370D0000}"/>
    <cellStyle name="Normal 3 19 2 3 2 2" xfId="5333" xr:uid="{00000000-0005-0000-0000-0000380D0000}"/>
    <cellStyle name="Normal 3 19 2 3 3" xfId="5334" xr:uid="{00000000-0005-0000-0000-0000390D0000}"/>
    <cellStyle name="Normal 3 19 2 3 3 2" xfId="5335" xr:uid="{00000000-0005-0000-0000-00003A0D0000}"/>
    <cellStyle name="Normal 3 19 2 3 4" xfId="5336" xr:uid="{00000000-0005-0000-0000-00003B0D0000}"/>
    <cellStyle name="Normal 3 19 2 3 5" xfId="5337" xr:uid="{00000000-0005-0000-0000-00003C0D0000}"/>
    <cellStyle name="Normal 3 19 2 4" xfId="1863" xr:uid="{00000000-0005-0000-0000-00003D0D0000}"/>
    <cellStyle name="Normal 3 19 2 4 2" xfId="5338" xr:uid="{00000000-0005-0000-0000-00003E0D0000}"/>
    <cellStyle name="Normal 3 19 2 4 2 2" xfId="5339" xr:uid="{00000000-0005-0000-0000-00003F0D0000}"/>
    <cellStyle name="Normal 3 19 2 4 3" xfId="5340" xr:uid="{00000000-0005-0000-0000-0000400D0000}"/>
    <cellStyle name="Normal 3 19 2 4 3 2" xfId="5341" xr:uid="{00000000-0005-0000-0000-0000410D0000}"/>
    <cellStyle name="Normal 3 19 2 4 4" xfId="5342" xr:uid="{00000000-0005-0000-0000-0000420D0000}"/>
    <cellStyle name="Normal 3 19 2 4 5" xfId="5343" xr:uid="{00000000-0005-0000-0000-0000430D0000}"/>
    <cellStyle name="Normal 3 19 2 5" xfId="1864" xr:uid="{00000000-0005-0000-0000-0000440D0000}"/>
    <cellStyle name="Normal 3 19 2 5 2" xfId="5344" xr:uid="{00000000-0005-0000-0000-0000450D0000}"/>
    <cellStyle name="Normal 3 19 2 5 2 2" xfId="5345" xr:uid="{00000000-0005-0000-0000-0000460D0000}"/>
    <cellStyle name="Normal 3 19 2 5 3" xfId="5346" xr:uid="{00000000-0005-0000-0000-0000470D0000}"/>
    <cellStyle name="Normal 3 19 2 5 3 2" xfId="5347" xr:uid="{00000000-0005-0000-0000-0000480D0000}"/>
    <cellStyle name="Normal 3 19 2 5 4" xfId="5348" xr:uid="{00000000-0005-0000-0000-0000490D0000}"/>
    <cellStyle name="Normal 3 19 2 5 5" xfId="5349" xr:uid="{00000000-0005-0000-0000-00004A0D0000}"/>
    <cellStyle name="Normal 3 19 2 6" xfId="1865" xr:uid="{00000000-0005-0000-0000-00004B0D0000}"/>
    <cellStyle name="Normal 3 19 2 6 2" xfId="5350" xr:uid="{00000000-0005-0000-0000-00004C0D0000}"/>
    <cellStyle name="Normal 3 19 2 6 2 2" xfId="5351" xr:uid="{00000000-0005-0000-0000-00004D0D0000}"/>
    <cellStyle name="Normal 3 19 2 6 3" xfId="5352" xr:uid="{00000000-0005-0000-0000-00004E0D0000}"/>
    <cellStyle name="Normal 3 19 2 6 3 2" xfId="5353" xr:uid="{00000000-0005-0000-0000-00004F0D0000}"/>
    <cellStyle name="Normal 3 19 2 6 4" xfId="5354" xr:uid="{00000000-0005-0000-0000-0000500D0000}"/>
    <cellStyle name="Normal 3 19 2 6 5" xfId="5355" xr:uid="{00000000-0005-0000-0000-0000510D0000}"/>
    <cellStyle name="Normal 3 19 2 7" xfId="1866" xr:uid="{00000000-0005-0000-0000-0000520D0000}"/>
    <cellStyle name="Normal 3 19 2 7 2" xfId="5356" xr:uid="{00000000-0005-0000-0000-0000530D0000}"/>
    <cellStyle name="Normal 3 19 2 7 2 2" xfId="5357" xr:uid="{00000000-0005-0000-0000-0000540D0000}"/>
    <cellStyle name="Normal 3 19 2 7 3" xfId="5358" xr:uid="{00000000-0005-0000-0000-0000550D0000}"/>
    <cellStyle name="Normal 3 19 2 7 3 2" xfId="5359" xr:uid="{00000000-0005-0000-0000-0000560D0000}"/>
    <cellStyle name="Normal 3 19 2 7 4" xfId="5360" xr:uid="{00000000-0005-0000-0000-0000570D0000}"/>
    <cellStyle name="Normal 3 19 2 7 5" xfId="5361" xr:uid="{00000000-0005-0000-0000-0000580D0000}"/>
    <cellStyle name="Normal 3 19 2 8" xfId="1867" xr:uid="{00000000-0005-0000-0000-0000590D0000}"/>
    <cellStyle name="Normal 3 19 2 8 2" xfId="5362" xr:uid="{00000000-0005-0000-0000-00005A0D0000}"/>
    <cellStyle name="Normal 3 19 2 8 2 2" xfId="5363" xr:uid="{00000000-0005-0000-0000-00005B0D0000}"/>
    <cellStyle name="Normal 3 19 2 8 3" xfId="5364" xr:uid="{00000000-0005-0000-0000-00005C0D0000}"/>
    <cellStyle name="Normal 3 19 2 8 3 2" xfId="5365" xr:uid="{00000000-0005-0000-0000-00005D0D0000}"/>
    <cellStyle name="Normal 3 19 2 8 4" xfId="5366" xr:uid="{00000000-0005-0000-0000-00005E0D0000}"/>
    <cellStyle name="Normal 3 19 2 8 5" xfId="5367" xr:uid="{00000000-0005-0000-0000-00005F0D0000}"/>
    <cellStyle name="Normal 3 19 2 9" xfId="1868" xr:uid="{00000000-0005-0000-0000-0000600D0000}"/>
    <cellStyle name="Normal 3 19 2 9 2" xfId="5368" xr:uid="{00000000-0005-0000-0000-0000610D0000}"/>
    <cellStyle name="Normal 3 19 2 9 2 2" xfId="5369" xr:uid="{00000000-0005-0000-0000-0000620D0000}"/>
    <cellStyle name="Normal 3 19 2 9 3" xfId="5370" xr:uid="{00000000-0005-0000-0000-0000630D0000}"/>
    <cellStyle name="Normal 3 19 2 9 3 2" xfId="5371" xr:uid="{00000000-0005-0000-0000-0000640D0000}"/>
    <cellStyle name="Normal 3 19 2 9 4" xfId="5372" xr:uid="{00000000-0005-0000-0000-0000650D0000}"/>
    <cellStyle name="Normal 3 19 2 9 5" xfId="5373" xr:uid="{00000000-0005-0000-0000-0000660D0000}"/>
    <cellStyle name="Normal 3 19 3" xfId="1869" xr:uid="{00000000-0005-0000-0000-0000670D0000}"/>
    <cellStyle name="Normal 3 19 3 2" xfId="5374" xr:uid="{00000000-0005-0000-0000-0000680D0000}"/>
    <cellStyle name="Normal 3 19 3 2 2" xfId="5375" xr:uid="{00000000-0005-0000-0000-0000690D0000}"/>
    <cellStyle name="Normal 3 19 3 3" xfId="5376" xr:uid="{00000000-0005-0000-0000-00006A0D0000}"/>
    <cellStyle name="Normal 3 19 3 3 2" xfId="5377" xr:uid="{00000000-0005-0000-0000-00006B0D0000}"/>
    <cellStyle name="Normal 3 19 3 4" xfId="5378" xr:uid="{00000000-0005-0000-0000-00006C0D0000}"/>
    <cellStyle name="Normal 3 19 3 5" xfId="5379" xr:uid="{00000000-0005-0000-0000-00006D0D0000}"/>
    <cellStyle name="Normal 3 19 4" xfId="1870" xr:uid="{00000000-0005-0000-0000-00006E0D0000}"/>
    <cellStyle name="Normal 3 19 4 2" xfId="5380" xr:uid="{00000000-0005-0000-0000-00006F0D0000}"/>
    <cellStyle name="Normal 3 19 4 2 2" xfId="5381" xr:uid="{00000000-0005-0000-0000-0000700D0000}"/>
    <cellStyle name="Normal 3 19 4 3" xfId="5382" xr:uid="{00000000-0005-0000-0000-0000710D0000}"/>
    <cellStyle name="Normal 3 19 4 3 2" xfId="5383" xr:uid="{00000000-0005-0000-0000-0000720D0000}"/>
    <cellStyle name="Normal 3 19 4 4" xfId="5384" xr:uid="{00000000-0005-0000-0000-0000730D0000}"/>
    <cellStyle name="Normal 3 19 4 5" xfId="5385" xr:uid="{00000000-0005-0000-0000-0000740D0000}"/>
    <cellStyle name="Normal 3 19 5" xfId="1871" xr:uid="{00000000-0005-0000-0000-0000750D0000}"/>
    <cellStyle name="Normal 3 19 5 2" xfId="5386" xr:uid="{00000000-0005-0000-0000-0000760D0000}"/>
    <cellStyle name="Normal 3 19 5 2 2" xfId="5387" xr:uid="{00000000-0005-0000-0000-0000770D0000}"/>
    <cellStyle name="Normal 3 19 5 3" xfId="5388" xr:uid="{00000000-0005-0000-0000-0000780D0000}"/>
    <cellStyle name="Normal 3 19 5 3 2" xfId="5389" xr:uid="{00000000-0005-0000-0000-0000790D0000}"/>
    <cellStyle name="Normal 3 19 5 4" xfId="5390" xr:uid="{00000000-0005-0000-0000-00007A0D0000}"/>
    <cellStyle name="Normal 3 19 5 5" xfId="5391" xr:uid="{00000000-0005-0000-0000-00007B0D0000}"/>
    <cellStyle name="Normal 3 19 6" xfId="1872" xr:uid="{00000000-0005-0000-0000-00007C0D0000}"/>
    <cellStyle name="Normal 3 19 6 2" xfId="5392" xr:uid="{00000000-0005-0000-0000-00007D0D0000}"/>
    <cellStyle name="Normal 3 19 6 2 2" xfId="5393" xr:uid="{00000000-0005-0000-0000-00007E0D0000}"/>
    <cellStyle name="Normal 3 19 6 3" xfId="5394" xr:uid="{00000000-0005-0000-0000-00007F0D0000}"/>
    <cellStyle name="Normal 3 19 6 3 2" xfId="5395" xr:uid="{00000000-0005-0000-0000-0000800D0000}"/>
    <cellStyle name="Normal 3 19 6 4" xfId="5396" xr:uid="{00000000-0005-0000-0000-0000810D0000}"/>
    <cellStyle name="Normal 3 19 6 5" xfId="5397" xr:uid="{00000000-0005-0000-0000-0000820D0000}"/>
    <cellStyle name="Normal 3 19 7" xfId="1873" xr:uid="{00000000-0005-0000-0000-0000830D0000}"/>
    <cellStyle name="Normal 3 19 7 2" xfId="5398" xr:uid="{00000000-0005-0000-0000-0000840D0000}"/>
    <cellStyle name="Normal 3 19 7 2 2" xfId="5399" xr:uid="{00000000-0005-0000-0000-0000850D0000}"/>
    <cellStyle name="Normal 3 19 7 3" xfId="5400" xr:uid="{00000000-0005-0000-0000-0000860D0000}"/>
    <cellStyle name="Normal 3 19 7 3 2" xfId="5401" xr:uid="{00000000-0005-0000-0000-0000870D0000}"/>
    <cellStyle name="Normal 3 19 7 4" xfId="5402" xr:uid="{00000000-0005-0000-0000-0000880D0000}"/>
    <cellStyle name="Normal 3 19 7 5" xfId="5403" xr:uid="{00000000-0005-0000-0000-0000890D0000}"/>
    <cellStyle name="Normal 3 19 8" xfId="1874" xr:uid="{00000000-0005-0000-0000-00008A0D0000}"/>
    <cellStyle name="Normal 3 19 8 2" xfId="5404" xr:uid="{00000000-0005-0000-0000-00008B0D0000}"/>
    <cellStyle name="Normal 3 19 8 2 2" xfId="5405" xr:uid="{00000000-0005-0000-0000-00008C0D0000}"/>
    <cellStyle name="Normal 3 19 8 3" xfId="5406" xr:uid="{00000000-0005-0000-0000-00008D0D0000}"/>
    <cellStyle name="Normal 3 19 8 3 2" xfId="5407" xr:uid="{00000000-0005-0000-0000-00008E0D0000}"/>
    <cellStyle name="Normal 3 19 8 4" xfId="5408" xr:uid="{00000000-0005-0000-0000-00008F0D0000}"/>
    <cellStyle name="Normal 3 19 8 5" xfId="5409" xr:uid="{00000000-0005-0000-0000-0000900D0000}"/>
    <cellStyle name="Normal 3 19 9" xfId="1875" xr:uid="{00000000-0005-0000-0000-0000910D0000}"/>
    <cellStyle name="Normal 3 19 9 2" xfId="5410" xr:uid="{00000000-0005-0000-0000-0000920D0000}"/>
    <cellStyle name="Normal 3 19 9 2 2" xfId="5411" xr:uid="{00000000-0005-0000-0000-0000930D0000}"/>
    <cellStyle name="Normal 3 19 9 3" xfId="5412" xr:uid="{00000000-0005-0000-0000-0000940D0000}"/>
    <cellStyle name="Normal 3 19 9 3 2" xfId="5413" xr:uid="{00000000-0005-0000-0000-0000950D0000}"/>
    <cellStyle name="Normal 3 19 9 4" xfId="5414" xr:uid="{00000000-0005-0000-0000-0000960D0000}"/>
    <cellStyle name="Normal 3 19 9 5" xfId="5415" xr:uid="{00000000-0005-0000-0000-0000970D0000}"/>
    <cellStyle name="Normal 3 2" xfId="25" xr:uid="{00000000-0005-0000-0000-0000980D0000}"/>
    <cellStyle name="Normal 3 2 10" xfId="1876" xr:uid="{00000000-0005-0000-0000-0000990D0000}"/>
    <cellStyle name="Normal 3 2 10 2" xfId="1877" xr:uid="{00000000-0005-0000-0000-00009A0D0000}"/>
    <cellStyle name="Normal 3 2 10 2 2" xfId="5416" xr:uid="{00000000-0005-0000-0000-00009B0D0000}"/>
    <cellStyle name="Normal 3 2 10 2 2 2" xfId="5417" xr:uid="{00000000-0005-0000-0000-00009C0D0000}"/>
    <cellStyle name="Normal 3 2 10 2 3" xfId="5418" xr:uid="{00000000-0005-0000-0000-00009D0D0000}"/>
    <cellStyle name="Normal 3 2 10 2 3 2" xfId="5419" xr:uid="{00000000-0005-0000-0000-00009E0D0000}"/>
    <cellStyle name="Normal 3 2 10 2 4" xfId="5420" xr:uid="{00000000-0005-0000-0000-00009F0D0000}"/>
    <cellStyle name="Normal 3 2 10 2 5" xfId="5421" xr:uid="{00000000-0005-0000-0000-0000A00D0000}"/>
    <cellStyle name="Normal 3 2 10 3" xfId="5422" xr:uid="{00000000-0005-0000-0000-0000A10D0000}"/>
    <cellStyle name="Normal 3 2 10 3 2" xfId="5423" xr:uid="{00000000-0005-0000-0000-0000A20D0000}"/>
    <cellStyle name="Normal 3 2 10 4" xfId="5424" xr:uid="{00000000-0005-0000-0000-0000A30D0000}"/>
    <cellStyle name="Normal 3 2 10 4 2" xfId="5425" xr:uid="{00000000-0005-0000-0000-0000A40D0000}"/>
    <cellStyle name="Normal 3 2 10 5" xfId="5426" xr:uid="{00000000-0005-0000-0000-0000A50D0000}"/>
    <cellStyle name="Normal 3 2 10 6" xfId="5427" xr:uid="{00000000-0005-0000-0000-0000A60D0000}"/>
    <cellStyle name="Normal 3 2 11" xfId="1878" xr:uid="{00000000-0005-0000-0000-0000A70D0000}"/>
    <cellStyle name="Normal 3 2 11 2" xfId="5428" xr:uid="{00000000-0005-0000-0000-0000A80D0000}"/>
    <cellStyle name="Normal 3 2 11 2 2" xfId="5429" xr:uid="{00000000-0005-0000-0000-0000A90D0000}"/>
    <cellStyle name="Normal 3 2 11 3" xfId="5430" xr:uid="{00000000-0005-0000-0000-0000AA0D0000}"/>
    <cellStyle name="Normal 3 2 11 3 2" xfId="5431" xr:uid="{00000000-0005-0000-0000-0000AB0D0000}"/>
    <cellStyle name="Normal 3 2 11 4" xfId="5432" xr:uid="{00000000-0005-0000-0000-0000AC0D0000}"/>
    <cellStyle name="Normal 3 2 11 5" xfId="5433" xr:uid="{00000000-0005-0000-0000-0000AD0D0000}"/>
    <cellStyle name="Normal 3 2 12" xfId="1879" xr:uid="{00000000-0005-0000-0000-0000AE0D0000}"/>
    <cellStyle name="Normal 3 2 12 2" xfId="5434" xr:uid="{00000000-0005-0000-0000-0000AF0D0000}"/>
    <cellStyle name="Normal 3 2 12 2 2" xfId="5435" xr:uid="{00000000-0005-0000-0000-0000B00D0000}"/>
    <cellStyle name="Normal 3 2 12 3" xfId="5436" xr:uid="{00000000-0005-0000-0000-0000B10D0000}"/>
    <cellStyle name="Normal 3 2 12 3 2" xfId="5437" xr:uid="{00000000-0005-0000-0000-0000B20D0000}"/>
    <cellStyle name="Normal 3 2 12 4" xfId="5438" xr:uid="{00000000-0005-0000-0000-0000B30D0000}"/>
    <cellStyle name="Normal 3 2 12 5" xfId="5439" xr:uid="{00000000-0005-0000-0000-0000B40D0000}"/>
    <cellStyle name="Normal 3 2 13" xfId="1880" xr:uid="{00000000-0005-0000-0000-0000B50D0000}"/>
    <cellStyle name="Normal 3 2 13 2" xfId="5440" xr:uid="{00000000-0005-0000-0000-0000B60D0000}"/>
    <cellStyle name="Normal 3 2 13 2 2" xfId="5441" xr:uid="{00000000-0005-0000-0000-0000B70D0000}"/>
    <cellStyle name="Normal 3 2 13 3" xfId="5442" xr:uid="{00000000-0005-0000-0000-0000B80D0000}"/>
    <cellStyle name="Normal 3 2 13 3 2" xfId="5443" xr:uid="{00000000-0005-0000-0000-0000B90D0000}"/>
    <cellStyle name="Normal 3 2 13 4" xfId="5444" xr:uid="{00000000-0005-0000-0000-0000BA0D0000}"/>
    <cellStyle name="Normal 3 2 13 5" xfId="5445" xr:uid="{00000000-0005-0000-0000-0000BB0D0000}"/>
    <cellStyle name="Normal 3 2 14" xfId="3812" xr:uid="{00000000-0005-0000-0000-0000BC0D0000}"/>
    <cellStyle name="Normal 3 2 2" xfId="28" xr:uid="{00000000-0005-0000-0000-0000BD0D0000}"/>
    <cellStyle name="Normal 3 2 2 10" xfId="1881" xr:uid="{00000000-0005-0000-0000-0000BE0D0000}"/>
    <cellStyle name="Normal 3 2 2 10 2" xfId="5446" xr:uid="{00000000-0005-0000-0000-0000BF0D0000}"/>
    <cellStyle name="Normal 3 2 2 10 2 2" xfId="5447" xr:uid="{00000000-0005-0000-0000-0000C00D0000}"/>
    <cellStyle name="Normal 3 2 2 10 3" xfId="5448" xr:uid="{00000000-0005-0000-0000-0000C10D0000}"/>
    <cellStyle name="Normal 3 2 2 10 3 2" xfId="5449" xr:uid="{00000000-0005-0000-0000-0000C20D0000}"/>
    <cellStyle name="Normal 3 2 2 10 4" xfId="5450" xr:uid="{00000000-0005-0000-0000-0000C30D0000}"/>
    <cellStyle name="Normal 3 2 2 10 5" xfId="5451" xr:uid="{00000000-0005-0000-0000-0000C40D0000}"/>
    <cellStyle name="Normal 3 2 2 11" xfId="1882" xr:uid="{00000000-0005-0000-0000-0000C50D0000}"/>
    <cellStyle name="Normal 3 2 2 11 2" xfId="5452" xr:uid="{00000000-0005-0000-0000-0000C60D0000}"/>
    <cellStyle name="Normal 3 2 2 11 2 2" xfId="5453" xr:uid="{00000000-0005-0000-0000-0000C70D0000}"/>
    <cellStyle name="Normal 3 2 2 11 3" xfId="5454" xr:uid="{00000000-0005-0000-0000-0000C80D0000}"/>
    <cellStyle name="Normal 3 2 2 11 3 2" xfId="5455" xr:uid="{00000000-0005-0000-0000-0000C90D0000}"/>
    <cellStyle name="Normal 3 2 2 11 4" xfId="5456" xr:uid="{00000000-0005-0000-0000-0000CA0D0000}"/>
    <cellStyle name="Normal 3 2 2 11 5" xfId="5457" xr:uid="{00000000-0005-0000-0000-0000CB0D0000}"/>
    <cellStyle name="Normal 3 2 2 12" xfId="1883" xr:uid="{00000000-0005-0000-0000-0000CC0D0000}"/>
    <cellStyle name="Normal 3 2 2 12 2" xfId="5458" xr:uid="{00000000-0005-0000-0000-0000CD0D0000}"/>
    <cellStyle name="Normal 3 2 2 12 2 2" xfId="5459" xr:uid="{00000000-0005-0000-0000-0000CE0D0000}"/>
    <cellStyle name="Normal 3 2 2 12 3" xfId="5460" xr:uid="{00000000-0005-0000-0000-0000CF0D0000}"/>
    <cellStyle name="Normal 3 2 2 12 3 2" xfId="5461" xr:uid="{00000000-0005-0000-0000-0000D00D0000}"/>
    <cellStyle name="Normal 3 2 2 12 4" xfId="5462" xr:uid="{00000000-0005-0000-0000-0000D10D0000}"/>
    <cellStyle name="Normal 3 2 2 12 5" xfId="5463" xr:uid="{00000000-0005-0000-0000-0000D20D0000}"/>
    <cellStyle name="Normal 3 2 2 13" xfId="5464" xr:uid="{00000000-0005-0000-0000-0000D30D0000}"/>
    <cellStyle name="Normal 3 2 2 13 2" xfId="5465" xr:uid="{00000000-0005-0000-0000-0000D40D0000}"/>
    <cellStyle name="Normal 3 2 2 14" xfId="19" xr:uid="{00000000-0005-0000-0000-0000D50D0000}"/>
    <cellStyle name="Normal 3 2 2 14 2" xfId="5466" xr:uid="{00000000-0005-0000-0000-0000D60D0000}"/>
    <cellStyle name="Normal 3 2 2 15" xfId="5467" xr:uid="{00000000-0005-0000-0000-0000D70D0000}"/>
    <cellStyle name="Normal 3 2 2 16" xfId="5468" xr:uid="{00000000-0005-0000-0000-0000D80D0000}"/>
    <cellStyle name="Normal 3 2 2 17" xfId="5469" xr:uid="{00000000-0005-0000-0000-0000D90D0000}"/>
    <cellStyle name="Normal 3 2 2 2" xfId="1884" xr:uid="{00000000-0005-0000-0000-0000DA0D0000}"/>
    <cellStyle name="Normal 3 2 2 2 2" xfId="5470" xr:uid="{00000000-0005-0000-0000-0000DB0D0000}"/>
    <cellStyle name="Normal 3 2 2 2 2 2" xfId="5471" xr:uid="{00000000-0005-0000-0000-0000DC0D0000}"/>
    <cellStyle name="Normal 3 2 2 2 3" xfId="5472" xr:uid="{00000000-0005-0000-0000-0000DD0D0000}"/>
    <cellStyle name="Normal 3 2 2 2 3 2" xfId="5473" xr:uid="{00000000-0005-0000-0000-0000DE0D0000}"/>
    <cellStyle name="Normal 3 2 2 2 4" xfId="5474" xr:uid="{00000000-0005-0000-0000-0000DF0D0000}"/>
    <cellStyle name="Normal 3 2 2 2 5" xfId="5475" xr:uid="{00000000-0005-0000-0000-0000E00D0000}"/>
    <cellStyle name="Normal 3 2 2 3" xfId="1885" xr:uid="{00000000-0005-0000-0000-0000E10D0000}"/>
    <cellStyle name="Normal 3 2 2 3 2" xfId="5476" xr:uid="{00000000-0005-0000-0000-0000E20D0000}"/>
    <cellStyle name="Normal 3 2 2 3 2 2" xfId="5477" xr:uid="{00000000-0005-0000-0000-0000E30D0000}"/>
    <cellStyle name="Normal 3 2 2 3 3" xfId="5478" xr:uid="{00000000-0005-0000-0000-0000E40D0000}"/>
    <cellStyle name="Normal 3 2 2 3 3 2" xfId="5479" xr:uid="{00000000-0005-0000-0000-0000E50D0000}"/>
    <cellStyle name="Normal 3 2 2 3 4" xfId="5480" xr:uid="{00000000-0005-0000-0000-0000E60D0000}"/>
    <cellStyle name="Normal 3 2 2 3 5" xfId="5481" xr:uid="{00000000-0005-0000-0000-0000E70D0000}"/>
    <cellStyle name="Normal 3 2 2 4" xfId="1886" xr:uid="{00000000-0005-0000-0000-0000E80D0000}"/>
    <cellStyle name="Normal 3 2 2 4 2" xfId="5482" xr:uid="{00000000-0005-0000-0000-0000E90D0000}"/>
    <cellStyle name="Normal 3 2 2 4 2 2" xfId="5483" xr:uid="{00000000-0005-0000-0000-0000EA0D0000}"/>
    <cellStyle name="Normal 3 2 2 4 3" xfId="5484" xr:uid="{00000000-0005-0000-0000-0000EB0D0000}"/>
    <cellStyle name="Normal 3 2 2 4 3 2" xfId="5485" xr:uid="{00000000-0005-0000-0000-0000EC0D0000}"/>
    <cellStyle name="Normal 3 2 2 4 4" xfId="5486" xr:uid="{00000000-0005-0000-0000-0000ED0D0000}"/>
    <cellStyle name="Normal 3 2 2 4 5" xfId="5487" xr:uid="{00000000-0005-0000-0000-0000EE0D0000}"/>
    <cellStyle name="Normal 3 2 2 5" xfId="1887" xr:uid="{00000000-0005-0000-0000-0000EF0D0000}"/>
    <cellStyle name="Normal 3 2 2 5 2" xfId="5488" xr:uid="{00000000-0005-0000-0000-0000F00D0000}"/>
    <cellStyle name="Normal 3 2 2 5 2 2" xfId="5489" xr:uid="{00000000-0005-0000-0000-0000F10D0000}"/>
    <cellStyle name="Normal 3 2 2 5 3" xfId="5490" xr:uid="{00000000-0005-0000-0000-0000F20D0000}"/>
    <cellStyle name="Normal 3 2 2 5 3 2" xfId="5491" xr:uid="{00000000-0005-0000-0000-0000F30D0000}"/>
    <cellStyle name="Normal 3 2 2 5 4" xfId="5492" xr:uid="{00000000-0005-0000-0000-0000F40D0000}"/>
    <cellStyle name="Normal 3 2 2 5 5" xfId="5493" xr:uid="{00000000-0005-0000-0000-0000F50D0000}"/>
    <cellStyle name="Normal 3 2 2 6" xfId="1888" xr:uid="{00000000-0005-0000-0000-0000F60D0000}"/>
    <cellStyle name="Normal 3 2 2 6 2" xfId="5494" xr:uid="{00000000-0005-0000-0000-0000F70D0000}"/>
    <cellStyle name="Normal 3 2 2 6 2 2" xfId="5495" xr:uid="{00000000-0005-0000-0000-0000F80D0000}"/>
    <cellStyle name="Normal 3 2 2 6 3" xfId="5496" xr:uid="{00000000-0005-0000-0000-0000F90D0000}"/>
    <cellStyle name="Normal 3 2 2 6 3 2" xfId="5497" xr:uid="{00000000-0005-0000-0000-0000FA0D0000}"/>
    <cellStyle name="Normal 3 2 2 6 4" xfId="5498" xr:uid="{00000000-0005-0000-0000-0000FB0D0000}"/>
    <cellStyle name="Normal 3 2 2 6 5" xfId="5499" xr:uid="{00000000-0005-0000-0000-0000FC0D0000}"/>
    <cellStyle name="Normal 3 2 2 7" xfId="1889" xr:uid="{00000000-0005-0000-0000-0000FD0D0000}"/>
    <cellStyle name="Normal 3 2 2 7 2" xfId="5500" xr:uid="{00000000-0005-0000-0000-0000FE0D0000}"/>
    <cellStyle name="Normal 3 2 2 7 2 2" xfId="5501" xr:uid="{00000000-0005-0000-0000-0000FF0D0000}"/>
    <cellStyle name="Normal 3 2 2 7 3" xfId="5502" xr:uid="{00000000-0005-0000-0000-0000000E0000}"/>
    <cellStyle name="Normal 3 2 2 7 3 2" xfId="5503" xr:uid="{00000000-0005-0000-0000-0000010E0000}"/>
    <cellStyle name="Normal 3 2 2 7 4" xfId="5504" xr:uid="{00000000-0005-0000-0000-0000020E0000}"/>
    <cellStyle name="Normal 3 2 2 7 5" xfId="5505" xr:uid="{00000000-0005-0000-0000-0000030E0000}"/>
    <cellStyle name="Normal 3 2 2 8" xfId="1890" xr:uid="{00000000-0005-0000-0000-0000040E0000}"/>
    <cellStyle name="Normal 3 2 2 8 2" xfId="5506" xr:uid="{00000000-0005-0000-0000-0000050E0000}"/>
    <cellStyle name="Normal 3 2 2 8 2 2" xfId="5507" xr:uid="{00000000-0005-0000-0000-0000060E0000}"/>
    <cellStyle name="Normal 3 2 2 8 3" xfId="5508" xr:uid="{00000000-0005-0000-0000-0000070E0000}"/>
    <cellStyle name="Normal 3 2 2 8 3 2" xfId="5509" xr:uid="{00000000-0005-0000-0000-0000080E0000}"/>
    <cellStyle name="Normal 3 2 2 8 4" xfId="5510" xr:uid="{00000000-0005-0000-0000-0000090E0000}"/>
    <cellStyle name="Normal 3 2 2 8 5" xfId="5511" xr:uid="{00000000-0005-0000-0000-00000A0E0000}"/>
    <cellStyle name="Normal 3 2 2 9" xfId="1891" xr:uid="{00000000-0005-0000-0000-00000B0E0000}"/>
    <cellStyle name="Normal 3 2 2 9 2" xfId="5512" xr:uid="{00000000-0005-0000-0000-00000C0E0000}"/>
    <cellStyle name="Normal 3 2 2 9 2 2" xfId="5513" xr:uid="{00000000-0005-0000-0000-00000D0E0000}"/>
    <cellStyle name="Normal 3 2 2 9 3" xfId="5514" xr:uid="{00000000-0005-0000-0000-00000E0E0000}"/>
    <cellStyle name="Normal 3 2 2 9 3 2" xfId="5515" xr:uid="{00000000-0005-0000-0000-00000F0E0000}"/>
    <cellStyle name="Normal 3 2 2 9 4" xfId="5516" xr:uid="{00000000-0005-0000-0000-0000100E0000}"/>
    <cellStyle name="Normal 3 2 2 9 5" xfId="5517" xr:uid="{00000000-0005-0000-0000-0000110E0000}"/>
    <cellStyle name="Normal 3 2 3" xfId="1892" xr:uid="{00000000-0005-0000-0000-0000120E0000}"/>
    <cellStyle name="Normal 3 2 3 10" xfId="5518" xr:uid="{00000000-0005-0000-0000-0000130E0000}"/>
    <cellStyle name="Normal 3 2 3 10 2" xfId="5519" xr:uid="{00000000-0005-0000-0000-0000140E0000}"/>
    <cellStyle name="Normal 3 2 3 11" xfId="5520" xr:uid="{00000000-0005-0000-0000-0000150E0000}"/>
    <cellStyle name="Normal 3 2 3 11 2" xfId="5521" xr:uid="{00000000-0005-0000-0000-0000160E0000}"/>
    <cellStyle name="Normal 3 2 3 12" xfId="5522" xr:uid="{00000000-0005-0000-0000-0000170E0000}"/>
    <cellStyle name="Normal 3 2 3 13" xfId="5523" xr:uid="{00000000-0005-0000-0000-0000180E0000}"/>
    <cellStyle name="Normal 3 2 3 2" xfId="1893" xr:uid="{00000000-0005-0000-0000-0000190E0000}"/>
    <cellStyle name="Normal 3 2 3 2 2" xfId="5524" xr:uid="{00000000-0005-0000-0000-00001A0E0000}"/>
    <cellStyle name="Normal 3 2 3 2 2 2" xfId="5525" xr:uid="{00000000-0005-0000-0000-00001B0E0000}"/>
    <cellStyle name="Normal 3 2 3 2 3" xfId="5526" xr:uid="{00000000-0005-0000-0000-00001C0E0000}"/>
    <cellStyle name="Normal 3 2 3 2 3 2" xfId="5527" xr:uid="{00000000-0005-0000-0000-00001D0E0000}"/>
    <cellStyle name="Normal 3 2 3 2 4" xfId="5528" xr:uid="{00000000-0005-0000-0000-00001E0E0000}"/>
    <cellStyle name="Normal 3 2 3 2 5" xfId="5529" xr:uid="{00000000-0005-0000-0000-00001F0E0000}"/>
    <cellStyle name="Normal 3 2 3 3" xfId="1894" xr:uid="{00000000-0005-0000-0000-0000200E0000}"/>
    <cellStyle name="Normal 3 2 3 3 2" xfId="5530" xr:uid="{00000000-0005-0000-0000-0000210E0000}"/>
    <cellStyle name="Normal 3 2 3 3 2 2" xfId="5531" xr:uid="{00000000-0005-0000-0000-0000220E0000}"/>
    <cellStyle name="Normal 3 2 3 3 3" xfId="5532" xr:uid="{00000000-0005-0000-0000-0000230E0000}"/>
    <cellStyle name="Normal 3 2 3 3 3 2" xfId="5533" xr:uid="{00000000-0005-0000-0000-0000240E0000}"/>
    <cellStyle name="Normal 3 2 3 3 4" xfId="5534" xr:uid="{00000000-0005-0000-0000-0000250E0000}"/>
    <cellStyle name="Normal 3 2 3 3 5" xfId="5535" xr:uid="{00000000-0005-0000-0000-0000260E0000}"/>
    <cellStyle name="Normal 3 2 3 4" xfId="1895" xr:uid="{00000000-0005-0000-0000-0000270E0000}"/>
    <cellStyle name="Normal 3 2 3 4 2" xfId="5536" xr:uid="{00000000-0005-0000-0000-0000280E0000}"/>
    <cellStyle name="Normal 3 2 3 4 2 2" xfId="5537" xr:uid="{00000000-0005-0000-0000-0000290E0000}"/>
    <cellStyle name="Normal 3 2 3 4 3" xfId="5538" xr:uid="{00000000-0005-0000-0000-00002A0E0000}"/>
    <cellStyle name="Normal 3 2 3 4 3 2" xfId="5539" xr:uid="{00000000-0005-0000-0000-00002B0E0000}"/>
    <cellStyle name="Normal 3 2 3 4 4" xfId="5540" xr:uid="{00000000-0005-0000-0000-00002C0E0000}"/>
    <cellStyle name="Normal 3 2 3 4 5" xfId="5541" xr:uid="{00000000-0005-0000-0000-00002D0E0000}"/>
    <cellStyle name="Normal 3 2 3 5" xfId="1896" xr:uid="{00000000-0005-0000-0000-00002E0E0000}"/>
    <cellStyle name="Normal 3 2 3 5 2" xfId="5542" xr:uid="{00000000-0005-0000-0000-00002F0E0000}"/>
    <cellStyle name="Normal 3 2 3 5 2 2" xfId="5543" xr:uid="{00000000-0005-0000-0000-0000300E0000}"/>
    <cellStyle name="Normal 3 2 3 5 3" xfId="5544" xr:uid="{00000000-0005-0000-0000-0000310E0000}"/>
    <cellStyle name="Normal 3 2 3 5 3 2" xfId="5545" xr:uid="{00000000-0005-0000-0000-0000320E0000}"/>
    <cellStyle name="Normal 3 2 3 5 4" xfId="5546" xr:uid="{00000000-0005-0000-0000-0000330E0000}"/>
    <cellStyle name="Normal 3 2 3 5 5" xfId="5547" xr:uid="{00000000-0005-0000-0000-0000340E0000}"/>
    <cellStyle name="Normal 3 2 3 6" xfId="1897" xr:uid="{00000000-0005-0000-0000-0000350E0000}"/>
    <cellStyle name="Normal 3 2 3 6 2" xfId="5548" xr:uid="{00000000-0005-0000-0000-0000360E0000}"/>
    <cellStyle name="Normal 3 2 3 6 2 2" xfId="5549" xr:uid="{00000000-0005-0000-0000-0000370E0000}"/>
    <cellStyle name="Normal 3 2 3 6 3" xfId="5550" xr:uid="{00000000-0005-0000-0000-0000380E0000}"/>
    <cellStyle name="Normal 3 2 3 6 3 2" xfId="5551" xr:uid="{00000000-0005-0000-0000-0000390E0000}"/>
    <cellStyle name="Normal 3 2 3 6 4" xfId="5552" xr:uid="{00000000-0005-0000-0000-00003A0E0000}"/>
    <cellStyle name="Normal 3 2 3 6 5" xfId="5553" xr:uid="{00000000-0005-0000-0000-00003B0E0000}"/>
    <cellStyle name="Normal 3 2 3 7" xfId="1898" xr:uid="{00000000-0005-0000-0000-00003C0E0000}"/>
    <cellStyle name="Normal 3 2 3 7 2" xfId="5554" xr:uid="{00000000-0005-0000-0000-00003D0E0000}"/>
    <cellStyle name="Normal 3 2 3 7 2 2" xfId="5555" xr:uid="{00000000-0005-0000-0000-00003E0E0000}"/>
    <cellStyle name="Normal 3 2 3 7 3" xfId="5556" xr:uid="{00000000-0005-0000-0000-00003F0E0000}"/>
    <cellStyle name="Normal 3 2 3 7 3 2" xfId="5557" xr:uid="{00000000-0005-0000-0000-0000400E0000}"/>
    <cellStyle name="Normal 3 2 3 7 4" xfId="5558" xr:uid="{00000000-0005-0000-0000-0000410E0000}"/>
    <cellStyle name="Normal 3 2 3 7 5" xfId="5559" xr:uid="{00000000-0005-0000-0000-0000420E0000}"/>
    <cellStyle name="Normal 3 2 3 8" xfId="1899" xr:uid="{00000000-0005-0000-0000-0000430E0000}"/>
    <cellStyle name="Normal 3 2 3 8 2" xfId="5560" xr:uid="{00000000-0005-0000-0000-0000440E0000}"/>
    <cellStyle name="Normal 3 2 3 8 2 2" xfId="5561" xr:uid="{00000000-0005-0000-0000-0000450E0000}"/>
    <cellStyle name="Normal 3 2 3 8 3" xfId="5562" xr:uid="{00000000-0005-0000-0000-0000460E0000}"/>
    <cellStyle name="Normal 3 2 3 8 3 2" xfId="5563" xr:uid="{00000000-0005-0000-0000-0000470E0000}"/>
    <cellStyle name="Normal 3 2 3 8 4" xfId="5564" xr:uid="{00000000-0005-0000-0000-0000480E0000}"/>
    <cellStyle name="Normal 3 2 3 8 5" xfId="5565" xr:uid="{00000000-0005-0000-0000-0000490E0000}"/>
    <cellStyle name="Normal 3 2 3 9" xfId="1900" xr:uid="{00000000-0005-0000-0000-00004A0E0000}"/>
    <cellStyle name="Normal 3 2 3 9 2" xfId="5566" xr:uid="{00000000-0005-0000-0000-00004B0E0000}"/>
    <cellStyle name="Normal 3 2 3 9 2 2" xfId="5567" xr:uid="{00000000-0005-0000-0000-00004C0E0000}"/>
    <cellStyle name="Normal 3 2 3 9 3" xfId="5568" xr:uid="{00000000-0005-0000-0000-00004D0E0000}"/>
    <cellStyle name="Normal 3 2 3 9 3 2" xfId="5569" xr:uid="{00000000-0005-0000-0000-00004E0E0000}"/>
    <cellStyle name="Normal 3 2 3 9 4" xfId="5570" xr:uid="{00000000-0005-0000-0000-00004F0E0000}"/>
    <cellStyle name="Normal 3 2 3 9 5" xfId="5571" xr:uid="{00000000-0005-0000-0000-0000500E0000}"/>
    <cellStyle name="Normal 3 2 4" xfId="1901" xr:uid="{00000000-0005-0000-0000-0000510E0000}"/>
    <cellStyle name="Normal 3 2 4 2" xfId="5572" xr:uid="{00000000-0005-0000-0000-0000520E0000}"/>
    <cellStyle name="Normal 3 2 4 2 2" xfId="5573" xr:uid="{00000000-0005-0000-0000-0000530E0000}"/>
    <cellStyle name="Normal 3 2 4 3" xfId="5574" xr:uid="{00000000-0005-0000-0000-0000540E0000}"/>
    <cellStyle name="Normal 3 2 4 3 2" xfId="5575" xr:uid="{00000000-0005-0000-0000-0000550E0000}"/>
    <cellStyle name="Normal 3 2 4 4" xfId="5576" xr:uid="{00000000-0005-0000-0000-0000560E0000}"/>
    <cellStyle name="Normal 3 2 4 5" xfId="5577" xr:uid="{00000000-0005-0000-0000-0000570E0000}"/>
    <cellStyle name="Normal 3 2 5" xfId="1902" xr:uid="{00000000-0005-0000-0000-0000580E0000}"/>
    <cellStyle name="Normal 3 2 5 2" xfId="1903" xr:uid="{00000000-0005-0000-0000-0000590E0000}"/>
    <cellStyle name="Normal 3 2 5 2 2" xfId="5578" xr:uid="{00000000-0005-0000-0000-00005A0E0000}"/>
    <cellStyle name="Normal 3 2 5 2 2 2" xfId="5579" xr:uid="{00000000-0005-0000-0000-00005B0E0000}"/>
    <cellStyle name="Normal 3 2 5 2 3" xfId="5580" xr:uid="{00000000-0005-0000-0000-00005C0E0000}"/>
    <cellStyle name="Normal 3 2 5 2 3 2" xfId="5581" xr:uid="{00000000-0005-0000-0000-00005D0E0000}"/>
    <cellStyle name="Normal 3 2 5 2 4" xfId="5582" xr:uid="{00000000-0005-0000-0000-00005E0E0000}"/>
    <cellStyle name="Normal 3 2 5 2 5" xfId="5583" xr:uid="{00000000-0005-0000-0000-00005F0E0000}"/>
    <cellStyle name="Normal 3 2 5 3" xfId="5584" xr:uid="{00000000-0005-0000-0000-0000600E0000}"/>
    <cellStyle name="Normal 3 2 5 3 2" xfId="5585" xr:uid="{00000000-0005-0000-0000-0000610E0000}"/>
    <cellStyle name="Normal 3 2 5 4" xfId="5586" xr:uid="{00000000-0005-0000-0000-0000620E0000}"/>
    <cellStyle name="Normal 3 2 5 4 2" xfId="5587" xr:uid="{00000000-0005-0000-0000-0000630E0000}"/>
    <cellStyle name="Normal 3 2 5 5" xfId="5588" xr:uid="{00000000-0005-0000-0000-0000640E0000}"/>
    <cellStyle name="Normal 3 2 5 6" xfId="5589" xr:uid="{00000000-0005-0000-0000-0000650E0000}"/>
    <cellStyle name="Normal 3 2 6" xfId="1904" xr:uid="{00000000-0005-0000-0000-0000660E0000}"/>
    <cellStyle name="Normal 3 2 6 2" xfId="1905" xr:uid="{00000000-0005-0000-0000-0000670E0000}"/>
    <cellStyle name="Normal 3 2 6 2 2" xfId="5590" xr:uid="{00000000-0005-0000-0000-0000680E0000}"/>
    <cellStyle name="Normal 3 2 6 2 2 2" xfId="5591" xr:uid="{00000000-0005-0000-0000-0000690E0000}"/>
    <cellStyle name="Normal 3 2 6 2 3" xfId="5592" xr:uid="{00000000-0005-0000-0000-00006A0E0000}"/>
    <cellStyle name="Normal 3 2 6 2 3 2" xfId="5593" xr:uid="{00000000-0005-0000-0000-00006B0E0000}"/>
    <cellStyle name="Normal 3 2 6 2 4" xfId="5594" xr:uid="{00000000-0005-0000-0000-00006C0E0000}"/>
    <cellStyle name="Normal 3 2 6 2 5" xfId="5595" xr:uid="{00000000-0005-0000-0000-00006D0E0000}"/>
    <cellStyle name="Normal 3 2 6 3" xfId="5596" xr:uid="{00000000-0005-0000-0000-00006E0E0000}"/>
    <cellStyle name="Normal 3 2 6 3 2" xfId="5597" xr:uid="{00000000-0005-0000-0000-00006F0E0000}"/>
    <cellStyle name="Normal 3 2 6 4" xfId="5598" xr:uid="{00000000-0005-0000-0000-0000700E0000}"/>
    <cellStyle name="Normal 3 2 6 4 2" xfId="5599" xr:uid="{00000000-0005-0000-0000-0000710E0000}"/>
    <cellStyle name="Normal 3 2 6 5" xfId="5600" xr:uid="{00000000-0005-0000-0000-0000720E0000}"/>
    <cellStyle name="Normal 3 2 6 6" xfId="5601" xr:uid="{00000000-0005-0000-0000-0000730E0000}"/>
    <cellStyle name="Normal 3 2 7" xfId="1906" xr:uid="{00000000-0005-0000-0000-0000740E0000}"/>
    <cellStyle name="Normal 3 2 7 2" xfId="1907" xr:uid="{00000000-0005-0000-0000-0000750E0000}"/>
    <cellStyle name="Normal 3 2 7 2 2" xfId="5602" xr:uid="{00000000-0005-0000-0000-0000760E0000}"/>
    <cellStyle name="Normal 3 2 7 2 2 2" xfId="5603" xr:uid="{00000000-0005-0000-0000-0000770E0000}"/>
    <cellStyle name="Normal 3 2 7 2 3" xfId="5604" xr:uid="{00000000-0005-0000-0000-0000780E0000}"/>
    <cellStyle name="Normal 3 2 7 2 3 2" xfId="5605" xr:uid="{00000000-0005-0000-0000-0000790E0000}"/>
    <cellStyle name="Normal 3 2 7 2 4" xfId="5606" xr:uid="{00000000-0005-0000-0000-00007A0E0000}"/>
    <cellStyle name="Normal 3 2 7 2 5" xfId="5607" xr:uid="{00000000-0005-0000-0000-00007B0E0000}"/>
    <cellStyle name="Normal 3 2 7 3" xfId="5608" xr:uid="{00000000-0005-0000-0000-00007C0E0000}"/>
    <cellStyle name="Normal 3 2 7 3 2" xfId="5609" xr:uid="{00000000-0005-0000-0000-00007D0E0000}"/>
    <cellStyle name="Normal 3 2 7 4" xfId="5610" xr:uid="{00000000-0005-0000-0000-00007E0E0000}"/>
    <cellStyle name="Normal 3 2 7 4 2" xfId="5611" xr:uid="{00000000-0005-0000-0000-00007F0E0000}"/>
    <cellStyle name="Normal 3 2 7 5" xfId="5612" xr:uid="{00000000-0005-0000-0000-0000800E0000}"/>
    <cellStyle name="Normal 3 2 7 6" xfId="5613" xr:uid="{00000000-0005-0000-0000-0000810E0000}"/>
    <cellStyle name="Normal 3 2 8" xfId="1908" xr:uid="{00000000-0005-0000-0000-0000820E0000}"/>
    <cellStyle name="Normal 3 2 8 2" xfId="1909" xr:uid="{00000000-0005-0000-0000-0000830E0000}"/>
    <cellStyle name="Normal 3 2 8 2 2" xfId="5614" xr:uid="{00000000-0005-0000-0000-0000840E0000}"/>
    <cellStyle name="Normal 3 2 8 2 2 2" xfId="5615" xr:uid="{00000000-0005-0000-0000-0000850E0000}"/>
    <cellStyle name="Normal 3 2 8 2 3" xfId="5616" xr:uid="{00000000-0005-0000-0000-0000860E0000}"/>
    <cellStyle name="Normal 3 2 8 2 3 2" xfId="5617" xr:uid="{00000000-0005-0000-0000-0000870E0000}"/>
    <cellStyle name="Normal 3 2 8 2 4" xfId="5618" xr:uid="{00000000-0005-0000-0000-0000880E0000}"/>
    <cellStyle name="Normal 3 2 8 2 5" xfId="5619" xr:uid="{00000000-0005-0000-0000-0000890E0000}"/>
    <cellStyle name="Normal 3 2 8 3" xfId="5620" xr:uid="{00000000-0005-0000-0000-00008A0E0000}"/>
    <cellStyle name="Normal 3 2 8 3 2" xfId="5621" xr:uid="{00000000-0005-0000-0000-00008B0E0000}"/>
    <cellStyle name="Normal 3 2 8 4" xfId="5622" xr:uid="{00000000-0005-0000-0000-00008C0E0000}"/>
    <cellStyle name="Normal 3 2 8 4 2" xfId="5623" xr:uid="{00000000-0005-0000-0000-00008D0E0000}"/>
    <cellStyle name="Normal 3 2 8 5" xfId="5624" xr:uid="{00000000-0005-0000-0000-00008E0E0000}"/>
    <cellStyle name="Normal 3 2 8 6" xfId="5625" xr:uid="{00000000-0005-0000-0000-00008F0E0000}"/>
    <cellStyle name="Normal 3 2 9" xfId="1910" xr:uid="{00000000-0005-0000-0000-0000900E0000}"/>
    <cellStyle name="Normal 3 2 9 2" xfId="1911" xr:uid="{00000000-0005-0000-0000-0000910E0000}"/>
    <cellStyle name="Normal 3 2 9 2 2" xfId="5626" xr:uid="{00000000-0005-0000-0000-0000920E0000}"/>
    <cellStyle name="Normal 3 2 9 2 2 2" xfId="5627" xr:uid="{00000000-0005-0000-0000-0000930E0000}"/>
    <cellStyle name="Normal 3 2 9 2 3" xfId="5628" xr:uid="{00000000-0005-0000-0000-0000940E0000}"/>
    <cellStyle name="Normal 3 2 9 2 3 2" xfId="5629" xr:uid="{00000000-0005-0000-0000-0000950E0000}"/>
    <cellStyle name="Normal 3 2 9 2 4" xfId="5630" xr:uid="{00000000-0005-0000-0000-0000960E0000}"/>
    <cellStyle name="Normal 3 2 9 2 5" xfId="5631" xr:uid="{00000000-0005-0000-0000-0000970E0000}"/>
    <cellStyle name="Normal 3 2 9 3" xfId="5632" xr:uid="{00000000-0005-0000-0000-0000980E0000}"/>
    <cellStyle name="Normal 3 2 9 3 2" xfId="5633" xr:uid="{00000000-0005-0000-0000-0000990E0000}"/>
    <cellStyle name="Normal 3 2 9 4" xfId="5634" xr:uid="{00000000-0005-0000-0000-00009A0E0000}"/>
    <cellStyle name="Normal 3 2 9 4 2" xfId="5635" xr:uid="{00000000-0005-0000-0000-00009B0E0000}"/>
    <cellStyle name="Normal 3 2 9 5" xfId="5636" xr:uid="{00000000-0005-0000-0000-00009C0E0000}"/>
    <cellStyle name="Normal 3 2 9 6" xfId="5637" xr:uid="{00000000-0005-0000-0000-00009D0E0000}"/>
    <cellStyle name="Normal 3 20" xfId="1912" xr:uid="{00000000-0005-0000-0000-00009E0E0000}"/>
    <cellStyle name="Normal 3 20 10" xfId="1913" xr:uid="{00000000-0005-0000-0000-00009F0E0000}"/>
    <cellStyle name="Normal 3 20 10 2" xfId="5638" xr:uid="{00000000-0005-0000-0000-0000A00E0000}"/>
    <cellStyle name="Normal 3 20 10 2 2" xfId="5639" xr:uid="{00000000-0005-0000-0000-0000A10E0000}"/>
    <cellStyle name="Normal 3 20 10 3" xfId="5640" xr:uid="{00000000-0005-0000-0000-0000A20E0000}"/>
    <cellStyle name="Normal 3 20 10 3 2" xfId="5641" xr:uid="{00000000-0005-0000-0000-0000A30E0000}"/>
    <cellStyle name="Normal 3 20 10 4" xfId="5642" xr:uid="{00000000-0005-0000-0000-0000A40E0000}"/>
    <cellStyle name="Normal 3 20 10 5" xfId="5643" xr:uid="{00000000-0005-0000-0000-0000A50E0000}"/>
    <cellStyle name="Normal 3 20 11" xfId="1914" xr:uid="{00000000-0005-0000-0000-0000A60E0000}"/>
    <cellStyle name="Normal 3 20 11 2" xfId="5644" xr:uid="{00000000-0005-0000-0000-0000A70E0000}"/>
    <cellStyle name="Normal 3 20 11 2 2" xfId="5645" xr:uid="{00000000-0005-0000-0000-0000A80E0000}"/>
    <cellStyle name="Normal 3 20 11 3" xfId="5646" xr:uid="{00000000-0005-0000-0000-0000A90E0000}"/>
    <cellStyle name="Normal 3 20 11 3 2" xfId="5647" xr:uid="{00000000-0005-0000-0000-0000AA0E0000}"/>
    <cellStyle name="Normal 3 20 11 4" xfId="5648" xr:uid="{00000000-0005-0000-0000-0000AB0E0000}"/>
    <cellStyle name="Normal 3 20 11 5" xfId="5649" xr:uid="{00000000-0005-0000-0000-0000AC0E0000}"/>
    <cellStyle name="Normal 3 20 12" xfId="1915" xr:uid="{00000000-0005-0000-0000-0000AD0E0000}"/>
    <cellStyle name="Normal 3 20 12 2" xfId="5650" xr:uid="{00000000-0005-0000-0000-0000AE0E0000}"/>
    <cellStyle name="Normal 3 20 12 2 2" xfId="5651" xr:uid="{00000000-0005-0000-0000-0000AF0E0000}"/>
    <cellStyle name="Normal 3 20 12 3" xfId="5652" xr:uid="{00000000-0005-0000-0000-0000B00E0000}"/>
    <cellStyle name="Normal 3 20 12 3 2" xfId="5653" xr:uid="{00000000-0005-0000-0000-0000B10E0000}"/>
    <cellStyle name="Normal 3 20 12 4" xfId="5654" xr:uid="{00000000-0005-0000-0000-0000B20E0000}"/>
    <cellStyle name="Normal 3 20 12 5" xfId="5655" xr:uid="{00000000-0005-0000-0000-0000B30E0000}"/>
    <cellStyle name="Normal 3 20 13" xfId="1916" xr:uid="{00000000-0005-0000-0000-0000B40E0000}"/>
    <cellStyle name="Normal 3 20 13 2" xfId="5656" xr:uid="{00000000-0005-0000-0000-0000B50E0000}"/>
    <cellStyle name="Normal 3 20 13 2 2" xfId="5657" xr:uid="{00000000-0005-0000-0000-0000B60E0000}"/>
    <cellStyle name="Normal 3 20 13 3" xfId="5658" xr:uid="{00000000-0005-0000-0000-0000B70E0000}"/>
    <cellStyle name="Normal 3 20 13 3 2" xfId="5659" xr:uid="{00000000-0005-0000-0000-0000B80E0000}"/>
    <cellStyle name="Normal 3 20 13 4" xfId="5660" xr:uid="{00000000-0005-0000-0000-0000B90E0000}"/>
    <cellStyle name="Normal 3 20 13 5" xfId="5661" xr:uid="{00000000-0005-0000-0000-0000BA0E0000}"/>
    <cellStyle name="Normal 3 20 14" xfId="5662" xr:uid="{00000000-0005-0000-0000-0000BB0E0000}"/>
    <cellStyle name="Normal 3 20 14 2" xfId="5663" xr:uid="{00000000-0005-0000-0000-0000BC0E0000}"/>
    <cellStyle name="Normal 3 20 15" xfId="5664" xr:uid="{00000000-0005-0000-0000-0000BD0E0000}"/>
    <cellStyle name="Normal 3 20 15 2" xfId="5665" xr:uid="{00000000-0005-0000-0000-0000BE0E0000}"/>
    <cellStyle name="Normal 3 20 16" xfId="5666" xr:uid="{00000000-0005-0000-0000-0000BF0E0000}"/>
    <cellStyle name="Normal 3 20 17" xfId="5667" xr:uid="{00000000-0005-0000-0000-0000C00E0000}"/>
    <cellStyle name="Normal 3 20 2" xfId="1917" xr:uid="{00000000-0005-0000-0000-0000C10E0000}"/>
    <cellStyle name="Normal 3 20 2 10" xfId="1918" xr:uid="{00000000-0005-0000-0000-0000C20E0000}"/>
    <cellStyle name="Normal 3 20 2 10 2" xfId="5668" xr:uid="{00000000-0005-0000-0000-0000C30E0000}"/>
    <cellStyle name="Normal 3 20 2 10 2 2" xfId="5669" xr:uid="{00000000-0005-0000-0000-0000C40E0000}"/>
    <cellStyle name="Normal 3 20 2 10 3" xfId="5670" xr:uid="{00000000-0005-0000-0000-0000C50E0000}"/>
    <cellStyle name="Normal 3 20 2 10 3 2" xfId="5671" xr:uid="{00000000-0005-0000-0000-0000C60E0000}"/>
    <cellStyle name="Normal 3 20 2 10 4" xfId="5672" xr:uid="{00000000-0005-0000-0000-0000C70E0000}"/>
    <cellStyle name="Normal 3 20 2 10 5" xfId="5673" xr:uid="{00000000-0005-0000-0000-0000C80E0000}"/>
    <cellStyle name="Normal 3 20 2 11" xfId="1919" xr:uid="{00000000-0005-0000-0000-0000C90E0000}"/>
    <cellStyle name="Normal 3 20 2 11 2" xfId="5674" xr:uid="{00000000-0005-0000-0000-0000CA0E0000}"/>
    <cellStyle name="Normal 3 20 2 11 2 2" xfId="5675" xr:uid="{00000000-0005-0000-0000-0000CB0E0000}"/>
    <cellStyle name="Normal 3 20 2 11 3" xfId="5676" xr:uid="{00000000-0005-0000-0000-0000CC0E0000}"/>
    <cellStyle name="Normal 3 20 2 11 3 2" xfId="5677" xr:uid="{00000000-0005-0000-0000-0000CD0E0000}"/>
    <cellStyle name="Normal 3 20 2 11 4" xfId="5678" xr:uid="{00000000-0005-0000-0000-0000CE0E0000}"/>
    <cellStyle name="Normal 3 20 2 11 5" xfId="5679" xr:uid="{00000000-0005-0000-0000-0000CF0E0000}"/>
    <cellStyle name="Normal 3 20 2 12" xfId="1920" xr:uid="{00000000-0005-0000-0000-0000D00E0000}"/>
    <cellStyle name="Normal 3 20 2 12 2" xfId="5680" xr:uid="{00000000-0005-0000-0000-0000D10E0000}"/>
    <cellStyle name="Normal 3 20 2 12 2 2" xfId="5681" xr:uid="{00000000-0005-0000-0000-0000D20E0000}"/>
    <cellStyle name="Normal 3 20 2 12 3" xfId="5682" xr:uid="{00000000-0005-0000-0000-0000D30E0000}"/>
    <cellStyle name="Normal 3 20 2 12 3 2" xfId="5683" xr:uid="{00000000-0005-0000-0000-0000D40E0000}"/>
    <cellStyle name="Normal 3 20 2 12 4" xfId="5684" xr:uid="{00000000-0005-0000-0000-0000D50E0000}"/>
    <cellStyle name="Normal 3 20 2 12 5" xfId="5685" xr:uid="{00000000-0005-0000-0000-0000D60E0000}"/>
    <cellStyle name="Normal 3 20 2 13" xfId="5686" xr:uid="{00000000-0005-0000-0000-0000D70E0000}"/>
    <cellStyle name="Normal 3 20 2 13 2" xfId="5687" xr:uid="{00000000-0005-0000-0000-0000D80E0000}"/>
    <cellStyle name="Normal 3 20 2 14" xfId="5688" xr:uid="{00000000-0005-0000-0000-0000D90E0000}"/>
    <cellStyle name="Normal 3 20 2 14 2" xfId="5689" xr:uid="{00000000-0005-0000-0000-0000DA0E0000}"/>
    <cellStyle name="Normal 3 20 2 15" xfId="5690" xr:uid="{00000000-0005-0000-0000-0000DB0E0000}"/>
    <cellStyle name="Normal 3 20 2 16" xfId="5691" xr:uid="{00000000-0005-0000-0000-0000DC0E0000}"/>
    <cellStyle name="Normal 3 20 2 2" xfId="1921" xr:uid="{00000000-0005-0000-0000-0000DD0E0000}"/>
    <cellStyle name="Normal 3 20 2 2 2" xfId="5692" xr:uid="{00000000-0005-0000-0000-0000DE0E0000}"/>
    <cellStyle name="Normal 3 20 2 2 2 2" xfId="5693" xr:uid="{00000000-0005-0000-0000-0000DF0E0000}"/>
    <cellStyle name="Normal 3 20 2 2 3" xfId="5694" xr:uid="{00000000-0005-0000-0000-0000E00E0000}"/>
    <cellStyle name="Normal 3 20 2 2 3 2" xfId="5695" xr:uid="{00000000-0005-0000-0000-0000E10E0000}"/>
    <cellStyle name="Normal 3 20 2 2 4" xfId="5696" xr:uid="{00000000-0005-0000-0000-0000E20E0000}"/>
    <cellStyle name="Normal 3 20 2 2 5" xfId="5697" xr:uid="{00000000-0005-0000-0000-0000E30E0000}"/>
    <cellStyle name="Normal 3 20 2 3" xfId="1922" xr:uid="{00000000-0005-0000-0000-0000E40E0000}"/>
    <cellStyle name="Normal 3 20 2 3 2" xfId="5698" xr:uid="{00000000-0005-0000-0000-0000E50E0000}"/>
    <cellStyle name="Normal 3 20 2 3 2 2" xfId="5699" xr:uid="{00000000-0005-0000-0000-0000E60E0000}"/>
    <cellStyle name="Normal 3 20 2 3 3" xfId="5700" xr:uid="{00000000-0005-0000-0000-0000E70E0000}"/>
    <cellStyle name="Normal 3 20 2 3 3 2" xfId="5701" xr:uid="{00000000-0005-0000-0000-0000E80E0000}"/>
    <cellStyle name="Normal 3 20 2 3 4" xfId="5702" xr:uid="{00000000-0005-0000-0000-0000E90E0000}"/>
    <cellStyle name="Normal 3 20 2 3 5" xfId="5703" xr:uid="{00000000-0005-0000-0000-0000EA0E0000}"/>
    <cellStyle name="Normal 3 20 2 4" xfId="1923" xr:uid="{00000000-0005-0000-0000-0000EB0E0000}"/>
    <cellStyle name="Normal 3 20 2 4 2" xfId="5704" xr:uid="{00000000-0005-0000-0000-0000EC0E0000}"/>
    <cellStyle name="Normal 3 20 2 4 2 2" xfId="5705" xr:uid="{00000000-0005-0000-0000-0000ED0E0000}"/>
    <cellStyle name="Normal 3 20 2 4 3" xfId="5706" xr:uid="{00000000-0005-0000-0000-0000EE0E0000}"/>
    <cellStyle name="Normal 3 20 2 4 3 2" xfId="5707" xr:uid="{00000000-0005-0000-0000-0000EF0E0000}"/>
    <cellStyle name="Normal 3 20 2 4 4" xfId="5708" xr:uid="{00000000-0005-0000-0000-0000F00E0000}"/>
    <cellStyle name="Normal 3 20 2 4 5" xfId="5709" xr:uid="{00000000-0005-0000-0000-0000F10E0000}"/>
    <cellStyle name="Normal 3 20 2 5" xfId="1924" xr:uid="{00000000-0005-0000-0000-0000F20E0000}"/>
    <cellStyle name="Normal 3 20 2 5 2" xfId="5710" xr:uid="{00000000-0005-0000-0000-0000F30E0000}"/>
    <cellStyle name="Normal 3 20 2 5 2 2" xfId="5711" xr:uid="{00000000-0005-0000-0000-0000F40E0000}"/>
    <cellStyle name="Normal 3 20 2 5 3" xfId="5712" xr:uid="{00000000-0005-0000-0000-0000F50E0000}"/>
    <cellStyle name="Normal 3 20 2 5 3 2" xfId="5713" xr:uid="{00000000-0005-0000-0000-0000F60E0000}"/>
    <cellStyle name="Normal 3 20 2 5 4" xfId="5714" xr:uid="{00000000-0005-0000-0000-0000F70E0000}"/>
    <cellStyle name="Normal 3 20 2 5 5" xfId="5715" xr:uid="{00000000-0005-0000-0000-0000F80E0000}"/>
    <cellStyle name="Normal 3 20 2 6" xfId="1925" xr:uid="{00000000-0005-0000-0000-0000F90E0000}"/>
    <cellStyle name="Normal 3 20 2 6 2" xfId="5716" xr:uid="{00000000-0005-0000-0000-0000FA0E0000}"/>
    <cellStyle name="Normal 3 20 2 6 2 2" xfId="5717" xr:uid="{00000000-0005-0000-0000-0000FB0E0000}"/>
    <cellStyle name="Normal 3 20 2 6 3" xfId="5718" xr:uid="{00000000-0005-0000-0000-0000FC0E0000}"/>
    <cellStyle name="Normal 3 20 2 6 3 2" xfId="5719" xr:uid="{00000000-0005-0000-0000-0000FD0E0000}"/>
    <cellStyle name="Normal 3 20 2 6 4" xfId="5720" xr:uid="{00000000-0005-0000-0000-0000FE0E0000}"/>
    <cellStyle name="Normal 3 20 2 6 5" xfId="5721" xr:uid="{00000000-0005-0000-0000-0000FF0E0000}"/>
    <cellStyle name="Normal 3 20 2 7" xfId="1926" xr:uid="{00000000-0005-0000-0000-0000000F0000}"/>
    <cellStyle name="Normal 3 20 2 7 2" xfId="5722" xr:uid="{00000000-0005-0000-0000-0000010F0000}"/>
    <cellStyle name="Normal 3 20 2 7 2 2" xfId="5723" xr:uid="{00000000-0005-0000-0000-0000020F0000}"/>
    <cellStyle name="Normal 3 20 2 7 3" xfId="5724" xr:uid="{00000000-0005-0000-0000-0000030F0000}"/>
    <cellStyle name="Normal 3 20 2 7 3 2" xfId="5725" xr:uid="{00000000-0005-0000-0000-0000040F0000}"/>
    <cellStyle name="Normal 3 20 2 7 4" xfId="5726" xr:uid="{00000000-0005-0000-0000-0000050F0000}"/>
    <cellStyle name="Normal 3 20 2 7 5" xfId="5727" xr:uid="{00000000-0005-0000-0000-0000060F0000}"/>
    <cellStyle name="Normal 3 20 2 8" xfId="1927" xr:uid="{00000000-0005-0000-0000-0000070F0000}"/>
    <cellStyle name="Normal 3 20 2 8 2" xfId="5728" xr:uid="{00000000-0005-0000-0000-0000080F0000}"/>
    <cellStyle name="Normal 3 20 2 8 2 2" xfId="5729" xr:uid="{00000000-0005-0000-0000-0000090F0000}"/>
    <cellStyle name="Normal 3 20 2 8 3" xfId="5730" xr:uid="{00000000-0005-0000-0000-00000A0F0000}"/>
    <cellStyle name="Normal 3 20 2 8 3 2" xfId="5731" xr:uid="{00000000-0005-0000-0000-00000B0F0000}"/>
    <cellStyle name="Normal 3 20 2 8 4" xfId="5732" xr:uid="{00000000-0005-0000-0000-00000C0F0000}"/>
    <cellStyle name="Normal 3 20 2 8 5" xfId="5733" xr:uid="{00000000-0005-0000-0000-00000D0F0000}"/>
    <cellStyle name="Normal 3 20 2 9" xfId="1928" xr:uid="{00000000-0005-0000-0000-00000E0F0000}"/>
    <cellStyle name="Normal 3 20 2 9 2" xfId="5734" xr:uid="{00000000-0005-0000-0000-00000F0F0000}"/>
    <cellStyle name="Normal 3 20 2 9 2 2" xfId="5735" xr:uid="{00000000-0005-0000-0000-0000100F0000}"/>
    <cellStyle name="Normal 3 20 2 9 3" xfId="5736" xr:uid="{00000000-0005-0000-0000-0000110F0000}"/>
    <cellStyle name="Normal 3 20 2 9 3 2" xfId="5737" xr:uid="{00000000-0005-0000-0000-0000120F0000}"/>
    <cellStyle name="Normal 3 20 2 9 4" xfId="5738" xr:uid="{00000000-0005-0000-0000-0000130F0000}"/>
    <cellStyle name="Normal 3 20 2 9 5" xfId="5739" xr:uid="{00000000-0005-0000-0000-0000140F0000}"/>
    <cellStyle name="Normal 3 20 3" xfId="1929" xr:uid="{00000000-0005-0000-0000-0000150F0000}"/>
    <cellStyle name="Normal 3 20 3 2" xfId="5740" xr:uid="{00000000-0005-0000-0000-0000160F0000}"/>
    <cellStyle name="Normal 3 20 3 2 2" xfId="5741" xr:uid="{00000000-0005-0000-0000-0000170F0000}"/>
    <cellStyle name="Normal 3 20 3 3" xfId="5742" xr:uid="{00000000-0005-0000-0000-0000180F0000}"/>
    <cellStyle name="Normal 3 20 3 3 2" xfId="5743" xr:uid="{00000000-0005-0000-0000-0000190F0000}"/>
    <cellStyle name="Normal 3 20 3 4" xfId="5744" xr:uid="{00000000-0005-0000-0000-00001A0F0000}"/>
    <cellStyle name="Normal 3 20 3 5" xfId="5745" xr:uid="{00000000-0005-0000-0000-00001B0F0000}"/>
    <cellStyle name="Normal 3 20 4" xfId="1930" xr:uid="{00000000-0005-0000-0000-00001C0F0000}"/>
    <cellStyle name="Normal 3 20 4 2" xfId="5746" xr:uid="{00000000-0005-0000-0000-00001D0F0000}"/>
    <cellStyle name="Normal 3 20 4 2 2" xfId="5747" xr:uid="{00000000-0005-0000-0000-00001E0F0000}"/>
    <cellStyle name="Normal 3 20 4 3" xfId="5748" xr:uid="{00000000-0005-0000-0000-00001F0F0000}"/>
    <cellStyle name="Normal 3 20 4 3 2" xfId="5749" xr:uid="{00000000-0005-0000-0000-0000200F0000}"/>
    <cellStyle name="Normal 3 20 4 4" xfId="5750" xr:uid="{00000000-0005-0000-0000-0000210F0000}"/>
    <cellStyle name="Normal 3 20 4 5" xfId="5751" xr:uid="{00000000-0005-0000-0000-0000220F0000}"/>
    <cellStyle name="Normal 3 20 5" xfId="1931" xr:uid="{00000000-0005-0000-0000-0000230F0000}"/>
    <cellStyle name="Normal 3 20 5 2" xfId="5752" xr:uid="{00000000-0005-0000-0000-0000240F0000}"/>
    <cellStyle name="Normal 3 20 5 2 2" xfId="5753" xr:uid="{00000000-0005-0000-0000-0000250F0000}"/>
    <cellStyle name="Normal 3 20 5 3" xfId="5754" xr:uid="{00000000-0005-0000-0000-0000260F0000}"/>
    <cellStyle name="Normal 3 20 5 3 2" xfId="5755" xr:uid="{00000000-0005-0000-0000-0000270F0000}"/>
    <cellStyle name="Normal 3 20 5 4" xfId="5756" xr:uid="{00000000-0005-0000-0000-0000280F0000}"/>
    <cellStyle name="Normal 3 20 5 5" xfId="5757" xr:uid="{00000000-0005-0000-0000-0000290F0000}"/>
    <cellStyle name="Normal 3 20 6" xfId="1932" xr:uid="{00000000-0005-0000-0000-00002A0F0000}"/>
    <cellStyle name="Normal 3 20 6 2" xfId="5758" xr:uid="{00000000-0005-0000-0000-00002B0F0000}"/>
    <cellStyle name="Normal 3 20 6 2 2" xfId="5759" xr:uid="{00000000-0005-0000-0000-00002C0F0000}"/>
    <cellStyle name="Normal 3 20 6 3" xfId="5760" xr:uid="{00000000-0005-0000-0000-00002D0F0000}"/>
    <cellStyle name="Normal 3 20 6 3 2" xfId="5761" xr:uid="{00000000-0005-0000-0000-00002E0F0000}"/>
    <cellStyle name="Normal 3 20 6 4" xfId="5762" xr:uid="{00000000-0005-0000-0000-00002F0F0000}"/>
    <cellStyle name="Normal 3 20 6 5" xfId="5763" xr:uid="{00000000-0005-0000-0000-0000300F0000}"/>
    <cellStyle name="Normal 3 20 7" xfId="1933" xr:uid="{00000000-0005-0000-0000-0000310F0000}"/>
    <cellStyle name="Normal 3 20 7 2" xfId="5764" xr:uid="{00000000-0005-0000-0000-0000320F0000}"/>
    <cellStyle name="Normal 3 20 7 2 2" xfId="5765" xr:uid="{00000000-0005-0000-0000-0000330F0000}"/>
    <cellStyle name="Normal 3 20 7 3" xfId="5766" xr:uid="{00000000-0005-0000-0000-0000340F0000}"/>
    <cellStyle name="Normal 3 20 7 3 2" xfId="5767" xr:uid="{00000000-0005-0000-0000-0000350F0000}"/>
    <cellStyle name="Normal 3 20 7 4" xfId="5768" xr:uid="{00000000-0005-0000-0000-0000360F0000}"/>
    <cellStyle name="Normal 3 20 7 5" xfId="5769" xr:uid="{00000000-0005-0000-0000-0000370F0000}"/>
    <cellStyle name="Normal 3 20 8" xfId="1934" xr:uid="{00000000-0005-0000-0000-0000380F0000}"/>
    <cellStyle name="Normal 3 20 8 2" xfId="5770" xr:uid="{00000000-0005-0000-0000-0000390F0000}"/>
    <cellStyle name="Normal 3 20 8 2 2" xfId="5771" xr:uid="{00000000-0005-0000-0000-00003A0F0000}"/>
    <cellStyle name="Normal 3 20 8 3" xfId="5772" xr:uid="{00000000-0005-0000-0000-00003B0F0000}"/>
    <cellStyle name="Normal 3 20 8 3 2" xfId="5773" xr:uid="{00000000-0005-0000-0000-00003C0F0000}"/>
    <cellStyle name="Normal 3 20 8 4" xfId="5774" xr:uid="{00000000-0005-0000-0000-00003D0F0000}"/>
    <cellStyle name="Normal 3 20 8 5" xfId="5775" xr:uid="{00000000-0005-0000-0000-00003E0F0000}"/>
    <cellStyle name="Normal 3 20 9" xfId="1935" xr:uid="{00000000-0005-0000-0000-00003F0F0000}"/>
    <cellStyle name="Normal 3 20 9 2" xfId="5776" xr:uid="{00000000-0005-0000-0000-0000400F0000}"/>
    <cellStyle name="Normal 3 20 9 2 2" xfId="5777" xr:uid="{00000000-0005-0000-0000-0000410F0000}"/>
    <cellStyle name="Normal 3 20 9 3" xfId="5778" xr:uid="{00000000-0005-0000-0000-0000420F0000}"/>
    <cellStyle name="Normal 3 20 9 3 2" xfId="5779" xr:uid="{00000000-0005-0000-0000-0000430F0000}"/>
    <cellStyle name="Normal 3 20 9 4" xfId="5780" xr:uid="{00000000-0005-0000-0000-0000440F0000}"/>
    <cellStyle name="Normal 3 20 9 5" xfId="5781" xr:uid="{00000000-0005-0000-0000-0000450F0000}"/>
    <cellStyle name="Normal 3 21" xfId="1936" xr:uid="{00000000-0005-0000-0000-0000460F0000}"/>
    <cellStyle name="Normal 3 21 10" xfId="1937" xr:uid="{00000000-0005-0000-0000-0000470F0000}"/>
    <cellStyle name="Normal 3 21 10 2" xfId="5782" xr:uid="{00000000-0005-0000-0000-0000480F0000}"/>
    <cellStyle name="Normal 3 21 10 2 2" xfId="5783" xr:uid="{00000000-0005-0000-0000-0000490F0000}"/>
    <cellStyle name="Normal 3 21 10 3" xfId="5784" xr:uid="{00000000-0005-0000-0000-00004A0F0000}"/>
    <cellStyle name="Normal 3 21 10 3 2" xfId="5785" xr:uid="{00000000-0005-0000-0000-00004B0F0000}"/>
    <cellStyle name="Normal 3 21 10 4" xfId="5786" xr:uid="{00000000-0005-0000-0000-00004C0F0000}"/>
    <cellStyle name="Normal 3 21 10 5" xfId="5787" xr:uid="{00000000-0005-0000-0000-00004D0F0000}"/>
    <cellStyle name="Normal 3 21 11" xfId="1938" xr:uid="{00000000-0005-0000-0000-00004E0F0000}"/>
    <cellStyle name="Normal 3 21 11 2" xfId="5788" xr:uid="{00000000-0005-0000-0000-00004F0F0000}"/>
    <cellStyle name="Normal 3 21 11 2 2" xfId="5789" xr:uid="{00000000-0005-0000-0000-0000500F0000}"/>
    <cellStyle name="Normal 3 21 11 3" xfId="5790" xr:uid="{00000000-0005-0000-0000-0000510F0000}"/>
    <cellStyle name="Normal 3 21 11 3 2" xfId="5791" xr:uid="{00000000-0005-0000-0000-0000520F0000}"/>
    <cellStyle name="Normal 3 21 11 4" xfId="5792" xr:uid="{00000000-0005-0000-0000-0000530F0000}"/>
    <cellStyle name="Normal 3 21 11 5" xfId="5793" xr:uid="{00000000-0005-0000-0000-0000540F0000}"/>
    <cellStyle name="Normal 3 21 12" xfId="1939" xr:uid="{00000000-0005-0000-0000-0000550F0000}"/>
    <cellStyle name="Normal 3 21 12 2" xfId="5794" xr:uid="{00000000-0005-0000-0000-0000560F0000}"/>
    <cellStyle name="Normal 3 21 12 2 2" xfId="5795" xr:uid="{00000000-0005-0000-0000-0000570F0000}"/>
    <cellStyle name="Normal 3 21 12 3" xfId="5796" xr:uid="{00000000-0005-0000-0000-0000580F0000}"/>
    <cellStyle name="Normal 3 21 12 3 2" xfId="5797" xr:uid="{00000000-0005-0000-0000-0000590F0000}"/>
    <cellStyle name="Normal 3 21 12 4" xfId="5798" xr:uid="{00000000-0005-0000-0000-00005A0F0000}"/>
    <cellStyle name="Normal 3 21 12 5" xfId="5799" xr:uid="{00000000-0005-0000-0000-00005B0F0000}"/>
    <cellStyle name="Normal 3 21 13" xfId="1940" xr:uid="{00000000-0005-0000-0000-00005C0F0000}"/>
    <cellStyle name="Normal 3 21 13 2" xfId="5800" xr:uid="{00000000-0005-0000-0000-00005D0F0000}"/>
    <cellStyle name="Normal 3 21 13 2 2" xfId="5801" xr:uid="{00000000-0005-0000-0000-00005E0F0000}"/>
    <cellStyle name="Normal 3 21 13 3" xfId="5802" xr:uid="{00000000-0005-0000-0000-00005F0F0000}"/>
    <cellStyle name="Normal 3 21 13 3 2" xfId="5803" xr:uid="{00000000-0005-0000-0000-0000600F0000}"/>
    <cellStyle name="Normal 3 21 13 4" xfId="5804" xr:uid="{00000000-0005-0000-0000-0000610F0000}"/>
    <cellStyle name="Normal 3 21 13 5" xfId="5805" xr:uid="{00000000-0005-0000-0000-0000620F0000}"/>
    <cellStyle name="Normal 3 21 14" xfId="5806" xr:uid="{00000000-0005-0000-0000-0000630F0000}"/>
    <cellStyle name="Normal 3 21 14 2" xfId="5807" xr:uid="{00000000-0005-0000-0000-0000640F0000}"/>
    <cellStyle name="Normal 3 21 15" xfId="5808" xr:uid="{00000000-0005-0000-0000-0000650F0000}"/>
    <cellStyle name="Normal 3 21 15 2" xfId="5809" xr:uid="{00000000-0005-0000-0000-0000660F0000}"/>
    <cellStyle name="Normal 3 21 16" xfId="5810" xr:uid="{00000000-0005-0000-0000-0000670F0000}"/>
    <cellStyle name="Normal 3 21 17" xfId="5811" xr:uid="{00000000-0005-0000-0000-0000680F0000}"/>
    <cellStyle name="Normal 3 21 2" xfId="1941" xr:uid="{00000000-0005-0000-0000-0000690F0000}"/>
    <cellStyle name="Normal 3 21 2 10" xfId="1942" xr:uid="{00000000-0005-0000-0000-00006A0F0000}"/>
    <cellStyle name="Normal 3 21 2 10 2" xfId="5812" xr:uid="{00000000-0005-0000-0000-00006B0F0000}"/>
    <cellStyle name="Normal 3 21 2 10 2 2" xfId="5813" xr:uid="{00000000-0005-0000-0000-00006C0F0000}"/>
    <cellStyle name="Normal 3 21 2 10 3" xfId="5814" xr:uid="{00000000-0005-0000-0000-00006D0F0000}"/>
    <cellStyle name="Normal 3 21 2 10 3 2" xfId="5815" xr:uid="{00000000-0005-0000-0000-00006E0F0000}"/>
    <cellStyle name="Normal 3 21 2 10 4" xfId="5816" xr:uid="{00000000-0005-0000-0000-00006F0F0000}"/>
    <cellStyle name="Normal 3 21 2 10 5" xfId="5817" xr:uid="{00000000-0005-0000-0000-0000700F0000}"/>
    <cellStyle name="Normal 3 21 2 11" xfId="1943" xr:uid="{00000000-0005-0000-0000-0000710F0000}"/>
    <cellStyle name="Normal 3 21 2 11 2" xfId="5818" xr:uid="{00000000-0005-0000-0000-0000720F0000}"/>
    <cellStyle name="Normal 3 21 2 11 2 2" xfId="5819" xr:uid="{00000000-0005-0000-0000-0000730F0000}"/>
    <cellStyle name="Normal 3 21 2 11 3" xfId="5820" xr:uid="{00000000-0005-0000-0000-0000740F0000}"/>
    <cellStyle name="Normal 3 21 2 11 3 2" xfId="5821" xr:uid="{00000000-0005-0000-0000-0000750F0000}"/>
    <cellStyle name="Normal 3 21 2 11 4" xfId="5822" xr:uid="{00000000-0005-0000-0000-0000760F0000}"/>
    <cellStyle name="Normal 3 21 2 11 5" xfId="5823" xr:uid="{00000000-0005-0000-0000-0000770F0000}"/>
    <cellStyle name="Normal 3 21 2 12" xfId="1944" xr:uid="{00000000-0005-0000-0000-0000780F0000}"/>
    <cellStyle name="Normal 3 21 2 12 2" xfId="5824" xr:uid="{00000000-0005-0000-0000-0000790F0000}"/>
    <cellStyle name="Normal 3 21 2 12 2 2" xfId="5825" xr:uid="{00000000-0005-0000-0000-00007A0F0000}"/>
    <cellStyle name="Normal 3 21 2 12 3" xfId="5826" xr:uid="{00000000-0005-0000-0000-00007B0F0000}"/>
    <cellStyle name="Normal 3 21 2 12 3 2" xfId="5827" xr:uid="{00000000-0005-0000-0000-00007C0F0000}"/>
    <cellStyle name="Normal 3 21 2 12 4" xfId="5828" xr:uid="{00000000-0005-0000-0000-00007D0F0000}"/>
    <cellStyle name="Normal 3 21 2 12 5" xfId="5829" xr:uid="{00000000-0005-0000-0000-00007E0F0000}"/>
    <cellStyle name="Normal 3 21 2 13" xfId="5830" xr:uid="{00000000-0005-0000-0000-00007F0F0000}"/>
    <cellStyle name="Normal 3 21 2 13 2" xfId="5831" xr:uid="{00000000-0005-0000-0000-0000800F0000}"/>
    <cellStyle name="Normal 3 21 2 14" xfId="5832" xr:uid="{00000000-0005-0000-0000-0000810F0000}"/>
    <cellStyle name="Normal 3 21 2 14 2" xfId="5833" xr:uid="{00000000-0005-0000-0000-0000820F0000}"/>
    <cellStyle name="Normal 3 21 2 15" xfId="5834" xr:uid="{00000000-0005-0000-0000-0000830F0000}"/>
    <cellStyle name="Normal 3 21 2 16" xfId="5835" xr:uid="{00000000-0005-0000-0000-0000840F0000}"/>
    <cellStyle name="Normal 3 21 2 2" xfId="1945" xr:uid="{00000000-0005-0000-0000-0000850F0000}"/>
    <cellStyle name="Normal 3 21 2 2 2" xfId="5836" xr:uid="{00000000-0005-0000-0000-0000860F0000}"/>
    <cellStyle name="Normal 3 21 2 2 2 2" xfId="5837" xr:uid="{00000000-0005-0000-0000-0000870F0000}"/>
    <cellStyle name="Normal 3 21 2 2 3" xfId="5838" xr:uid="{00000000-0005-0000-0000-0000880F0000}"/>
    <cellStyle name="Normal 3 21 2 2 3 2" xfId="5839" xr:uid="{00000000-0005-0000-0000-0000890F0000}"/>
    <cellStyle name="Normal 3 21 2 2 4" xfId="5840" xr:uid="{00000000-0005-0000-0000-00008A0F0000}"/>
    <cellStyle name="Normal 3 21 2 2 5" xfId="5841" xr:uid="{00000000-0005-0000-0000-00008B0F0000}"/>
    <cellStyle name="Normal 3 21 2 3" xfId="1946" xr:uid="{00000000-0005-0000-0000-00008C0F0000}"/>
    <cellStyle name="Normal 3 21 2 3 2" xfId="5842" xr:uid="{00000000-0005-0000-0000-00008D0F0000}"/>
    <cellStyle name="Normal 3 21 2 3 2 2" xfId="5843" xr:uid="{00000000-0005-0000-0000-00008E0F0000}"/>
    <cellStyle name="Normal 3 21 2 3 3" xfId="5844" xr:uid="{00000000-0005-0000-0000-00008F0F0000}"/>
    <cellStyle name="Normal 3 21 2 3 3 2" xfId="5845" xr:uid="{00000000-0005-0000-0000-0000900F0000}"/>
    <cellStyle name="Normal 3 21 2 3 4" xfId="5846" xr:uid="{00000000-0005-0000-0000-0000910F0000}"/>
    <cellStyle name="Normal 3 21 2 3 5" xfId="5847" xr:uid="{00000000-0005-0000-0000-0000920F0000}"/>
    <cellStyle name="Normal 3 21 2 4" xfId="1947" xr:uid="{00000000-0005-0000-0000-0000930F0000}"/>
    <cellStyle name="Normal 3 21 2 4 2" xfId="5848" xr:uid="{00000000-0005-0000-0000-0000940F0000}"/>
    <cellStyle name="Normal 3 21 2 4 2 2" xfId="5849" xr:uid="{00000000-0005-0000-0000-0000950F0000}"/>
    <cellStyle name="Normal 3 21 2 4 3" xfId="5850" xr:uid="{00000000-0005-0000-0000-0000960F0000}"/>
    <cellStyle name="Normal 3 21 2 4 3 2" xfId="5851" xr:uid="{00000000-0005-0000-0000-0000970F0000}"/>
    <cellStyle name="Normal 3 21 2 4 4" xfId="5852" xr:uid="{00000000-0005-0000-0000-0000980F0000}"/>
    <cellStyle name="Normal 3 21 2 4 5" xfId="5853" xr:uid="{00000000-0005-0000-0000-0000990F0000}"/>
    <cellStyle name="Normal 3 21 2 5" xfId="1948" xr:uid="{00000000-0005-0000-0000-00009A0F0000}"/>
    <cellStyle name="Normal 3 21 2 5 2" xfId="5854" xr:uid="{00000000-0005-0000-0000-00009B0F0000}"/>
    <cellStyle name="Normal 3 21 2 5 2 2" xfId="5855" xr:uid="{00000000-0005-0000-0000-00009C0F0000}"/>
    <cellStyle name="Normal 3 21 2 5 3" xfId="5856" xr:uid="{00000000-0005-0000-0000-00009D0F0000}"/>
    <cellStyle name="Normal 3 21 2 5 3 2" xfId="5857" xr:uid="{00000000-0005-0000-0000-00009E0F0000}"/>
    <cellStyle name="Normal 3 21 2 5 4" xfId="5858" xr:uid="{00000000-0005-0000-0000-00009F0F0000}"/>
    <cellStyle name="Normal 3 21 2 5 5" xfId="5859" xr:uid="{00000000-0005-0000-0000-0000A00F0000}"/>
    <cellStyle name="Normal 3 21 2 6" xfId="1949" xr:uid="{00000000-0005-0000-0000-0000A10F0000}"/>
    <cellStyle name="Normal 3 21 2 6 2" xfId="5860" xr:uid="{00000000-0005-0000-0000-0000A20F0000}"/>
    <cellStyle name="Normal 3 21 2 6 2 2" xfId="5861" xr:uid="{00000000-0005-0000-0000-0000A30F0000}"/>
    <cellStyle name="Normal 3 21 2 6 3" xfId="5862" xr:uid="{00000000-0005-0000-0000-0000A40F0000}"/>
    <cellStyle name="Normal 3 21 2 6 3 2" xfId="5863" xr:uid="{00000000-0005-0000-0000-0000A50F0000}"/>
    <cellStyle name="Normal 3 21 2 6 4" xfId="5864" xr:uid="{00000000-0005-0000-0000-0000A60F0000}"/>
    <cellStyle name="Normal 3 21 2 6 5" xfId="5865" xr:uid="{00000000-0005-0000-0000-0000A70F0000}"/>
    <cellStyle name="Normal 3 21 2 7" xfId="1950" xr:uid="{00000000-0005-0000-0000-0000A80F0000}"/>
    <cellStyle name="Normal 3 21 2 7 2" xfId="5866" xr:uid="{00000000-0005-0000-0000-0000A90F0000}"/>
    <cellStyle name="Normal 3 21 2 7 2 2" xfId="5867" xr:uid="{00000000-0005-0000-0000-0000AA0F0000}"/>
    <cellStyle name="Normal 3 21 2 7 3" xfId="5868" xr:uid="{00000000-0005-0000-0000-0000AB0F0000}"/>
    <cellStyle name="Normal 3 21 2 7 3 2" xfId="5869" xr:uid="{00000000-0005-0000-0000-0000AC0F0000}"/>
    <cellStyle name="Normal 3 21 2 7 4" xfId="5870" xr:uid="{00000000-0005-0000-0000-0000AD0F0000}"/>
    <cellStyle name="Normal 3 21 2 7 5" xfId="5871" xr:uid="{00000000-0005-0000-0000-0000AE0F0000}"/>
    <cellStyle name="Normal 3 21 2 8" xfId="1951" xr:uid="{00000000-0005-0000-0000-0000AF0F0000}"/>
    <cellStyle name="Normal 3 21 2 8 2" xfId="5872" xr:uid="{00000000-0005-0000-0000-0000B00F0000}"/>
    <cellStyle name="Normal 3 21 2 8 2 2" xfId="5873" xr:uid="{00000000-0005-0000-0000-0000B10F0000}"/>
    <cellStyle name="Normal 3 21 2 8 3" xfId="5874" xr:uid="{00000000-0005-0000-0000-0000B20F0000}"/>
    <cellStyle name="Normal 3 21 2 8 3 2" xfId="5875" xr:uid="{00000000-0005-0000-0000-0000B30F0000}"/>
    <cellStyle name="Normal 3 21 2 8 4" xfId="5876" xr:uid="{00000000-0005-0000-0000-0000B40F0000}"/>
    <cellStyle name="Normal 3 21 2 8 5" xfId="5877" xr:uid="{00000000-0005-0000-0000-0000B50F0000}"/>
    <cellStyle name="Normal 3 21 2 9" xfId="1952" xr:uid="{00000000-0005-0000-0000-0000B60F0000}"/>
    <cellStyle name="Normal 3 21 2 9 2" xfId="5878" xr:uid="{00000000-0005-0000-0000-0000B70F0000}"/>
    <cellStyle name="Normal 3 21 2 9 2 2" xfId="5879" xr:uid="{00000000-0005-0000-0000-0000B80F0000}"/>
    <cellStyle name="Normal 3 21 2 9 3" xfId="5880" xr:uid="{00000000-0005-0000-0000-0000B90F0000}"/>
    <cellStyle name="Normal 3 21 2 9 3 2" xfId="5881" xr:uid="{00000000-0005-0000-0000-0000BA0F0000}"/>
    <cellStyle name="Normal 3 21 2 9 4" xfId="5882" xr:uid="{00000000-0005-0000-0000-0000BB0F0000}"/>
    <cellStyle name="Normal 3 21 2 9 5" xfId="5883" xr:uid="{00000000-0005-0000-0000-0000BC0F0000}"/>
    <cellStyle name="Normal 3 21 3" xfId="1953" xr:uid="{00000000-0005-0000-0000-0000BD0F0000}"/>
    <cellStyle name="Normal 3 21 3 2" xfId="5884" xr:uid="{00000000-0005-0000-0000-0000BE0F0000}"/>
    <cellStyle name="Normal 3 21 3 2 2" xfId="5885" xr:uid="{00000000-0005-0000-0000-0000BF0F0000}"/>
    <cellStyle name="Normal 3 21 3 3" xfId="5886" xr:uid="{00000000-0005-0000-0000-0000C00F0000}"/>
    <cellStyle name="Normal 3 21 3 3 2" xfId="5887" xr:uid="{00000000-0005-0000-0000-0000C10F0000}"/>
    <cellStyle name="Normal 3 21 3 4" xfId="5888" xr:uid="{00000000-0005-0000-0000-0000C20F0000}"/>
    <cellStyle name="Normal 3 21 3 5" xfId="5889" xr:uid="{00000000-0005-0000-0000-0000C30F0000}"/>
    <cellStyle name="Normal 3 21 4" xfId="1954" xr:uid="{00000000-0005-0000-0000-0000C40F0000}"/>
    <cellStyle name="Normal 3 21 4 2" xfId="5890" xr:uid="{00000000-0005-0000-0000-0000C50F0000}"/>
    <cellStyle name="Normal 3 21 4 2 2" xfId="5891" xr:uid="{00000000-0005-0000-0000-0000C60F0000}"/>
    <cellStyle name="Normal 3 21 4 3" xfId="5892" xr:uid="{00000000-0005-0000-0000-0000C70F0000}"/>
    <cellStyle name="Normal 3 21 4 3 2" xfId="5893" xr:uid="{00000000-0005-0000-0000-0000C80F0000}"/>
    <cellStyle name="Normal 3 21 4 4" xfId="5894" xr:uid="{00000000-0005-0000-0000-0000C90F0000}"/>
    <cellStyle name="Normal 3 21 4 5" xfId="5895" xr:uid="{00000000-0005-0000-0000-0000CA0F0000}"/>
    <cellStyle name="Normal 3 21 5" xfId="1955" xr:uid="{00000000-0005-0000-0000-0000CB0F0000}"/>
    <cellStyle name="Normal 3 21 5 2" xfId="5896" xr:uid="{00000000-0005-0000-0000-0000CC0F0000}"/>
    <cellStyle name="Normal 3 21 5 2 2" xfId="5897" xr:uid="{00000000-0005-0000-0000-0000CD0F0000}"/>
    <cellStyle name="Normal 3 21 5 3" xfId="5898" xr:uid="{00000000-0005-0000-0000-0000CE0F0000}"/>
    <cellStyle name="Normal 3 21 5 3 2" xfId="5899" xr:uid="{00000000-0005-0000-0000-0000CF0F0000}"/>
    <cellStyle name="Normal 3 21 5 4" xfId="5900" xr:uid="{00000000-0005-0000-0000-0000D00F0000}"/>
    <cellStyle name="Normal 3 21 5 5" xfId="5901" xr:uid="{00000000-0005-0000-0000-0000D10F0000}"/>
    <cellStyle name="Normal 3 21 6" xfId="1956" xr:uid="{00000000-0005-0000-0000-0000D20F0000}"/>
    <cellStyle name="Normal 3 21 6 2" xfId="5902" xr:uid="{00000000-0005-0000-0000-0000D30F0000}"/>
    <cellStyle name="Normal 3 21 6 2 2" xfId="5903" xr:uid="{00000000-0005-0000-0000-0000D40F0000}"/>
    <cellStyle name="Normal 3 21 6 3" xfId="5904" xr:uid="{00000000-0005-0000-0000-0000D50F0000}"/>
    <cellStyle name="Normal 3 21 6 3 2" xfId="5905" xr:uid="{00000000-0005-0000-0000-0000D60F0000}"/>
    <cellStyle name="Normal 3 21 6 4" xfId="5906" xr:uid="{00000000-0005-0000-0000-0000D70F0000}"/>
    <cellStyle name="Normal 3 21 6 5" xfId="5907" xr:uid="{00000000-0005-0000-0000-0000D80F0000}"/>
    <cellStyle name="Normal 3 21 7" xfId="1957" xr:uid="{00000000-0005-0000-0000-0000D90F0000}"/>
    <cellStyle name="Normal 3 21 7 2" xfId="5908" xr:uid="{00000000-0005-0000-0000-0000DA0F0000}"/>
    <cellStyle name="Normal 3 21 7 2 2" xfId="5909" xr:uid="{00000000-0005-0000-0000-0000DB0F0000}"/>
    <cellStyle name="Normal 3 21 7 3" xfId="5910" xr:uid="{00000000-0005-0000-0000-0000DC0F0000}"/>
    <cellStyle name="Normal 3 21 7 3 2" xfId="5911" xr:uid="{00000000-0005-0000-0000-0000DD0F0000}"/>
    <cellStyle name="Normal 3 21 7 4" xfId="5912" xr:uid="{00000000-0005-0000-0000-0000DE0F0000}"/>
    <cellStyle name="Normal 3 21 7 5" xfId="5913" xr:uid="{00000000-0005-0000-0000-0000DF0F0000}"/>
    <cellStyle name="Normal 3 21 8" xfId="1958" xr:uid="{00000000-0005-0000-0000-0000E00F0000}"/>
    <cellStyle name="Normal 3 21 8 2" xfId="5914" xr:uid="{00000000-0005-0000-0000-0000E10F0000}"/>
    <cellStyle name="Normal 3 21 8 2 2" xfId="5915" xr:uid="{00000000-0005-0000-0000-0000E20F0000}"/>
    <cellStyle name="Normal 3 21 8 3" xfId="5916" xr:uid="{00000000-0005-0000-0000-0000E30F0000}"/>
    <cellStyle name="Normal 3 21 8 3 2" xfId="5917" xr:uid="{00000000-0005-0000-0000-0000E40F0000}"/>
    <cellStyle name="Normal 3 21 8 4" xfId="5918" xr:uid="{00000000-0005-0000-0000-0000E50F0000}"/>
    <cellStyle name="Normal 3 21 8 5" xfId="5919" xr:uid="{00000000-0005-0000-0000-0000E60F0000}"/>
    <cellStyle name="Normal 3 21 9" xfId="1959" xr:uid="{00000000-0005-0000-0000-0000E70F0000}"/>
    <cellStyle name="Normal 3 21 9 2" xfId="5920" xr:uid="{00000000-0005-0000-0000-0000E80F0000}"/>
    <cellStyle name="Normal 3 21 9 2 2" xfId="5921" xr:uid="{00000000-0005-0000-0000-0000E90F0000}"/>
    <cellStyle name="Normal 3 21 9 3" xfId="5922" xr:uid="{00000000-0005-0000-0000-0000EA0F0000}"/>
    <cellStyle name="Normal 3 21 9 3 2" xfId="5923" xr:uid="{00000000-0005-0000-0000-0000EB0F0000}"/>
    <cellStyle name="Normal 3 21 9 4" xfId="5924" xr:uid="{00000000-0005-0000-0000-0000EC0F0000}"/>
    <cellStyle name="Normal 3 21 9 5" xfId="5925" xr:uid="{00000000-0005-0000-0000-0000ED0F0000}"/>
    <cellStyle name="Normal 3 22" xfId="1960" xr:uid="{00000000-0005-0000-0000-0000EE0F0000}"/>
    <cellStyle name="Normal 3 22 10" xfId="1961" xr:uid="{00000000-0005-0000-0000-0000EF0F0000}"/>
    <cellStyle name="Normal 3 22 10 2" xfId="5926" xr:uid="{00000000-0005-0000-0000-0000F00F0000}"/>
    <cellStyle name="Normal 3 22 10 2 2" xfId="5927" xr:uid="{00000000-0005-0000-0000-0000F10F0000}"/>
    <cellStyle name="Normal 3 22 10 3" xfId="5928" xr:uid="{00000000-0005-0000-0000-0000F20F0000}"/>
    <cellStyle name="Normal 3 22 10 3 2" xfId="5929" xr:uid="{00000000-0005-0000-0000-0000F30F0000}"/>
    <cellStyle name="Normal 3 22 10 4" xfId="5930" xr:uid="{00000000-0005-0000-0000-0000F40F0000}"/>
    <cellStyle name="Normal 3 22 10 5" xfId="5931" xr:uid="{00000000-0005-0000-0000-0000F50F0000}"/>
    <cellStyle name="Normal 3 22 11" xfId="1962" xr:uid="{00000000-0005-0000-0000-0000F60F0000}"/>
    <cellStyle name="Normal 3 22 11 2" xfId="5932" xr:uid="{00000000-0005-0000-0000-0000F70F0000}"/>
    <cellStyle name="Normal 3 22 11 2 2" xfId="5933" xr:uid="{00000000-0005-0000-0000-0000F80F0000}"/>
    <cellStyle name="Normal 3 22 11 3" xfId="5934" xr:uid="{00000000-0005-0000-0000-0000F90F0000}"/>
    <cellStyle name="Normal 3 22 11 3 2" xfId="5935" xr:uid="{00000000-0005-0000-0000-0000FA0F0000}"/>
    <cellStyle name="Normal 3 22 11 4" xfId="5936" xr:uid="{00000000-0005-0000-0000-0000FB0F0000}"/>
    <cellStyle name="Normal 3 22 11 5" xfId="5937" xr:uid="{00000000-0005-0000-0000-0000FC0F0000}"/>
    <cellStyle name="Normal 3 22 12" xfId="1963" xr:uid="{00000000-0005-0000-0000-0000FD0F0000}"/>
    <cellStyle name="Normal 3 22 12 2" xfId="5938" xr:uid="{00000000-0005-0000-0000-0000FE0F0000}"/>
    <cellStyle name="Normal 3 22 12 2 2" xfId="5939" xr:uid="{00000000-0005-0000-0000-0000FF0F0000}"/>
    <cellStyle name="Normal 3 22 12 3" xfId="5940" xr:uid="{00000000-0005-0000-0000-000000100000}"/>
    <cellStyle name="Normal 3 22 12 3 2" xfId="5941" xr:uid="{00000000-0005-0000-0000-000001100000}"/>
    <cellStyle name="Normal 3 22 12 4" xfId="5942" xr:uid="{00000000-0005-0000-0000-000002100000}"/>
    <cellStyle name="Normal 3 22 12 5" xfId="5943" xr:uid="{00000000-0005-0000-0000-000003100000}"/>
    <cellStyle name="Normal 3 22 13" xfId="1964" xr:uid="{00000000-0005-0000-0000-000004100000}"/>
    <cellStyle name="Normal 3 22 13 2" xfId="5944" xr:uid="{00000000-0005-0000-0000-000005100000}"/>
    <cellStyle name="Normal 3 22 13 2 2" xfId="5945" xr:uid="{00000000-0005-0000-0000-000006100000}"/>
    <cellStyle name="Normal 3 22 13 3" xfId="5946" xr:uid="{00000000-0005-0000-0000-000007100000}"/>
    <cellStyle name="Normal 3 22 13 3 2" xfId="5947" xr:uid="{00000000-0005-0000-0000-000008100000}"/>
    <cellStyle name="Normal 3 22 13 4" xfId="5948" xr:uid="{00000000-0005-0000-0000-000009100000}"/>
    <cellStyle name="Normal 3 22 13 5" xfId="5949" xr:uid="{00000000-0005-0000-0000-00000A100000}"/>
    <cellStyle name="Normal 3 22 14" xfId="5950" xr:uid="{00000000-0005-0000-0000-00000B100000}"/>
    <cellStyle name="Normal 3 22 14 2" xfId="5951" xr:uid="{00000000-0005-0000-0000-00000C100000}"/>
    <cellStyle name="Normal 3 22 15" xfId="5952" xr:uid="{00000000-0005-0000-0000-00000D100000}"/>
    <cellStyle name="Normal 3 22 15 2" xfId="5953" xr:uid="{00000000-0005-0000-0000-00000E100000}"/>
    <cellStyle name="Normal 3 22 16" xfId="5954" xr:uid="{00000000-0005-0000-0000-00000F100000}"/>
    <cellStyle name="Normal 3 22 17" xfId="5955" xr:uid="{00000000-0005-0000-0000-000010100000}"/>
    <cellStyle name="Normal 3 22 2" xfId="1965" xr:uid="{00000000-0005-0000-0000-000011100000}"/>
    <cellStyle name="Normal 3 22 2 10" xfId="1966" xr:uid="{00000000-0005-0000-0000-000012100000}"/>
    <cellStyle name="Normal 3 22 2 10 2" xfId="5956" xr:uid="{00000000-0005-0000-0000-000013100000}"/>
    <cellStyle name="Normal 3 22 2 10 2 2" xfId="5957" xr:uid="{00000000-0005-0000-0000-000014100000}"/>
    <cellStyle name="Normal 3 22 2 10 3" xfId="5958" xr:uid="{00000000-0005-0000-0000-000015100000}"/>
    <cellStyle name="Normal 3 22 2 10 3 2" xfId="5959" xr:uid="{00000000-0005-0000-0000-000016100000}"/>
    <cellStyle name="Normal 3 22 2 10 4" xfId="5960" xr:uid="{00000000-0005-0000-0000-000017100000}"/>
    <cellStyle name="Normal 3 22 2 10 5" xfId="5961" xr:uid="{00000000-0005-0000-0000-000018100000}"/>
    <cellStyle name="Normal 3 22 2 11" xfId="1967" xr:uid="{00000000-0005-0000-0000-000019100000}"/>
    <cellStyle name="Normal 3 22 2 11 2" xfId="5962" xr:uid="{00000000-0005-0000-0000-00001A100000}"/>
    <cellStyle name="Normal 3 22 2 11 2 2" xfId="5963" xr:uid="{00000000-0005-0000-0000-00001B100000}"/>
    <cellStyle name="Normal 3 22 2 11 3" xfId="5964" xr:uid="{00000000-0005-0000-0000-00001C100000}"/>
    <cellStyle name="Normal 3 22 2 11 3 2" xfId="5965" xr:uid="{00000000-0005-0000-0000-00001D100000}"/>
    <cellStyle name="Normal 3 22 2 11 4" xfId="5966" xr:uid="{00000000-0005-0000-0000-00001E100000}"/>
    <cellStyle name="Normal 3 22 2 11 5" xfId="5967" xr:uid="{00000000-0005-0000-0000-00001F100000}"/>
    <cellStyle name="Normal 3 22 2 12" xfId="1968" xr:uid="{00000000-0005-0000-0000-000020100000}"/>
    <cellStyle name="Normal 3 22 2 12 2" xfId="5968" xr:uid="{00000000-0005-0000-0000-000021100000}"/>
    <cellStyle name="Normal 3 22 2 12 2 2" xfId="5969" xr:uid="{00000000-0005-0000-0000-000022100000}"/>
    <cellStyle name="Normal 3 22 2 12 3" xfId="5970" xr:uid="{00000000-0005-0000-0000-000023100000}"/>
    <cellStyle name="Normal 3 22 2 12 3 2" xfId="5971" xr:uid="{00000000-0005-0000-0000-000024100000}"/>
    <cellStyle name="Normal 3 22 2 12 4" xfId="5972" xr:uid="{00000000-0005-0000-0000-000025100000}"/>
    <cellStyle name="Normal 3 22 2 12 5" xfId="5973" xr:uid="{00000000-0005-0000-0000-000026100000}"/>
    <cellStyle name="Normal 3 22 2 13" xfId="5974" xr:uid="{00000000-0005-0000-0000-000027100000}"/>
    <cellStyle name="Normal 3 22 2 13 2" xfId="5975" xr:uid="{00000000-0005-0000-0000-000028100000}"/>
    <cellStyle name="Normal 3 22 2 14" xfId="5976" xr:uid="{00000000-0005-0000-0000-000029100000}"/>
    <cellStyle name="Normal 3 22 2 14 2" xfId="5977" xr:uid="{00000000-0005-0000-0000-00002A100000}"/>
    <cellStyle name="Normal 3 22 2 15" xfId="5978" xr:uid="{00000000-0005-0000-0000-00002B100000}"/>
    <cellStyle name="Normal 3 22 2 16" xfId="5979" xr:uid="{00000000-0005-0000-0000-00002C100000}"/>
    <cellStyle name="Normal 3 22 2 2" xfId="1969" xr:uid="{00000000-0005-0000-0000-00002D100000}"/>
    <cellStyle name="Normal 3 22 2 2 2" xfId="5980" xr:uid="{00000000-0005-0000-0000-00002E100000}"/>
    <cellStyle name="Normal 3 22 2 2 2 2" xfId="5981" xr:uid="{00000000-0005-0000-0000-00002F100000}"/>
    <cellStyle name="Normal 3 22 2 2 3" xfId="5982" xr:uid="{00000000-0005-0000-0000-000030100000}"/>
    <cellStyle name="Normal 3 22 2 2 3 2" xfId="5983" xr:uid="{00000000-0005-0000-0000-000031100000}"/>
    <cellStyle name="Normal 3 22 2 2 4" xfId="5984" xr:uid="{00000000-0005-0000-0000-000032100000}"/>
    <cellStyle name="Normal 3 22 2 2 5" xfId="5985" xr:uid="{00000000-0005-0000-0000-000033100000}"/>
    <cellStyle name="Normal 3 22 2 3" xfId="1970" xr:uid="{00000000-0005-0000-0000-000034100000}"/>
    <cellStyle name="Normal 3 22 2 3 2" xfId="5986" xr:uid="{00000000-0005-0000-0000-000035100000}"/>
    <cellStyle name="Normal 3 22 2 3 2 2" xfId="5987" xr:uid="{00000000-0005-0000-0000-000036100000}"/>
    <cellStyle name="Normal 3 22 2 3 3" xfId="5988" xr:uid="{00000000-0005-0000-0000-000037100000}"/>
    <cellStyle name="Normal 3 22 2 3 3 2" xfId="5989" xr:uid="{00000000-0005-0000-0000-000038100000}"/>
    <cellStyle name="Normal 3 22 2 3 4" xfId="5990" xr:uid="{00000000-0005-0000-0000-000039100000}"/>
    <cellStyle name="Normal 3 22 2 3 5" xfId="5991" xr:uid="{00000000-0005-0000-0000-00003A100000}"/>
    <cellStyle name="Normal 3 22 2 4" xfId="1971" xr:uid="{00000000-0005-0000-0000-00003B100000}"/>
    <cellStyle name="Normal 3 22 2 4 2" xfId="5992" xr:uid="{00000000-0005-0000-0000-00003C100000}"/>
    <cellStyle name="Normal 3 22 2 4 2 2" xfId="5993" xr:uid="{00000000-0005-0000-0000-00003D100000}"/>
    <cellStyle name="Normal 3 22 2 4 3" xfId="5994" xr:uid="{00000000-0005-0000-0000-00003E100000}"/>
    <cellStyle name="Normal 3 22 2 4 3 2" xfId="5995" xr:uid="{00000000-0005-0000-0000-00003F100000}"/>
    <cellStyle name="Normal 3 22 2 4 4" xfId="5996" xr:uid="{00000000-0005-0000-0000-000040100000}"/>
    <cellStyle name="Normal 3 22 2 4 5" xfId="5997" xr:uid="{00000000-0005-0000-0000-000041100000}"/>
    <cellStyle name="Normal 3 22 2 5" xfId="1972" xr:uid="{00000000-0005-0000-0000-000042100000}"/>
    <cellStyle name="Normal 3 22 2 5 2" xfId="5998" xr:uid="{00000000-0005-0000-0000-000043100000}"/>
    <cellStyle name="Normal 3 22 2 5 2 2" xfId="5999" xr:uid="{00000000-0005-0000-0000-000044100000}"/>
    <cellStyle name="Normal 3 22 2 5 3" xfId="6000" xr:uid="{00000000-0005-0000-0000-000045100000}"/>
    <cellStyle name="Normal 3 22 2 5 3 2" xfId="6001" xr:uid="{00000000-0005-0000-0000-000046100000}"/>
    <cellStyle name="Normal 3 22 2 5 4" xfId="6002" xr:uid="{00000000-0005-0000-0000-000047100000}"/>
    <cellStyle name="Normal 3 22 2 5 5" xfId="6003" xr:uid="{00000000-0005-0000-0000-000048100000}"/>
    <cellStyle name="Normal 3 22 2 6" xfId="1973" xr:uid="{00000000-0005-0000-0000-000049100000}"/>
    <cellStyle name="Normal 3 22 2 6 2" xfId="6004" xr:uid="{00000000-0005-0000-0000-00004A100000}"/>
    <cellStyle name="Normal 3 22 2 6 2 2" xfId="6005" xr:uid="{00000000-0005-0000-0000-00004B100000}"/>
    <cellStyle name="Normal 3 22 2 6 3" xfId="6006" xr:uid="{00000000-0005-0000-0000-00004C100000}"/>
    <cellStyle name="Normal 3 22 2 6 3 2" xfId="6007" xr:uid="{00000000-0005-0000-0000-00004D100000}"/>
    <cellStyle name="Normal 3 22 2 6 4" xfId="6008" xr:uid="{00000000-0005-0000-0000-00004E100000}"/>
    <cellStyle name="Normal 3 22 2 6 5" xfId="6009" xr:uid="{00000000-0005-0000-0000-00004F100000}"/>
    <cellStyle name="Normal 3 22 2 7" xfId="1974" xr:uid="{00000000-0005-0000-0000-000050100000}"/>
    <cellStyle name="Normal 3 22 2 7 2" xfId="6010" xr:uid="{00000000-0005-0000-0000-000051100000}"/>
    <cellStyle name="Normal 3 22 2 7 2 2" xfId="6011" xr:uid="{00000000-0005-0000-0000-000052100000}"/>
    <cellStyle name="Normal 3 22 2 7 3" xfId="6012" xr:uid="{00000000-0005-0000-0000-000053100000}"/>
    <cellStyle name="Normal 3 22 2 7 3 2" xfId="6013" xr:uid="{00000000-0005-0000-0000-000054100000}"/>
    <cellStyle name="Normal 3 22 2 7 4" xfId="6014" xr:uid="{00000000-0005-0000-0000-000055100000}"/>
    <cellStyle name="Normal 3 22 2 7 5" xfId="6015" xr:uid="{00000000-0005-0000-0000-000056100000}"/>
    <cellStyle name="Normal 3 22 2 8" xfId="1975" xr:uid="{00000000-0005-0000-0000-000057100000}"/>
    <cellStyle name="Normal 3 22 2 8 2" xfId="6016" xr:uid="{00000000-0005-0000-0000-000058100000}"/>
    <cellStyle name="Normal 3 22 2 8 2 2" xfId="6017" xr:uid="{00000000-0005-0000-0000-000059100000}"/>
    <cellStyle name="Normal 3 22 2 8 3" xfId="6018" xr:uid="{00000000-0005-0000-0000-00005A100000}"/>
    <cellStyle name="Normal 3 22 2 8 3 2" xfId="6019" xr:uid="{00000000-0005-0000-0000-00005B100000}"/>
    <cellStyle name="Normal 3 22 2 8 4" xfId="6020" xr:uid="{00000000-0005-0000-0000-00005C100000}"/>
    <cellStyle name="Normal 3 22 2 8 5" xfId="6021" xr:uid="{00000000-0005-0000-0000-00005D100000}"/>
    <cellStyle name="Normal 3 22 2 9" xfId="1976" xr:uid="{00000000-0005-0000-0000-00005E100000}"/>
    <cellStyle name="Normal 3 22 2 9 2" xfId="6022" xr:uid="{00000000-0005-0000-0000-00005F100000}"/>
    <cellStyle name="Normal 3 22 2 9 2 2" xfId="6023" xr:uid="{00000000-0005-0000-0000-000060100000}"/>
    <cellStyle name="Normal 3 22 2 9 3" xfId="6024" xr:uid="{00000000-0005-0000-0000-000061100000}"/>
    <cellStyle name="Normal 3 22 2 9 3 2" xfId="6025" xr:uid="{00000000-0005-0000-0000-000062100000}"/>
    <cellStyle name="Normal 3 22 2 9 4" xfId="6026" xr:uid="{00000000-0005-0000-0000-000063100000}"/>
    <cellStyle name="Normal 3 22 2 9 5" xfId="6027" xr:uid="{00000000-0005-0000-0000-000064100000}"/>
    <cellStyle name="Normal 3 22 3" xfId="1977" xr:uid="{00000000-0005-0000-0000-000065100000}"/>
    <cellStyle name="Normal 3 22 3 2" xfId="6028" xr:uid="{00000000-0005-0000-0000-000066100000}"/>
    <cellStyle name="Normal 3 22 3 2 2" xfId="6029" xr:uid="{00000000-0005-0000-0000-000067100000}"/>
    <cellStyle name="Normal 3 22 3 3" xfId="6030" xr:uid="{00000000-0005-0000-0000-000068100000}"/>
    <cellStyle name="Normal 3 22 3 3 2" xfId="6031" xr:uid="{00000000-0005-0000-0000-000069100000}"/>
    <cellStyle name="Normal 3 22 3 4" xfId="6032" xr:uid="{00000000-0005-0000-0000-00006A100000}"/>
    <cellStyle name="Normal 3 22 3 5" xfId="6033" xr:uid="{00000000-0005-0000-0000-00006B100000}"/>
    <cellStyle name="Normal 3 22 4" xfId="1978" xr:uid="{00000000-0005-0000-0000-00006C100000}"/>
    <cellStyle name="Normal 3 22 4 2" xfId="6034" xr:uid="{00000000-0005-0000-0000-00006D100000}"/>
    <cellStyle name="Normal 3 22 4 2 2" xfId="6035" xr:uid="{00000000-0005-0000-0000-00006E100000}"/>
    <cellStyle name="Normal 3 22 4 3" xfId="6036" xr:uid="{00000000-0005-0000-0000-00006F100000}"/>
    <cellStyle name="Normal 3 22 4 3 2" xfId="6037" xr:uid="{00000000-0005-0000-0000-000070100000}"/>
    <cellStyle name="Normal 3 22 4 4" xfId="6038" xr:uid="{00000000-0005-0000-0000-000071100000}"/>
    <cellStyle name="Normal 3 22 4 5" xfId="6039" xr:uid="{00000000-0005-0000-0000-000072100000}"/>
    <cellStyle name="Normal 3 22 5" xfId="1979" xr:uid="{00000000-0005-0000-0000-000073100000}"/>
    <cellStyle name="Normal 3 22 5 2" xfId="6040" xr:uid="{00000000-0005-0000-0000-000074100000}"/>
    <cellStyle name="Normal 3 22 5 2 2" xfId="6041" xr:uid="{00000000-0005-0000-0000-000075100000}"/>
    <cellStyle name="Normal 3 22 5 3" xfId="6042" xr:uid="{00000000-0005-0000-0000-000076100000}"/>
    <cellStyle name="Normal 3 22 5 3 2" xfId="6043" xr:uid="{00000000-0005-0000-0000-000077100000}"/>
    <cellStyle name="Normal 3 22 5 4" xfId="6044" xr:uid="{00000000-0005-0000-0000-000078100000}"/>
    <cellStyle name="Normal 3 22 5 5" xfId="6045" xr:uid="{00000000-0005-0000-0000-000079100000}"/>
    <cellStyle name="Normal 3 22 6" xfId="1980" xr:uid="{00000000-0005-0000-0000-00007A100000}"/>
    <cellStyle name="Normal 3 22 6 2" xfId="6046" xr:uid="{00000000-0005-0000-0000-00007B100000}"/>
    <cellStyle name="Normal 3 22 6 2 2" xfId="6047" xr:uid="{00000000-0005-0000-0000-00007C100000}"/>
    <cellStyle name="Normal 3 22 6 3" xfId="6048" xr:uid="{00000000-0005-0000-0000-00007D100000}"/>
    <cellStyle name="Normal 3 22 6 3 2" xfId="6049" xr:uid="{00000000-0005-0000-0000-00007E100000}"/>
    <cellStyle name="Normal 3 22 6 4" xfId="6050" xr:uid="{00000000-0005-0000-0000-00007F100000}"/>
    <cellStyle name="Normal 3 22 6 5" xfId="6051" xr:uid="{00000000-0005-0000-0000-000080100000}"/>
    <cellStyle name="Normal 3 22 7" xfId="1981" xr:uid="{00000000-0005-0000-0000-000081100000}"/>
    <cellStyle name="Normal 3 22 7 2" xfId="6052" xr:uid="{00000000-0005-0000-0000-000082100000}"/>
    <cellStyle name="Normal 3 22 7 2 2" xfId="6053" xr:uid="{00000000-0005-0000-0000-000083100000}"/>
    <cellStyle name="Normal 3 22 7 3" xfId="6054" xr:uid="{00000000-0005-0000-0000-000084100000}"/>
    <cellStyle name="Normal 3 22 7 3 2" xfId="6055" xr:uid="{00000000-0005-0000-0000-000085100000}"/>
    <cellStyle name="Normal 3 22 7 4" xfId="6056" xr:uid="{00000000-0005-0000-0000-000086100000}"/>
    <cellStyle name="Normal 3 22 7 5" xfId="6057" xr:uid="{00000000-0005-0000-0000-000087100000}"/>
    <cellStyle name="Normal 3 22 8" xfId="1982" xr:uid="{00000000-0005-0000-0000-000088100000}"/>
    <cellStyle name="Normal 3 22 8 2" xfId="6058" xr:uid="{00000000-0005-0000-0000-000089100000}"/>
    <cellStyle name="Normal 3 22 8 2 2" xfId="6059" xr:uid="{00000000-0005-0000-0000-00008A100000}"/>
    <cellStyle name="Normal 3 22 8 3" xfId="6060" xr:uid="{00000000-0005-0000-0000-00008B100000}"/>
    <cellStyle name="Normal 3 22 8 3 2" xfId="6061" xr:uid="{00000000-0005-0000-0000-00008C100000}"/>
    <cellStyle name="Normal 3 22 8 4" xfId="6062" xr:uid="{00000000-0005-0000-0000-00008D100000}"/>
    <cellStyle name="Normal 3 22 8 5" xfId="6063" xr:uid="{00000000-0005-0000-0000-00008E100000}"/>
    <cellStyle name="Normal 3 22 9" xfId="1983" xr:uid="{00000000-0005-0000-0000-00008F100000}"/>
    <cellStyle name="Normal 3 22 9 2" xfId="6064" xr:uid="{00000000-0005-0000-0000-000090100000}"/>
    <cellStyle name="Normal 3 22 9 2 2" xfId="6065" xr:uid="{00000000-0005-0000-0000-000091100000}"/>
    <cellStyle name="Normal 3 22 9 3" xfId="6066" xr:uid="{00000000-0005-0000-0000-000092100000}"/>
    <cellStyle name="Normal 3 22 9 3 2" xfId="6067" xr:uid="{00000000-0005-0000-0000-000093100000}"/>
    <cellStyle name="Normal 3 22 9 4" xfId="6068" xr:uid="{00000000-0005-0000-0000-000094100000}"/>
    <cellStyle name="Normal 3 22 9 5" xfId="6069" xr:uid="{00000000-0005-0000-0000-000095100000}"/>
    <cellStyle name="Normal 3 23" xfId="1984" xr:uid="{00000000-0005-0000-0000-000096100000}"/>
    <cellStyle name="Normal 3 23 10" xfId="1985" xr:uid="{00000000-0005-0000-0000-000097100000}"/>
    <cellStyle name="Normal 3 23 10 2" xfId="6070" xr:uid="{00000000-0005-0000-0000-000098100000}"/>
    <cellStyle name="Normal 3 23 10 2 2" xfId="6071" xr:uid="{00000000-0005-0000-0000-000099100000}"/>
    <cellStyle name="Normal 3 23 10 3" xfId="6072" xr:uid="{00000000-0005-0000-0000-00009A100000}"/>
    <cellStyle name="Normal 3 23 10 3 2" xfId="6073" xr:uid="{00000000-0005-0000-0000-00009B100000}"/>
    <cellStyle name="Normal 3 23 10 4" xfId="6074" xr:uid="{00000000-0005-0000-0000-00009C100000}"/>
    <cellStyle name="Normal 3 23 10 5" xfId="6075" xr:uid="{00000000-0005-0000-0000-00009D100000}"/>
    <cellStyle name="Normal 3 23 11" xfId="1986" xr:uid="{00000000-0005-0000-0000-00009E100000}"/>
    <cellStyle name="Normal 3 23 11 2" xfId="6076" xr:uid="{00000000-0005-0000-0000-00009F100000}"/>
    <cellStyle name="Normal 3 23 11 2 2" xfId="6077" xr:uid="{00000000-0005-0000-0000-0000A0100000}"/>
    <cellStyle name="Normal 3 23 11 3" xfId="6078" xr:uid="{00000000-0005-0000-0000-0000A1100000}"/>
    <cellStyle name="Normal 3 23 11 3 2" xfId="6079" xr:uid="{00000000-0005-0000-0000-0000A2100000}"/>
    <cellStyle name="Normal 3 23 11 4" xfId="6080" xr:uid="{00000000-0005-0000-0000-0000A3100000}"/>
    <cellStyle name="Normal 3 23 11 5" xfId="6081" xr:uid="{00000000-0005-0000-0000-0000A4100000}"/>
    <cellStyle name="Normal 3 23 12" xfId="1987" xr:uid="{00000000-0005-0000-0000-0000A5100000}"/>
    <cellStyle name="Normal 3 23 12 2" xfId="6082" xr:uid="{00000000-0005-0000-0000-0000A6100000}"/>
    <cellStyle name="Normal 3 23 12 2 2" xfId="6083" xr:uid="{00000000-0005-0000-0000-0000A7100000}"/>
    <cellStyle name="Normal 3 23 12 3" xfId="6084" xr:uid="{00000000-0005-0000-0000-0000A8100000}"/>
    <cellStyle name="Normal 3 23 12 3 2" xfId="6085" xr:uid="{00000000-0005-0000-0000-0000A9100000}"/>
    <cellStyle name="Normal 3 23 12 4" xfId="6086" xr:uid="{00000000-0005-0000-0000-0000AA100000}"/>
    <cellStyle name="Normal 3 23 12 5" xfId="6087" xr:uid="{00000000-0005-0000-0000-0000AB100000}"/>
    <cellStyle name="Normal 3 23 13" xfId="1988" xr:uid="{00000000-0005-0000-0000-0000AC100000}"/>
    <cellStyle name="Normal 3 23 13 2" xfId="6088" xr:uid="{00000000-0005-0000-0000-0000AD100000}"/>
    <cellStyle name="Normal 3 23 13 2 2" xfId="6089" xr:uid="{00000000-0005-0000-0000-0000AE100000}"/>
    <cellStyle name="Normal 3 23 13 3" xfId="6090" xr:uid="{00000000-0005-0000-0000-0000AF100000}"/>
    <cellStyle name="Normal 3 23 13 3 2" xfId="6091" xr:uid="{00000000-0005-0000-0000-0000B0100000}"/>
    <cellStyle name="Normal 3 23 13 4" xfId="6092" xr:uid="{00000000-0005-0000-0000-0000B1100000}"/>
    <cellStyle name="Normal 3 23 13 5" xfId="6093" xr:uid="{00000000-0005-0000-0000-0000B2100000}"/>
    <cellStyle name="Normal 3 23 14" xfId="6094" xr:uid="{00000000-0005-0000-0000-0000B3100000}"/>
    <cellStyle name="Normal 3 23 14 2" xfId="6095" xr:uid="{00000000-0005-0000-0000-0000B4100000}"/>
    <cellStyle name="Normal 3 23 15" xfId="6096" xr:uid="{00000000-0005-0000-0000-0000B5100000}"/>
    <cellStyle name="Normal 3 23 15 2" xfId="6097" xr:uid="{00000000-0005-0000-0000-0000B6100000}"/>
    <cellStyle name="Normal 3 23 16" xfId="6098" xr:uid="{00000000-0005-0000-0000-0000B7100000}"/>
    <cellStyle name="Normal 3 23 17" xfId="6099" xr:uid="{00000000-0005-0000-0000-0000B8100000}"/>
    <cellStyle name="Normal 3 23 2" xfId="1989" xr:uid="{00000000-0005-0000-0000-0000B9100000}"/>
    <cellStyle name="Normal 3 23 2 10" xfId="1990" xr:uid="{00000000-0005-0000-0000-0000BA100000}"/>
    <cellStyle name="Normal 3 23 2 10 2" xfId="6100" xr:uid="{00000000-0005-0000-0000-0000BB100000}"/>
    <cellStyle name="Normal 3 23 2 10 2 2" xfId="6101" xr:uid="{00000000-0005-0000-0000-0000BC100000}"/>
    <cellStyle name="Normal 3 23 2 10 3" xfId="6102" xr:uid="{00000000-0005-0000-0000-0000BD100000}"/>
    <cellStyle name="Normal 3 23 2 10 3 2" xfId="6103" xr:uid="{00000000-0005-0000-0000-0000BE100000}"/>
    <cellStyle name="Normal 3 23 2 10 4" xfId="6104" xr:uid="{00000000-0005-0000-0000-0000BF100000}"/>
    <cellStyle name="Normal 3 23 2 10 5" xfId="6105" xr:uid="{00000000-0005-0000-0000-0000C0100000}"/>
    <cellStyle name="Normal 3 23 2 11" xfId="1991" xr:uid="{00000000-0005-0000-0000-0000C1100000}"/>
    <cellStyle name="Normal 3 23 2 11 2" xfId="6106" xr:uid="{00000000-0005-0000-0000-0000C2100000}"/>
    <cellStyle name="Normal 3 23 2 11 2 2" xfId="6107" xr:uid="{00000000-0005-0000-0000-0000C3100000}"/>
    <cellStyle name="Normal 3 23 2 11 3" xfId="6108" xr:uid="{00000000-0005-0000-0000-0000C4100000}"/>
    <cellStyle name="Normal 3 23 2 11 3 2" xfId="6109" xr:uid="{00000000-0005-0000-0000-0000C5100000}"/>
    <cellStyle name="Normal 3 23 2 11 4" xfId="6110" xr:uid="{00000000-0005-0000-0000-0000C6100000}"/>
    <cellStyle name="Normal 3 23 2 11 5" xfId="6111" xr:uid="{00000000-0005-0000-0000-0000C7100000}"/>
    <cellStyle name="Normal 3 23 2 12" xfId="1992" xr:uid="{00000000-0005-0000-0000-0000C8100000}"/>
    <cellStyle name="Normal 3 23 2 12 2" xfId="6112" xr:uid="{00000000-0005-0000-0000-0000C9100000}"/>
    <cellStyle name="Normal 3 23 2 12 2 2" xfId="6113" xr:uid="{00000000-0005-0000-0000-0000CA100000}"/>
    <cellStyle name="Normal 3 23 2 12 3" xfId="6114" xr:uid="{00000000-0005-0000-0000-0000CB100000}"/>
    <cellStyle name="Normal 3 23 2 12 3 2" xfId="6115" xr:uid="{00000000-0005-0000-0000-0000CC100000}"/>
    <cellStyle name="Normal 3 23 2 12 4" xfId="6116" xr:uid="{00000000-0005-0000-0000-0000CD100000}"/>
    <cellStyle name="Normal 3 23 2 12 5" xfId="6117" xr:uid="{00000000-0005-0000-0000-0000CE100000}"/>
    <cellStyle name="Normal 3 23 2 13" xfId="6118" xr:uid="{00000000-0005-0000-0000-0000CF100000}"/>
    <cellStyle name="Normal 3 23 2 13 2" xfId="6119" xr:uid="{00000000-0005-0000-0000-0000D0100000}"/>
    <cellStyle name="Normal 3 23 2 14" xfId="6120" xr:uid="{00000000-0005-0000-0000-0000D1100000}"/>
    <cellStyle name="Normal 3 23 2 14 2" xfId="6121" xr:uid="{00000000-0005-0000-0000-0000D2100000}"/>
    <cellStyle name="Normal 3 23 2 15" xfId="6122" xr:uid="{00000000-0005-0000-0000-0000D3100000}"/>
    <cellStyle name="Normal 3 23 2 16" xfId="6123" xr:uid="{00000000-0005-0000-0000-0000D4100000}"/>
    <cellStyle name="Normal 3 23 2 2" xfId="1993" xr:uid="{00000000-0005-0000-0000-0000D5100000}"/>
    <cellStyle name="Normal 3 23 2 2 2" xfId="6124" xr:uid="{00000000-0005-0000-0000-0000D6100000}"/>
    <cellStyle name="Normal 3 23 2 2 2 2" xfId="6125" xr:uid="{00000000-0005-0000-0000-0000D7100000}"/>
    <cellStyle name="Normal 3 23 2 2 3" xfId="6126" xr:uid="{00000000-0005-0000-0000-0000D8100000}"/>
    <cellStyle name="Normal 3 23 2 2 3 2" xfId="6127" xr:uid="{00000000-0005-0000-0000-0000D9100000}"/>
    <cellStyle name="Normal 3 23 2 2 4" xfId="6128" xr:uid="{00000000-0005-0000-0000-0000DA100000}"/>
    <cellStyle name="Normal 3 23 2 2 5" xfId="6129" xr:uid="{00000000-0005-0000-0000-0000DB100000}"/>
    <cellStyle name="Normal 3 23 2 3" xfId="1994" xr:uid="{00000000-0005-0000-0000-0000DC100000}"/>
    <cellStyle name="Normal 3 23 2 3 2" xfId="6130" xr:uid="{00000000-0005-0000-0000-0000DD100000}"/>
    <cellStyle name="Normal 3 23 2 3 2 2" xfId="6131" xr:uid="{00000000-0005-0000-0000-0000DE100000}"/>
    <cellStyle name="Normal 3 23 2 3 3" xfId="6132" xr:uid="{00000000-0005-0000-0000-0000DF100000}"/>
    <cellStyle name="Normal 3 23 2 3 3 2" xfId="6133" xr:uid="{00000000-0005-0000-0000-0000E0100000}"/>
    <cellStyle name="Normal 3 23 2 3 4" xfId="6134" xr:uid="{00000000-0005-0000-0000-0000E1100000}"/>
    <cellStyle name="Normal 3 23 2 3 5" xfId="6135" xr:uid="{00000000-0005-0000-0000-0000E2100000}"/>
    <cellStyle name="Normal 3 23 2 4" xfId="1995" xr:uid="{00000000-0005-0000-0000-0000E3100000}"/>
    <cellStyle name="Normal 3 23 2 4 2" xfId="6136" xr:uid="{00000000-0005-0000-0000-0000E4100000}"/>
    <cellStyle name="Normal 3 23 2 4 2 2" xfId="6137" xr:uid="{00000000-0005-0000-0000-0000E5100000}"/>
    <cellStyle name="Normal 3 23 2 4 3" xfId="6138" xr:uid="{00000000-0005-0000-0000-0000E6100000}"/>
    <cellStyle name="Normal 3 23 2 4 3 2" xfId="6139" xr:uid="{00000000-0005-0000-0000-0000E7100000}"/>
    <cellStyle name="Normal 3 23 2 4 4" xfId="6140" xr:uid="{00000000-0005-0000-0000-0000E8100000}"/>
    <cellStyle name="Normal 3 23 2 4 5" xfId="6141" xr:uid="{00000000-0005-0000-0000-0000E9100000}"/>
    <cellStyle name="Normal 3 23 2 5" xfId="1996" xr:uid="{00000000-0005-0000-0000-0000EA100000}"/>
    <cellStyle name="Normal 3 23 2 5 2" xfId="6142" xr:uid="{00000000-0005-0000-0000-0000EB100000}"/>
    <cellStyle name="Normal 3 23 2 5 2 2" xfId="6143" xr:uid="{00000000-0005-0000-0000-0000EC100000}"/>
    <cellStyle name="Normal 3 23 2 5 3" xfId="6144" xr:uid="{00000000-0005-0000-0000-0000ED100000}"/>
    <cellStyle name="Normal 3 23 2 5 3 2" xfId="6145" xr:uid="{00000000-0005-0000-0000-0000EE100000}"/>
    <cellStyle name="Normal 3 23 2 5 4" xfId="6146" xr:uid="{00000000-0005-0000-0000-0000EF100000}"/>
    <cellStyle name="Normal 3 23 2 5 5" xfId="6147" xr:uid="{00000000-0005-0000-0000-0000F0100000}"/>
    <cellStyle name="Normal 3 23 2 6" xfId="1997" xr:uid="{00000000-0005-0000-0000-0000F1100000}"/>
    <cellStyle name="Normal 3 23 2 6 2" xfId="6148" xr:uid="{00000000-0005-0000-0000-0000F2100000}"/>
    <cellStyle name="Normal 3 23 2 6 2 2" xfId="6149" xr:uid="{00000000-0005-0000-0000-0000F3100000}"/>
    <cellStyle name="Normal 3 23 2 6 3" xfId="6150" xr:uid="{00000000-0005-0000-0000-0000F4100000}"/>
    <cellStyle name="Normal 3 23 2 6 3 2" xfId="6151" xr:uid="{00000000-0005-0000-0000-0000F5100000}"/>
    <cellStyle name="Normal 3 23 2 6 4" xfId="6152" xr:uid="{00000000-0005-0000-0000-0000F6100000}"/>
    <cellStyle name="Normal 3 23 2 6 5" xfId="6153" xr:uid="{00000000-0005-0000-0000-0000F7100000}"/>
    <cellStyle name="Normal 3 23 2 7" xfId="1998" xr:uid="{00000000-0005-0000-0000-0000F8100000}"/>
    <cellStyle name="Normal 3 23 2 7 2" xfId="6154" xr:uid="{00000000-0005-0000-0000-0000F9100000}"/>
    <cellStyle name="Normal 3 23 2 7 2 2" xfId="6155" xr:uid="{00000000-0005-0000-0000-0000FA100000}"/>
    <cellStyle name="Normal 3 23 2 7 3" xfId="6156" xr:uid="{00000000-0005-0000-0000-0000FB100000}"/>
    <cellStyle name="Normal 3 23 2 7 3 2" xfId="6157" xr:uid="{00000000-0005-0000-0000-0000FC100000}"/>
    <cellStyle name="Normal 3 23 2 7 4" xfId="6158" xr:uid="{00000000-0005-0000-0000-0000FD100000}"/>
    <cellStyle name="Normal 3 23 2 7 5" xfId="6159" xr:uid="{00000000-0005-0000-0000-0000FE100000}"/>
    <cellStyle name="Normal 3 23 2 8" xfId="1999" xr:uid="{00000000-0005-0000-0000-0000FF100000}"/>
    <cellStyle name="Normal 3 23 2 8 2" xfId="6160" xr:uid="{00000000-0005-0000-0000-000000110000}"/>
    <cellStyle name="Normal 3 23 2 8 2 2" xfId="6161" xr:uid="{00000000-0005-0000-0000-000001110000}"/>
    <cellStyle name="Normal 3 23 2 8 3" xfId="6162" xr:uid="{00000000-0005-0000-0000-000002110000}"/>
    <cellStyle name="Normal 3 23 2 8 3 2" xfId="6163" xr:uid="{00000000-0005-0000-0000-000003110000}"/>
    <cellStyle name="Normal 3 23 2 8 4" xfId="6164" xr:uid="{00000000-0005-0000-0000-000004110000}"/>
    <cellStyle name="Normal 3 23 2 8 5" xfId="6165" xr:uid="{00000000-0005-0000-0000-000005110000}"/>
    <cellStyle name="Normal 3 23 2 9" xfId="2000" xr:uid="{00000000-0005-0000-0000-000006110000}"/>
    <cellStyle name="Normal 3 23 2 9 2" xfId="6166" xr:uid="{00000000-0005-0000-0000-000007110000}"/>
    <cellStyle name="Normal 3 23 2 9 2 2" xfId="6167" xr:uid="{00000000-0005-0000-0000-000008110000}"/>
    <cellStyle name="Normal 3 23 2 9 3" xfId="6168" xr:uid="{00000000-0005-0000-0000-000009110000}"/>
    <cellStyle name="Normal 3 23 2 9 3 2" xfId="6169" xr:uid="{00000000-0005-0000-0000-00000A110000}"/>
    <cellStyle name="Normal 3 23 2 9 4" xfId="6170" xr:uid="{00000000-0005-0000-0000-00000B110000}"/>
    <cellStyle name="Normal 3 23 2 9 5" xfId="6171" xr:uid="{00000000-0005-0000-0000-00000C110000}"/>
    <cellStyle name="Normal 3 23 3" xfId="2001" xr:uid="{00000000-0005-0000-0000-00000D110000}"/>
    <cellStyle name="Normal 3 23 3 2" xfId="6172" xr:uid="{00000000-0005-0000-0000-00000E110000}"/>
    <cellStyle name="Normal 3 23 3 2 2" xfId="6173" xr:uid="{00000000-0005-0000-0000-00000F110000}"/>
    <cellStyle name="Normal 3 23 3 3" xfId="6174" xr:uid="{00000000-0005-0000-0000-000010110000}"/>
    <cellStyle name="Normal 3 23 3 3 2" xfId="6175" xr:uid="{00000000-0005-0000-0000-000011110000}"/>
    <cellStyle name="Normal 3 23 3 4" xfId="6176" xr:uid="{00000000-0005-0000-0000-000012110000}"/>
    <cellStyle name="Normal 3 23 3 5" xfId="6177" xr:uid="{00000000-0005-0000-0000-000013110000}"/>
    <cellStyle name="Normal 3 23 4" xfId="2002" xr:uid="{00000000-0005-0000-0000-000014110000}"/>
    <cellStyle name="Normal 3 23 4 2" xfId="6178" xr:uid="{00000000-0005-0000-0000-000015110000}"/>
    <cellStyle name="Normal 3 23 4 2 2" xfId="6179" xr:uid="{00000000-0005-0000-0000-000016110000}"/>
    <cellStyle name="Normal 3 23 4 3" xfId="6180" xr:uid="{00000000-0005-0000-0000-000017110000}"/>
    <cellStyle name="Normal 3 23 4 3 2" xfId="6181" xr:uid="{00000000-0005-0000-0000-000018110000}"/>
    <cellStyle name="Normal 3 23 4 4" xfId="6182" xr:uid="{00000000-0005-0000-0000-000019110000}"/>
    <cellStyle name="Normal 3 23 4 5" xfId="6183" xr:uid="{00000000-0005-0000-0000-00001A110000}"/>
    <cellStyle name="Normal 3 23 5" xfId="2003" xr:uid="{00000000-0005-0000-0000-00001B110000}"/>
    <cellStyle name="Normal 3 23 5 2" xfId="6184" xr:uid="{00000000-0005-0000-0000-00001C110000}"/>
    <cellStyle name="Normal 3 23 5 2 2" xfId="6185" xr:uid="{00000000-0005-0000-0000-00001D110000}"/>
    <cellStyle name="Normal 3 23 5 3" xfId="6186" xr:uid="{00000000-0005-0000-0000-00001E110000}"/>
    <cellStyle name="Normal 3 23 5 3 2" xfId="6187" xr:uid="{00000000-0005-0000-0000-00001F110000}"/>
    <cellStyle name="Normal 3 23 5 4" xfId="6188" xr:uid="{00000000-0005-0000-0000-000020110000}"/>
    <cellStyle name="Normal 3 23 5 5" xfId="6189" xr:uid="{00000000-0005-0000-0000-000021110000}"/>
    <cellStyle name="Normal 3 23 6" xfId="2004" xr:uid="{00000000-0005-0000-0000-000022110000}"/>
    <cellStyle name="Normal 3 23 6 2" xfId="6190" xr:uid="{00000000-0005-0000-0000-000023110000}"/>
    <cellStyle name="Normal 3 23 6 2 2" xfId="6191" xr:uid="{00000000-0005-0000-0000-000024110000}"/>
    <cellStyle name="Normal 3 23 6 3" xfId="6192" xr:uid="{00000000-0005-0000-0000-000025110000}"/>
    <cellStyle name="Normal 3 23 6 3 2" xfId="6193" xr:uid="{00000000-0005-0000-0000-000026110000}"/>
    <cellStyle name="Normal 3 23 6 4" xfId="6194" xr:uid="{00000000-0005-0000-0000-000027110000}"/>
    <cellStyle name="Normal 3 23 6 5" xfId="6195" xr:uid="{00000000-0005-0000-0000-000028110000}"/>
    <cellStyle name="Normal 3 23 7" xfId="2005" xr:uid="{00000000-0005-0000-0000-000029110000}"/>
    <cellStyle name="Normal 3 23 7 2" xfId="6196" xr:uid="{00000000-0005-0000-0000-00002A110000}"/>
    <cellStyle name="Normal 3 23 7 2 2" xfId="6197" xr:uid="{00000000-0005-0000-0000-00002B110000}"/>
    <cellStyle name="Normal 3 23 7 3" xfId="6198" xr:uid="{00000000-0005-0000-0000-00002C110000}"/>
    <cellStyle name="Normal 3 23 7 3 2" xfId="6199" xr:uid="{00000000-0005-0000-0000-00002D110000}"/>
    <cellStyle name="Normal 3 23 7 4" xfId="6200" xr:uid="{00000000-0005-0000-0000-00002E110000}"/>
    <cellStyle name="Normal 3 23 7 5" xfId="6201" xr:uid="{00000000-0005-0000-0000-00002F110000}"/>
    <cellStyle name="Normal 3 23 8" xfId="2006" xr:uid="{00000000-0005-0000-0000-000030110000}"/>
    <cellStyle name="Normal 3 23 8 2" xfId="6202" xr:uid="{00000000-0005-0000-0000-000031110000}"/>
    <cellStyle name="Normal 3 23 8 2 2" xfId="6203" xr:uid="{00000000-0005-0000-0000-000032110000}"/>
    <cellStyle name="Normal 3 23 8 3" xfId="6204" xr:uid="{00000000-0005-0000-0000-000033110000}"/>
    <cellStyle name="Normal 3 23 8 3 2" xfId="6205" xr:uid="{00000000-0005-0000-0000-000034110000}"/>
    <cellStyle name="Normal 3 23 8 4" xfId="6206" xr:uid="{00000000-0005-0000-0000-000035110000}"/>
    <cellStyle name="Normal 3 23 8 5" xfId="6207" xr:uid="{00000000-0005-0000-0000-000036110000}"/>
    <cellStyle name="Normal 3 23 9" xfId="2007" xr:uid="{00000000-0005-0000-0000-000037110000}"/>
    <cellStyle name="Normal 3 23 9 2" xfId="6208" xr:uid="{00000000-0005-0000-0000-000038110000}"/>
    <cellStyle name="Normal 3 23 9 2 2" xfId="6209" xr:uid="{00000000-0005-0000-0000-000039110000}"/>
    <cellStyle name="Normal 3 23 9 3" xfId="6210" xr:uid="{00000000-0005-0000-0000-00003A110000}"/>
    <cellStyle name="Normal 3 23 9 3 2" xfId="6211" xr:uid="{00000000-0005-0000-0000-00003B110000}"/>
    <cellStyle name="Normal 3 23 9 4" xfId="6212" xr:uid="{00000000-0005-0000-0000-00003C110000}"/>
    <cellStyle name="Normal 3 23 9 5" xfId="6213" xr:uid="{00000000-0005-0000-0000-00003D110000}"/>
    <cellStyle name="Normal 3 24" xfId="2008" xr:uid="{00000000-0005-0000-0000-00003E110000}"/>
    <cellStyle name="Normal 3 24 10" xfId="2009" xr:uid="{00000000-0005-0000-0000-00003F110000}"/>
    <cellStyle name="Normal 3 24 10 2" xfId="6214" xr:uid="{00000000-0005-0000-0000-000040110000}"/>
    <cellStyle name="Normal 3 24 10 2 2" xfId="6215" xr:uid="{00000000-0005-0000-0000-000041110000}"/>
    <cellStyle name="Normal 3 24 10 3" xfId="6216" xr:uid="{00000000-0005-0000-0000-000042110000}"/>
    <cellStyle name="Normal 3 24 10 3 2" xfId="6217" xr:uid="{00000000-0005-0000-0000-000043110000}"/>
    <cellStyle name="Normal 3 24 10 4" xfId="6218" xr:uid="{00000000-0005-0000-0000-000044110000}"/>
    <cellStyle name="Normal 3 24 10 5" xfId="6219" xr:uid="{00000000-0005-0000-0000-000045110000}"/>
    <cellStyle name="Normal 3 24 11" xfId="2010" xr:uid="{00000000-0005-0000-0000-000046110000}"/>
    <cellStyle name="Normal 3 24 11 2" xfId="6220" xr:uid="{00000000-0005-0000-0000-000047110000}"/>
    <cellStyle name="Normal 3 24 11 2 2" xfId="6221" xr:uid="{00000000-0005-0000-0000-000048110000}"/>
    <cellStyle name="Normal 3 24 11 3" xfId="6222" xr:uid="{00000000-0005-0000-0000-000049110000}"/>
    <cellStyle name="Normal 3 24 11 3 2" xfId="6223" xr:uid="{00000000-0005-0000-0000-00004A110000}"/>
    <cellStyle name="Normal 3 24 11 4" xfId="6224" xr:uid="{00000000-0005-0000-0000-00004B110000}"/>
    <cellStyle name="Normal 3 24 11 5" xfId="6225" xr:uid="{00000000-0005-0000-0000-00004C110000}"/>
    <cellStyle name="Normal 3 24 12" xfId="2011" xr:uid="{00000000-0005-0000-0000-00004D110000}"/>
    <cellStyle name="Normal 3 24 12 2" xfId="6226" xr:uid="{00000000-0005-0000-0000-00004E110000}"/>
    <cellStyle name="Normal 3 24 12 2 2" xfId="6227" xr:uid="{00000000-0005-0000-0000-00004F110000}"/>
    <cellStyle name="Normal 3 24 12 3" xfId="6228" xr:uid="{00000000-0005-0000-0000-000050110000}"/>
    <cellStyle name="Normal 3 24 12 3 2" xfId="6229" xr:uid="{00000000-0005-0000-0000-000051110000}"/>
    <cellStyle name="Normal 3 24 12 4" xfId="6230" xr:uid="{00000000-0005-0000-0000-000052110000}"/>
    <cellStyle name="Normal 3 24 12 5" xfId="6231" xr:uid="{00000000-0005-0000-0000-000053110000}"/>
    <cellStyle name="Normal 3 24 13" xfId="2012" xr:uid="{00000000-0005-0000-0000-000054110000}"/>
    <cellStyle name="Normal 3 24 13 2" xfId="6232" xr:uid="{00000000-0005-0000-0000-000055110000}"/>
    <cellStyle name="Normal 3 24 13 2 2" xfId="6233" xr:uid="{00000000-0005-0000-0000-000056110000}"/>
    <cellStyle name="Normal 3 24 13 3" xfId="6234" xr:uid="{00000000-0005-0000-0000-000057110000}"/>
    <cellStyle name="Normal 3 24 13 3 2" xfId="6235" xr:uid="{00000000-0005-0000-0000-000058110000}"/>
    <cellStyle name="Normal 3 24 13 4" xfId="6236" xr:uid="{00000000-0005-0000-0000-000059110000}"/>
    <cellStyle name="Normal 3 24 13 5" xfId="6237" xr:uid="{00000000-0005-0000-0000-00005A110000}"/>
    <cellStyle name="Normal 3 24 14" xfId="6238" xr:uid="{00000000-0005-0000-0000-00005B110000}"/>
    <cellStyle name="Normal 3 24 14 2" xfId="6239" xr:uid="{00000000-0005-0000-0000-00005C110000}"/>
    <cellStyle name="Normal 3 24 15" xfId="6240" xr:uid="{00000000-0005-0000-0000-00005D110000}"/>
    <cellStyle name="Normal 3 24 15 2" xfId="6241" xr:uid="{00000000-0005-0000-0000-00005E110000}"/>
    <cellStyle name="Normal 3 24 16" xfId="6242" xr:uid="{00000000-0005-0000-0000-00005F110000}"/>
    <cellStyle name="Normal 3 24 17" xfId="6243" xr:uid="{00000000-0005-0000-0000-000060110000}"/>
    <cellStyle name="Normal 3 24 2" xfId="2013" xr:uid="{00000000-0005-0000-0000-000061110000}"/>
    <cellStyle name="Normal 3 24 2 10" xfId="2014" xr:uid="{00000000-0005-0000-0000-000062110000}"/>
    <cellStyle name="Normal 3 24 2 10 2" xfId="6244" xr:uid="{00000000-0005-0000-0000-000063110000}"/>
    <cellStyle name="Normal 3 24 2 10 2 2" xfId="6245" xr:uid="{00000000-0005-0000-0000-000064110000}"/>
    <cellStyle name="Normal 3 24 2 10 3" xfId="6246" xr:uid="{00000000-0005-0000-0000-000065110000}"/>
    <cellStyle name="Normal 3 24 2 10 3 2" xfId="6247" xr:uid="{00000000-0005-0000-0000-000066110000}"/>
    <cellStyle name="Normal 3 24 2 10 4" xfId="6248" xr:uid="{00000000-0005-0000-0000-000067110000}"/>
    <cellStyle name="Normal 3 24 2 10 5" xfId="6249" xr:uid="{00000000-0005-0000-0000-000068110000}"/>
    <cellStyle name="Normal 3 24 2 11" xfId="2015" xr:uid="{00000000-0005-0000-0000-000069110000}"/>
    <cellStyle name="Normal 3 24 2 11 2" xfId="6250" xr:uid="{00000000-0005-0000-0000-00006A110000}"/>
    <cellStyle name="Normal 3 24 2 11 2 2" xfId="6251" xr:uid="{00000000-0005-0000-0000-00006B110000}"/>
    <cellStyle name="Normal 3 24 2 11 3" xfId="6252" xr:uid="{00000000-0005-0000-0000-00006C110000}"/>
    <cellStyle name="Normal 3 24 2 11 3 2" xfId="6253" xr:uid="{00000000-0005-0000-0000-00006D110000}"/>
    <cellStyle name="Normal 3 24 2 11 4" xfId="6254" xr:uid="{00000000-0005-0000-0000-00006E110000}"/>
    <cellStyle name="Normal 3 24 2 11 5" xfId="6255" xr:uid="{00000000-0005-0000-0000-00006F110000}"/>
    <cellStyle name="Normal 3 24 2 12" xfId="2016" xr:uid="{00000000-0005-0000-0000-000070110000}"/>
    <cellStyle name="Normal 3 24 2 12 2" xfId="6256" xr:uid="{00000000-0005-0000-0000-000071110000}"/>
    <cellStyle name="Normal 3 24 2 12 2 2" xfId="6257" xr:uid="{00000000-0005-0000-0000-000072110000}"/>
    <cellStyle name="Normal 3 24 2 12 3" xfId="6258" xr:uid="{00000000-0005-0000-0000-000073110000}"/>
    <cellStyle name="Normal 3 24 2 12 3 2" xfId="6259" xr:uid="{00000000-0005-0000-0000-000074110000}"/>
    <cellStyle name="Normal 3 24 2 12 4" xfId="6260" xr:uid="{00000000-0005-0000-0000-000075110000}"/>
    <cellStyle name="Normal 3 24 2 12 5" xfId="6261" xr:uid="{00000000-0005-0000-0000-000076110000}"/>
    <cellStyle name="Normal 3 24 2 13" xfId="6262" xr:uid="{00000000-0005-0000-0000-000077110000}"/>
    <cellStyle name="Normal 3 24 2 13 2" xfId="6263" xr:uid="{00000000-0005-0000-0000-000078110000}"/>
    <cellStyle name="Normal 3 24 2 14" xfId="6264" xr:uid="{00000000-0005-0000-0000-000079110000}"/>
    <cellStyle name="Normal 3 24 2 14 2" xfId="6265" xr:uid="{00000000-0005-0000-0000-00007A110000}"/>
    <cellStyle name="Normal 3 24 2 15" xfId="6266" xr:uid="{00000000-0005-0000-0000-00007B110000}"/>
    <cellStyle name="Normal 3 24 2 16" xfId="6267" xr:uid="{00000000-0005-0000-0000-00007C110000}"/>
    <cellStyle name="Normal 3 24 2 2" xfId="2017" xr:uid="{00000000-0005-0000-0000-00007D110000}"/>
    <cellStyle name="Normal 3 24 2 2 2" xfId="6268" xr:uid="{00000000-0005-0000-0000-00007E110000}"/>
    <cellStyle name="Normal 3 24 2 2 2 2" xfId="6269" xr:uid="{00000000-0005-0000-0000-00007F110000}"/>
    <cellStyle name="Normal 3 24 2 2 3" xfId="6270" xr:uid="{00000000-0005-0000-0000-000080110000}"/>
    <cellStyle name="Normal 3 24 2 2 3 2" xfId="6271" xr:uid="{00000000-0005-0000-0000-000081110000}"/>
    <cellStyle name="Normal 3 24 2 2 4" xfId="6272" xr:uid="{00000000-0005-0000-0000-000082110000}"/>
    <cellStyle name="Normal 3 24 2 2 5" xfId="6273" xr:uid="{00000000-0005-0000-0000-000083110000}"/>
    <cellStyle name="Normal 3 24 2 3" xfId="2018" xr:uid="{00000000-0005-0000-0000-000084110000}"/>
    <cellStyle name="Normal 3 24 2 3 2" xfId="6274" xr:uid="{00000000-0005-0000-0000-000085110000}"/>
    <cellStyle name="Normal 3 24 2 3 2 2" xfId="6275" xr:uid="{00000000-0005-0000-0000-000086110000}"/>
    <cellStyle name="Normal 3 24 2 3 3" xfId="6276" xr:uid="{00000000-0005-0000-0000-000087110000}"/>
    <cellStyle name="Normal 3 24 2 3 3 2" xfId="6277" xr:uid="{00000000-0005-0000-0000-000088110000}"/>
    <cellStyle name="Normal 3 24 2 3 4" xfId="6278" xr:uid="{00000000-0005-0000-0000-000089110000}"/>
    <cellStyle name="Normal 3 24 2 3 5" xfId="6279" xr:uid="{00000000-0005-0000-0000-00008A110000}"/>
    <cellStyle name="Normal 3 24 2 4" xfId="2019" xr:uid="{00000000-0005-0000-0000-00008B110000}"/>
    <cellStyle name="Normal 3 24 2 4 2" xfId="6280" xr:uid="{00000000-0005-0000-0000-00008C110000}"/>
    <cellStyle name="Normal 3 24 2 4 2 2" xfId="6281" xr:uid="{00000000-0005-0000-0000-00008D110000}"/>
    <cellStyle name="Normal 3 24 2 4 3" xfId="6282" xr:uid="{00000000-0005-0000-0000-00008E110000}"/>
    <cellStyle name="Normal 3 24 2 4 3 2" xfId="6283" xr:uid="{00000000-0005-0000-0000-00008F110000}"/>
    <cellStyle name="Normal 3 24 2 4 4" xfId="6284" xr:uid="{00000000-0005-0000-0000-000090110000}"/>
    <cellStyle name="Normal 3 24 2 4 5" xfId="6285" xr:uid="{00000000-0005-0000-0000-000091110000}"/>
    <cellStyle name="Normal 3 24 2 5" xfId="2020" xr:uid="{00000000-0005-0000-0000-000092110000}"/>
    <cellStyle name="Normal 3 24 2 5 2" xfId="6286" xr:uid="{00000000-0005-0000-0000-000093110000}"/>
    <cellStyle name="Normal 3 24 2 5 2 2" xfId="6287" xr:uid="{00000000-0005-0000-0000-000094110000}"/>
    <cellStyle name="Normal 3 24 2 5 3" xfId="6288" xr:uid="{00000000-0005-0000-0000-000095110000}"/>
    <cellStyle name="Normal 3 24 2 5 3 2" xfId="6289" xr:uid="{00000000-0005-0000-0000-000096110000}"/>
    <cellStyle name="Normal 3 24 2 5 4" xfId="6290" xr:uid="{00000000-0005-0000-0000-000097110000}"/>
    <cellStyle name="Normal 3 24 2 5 5" xfId="6291" xr:uid="{00000000-0005-0000-0000-000098110000}"/>
    <cellStyle name="Normal 3 24 2 6" xfId="2021" xr:uid="{00000000-0005-0000-0000-000099110000}"/>
    <cellStyle name="Normal 3 24 2 6 2" xfId="6292" xr:uid="{00000000-0005-0000-0000-00009A110000}"/>
    <cellStyle name="Normal 3 24 2 6 2 2" xfId="6293" xr:uid="{00000000-0005-0000-0000-00009B110000}"/>
    <cellStyle name="Normal 3 24 2 6 3" xfId="6294" xr:uid="{00000000-0005-0000-0000-00009C110000}"/>
    <cellStyle name="Normal 3 24 2 6 3 2" xfId="6295" xr:uid="{00000000-0005-0000-0000-00009D110000}"/>
    <cellStyle name="Normal 3 24 2 6 4" xfId="6296" xr:uid="{00000000-0005-0000-0000-00009E110000}"/>
    <cellStyle name="Normal 3 24 2 6 5" xfId="6297" xr:uid="{00000000-0005-0000-0000-00009F110000}"/>
    <cellStyle name="Normal 3 24 2 7" xfId="2022" xr:uid="{00000000-0005-0000-0000-0000A0110000}"/>
    <cellStyle name="Normal 3 24 2 7 2" xfId="6298" xr:uid="{00000000-0005-0000-0000-0000A1110000}"/>
    <cellStyle name="Normal 3 24 2 7 2 2" xfId="6299" xr:uid="{00000000-0005-0000-0000-0000A2110000}"/>
    <cellStyle name="Normal 3 24 2 7 3" xfId="6300" xr:uid="{00000000-0005-0000-0000-0000A3110000}"/>
    <cellStyle name="Normal 3 24 2 7 3 2" xfId="6301" xr:uid="{00000000-0005-0000-0000-0000A4110000}"/>
    <cellStyle name="Normal 3 24 2 7 4" xfId="6302" xr:uid="{00000000-0005-0000-0000-0000A5110000}"/>
    <cellStyle name="Normal 3 24 2 7 5" xfId="6303" xr:uid="{00000000-0005-0000-0000-0000A6110000}"/>
    <cellStyle name="Normal 3 24 2 8" xfId="2023" xr:uid="{00000000-0005-0000-0000-0000A7110000}"/>
    <cellStyle name="Normal 3 24 2 8 2" xfId="6304" xr:uid="{00000000-0005-0000-0000-0000A8110000}"/>
    <cellStyle name="Normal 3 24 2 8 2 2" xfId="6305" xr:uid="{00000000-0005-0000-0000-0000A9110000}"/>
    <cellStyle name="Normal 3 24 2 8 3" xfId="6306" xr:uid="{00000000-0005-0000-0000-0000AA110000}"/>
    <cellStyle name="Normal 3 24 2 8 3 2" xfId="6307" xr:uid="{00000000-0005-0000-0000-0000AB110000}"/>
    <cellStyle name="Normal 3 24 2 8 4" xfId="6308" xr:uid="{00000000-0005-0000-0000-0000AC110000}"/>
    <cellStyle name="Normal 3 24 2 8 5" xfId="6309" xr:uid="{00000000-0005-0000-0000-0000AD110000}"/>
    <cellStyle name="Normal 3 24 2 9" xfId="2024" xr:uid="{00000000-0005-0000-0000-0000AE110000}"/>
    <cellStyle name="Normal 3 24 2 9 2" xfId="6310" xr:uid="{00000000-0005-0000-0000-0000AF110000}"/>
    <cellStyle name="Normal 3 24 2 9 2 2" xfId="6311" xr:uid="{00000000-0005-0000-0000-0000B0110000}"/>
    <cellStyle name="Normal 3 24 2 9 3" xfId="6312" xr:uid="{00000000-0005-0000-0000-0000B1110000}"/>
    <cellStyle name="Normal 3 24 2 9 3 2" xfId="6313" xr:uid="{00000000-0005-0000-0000-0000B2110000}"/>
    <cellStyle name="Normal 3 24 2 9 4" xfId="6314" xr:uid="{00000000-0005-0000-0000-0000B3110000}"/>
    <cellStyle name="Normal 3 24 2 9 5" xfId="6315" xr:uid="{00000000-0005-0000-0000-0000B4110000}"/>
    <cellStyle name="Normal 3 24 3" xfId="2025" xr:uid="{00000000-0005-0000-0000-0000B5110000}"/>
    <cellStyle name="Normal 3 24 3 2" xfId="6316" xr:uid="{00000000-0005-0000-0000-0000B6110000}"/>
    <cellStyle name="Normal 3 24 3 2 2" xfId="6317" xr:uid="{00000000-0005-0000-0000-0000B7110000}"/>
    <cellStyle name="Normal 3 24 3 3" xfId="6318" xr:uid="{00000000-0005-0000-0000-0000B8110000}"/>
    <cellStyle name="Normal 3 24 3 3 2" xfId="6319" xr:uid="{00000000-0005-0000-0000-0000B9110000}"/>
    <cellStyle name="Normal 3 24 3 4" xfId="6320" xr:uid="{00000000-0005-0000-0000-0000BA110000}"/>
    <cellStyle name="Normal 3 24 3 5" xfId="6321" xr:uid="{00000000-0005-0000-0000-0000BB110000}"/>
    <cellStyle name="Normal 3 24 4" xfId="2026" xr:uid="{00000000-0005-0000-0000-0000BC110000}"/>
    <cellStyle name="Normal 3 24 4 2" xfId="6322" xr:uid="{00000000-0005-0000-0000-0000BD110000}"/>
    <cellStyle name="Normal 3 24 4 2 2" xfId="6323" xr:uid="{00000000-0005-0000-0000-0000BE110000}"/>
    <cellStyle name="Normal 3 24 4 3" xfId="6324" xr:uid="{00000000-0005-0000-0000-0000BF110000}"/>
    <cellStyle name="Normal 3 24 4 3 2" xfId="6325" xr:uid="{00000000-0005-0000-0000-0000C0110000}"/>
    <cellStyle name="Normal 3 24 4 4" xfId="6326" xr:uid="{00000000-0005-0000-0000-0000C1110000}"/>
    <cellStyle name="Normal 3 24 4 5" xfId="6327" xr:uid="{00000000-0005-0000-0000-0000C2110000}"/>
    <cellStyle name="Normal 3 24 5" xfId="2027" xr:uid="{00000000-0005-0000-0000-0000C3110000}"/>
    <cellStyle name="Normal 3 24 5 2" xfId="6328" xr:uid="{00000000-0005-0000-0000-0000C4110000}"/>
    <cellStyle name="Normal 3 24 5 2 2" xfId="6329" xr:uid="{00000000-0005-0000-0000-0000C5110000}"/>
    <cellStyle name="Normal 3 24 5 3" xfId="6330" xr:uid="{00000000-0005-0000-0000-0000C6110000}"/>
    <cellStyle name="Normal 3 24 5 3 2" xfId="6331" xr:uid="{00000000-0005-0000-0000-0000C7110000}"/>
    <cellStyle name="Normal 3 24 5 4" xfId="6332" xr:uid="{00000000-0005-0000-0000-0000C8110000}"/>
    <cellStyle name="Normal 3 24 5 5" xfId="6333" xr:uid="{00000000-0005-0000-0000-0000C9110000}"/>
    <cellStyle name="Normal 3 24 6" xfId="2028" xr:uid="{00000000-0005-0000-0000-0000CA110000}"/>
    <cellStyle name="Normal 3 24 6 2" xfId="6334" xr:uid="{00000000-0005-0000-0000-0000CB110000}"/>
    <cellStyle name="Normal 3 24 6 2 2" xfId="6335" xr:uid="{00000000-0005-0000-0000-0000CC110000}"/>
    <cellStyle name="Normal 3 24 6 3" xfId="6336" xr:uid="{00000000-0005-0000-0000-0000CD110000}"/>
    <cellStyle name="Normal 3 24 6 3 2" xfId="6337" xr:uid="{00000000-0005-0000-0000-0000CE110000}"/>
    <cellStyle name="Normal 3 24 6 4" xfId="6338" xr:uid="{00000000-0005-0000-0000-0000CF110000}"/>
    <cellStyle name="Normal 3 24 6 5" xfId="6339" xr:uid="{00000000-0005-0000-0000-0000D0110000}"/>
    <cellStyle name="Normal 3 24 7" xfId="2029" xr:uid="{00000000-0005-0000-0000-0000D1110000}"/>
    <cellStyle name="Normal 3 24 7 2" xfId="6340" xr:uid="{00000000-0005-0000-0000-0000D2110000}"/>
    <cellStyle name="Normal 3 24 7 2 2" xfId="6341" xr:uid="{00000000-0005-0000-0000-0000D3110000}"/>
    <cellStyle name="Normal 3 24 7 3" xfId="6342" xr:uid="{00000000-0005-0000-0000-0000D4110000}"/>
    <cellStyle name="Normal 3 24 7 3 2" xfId="6343" xr:uid="{00000000-0005-0000-0000-0000D5110000}"/>
    <cellStyle name="Normal 3 24 7 4" xfId="6344" xr:uid="{00000000-0005-0000-0000-0000D6110000}"/>
    <cellStyle name="Normal 3 24 7 5" xfId="6345" xr:uid="{00000000-0005-0000-0000-0000D7110000}"/>
    <cellStyle name="Normal 3 24 8" xfId="2030" xr:uid="{00000000-0005-0000-0000-0000D8110000}"/>
    <cellStyle name="Normal 3 24 8 2" xfId="6346" xr:uid="{00000000-0005-0000-0000-0000D9110000}"/>
    <cellStyle name="Normal 3 24 8 2 2" xfId="6347" xr:uid="{00000000-0005-0000-0000-0000DA110000}"/>
    <cellStyle name="Normal 3 24 8 3" xfId="6348" xr:uid="{00000000-0005-0000-0000-0000DB110000}"/>
    <cellStyle name="Normal 3 24 8 3 2" xfId="6349" xr:uid="{00000000-0005-0000-0000-0000DC110000}"/>
    <cellStyle name="Normal 3 24 8 4" xfId="6350" xr:uid="{00000000-0005-0000-0000-0000DD110000}"/>
    <cellStyle name="Normal 3 24 8 5" xfId="6351" xr:uid="{00000000-0005-0000-0000-0000DE110000}"/>
    <cellStyle name="Normal 3 24 9" xfId="2031" xr:uid="{00000000-0005-0000-0000-0000DF110000}"/>
    <cellStyle name="Normal 3 24 9 2" xfId="6352" xr:uid="{00000000-0005-0000-0000-0000E0110000}"/>
    <cellStyle name="Normal 3 24 9 2 2" xfId="6353" xr:uid="{00000000-0005-0000-0000-0000E1110000}"/>
    <cellStyle name="Normal 3 24 9 3" xfId="6354" xr:uid="{00000000-0005-0000-0000-0000E2110000}"/>
    <cellStyle name="Normal 3 24 9 3 2" xfId="6355" xr:uid="{00000000-0005-0000-0000-0000E3110000}"/>
    <cellStyle name="Normal 3 24 9 4" xfId="6356" xr:uid="{00000000-0005-0000-0000-0000E4110000}"/>
    <cellStyle name="Normal 3 24 9 5" xfId="6357" xr:uid="{00000000-0005-0000-0000-0000E5110000}"/>
    <cellStyle name="Normal 3 25" xfId="2032" xr:uid="{00000000-0005-0000-0000-0000E6110000}"/>
    <cellStyle name="Normal 3 25 10" xfId="2033" xr:uid="{00000000-0005-0000-0000-0000E7110000}"/>
    <cellStyle name="Normal 3 25 10 2" xfId="6358" xr:uid="{00000000-0005-0000-0000-0000E8110000}"/>
    <cellStyle name="Normal 3 25 10 2 2" xfId="6359" xr:uid="{00000000-0005-0000-0000-0000E9110000}"/>
    <cellStyle name="Normal 3 25 10 3" xfId="6360" xr:uid="{00000000-0005-0000-0000-0000EA110000}"/>
    <cellStyle name="Normal 3 25 10 3 2" xfId="6361" xr:uid="{00000000-0005-0000-0000-0000EB110000}"/>
    <cellStyle name="Normal 3 25 10 4" xfId="6362" xr:uid="{00000000-0005-0000-0000-0000EC110000}"/>
    <cellStyle name="Normal 3 25 10 5" xfId="6363" xr:uid="{00000000-0005-0000-0000-0000ED110000}"/>
    <cellStyle name="Normal 3 25 11" xfId="2034" xr:uid="{00000000-0005-0000-0000-0000EE110000}"/>
    <cellStyle name="Normal 3 25 11 2" xfId="6364" xr:uid="{00000000-0005-0000-0000-0000EF110000}"/>
    <cellStyle name="Normal 3 25 11 2 2" xfId="6365" xr:uid="{00000000-0005-0000-0000-0000F0110000}"/>
    <cellStyle name="Normal 3 25 11 3" xfId="6366" xr:uid="{00000000-0005-0000-0000-0000F1110000}"/>
    <cellStyle name="Normal 3 25 11 3 2" xfId="6367" xr:uid="{00000000-0005-0000-0000-0000F2110000}"/>
    <cellStyle name="Normal 3 25 11 4" xfId="6368" xr:uid="{00000000-0005-0000-0000-0000F3110000}"/>
    <cellStyle name="Normal 3 25 11 5" xfId="6369" xr:uid="{00000000-0005-0000-0000-0000F4110000}"/>
    <cellStyle name="Normal 3 25 12" xfId="2035" xr:uid="{00000000-0005-0000-0000-0000F5110000}"/>
    <cellStyle name="Normal 3 25 12 2" xfId="6370" xr:uid="{00000000-0005-0000-0000-0000F6110000}"/>
    <cellStyle name="Normal 3 25 12 2 2" xfId="6371" xr:uid="{00000000-0005-0000-0000-0000F7110000}"/>
    <cellStyle name="Normal 3 25 12 3" xfId="6372" xr:uid="{00000000-0005-0000-0000-0000F8110000}"/>
    <cellStyle name="Normal 3 25 12 3 2" xfId="6373" xr:uid="{00000000-0005-0000-0000-0000F9110000}"/>
    <cellStyle name="Normal 3 25 12 4" xfId="6374" xr:uid="{00000000-0005-0000-0000-0000FA110000}"/>
    <cellStyle name="Normal 3 25 12 5" xfId="6375" xr:uid="{00000000-0005-0000-0000-0000FB110000}"/>
    <cellStyle name="Normal 3 25 13" xfId="2036" xr:uid="{00000000-0005-0000-0000-0000FC110000}"/>
    <cellStyle name="Normal 3 25 13 2" xfId="6376" xr:uid="{00000000-0005-0000-0000-0000FD110000}"/>
    <cellStyle name="Normal 3 25 13 2 2" xfId="6377" xr:uid="{00000000-0005-0000-0000-0000FE110000}"/>
    <cellStyle name="Normal 3 25 13 3" xfId="6378" xr:uid="{00000000-0005-0000-0000-0000FF110000}"/>
    <cellStyle name="Normal 3 25 13 3 2" xfId="6379" xr:uid="{00000000-0005-0000-0000-000000120000}"/>
    <cellStyle name="Normal 3 25 13 4" xfId="6380" xr:uid="{00000000-0005-0000-0000-000001120000}"/>
    <cellStyle name="Normal 3 25 13 5" xfId="6381" xr:uid="{00000000-0005-0000-0000-000002120000}"/>
    <cellStyle name="Normal 3 25 14" xfId="6382" xr:uid="{00000000-0005-0000-0000-000003120000}"/>
    <cellStyle name="Normal 3 25 14 2" xfId="6383" xr:uid="{00000000-0005-0000-0000-000004120000}"/>
    <cellStyle name="Normal 3 25 15" xfId="6384" xr:uid="{00000000-0005-0000-0000-000005120000}"/>
    <cellStyle name="Normal 3 25 15 2" xfId="6385" xr:uid="{00000000-0005-0000-0000-000006120000}"/>
    <cellStyle name="Normal 3 25 16" xfId="6386" xr:uid="{00000000-0005-0000-0000-000007120000}"/>
    <cellStyle name="Normal 3 25 17" xfId="6387" xr:uid="{00000000-0005-0000-0000-000008120000}"/>
    <cellStyle name="Normal 3 25 2" xfId="2037" xr:uid="{00000000-0005-0000-0000-000009120000}"/>
    <cellStyle name="Normal 3 25 2 10" xfId="2038" xr:uid="{00000000-0005-0000-0000-00000A120000}"/>
    <cellStyle name="Normal 3 25 2 10 2" xfId="6388" xr:uid="{00000000-0005-0000-0000-00000B120000}"/>
    <cellStyle name="Normal 3 25 2 10 2 2" xfId="6389" xr:uid="{00000000-0005-0000-0000-00000C120000}"/>
    <cellStyle name="Normal 3 25 2 10 3" xfId="6390" xr:uid="{00000000-0005-0000-0000-00000D120000}"/>
    <cellStyle name="Normal 3 25 2 10 3 2" xfId="6391" xr:uid="{00000000-0005-0000-0000-00000E120000}"/>
    <cellStyle name="Normal 3 25 2 10 4" xfId="6392" xr:uid="{00000000-0005-0000-0000-00000F120000}"/>
    <cellStyle name="Normal 3 25 2 10 5" xfId="6393" xr:uid="{00000000-0005-0000-0000-000010120000}"/>
    <cellStyle name="Normal 3 25 2 11" xfId="2039" xr:uid="{00000000-0005-0000-0000-000011120000}"/>
    <cellStyle name="Normal 3 25 2 11 2" xfId="6394" xr:uid="{00000000-0005-0000-0000-000012120000}"/>
    <cellStyle name="Normal 3 25 2 11 2 2" xfId="6395" xr:uid="{00000000-0005-0000-0000-000013120000}"/>
    <cellStyle name="Normal 3 25 2 11 3" xfId="6396" xr:uid="{00000000-0005-0000-0000-000014120000}"/>
    <cellStyle name="Normal 3 25 2 11 3 2" xfId="6397" xr:uid="{00000000-0005-0000-0000-000015120000}"/>
    <cellStyle name="Normal 3 25 2 11 4" xfId="6398" xr:uid="{00000000-0005-0000-0000-000016120000}"/>
    <cellStyle name="Normal 3 25 2 11 5" xfId="6399" xr:uid="{00000000-0005-0000-0000-000017120000}"/>
    <cellStyle name="Normal 3 25 2 12" xfId="2040" xr:uid="{00000000-0005-0000-0000-000018120000}"/>
    <cellStyle name="Normal 3 25 2 12 2" xfId="6400" xr:uid="{00000000-0005-0000-0000-000019120000}"/>
    <cellStyle name="Normal 3 25 2 12 2 2" xfId="6401" xr:uid="{00000000-0005-0000-0000-00001A120000}"/>
    <cellStyle name="Normal 3 25 2 12 3" xfId="6402" xr:uid="{00000000-0005-0000-0000-00001B120000}"/>
    <cellStyle name="Normal 3 25 2 12 3 2" xfId="6403" xr:uid="{00000000-0005-0000-0000-00001C120000}"/>
    <cellStyle name="Normal 3 25 2 12 4" xfId="6404" xr:uid="{00000000-0005-0000-0000-00001D120000}"/>
    <cellStyle name="Normal 3 25 2 12 5" xfId="6405" xr:uid="{00000000-0005-0000-0000-00001E120000}"/>
    <cellStyle name="Normal 3 25 2 13" xfId="6406" xr:uid="{00000000-0005-0000-0000-00001F120000}"/>
    <cellStyle name="Normal 3 25 2 13 2" xfId="6407" xr:uid="{00000000-0005-0000-0000-000020120000}"/>
    <cellStyle name="Normal 3 25 2 14" xfId="6408" xr:uid="{00000000-0005-0000-0000-000021120000}"/>
    <cellStyle name="Normal 3 25 2 14 2" xfId="6409" xr:uid="{00000000-0005-0000-0000-000022120000}"/>
    <cellStyle name="Normal 3 25 2 15" xfId="6410" xr:uid="{00000000-0005-0000-0000-000023120000}"/>
    <cellStyle name="Normal 3 25 2 16" xfId="6411" xr:uid="{00000000-0005-0000-0000-000024120000}"/>
    <cellStyle name="Normal 3 25 2 2" xfId="2041" xr:uid="{00000000-0005-0000-0000-000025120000}"/>
    <cellStyle name="Normal 3 25 2 2 2" xfId="6412" xr:uid="{00000000-0005-0000-0000-000026120000}"/>
    <cellStyle name="Normal 3 25 2 2 2 2" xfId="6413" xr:uid="{00000000-0005-0000-0000-000027120000}"/>
    <cellStyle name="Normal 3 25 2 2 3" xfId="6414" xr:uid="{00000000-0005-0000-0000-000028120000}"/>
    <cellStyle name="Normal 3 25 2 2 3 2" xfId="6415" xr:uid="{00000000-0005-0000-0000-000029120000}"/>
    <cellStyle name="Normal 3 25 2 2 4" xfId="6416" xr:uid="{00000000-0005-0000-0000-00002A120000}"/>
    <cellStyle name="Normal 3 25 2 2 5" xfId="6417" xr:uid="{00000000-0005-0000-0000-00002B120000}"/>
    <cellStyle name="Normal 3 25 2 3" xfId="2042" xr:uid="{00000000-0005-0000-0000-00002C120000}"/>
    <cellStyle name="Normal 3 25 2 3 2" xfId="6418" xr:uid="{00000000-0005-0000-0000-00002D120000}"/>
    <cellStyle name="Normal 3 25 2 3 2 2" xfId="6419" xr:uid="{00000000-0005-0000-0000-00002E120000}"/>
    <cellStyle name="Normal 3 25 2 3 3" xfId="6420" xr:uid="{00000000-0005-0000-0000-00002F120000}"/>
    <cellStyle name="Normal 3 25 2 3 3 2" xfId="6421" xr:uid="{00000000-0005-0000-0000-000030120000}"/>
    <cellStyle name="Normal 3 25 2 3 4" xfId="6422" xr:uid="{00000000-0005-0000-0000-000031120000}"/>
    <cellStyle name="Normal 3 25 2 3 5" xfId="6423" xr:uid="{00000000-0005-0000-0000-000032120000}"/>
    <cellStyle name="Normal 3 25 2 4" xfId="2043" xr:uid="{00000000-0005-0000-0000-000033120000}"/>
    <cellStyle name="Normal 3 25 2 4 2" xfId="6424" xr:uid="{00000000-0005-0000-0000-000034120000}"/>
    <cellStyle name="Normal 3 25 2 4 2 2" xfId="6425" xr:uid="{00000000-0005-0000-0000-000035120000}"/>
    <cellStyle name="Normal 3 25 2 4 3" xfId="6426" xr:uid="{00000000-0005-0000-0000-000036120000}"/>
    <cellStyle name="Normal 3 25 2 4 3 2" xfId="6427" xr:uid="{00000000-0005-0000-0000-000037120000}"/>
    <cellStyle name="Normal 3 25 2 4 4" xfId="6428" xr:uid="{00000000-0005-0000-0000-000038120000}"/>
    <cellStyle name="Normal 3 25 2 4 5" xfId="6429" xr:uid="{00000000-0005-0000-0000-000039120000}"/>
    <cellStyle name="Normal 3 25 2 5" xfId="2044" xr:uid="{00000000-0005-0000-0000-00003A120000}"/>
    <cellStyle name="Normal 3 25 2 5 2" xfId="6430" xr:uid="{00000000-0005-0000-0000-00003B120000}"/>
    <cellStyle name="Normal 3 25 2 5 2 2" xfId="6431" xr:uid="{00000000-0005-0000-0000-00003C120000}"/>
    <cellStyle name="Normal 3 25 2 5 3" xfId="6432" xr:uid="{00000000-0005-0000-0000-00003D120000}"/>
    <cellStyle name="Normal 3 25 2 5 3 2" xfId="6433" xr:uid="{00000000-0005-0000-0000-00003E120000}"/>
    <cellStyle name="Normal 3 25 2 5 4" xfId="6434" xr:uid="{00000000-0005-0000-0000-00003F120000}"/>
    <cellStyle name="Normal 3 25 2 5 5" xfId="6435" xr:uid="{00000000-0005-0000-0000-000040120000}"/>
    <cellStyle name="Normal 3 25 2 6" xfId="2045" xr:uid="{00000000-0005-0000-0000-000041120000}"/>
    <cellStyle name="Normal 3 25 2 6 2" xfId="6436" xr:uid="{00000000-0005-0000-0000-000042120000}"/>
    <cellStyle name="Normal 3 25 2 6 2 2" xfId="6437" xr:uid="{00000000-0005-0000-0000-000043120000}"/>
    <cellStyle name="Normal 3 25 2 6 3" xfId="6438" xr:uid="{00000000-0005-0000-0000-000044120000}"/>
    <cellStyle name="Normal 3 25 2 6 3 2" xfId="6439" xr:uid="{00000000-0005-0000-0000-000045120000}"/>
    <cellStyle name="Normal 3 25 2 6 4" xfId="6440" xr:uid="{00000000-0005-0000-0000-000046120000}"/>
    <cellStyle name="Normal 3 25 2 6 5" xfId="6441" xr:uid="{00000000-0005-0000-0000-000047120000}"/>
    <cellStyle name="Normal 3 25 2 7" xfId="2046" xr:uid="{00000000-0005-0000-0000-000048120000}"/>
    <cellStyle name="Normal 3 25 2 7 2" xfId="6442" xr:uid="{00000000-0005-0000-0000-000049120000}"/>
    <cellStyle name="Normal 3 25 2 7 2 2" xfId="6443" xr:uid="{00000000-0005-0000-0000-00004A120000}"/>
    <cellStyle name="Normal 3 25 2 7 3" xfId="6444" xr:uid="{00000000-0005-0000-0000-00004B120000}"/>
    <cellStyle name="Normal 3 25 2 7 3 2" xfId="6445" xr:uid="{00000000-0005-0000-0000-00004C120000}"/>
    <cellStyle name="Normal 3 25 2 7 4" xfId="6446" xr:uid="{00000000-0005-0000-0000-00004D120000}"/>
    <cellStyle name="Normal 3 25 2 7 5" xfId="6447" xr:uid="{00000000-0005-0000-0000-00004E120000}"/>
    <cellStyle name="Normal 3 25 2 8" xfId="2047" xr:uid="{00000000-0005-0000-0000-00004F120000}"/>
    <cellStyle name="Normal 3 25 2 8 2" xfId="6448" xr:uid="{00000000-0005-0000-0000-000050120000}"/>
    <cellStyle name="Normal 3 25 2 8 2 2" xfId="6449" xr:uid="{00000000-0005-0000-0000-000051120000}"/>
    <cellStyle name="Normal 3 25 2 8 3" xfId="6450" xr:uid="{00000000-0005-0000-0000-000052120000}"/>
    <cellStyle name="Normal 3 25 2 8 3 2" xfId="6451" xr:uid="{00000000-0005-0000-0000-000053120000}"/>
    <cellStyle name="Normal 3 25 2 8 4" xfId="6452" xr:uid="{00000000-0005-0000-0000-000054120000}"/>
    <cellStyle name="Normal 3 25 2 8 5" xfId="6453" xr:uid="{00000000-0005-0000-0000-000055120000}"/>
    <cellStyle name="Normal 3 25 2 9" xfId="2048" xr:uid="{00000000-0005-0000-0000-000056120000}"/>
    <cellStyle name="Normal 3 25 2 9 2" xfId="6454" xr:uid="{00000000-0005-0000-0000-000057120000}"/>
    <cellStyle name="Normal 3 25 2 9 2 2" xfId="6455" xr:uid="{00000000-0005-0000-0000-000058120000}"/>
    <cellStyle name="Normal 3 25 2 9 3" xfId="6456" xr:uid="{00000000-0005-0000-0000-000059120000}"/>
    <cellStyle name="Normal 3 25 2 9 3 2" xfId="6457" xr:uid="{00000000-0005-0000-0000-00005A120000}"/>
    <cellStyle name="Normal 3 25 2 9 4" xfId="6458" xr:uid="{00000000-0005-0000-0000-00005B120000}"/>
    <cellStyle name="Normal 3 25 2 9 5" xfId="6459" xr:uid="{00000000-0005-0000-0000-00005C120000}"/>
    <cellStyle name="Normal 3 25 3" xfId="2049" xr:uid="{00000000-0005-0000-0000-00005D120000}"/>
    <cellStyle name="Normal 3 25 3 2" xfId="6460" xr:uid="{00000000-0005-0000-0000-00005E120000}"/>
    <cellStyle name="Normal 3 25 3 2 2" xfId="6461" xr:uid="{00000000-0005-0000-0000-00005F120000}"/>
    <cellStyle name="Normal 3 25 3 3" xfId="6462" xr:uid="{00000000-0005-0000-0000-000060120000}"/>
    <cellStyle name="Normal 3 25 3 3 2" xfId="6463" xr:uid="{00000000-0005-0000-0000-000061120000}"/>
    <cellStyle name="Normal 3 25 3 4" xfId="6464" xr:uid="{00000000-0005-0000-0000-000062120000}"/>
    <cellStyle name="Normal 3 25 3 5" xfId="6465" xr:uid="{00000000-0005-0000-0000-000063120000}"/>
    <cellStyle name="Normal 3 25 4" xfId="2050" xr:uid="{00000000-0005-0000-0000-000064120000}"/>
    <cellStyle name="Normal 3 25 4 2" xfId="6466" xr:uid="{00000000-0005-0000-0000-000065120000}"/>
    <cellStyle name="Normal 3 25 4 2 2" xfId="6467" xr:uid="{00000000-0005-0000-0000-000066120000}"/>
    <cellStyle name="Normal 3 25 4 3" xfId="6468" xr:uid="{00000000-0005-0000-0000-000067120000}"/>
    <cellStyle name="Normal 3 25 4 3 2" xfId="6469" xr:uid="{00000000-0005-0000-0000-000068120000}"/>
    <cellStyle name="Normal 3 25 4 4" xfId="6470" xr:uid="{00000000-0005-0000-0000-000069120000}"/>
    <cellStyle name="Normal 3 25 4 5" xfId="6471" xr:uid="{00000000-0005-0000-0000-00006A120000}"/>
    <cellStyle name="Normal 3 25 5" xfId="2051" xr:uid="{00000000-0005-0000-0000-00006B120000}"/>
    <cellStyle name="Normal 3 25 5 2" xfId="6472" xr:uid="{00000000-0005-0000-0000-00006C120000}"/>
    <cellStyle name="Normal 3 25 5 2 2" xfId="6473" xr:uid="{00000000-0005-0000-0000-00006D120000}"/>
    <cellStyle name="Normal 3 25 5 3" xfId="6474" xr:uid="{00000000-0005-0000-0000-00006E120000}"/>
    <cellStyle name="Normal 3 25 5 3 2" xfId="6475" xr:uid="{00000000-0005-0000-0000-00006F120000}"/>
    <cellStyle name="Normal 3 25 5 4" xfId="6476" xr:uid="{00000000-0005-0000-0000-000070120000}"/>
    <cellStyle name="Normal 3 25 5 5" xfId="6477" xr:uid="{00000000-0005-0000-0000-000071120000}"/>
    <cellStyle name="Normal 3 25 6" xfId="2052" xr:uid="{00000000-0005-0000-0000-000072120000}"/>
    <cellStyle name="Normal 3 25 6 2" xfId="6478" xr:uid="{00000000-0005-0000-0000-000073120000}"/>
    <cellStyle name="Normal 3 25 6 2 2" xfId="6479" xr:uid="{00000000-0005-0000-0000-000074120000}"/>
    <cellStyle name="Normal 3 25 6 3" xfId="6480" xr:uid="{00000000-0005-0000-0000-000075120000}"/>
    <cellStyle name="Normal 3 25 6 3 2" xfId="6481" xr:uid="{00000000-0005-0000-0000-000076120000}"/>
    <cellStyle name="Normal 3 25 6 4" xfId="6482" xr:uid="{00000000-0005-0000-0000-000077120000}"/>
    <cellStyle name="Normal 3 25 6 5" xfId="6483" xr:uid="{00000000-0005-0000-0000-000078120000}"/>
    <cellStyle name="Normal 3 25 7" xfId="2053" xr:uid="{00000000-0005-0000-0000-000079120000}"/>
    <cellStyle name="Normal 3 25 7 2" xfId="6484" xr:uid="{00000000-0005-0000-0000-00007A120000}"/>
    <cellStyle name="Normal 3 25 7 2 2" xfId="6485" xr:uid="{00000000-0005-0000-0000-00007B120000}"/>
    <cellStyle name="Normal 3 25 7 3" xfId="6486" xr:uid="{00000000-0005-0000-0000-00007C120000}"/>
    <cellStyle name="Normal 3 25 7 3 2" xfId="6487" xr:uid="{00000000-0005-0000-0000-00007D120000}"/>
    <cellStyle name="Normal 3 25 7 4" xfId="6488" xr:uid="{00000000-0005-0000-0000-00007E120000}"/>
    <cellStyle name="Normal 3 25 7 5" xfId="6489" xr:uid="{00000000-0005-0000-0000-00007F120000}"/>
    <cellStyle name="Normal 3 25 8" xfId="2054" xr:uid="{00000000-0005-0000-0000-000080120000}"/>
    <cellStyle name="Normal 3 25 8 2" xfId="6490" xr:uid="{00000000-0005-0000-0000-000081120000}"/>
    <cellStyle name="Normal 3 25 8 2 2" xfId="6491" xr:uid="{00000000-0005-0000-0000-000082120000}"/>
    <cellStyle name="Normal 3 25 8 3" xfId="6492" xr:uid="{00000000-0005-0000-0000-000083120000}"/>
    <cellStyle name="Normal 3 25 8 3 2" xfId="6493" xr:uid="{00000000-0005-0000-0000-000084120000}"/>
    <cellStyle name="Normal 3 25 8 4" xfId="6494" xr:uid="{00000000-0005-0000-0000-000085120000}"/>
    <cellStyle name="Normal 3 25 8 5" xfId="6495" xr:uid="{00000000-0005-0000-0000-000086120000}"/>
    <cellStyle name="Normal 3 25 9" xfId="2055" xr:uid="{00000000-0005-0000-0000-000087120000}"/>
    <cellStyle name="Normal 3 25 9 2" xfId="6496" xr:uid="{00000000-0005-0000-0000-000088120000}"/>
    <cellStyle name="Normal 3 25 9 2 2" xfId="6497" xr:uid="{00000000-0005-0000-0000-000089120000}"/>
    <cellStyle name="Normal 3 25 9 3" xfId="6498" xr:uid="{00000000-0005-0000-0000-00008A120000}"/>
    <cellStyle name="Normal 3 25 9 3 2" xfId="6499" xr:uid="{00000000-0005-0000-0000-00008B120000}"/>
    <cellStyle name="Normal 3 25 9 4" xfId="6500" xr:uid="{00000000-0005-0000-0000-00008C120000}"/>
    <cellStyle name="Normal 3 25 9 5" xfId="6501" xr:uid="{00000000-0005-0000-0000-00008D120000}"/>
    <cellStyle name="Normal 3 26" xfId="2056" xr:uid="{00000000-0005-0000-0000-00008E120000}"/>
    <cellStyle name="Normal 3 26 10" xfId="2057" xr:uid="{00000000-0005-0000-0000-00008F120000}"/>
    <cellStyle name="Normal 3 26 10 2" xfId="6502" xr:uid="{00000000-0005-0000-0000-000090120000}"/>
    <cellStyle name="Normal 3 26 10 2 2" xfId="6503" xr:uid="{00000000-0005-0000-0000-000091120000}"/>
    <cellStyle name="Normal 3 26 10 3" xfId="6504" xr:uid="{00000000-0005-0000-0000-000092120000}"/>
    <cellStyle name="Normal 3 26 10 3 2" xfId="6505" xr:uid="{00000000-0005-0000-0000-000093120000}"/>
    <cellStyle name="Normal 3 26 10 4" xfId="6506" xr:uid="{00000000-0005-0000-0000-000094120000}"/>
    <cellStyle name="Normal 3 26 10 5" xfId="6507" xr:uid="{00000000-0005-0000-0000-000095120000}"/>
    <cellStyle name="Normal 3 26 11" xfId="2058" xr:uid="{00000000-0005-0000-0000-000096120000}"/>
    <cellStyle name="Normal 3 26 11 2" xfId="6508" xr:uid="{00000000-0005-0000-0000-000097120000}"/>
    <cellStyle name="Normal 3 26 11 2 2" xfId="6509" xr:uid="{00000000-0005-0000-0000-000098120000}"/>
    <cellStyle name="Normal 3 26 11 3" xfId="6510" xr:uid="{00000000-0005-0000-0000-000099120000}"/>
    <cellStyle name="Normal 3 26 11 3 2" xfId="6511" xr:uid="{00000000-0005-0000-0000-00009A120000}"/>
    <cellStyle name="Normal 3 26 11 4" xfId="6512" xr:uid="{00000000-0005-0000-0000-00009B120000}"/>
    <cellStyle name="Normal 3 26 11 5" xfId="6513" xr:uid="{00000000-0005-0000-0000-00009C120000}"/>
    <cellStyle name="Normal 3 26 12" xfId="2059" xr:uid="{00000000-0005-0000-0000-00009D120000}"/>
    <cellStyle name="Normal 3 26 12 2" xfId="6514" xr:uid="{00000000-0005-0000-0000-00009E120000}"/>
    <cellStyle name="Normal 3 26 12 2 2" xfId="6515" xr:uid="{00000000-0005-0000-0000-00009F120000}"/>
    <cellStyle name="Normal 3 26 12 3" xfId="6516" xr:uid="{00000000-0005-0000-0000-0000A0120000}"/>
    <cellStyle name="Normal 3 26 12 3 2" xfId="6517" xr:uid="{00000000-0005-0000-0000-0000A1120000}"/>
    <cellStyle name="Normal 3 26 12 4" xfId="6518" xr:uid="{00000000-0005-0000-0000-0000A2120000}"/>
    <cellStyle name="Normal 3 26 12 5" xfId="6519" xr:uid="{00000000-0005-0000-0000-0000A3120000}"/>
    <cellStyle name="Normal 3 26 13" xfId="2060" xr:uid="{00000000-0005-0000-0000-0000A4120000}"/>
    <cellStyle name="Normal 3 26 13 2" xfId="6520" xr:uid="{00000000-0005-0000-0000-0000A5120000}"/>
    <cellStyle name="Normal 3 26 13 2 2" xfId="6521" xr:uid="{00000000-0005-0000-0000-0000A6120000}"/>
    <cellStyle name="Normal 3 26 13 3" xfId="6522" xr:uid="{00000000-0005-0000-0000-0000A7120000}"/>
    <cellStyle name="Normal 3 26 13 3 2" xfId="6523" xr:uid="{00000000-0005-0000-0000-0000A8120000}"/>
    <cellStyle name="Normal 3 26 13 4" xfId="6524" xr:uid="{00000000-0005-0000-0000-0000A9120000}"/>
    <cellStyle name="Normal 3 26 13 5" xfId="6525" xr:uid="{00000000-0005-0000-0000-0000AA120000}"/>
    <cellStyle name="Normal 3 26 14" xfId="6526" xr:uid="{00000000-0005-0000-0000-0000AB120000}"/>
    <cellStyle name="Normal 3 26 14 2" xfId="6527" xr:uid="{00000000-0005-0000-0000-0000AC120000}"/>
    <cellStyle name="Normal 3 26 15" xfId="6528" xr:uid="{00000000-0005-0000-0000-0000AD120000}"/>
    <cellStyle name="Normal 3 26 15 2" xfId="6529" xr:uid="{00000000-0005-0000-0000-0000AE120000}"/>
    <cellStyle name="Normal 3 26 16" xfId="6530" xr:uid="{00000000-0005-0000-0000-0000AF120000}"/>
    <cellStyle name="Normal 3 26 17" xfId="6531" xr:uid="{00000000-0005-0000-0000-0000B0120000}"/>
    <cellStyle name="Normal 3 26 2" xfId="2061" xr:uid="{00000000-0005-0000-0000-0000B1120000}"/>
    <cellStyle name="Normal 3 26 2 10" xfId="2062" xr:uid="{00000000-0005-0000-0000-0000B2120000}"/>
    <cellStyle name="Normal 3 26 2 10 2" xfId="6532" xr:uid="{00000000-0005-0000-0000-0000B3120000}"/>
    <cellStyle name="Normal 3 26 2 10 2 2" xfId="6533" xr:uid="{00000000-0005-0000-0000-0000B4120000}"/>
    <cellStyle name="Normal 3 26 2 10 3" xfId="6534" xr:uid="{00000000-0005-0000-0000-0000B5120000}"/>
    <cellStyle name="Normal 3 26 2 10 3 2" xfId="6535" xr:uid="{00000000-0005-0000-0000-0000B6120000}"/>
    <cellStyle name="Normal 3 26 2 10 4" xfId="6536" xr:uid="{00000000-0005-0000-0000-0000B7120000}"/>
    <cellStyle name="Normal 3 26 2 10 5" xfId="6537" xr:uid="{00000000-0005-0000-0000-0000B8120000}"/>
    <cellStyle name="Normal 3 26 2 11" xfId="2063" xr:uid="{00000000-0005-0000-0000-0000B9120000}"/>
    <cellStyle name="Normal 3 26 2 11 2" xfId="6538" xr:uid="{00000000-0005-0000-0000-0000BA120000}"/>
    <cellStyle name="Normal 3 26 2 11 2 2" xfId="6539" xr:uid="{00000000-0005-0000-0000-0000BB120000}"/>
    <cellStyle name="Normal 3 26 2 11 3" xfId="6540" xr:uid="{00000000-0005-0000-0000-0000BC120000}"/>
    <cellStyle name="Normal 3 26 2 11 3 2" xfId="6541" xr:uid="{00000000-0005-0000-0000-0000BD120000}"/>
    <cellStyle name="Normal 3 26 2 11 4" xfId="6542" xr:uid="{00000000-0005-0000-0000-0000BE120000}"/>
    <cellStyle name="Normal 3 26 2 11 5" xfId="6543" xr:uid="{00000000-0005-0000-0000-0000BF120000}"/>
    <cellStyle name="Normal 3 26 2 12" xfId="2064" xr:uid="{00000000-0005-0000-0000-0000C0120000}"/>
    <cellStyle name="Normal 3 26 2 12 2" xfId="6544" xr:uid="{00000000-0005-0000-0000-0000C1120000}"/>
    <cellStyle name="Normal 3 26 2 12 2 2" xfId="6545" xr:uid="{00000000-0005-0000-0000-0000C2120000}"/>
    <cellStyle name="Normal 3 26 2 12 3" xfId="6546" xr:uid="{00000000-0005-0000-0000-0000C3120000}"/>
    <cellStyle name="Normal 3 26 2 12 3 2" xfId="6547" xr:uid="{00000000-0005-0000-0000-0000C4120000}"/>
    <cellStyle name="Normal 3 26 2 12 4" xfId="6548" xr:uid="{00000000-0005-0000-0000-0000C5120000}"/>
    <cellStyle name="Normal 3 26 2 12 5" xfId="6549" xr:uid="{00000000-0005-0000-0000-0000C6120000}"/>
    <cellStyle name="Normal 3 26 2 13" xfId="6550" xr:uid="{00000000-0005-0000-0000-0000C7120000}"/>
    <cellStyle name="Normal 3 26 2 13 2" xfId="6551" xr:uid="{00000000-0005-0000-0000-0000C8120000}"/>
    <cellStyle name="Normal 3 26 2 14" xfId="6552" xr:uid="{00000000-0005-0000-0000-0000C9120000}"/>
    <cellStyle name="Normal 3 26 2 14 2" xfId="6553" xr:uid="{00000000-0005-0000-0000-0000CA120000}"/>
    <cellStyle name="Normal 3 26 2 15" xfId="6554" xr:uid="{00000000-0005-0000-0000-0000CB120000}"/>
    <cellStyle name="Normal 3 26 2 16" xfId="6555" xr:uid="{00000000-0005-0000-0000-0000CC120000}"/>
    <cellStyle name="Normal 3 26 2 2" xfId="2065" xr:uid="{00000000-0005-0000-0000-0000CD120000}"/>
    <cellStyle name="Normal 3 26 2 2 2" xfId="6556" xr:uid="{00000000-0005-0000-0000-0000CE120000}"/>
    <cellStyle name="Normal 3 26 2 2 2 2" xfId="6557" xr:uid="{00000000-0005-0000-0000-0000CF120000}"/>
    <cellStyle name="Normal 3 26 2 2 3" xfId="6558" xr:uid="{00000000-0005-0000-0000-0000D0120000}"/>
    <cellStyle name="Normal 3 26 2 2 3 2" xfId="6559" xr:uid="{00000000-0005-0000-0000-0000D1120000}"/>
    <cellStyle name="Normal 3 26 2 2 4" xfId="6560" xr:uid="{00000000-0005-0000-0000-0000D2120000}"/>
    <cellStyle name="Normal 3 26 2 2 5" xfId="6561" xr:uid="{00000000-0005-0000-0000-0000D3120000}"/>
    <cellStyle name="Normal 3 26 2 3" xfId="2066" xr:uid="{00000000-0005-0000-0000-0000D4120000}"/>
    <cellStyle name="Normal 3 26 2 3 2" xfId="6562" xr:uid="{00000000-0005-0000-0000-0000D5120000}"/>
    <cellStyle name="Normal 3 26 2 3 2 2" xfId="6563" xr:uid="{00000000-0005-0000-0000-0000D6120000}"/>
    <cellStyle name="Normal 3 26 2 3 3" xfId="6564" xr:uid="{00000000-0005-0000-0000-0000D7120000}"/>
    <cellStyle name="Normal 3 26 2 3 3 2" xfId="6565" xr:uid="{00000000-0005-0000-0000-0000D8120000}"/>
    <cellStyle name="Normal 3 26 2 3 4" xfId="6566" xr:uid="{00000000-0005-0000-0000-0000D9120000}"/>
    <cellStyle name="Normal 3 26 2 3 5" xfId="6567" xr:uid="{00000000-0005-0000-0000-0000DA120000}"/>
    <cellStyle name="Normal 3 26 2 4" xfId="2067" xr:uid="{00000000-0005-0000-0000-0000DB120000}"/>
    <cellStyle name="Normal 3 26 2 4 2" xfId="6568" xr:uid="{00000000-0005-0000-0000-0000DC120000}"/>
    <cellStyle name="Normal 3 26 2 4 2 2" xfId="6569" xr:uid="{00000000-0005-0000-0000-0000DD120000}"/>
    <cellStyle name="Normal 3 26 2 4 3" xfId="6570" xr:uid="{00000000-0005-0000-0000-0000DE120000}"/>
    <cellStyle name="Normal 3 26 2 4 3 2" xfId="6571" xr:uid="{00000000-0005-0000-0000-0000DF120000}"/>
    <cellStyle name="Normal 3 26 2 4 4" xfId="6572" xr:uid="{00000000-0005-0000-0000-0000E0120000}"/>
    <cellStyle name="Normal 3 26 2 4 5" xfId="6573" xr:uid="{00000000-0005-0000-0000-0000E1120000}"/>
    <cellStyle name="Normal 3 26 2 5" xfId="2068" xr:uid="{00000000-0005-0000-0000-0000E2120000}"/>
    <cellStyle name="Normal 3 26 2 5 2" xfId="6574" xr:uid="{00000000-0005-0000-0000-0000E3120000}"/>
    <cellStyle name="Normal 3 26 2 5 2 2" xfId="6575" xr:uid="{00000000-0005-0000-0000-0000E4120000}"/>
    <cellStyle name="Normal 3 26 2 5 3" xfId="6576" xr:uid="{00000000-0005-0000-0000-0000E5120000}"/>
    <cellStyle name="Normal 3 26 2 5 3 2" xfId="6577" xr:uid="{00000000-0005-0000-0000-0000E6120000}"/>
    <cellStyle name="Normal 3 26 2 5 4" xfId="6578" xr:uid="{00000000-0005-0000-0000-0000E7120000}"/>
    <cellStyle name="Normal 3 26 2 5 5" xfId="6579" xr:uid="{00000000-0005-0000-0000-0000E8120000}"/>
    <cellStyle name="Normal 3 26 2 6" xfId="2069" xr:uid="{00000000-0005-0000-0000-0000E9120000}"/>
    <cellStyle name="Normal 3 26 2 6 2" xfId="6580" xr:uid="{00000000-0005-0000-0000-0000EA120000}"/>
    <cellStyle name="Normal 3 26 2 6 2 2" xfId="6581" xr:uid="{00000000-0005-0000-0000-0000EB120000}"/>
    <cellStyle name="Normal 3 26 2 6 3" xfId="6582" xr:uid="{00000000-0005-0000-0000-0000EC120000}"/>
    <cellStyle name="Normal 3 26 2 6 3 2" xfId="6583" xr:uid="{00000000-0005-0000-0000-0000ED120000}"/>
    <cellStyle name="Normal 3 26 2 6 4" xfId="6584" xr:uid="{00000000-0005-0000-0000-0000EE120000}"/>
    <cellStyle name="Normal 3 26 2 6 5" xfId="6585" xr:uid="{00000000-0005-0000-0000-0000EF120000}"/>
    <cellStyle name="Normal 3 26 2 7" xfId="2070" xr:uid="{00000000-0005-0000-0000-0000F0120000}"/>
    <cellStyle name="Normal 3 26 2 7 2" xfId="6586" xr:uid="{00000000-0005-0000-0000-0000F1120000}"/>
    <cellStyle name="Normal 3 26 2 7 2 2" xfId="6587" xr:uid="{00000000-0005-0000-0000-0000F2120000}"/>
    <cellStyle name="Normal 3 26 2 7 3" xfId="6588" xr:uid="{00000000-0005-0000-0000-0000F3120000}"/>
    <cellStyle name="Normal 3 26 2 7 3 2" xfId="6589" xr:uid="{00000000-0005-0000-0000-0000F4120000}"/>
    <cellStyle name="Normal 3 26 2 7 4" xfId="6590" xr:uid="{00000000-0005-0000-0000-0000F5120000}"/>
    <cellStyle name="Normal 3 26 2 7 5" xfId="6591" xr:uid="{00000000-0005-0000-0000-0000F6120000}"/>
    <cellStyle name="Normal 3 26 2 8" xfId="2071" xr:uid="{00000000-0005-0000-0000-0000F7120000}"/>
    <cellStyle name="Normal 3 26 2 8 2" xfId="6592" xr:uid="{00000000-0005-0000-0000-0000F8120000}"/>
    <cellStyle name="Normal 3 26 2 8 2 2" xfId="6593" xr:uid="{00000000-0005-0000-0000-0000F9120000}"/>
    <cellStyle name="Normal 3 26 2 8 3" xfId="6594" xr:uid="{00000000-0005-0000-0000-0000FA120000}"/>
    <cellStyle name="Normal 3 26 2 8 3 2" xfId="6595" xr:uid="{00000000-0005-0000-0000-0000FB120000}"/>
    <cellStyle name="Normal 3 26 2 8 4" xfId="6596" xr:uid="{00000000-0005-0000-0000-0000FC120000}"/>
    <cellStyle name="Normal 3 26 2 8 5" xfId="6597" xr:uid="{00000000-0005-0000-0000-0000FD120000}"/>
    <cellStyle name="Normal 3 26 2 9" xfId="2072" xr:uid="{00000000-0005-0000-0000-0000FE120000}"/>
    <cellStyle name="Normal 3 26 2 9 2" xfId="6598" xr:uid="{00000000-0005-0000-0000-0000FF120000}"/>
    <cellStyle name="Normal 3 26 2 9 2 2" xfId="6599" xr:uid="{00000000-0005-0000-0000-000000130000}"/>
    <cellStyle name="Normal 3 26 2 9 3" xfId="6600" xr:uid="{00000000-0005-0000-0000-000001130000}"/>
    <cellStyle name="Normal 3 26 2 9 3 2" xfId="6601" xr:uid="{00000000-0005-0000-0000-000002130000}"/>
    <cellStyle name="Normal 3 26 2 9 4" xfId="6602" xr:uid="{00000000-0005-0000-0000-000003130000}"/>
    <cellStyle name="Normal 3 26 2 9 5" xfId="6603" xr:uid="{00000000-0005-0000-0000-000004130000}"/>
    <cellStyle name="Normal 3 26 3" xfId="2073" xr:uid="{00000000-0005-0000-0000-000005130000}"/>
    <cellStyle name="Normal 3 26 3 2" xfId="6604" xr:uid="{00000000-0005-0000-0000-000006130000}"/>
    <cellStyle name="Normal 3 26 3 2 2" xfId="6605" xr:uid="{00000000-0005-0000-0000-000007130000}"/>
    <cellStyle name="Normal 3 26 3 3" xfId="6606" xr:uid="{00000000-0005-0000-0000-000008130000}"/>
    <cellStyle name="Normal 3 26 3 3 2" xfId="6607" xr:uid="{00000000-0005-0000-0000-000009130000}"/>
    <cellStyle name="Normal 3 26 3 4" xfId="6608" xr:uid="{00000000-0005-0000-0000-00000A130000}"/>
    <cellStyle name="Normal 3 26 3 5" xfId="6609" xr:uid="{00000000-0005-0000-0000-00000B130000}"/>
    <cellStyle name="Normal 3 26 4" xfId="2074" xr:uid="{00000000-0005-0000-0000-00000C130000}"/>
    <cellStyle name="Normal 3 26 4 2" xfId="6610" xr:uid="{00000000-0005-0000-0000-00000D130000}"/>
    <cellStyle name="Normal 3 26 4 2 2" xfId="6611" xr:uid="{00000000-0005-0000-0000-00000E130000}"/>
    <cellStyle name="Normal 3 26 4 3" xfId="6612" xr:uid="{00000000-0005-0000-0000-00000F130000}"/>
    <cellStyle name="Normal 3 26 4 3 2" xfId="6613" xr:uid="{00000000-0005-0000-0000-000010130000}"/>
    <cellStyle name="Normal 3 26 4 4" xfId="6614" xr:uid="{00000000-0005-0000-0000-000011130000}"/>
    <cellStyle name="Normal 3 26 4 5" xfId="6615" xr:uid="{00000000-0005-0000-0000-000012130000}"/>
    <cellStyle name="Normal 3 26 5" xfId="2075" xr:uid="{00000000-0005-0000-0000-000013130000}"/>
    <cellStyle name="Normal 3 26 5 2" xfId="6616" xr:uid="{00000000-0005-0000-0000-000014130000}"/>
    <cellStyle name="Normal 3 26 5 2 2" xfId="6617" xr:uid="{00000000-0005-0000-0000-000015130000}"/>
    <cellStyle name="Normal 3 26 5 3" xfId="6618" xr:uid="{00000000-0005-0000-0000-000016130000}"/>
    <cellStyle name="Normal 3 26 5 3 2" xfId="6619" xr:uid="{00000000-0005-0000-0000-000017130000}"/>
    <cellStyle name="Normal 3 26 5 4" xfId="6620" xr:uid="{00000000-0005-0000-0000-000018130000}"/>
    <cellStyle name="Normal 3 26 5 5" xfId="6621" xr:uid="{00000000-0005-0000-0000-000019130000}"/>
    <cellStyle name="Normal 3 26 6" xfId="2076" xr:uid="{00000000-0005-0000-0000-00001A130000}"/>
    <cellStyle name="Normal 3 26 6 2" xfId="6622" xr:uid="{00000000-0005-0000-0000-00001B130000}"/>
    <cellStyle name="Normal 3 26 6 2 2" xfId="6623" xr:uid="{00000000-0005-0000-0000-00001C130000}"/>
    <cellStyle name="Normal 3 26 6 3" xfId="6624" xr:uid="{00000000-0005-0000-0000-00001D130000}"/>
    <cellStyle name="Normal 3 26 6 3 2" xfId="6625" xr:uid="{00000000-0005-0000-0000-00001E130000}"/>
    <cellStyle name="Normal 3 26 6 4" xfId="6626" xr:uid="{00000000-0005-0000-0000-00001F130000}"/>
    <cellStyle name="Normal 3 26 6 5" xfId="6627" xr:uid="{00000000-0005-0000-0000-000020130000}"/>
    <cellStyle name="Normal 3 26 7" xfId="2077" xr:uid="{00000000-0005-0000-0000-000021130000}"/>
    <cellStyle name="Normal 3 26 7 2" xfId="6628" xr:uid="{00000000-0005-0000-0000-000022130000}"/>
    <cellStyle name="Normal 3 26 7 2 2" xfId="6629" xr:uid="{00000000-0005-0000-0000-000023130000}"/>
    <cellStyle name="Normal 3 26 7 3" xfId="6630" xr:uid="{00000000-0005-0000-0000-000024130000}"/>
    <cellStyle name="Normal 3 26 7 3 2" xfId="6631" xr:uid="{00000000-0005-0000-0000-000025130000}"/>
    <cellStyle name="Normal 3 26 7 4" xfId="6632" xr:uid="{00000000-0005-0000-0000-000026130000}"/>
    <cellStyle name="Normal 3 26 7 5" xfId="6633" xr:uid="{00000000-0005-0000-0000-000027130000}"/>
    <cellStyle name="Normal 3 26 8" xfId="2078" xr:uid="{00000000-0005-0000-0000-000028130000}"/>
    <cellStyle name="Normal 3 26 8 2" xfId="6634" xr:uid="{00000000-0005-0000-0000-000029130000}"/>
    <cellStyle name="Normal 3 26 8 2 2" xfId="6635" xr:uid="{00000000-0005-0000-0000-00002A130000}"/>
    <cellStyle name="Normal 3 26 8 3" xfId="6636" xr:uid="{00000000-0005-0000-0000-00002B130000}"/>
    <cellStyle name="Normal 3 26 8 3 2" xfId="6637" xr:uid="{00000000-0005-0000-0000-00002C130000}"/>
    <cellStyle name="Normal 3 26 8 4" xfId="6638" xr:uid="{00000000-0005-0000-0000-00002D130000}"/>
    <cellStyle name="Normal 3 26 8 5" xfId="6639" xr:uid="{00000000-0005-0000-0000-00002E130000}"/>
    <cellStyle name="Normal 3 26 9" xfId="2079" xr:uid="{00000000-0005-0000-0000-00002F130000}"/>
    <cellStyle name="Normal 3 26 9 2" xfId="6640" xr:uid="{00000000-0005-0000-0000-000030130000}"/>
    <cellStyle name="Normal 3 26 9 2 2" xfId="6641" xr:uid="{00000000-0005-0000-0000-000031130000}"/>
    <cellStyle name="Normal 3 26 9 3" xfId="6642" xr:uid="{00000000-0005-0000-0000-000032130000}"/>
    <cellStyle name="Normal 3 26 9 3 2" xfId="6643" xr:uid="{00000000-0005-0000-0000-000033130000}"/>
    <cellStyle name="Normal 3 26 9 4" xfId="6644" xr:uid="{00000000-0005-0000-0000-000034130000}"/>
    <cellStyle name="Normal 3 26 9 5" xfId="6645" xr:uid="{00000000-0005-0000-0000-000035130000}"/>
    <cellStyle name="Normal 3 27" xfId="2080" xr:uid="{00000000-0005-0000-0000-000036130000}"/>
    <cellStyle name="Normal 3 27 10" xfId="2081" xr:uid="{00000000-0005-0000-0000-000037130000}"/>
    <cellStyle name="Normal 3 27 10 2" xfId="6646" xr:uid="{00000000-0005-0000-0000-000038130000}"/>
    <cellStyle name="Normal 3 27 10 2 2" xfId="6647" xr:uid="{00000000-0005-0000-0000-000039130000}"/>
    <cellStyle name="Normal 3 27 10 3" xfId="6648" xr:uid="{00000000-0005-0000-0000-00003A130000}"/>
    <cellStyle name="Normal 3 27 10 3 2" xfId="6649" xr:uid="{00000000-0005-0000-0000-00003B130000}"/>
    <cellStyle name="Normal 3 27 10 4" xfId="6650" xr:uid="{00000000-0005-0000-0000-00003C130000}"/>
    <cellStyle name="Normal 3 27 10 5" xfId="6651" xr:uid="{00000000-0005-0000-0000-00003D130000}"/>
    <cellStyle name="Normal 3 27 11" xfId="2082" xr:uid="{00000000-0005-0000-0000-00003E130000}"/>
    <cellStyle name="Normal 3 27 11 2" xfId="6652" xr:uid="{00000000-0005-0000-0000-00003F130000}"/>
    <cellStyle name="Normal 3 27 11 2 2" xfId="6653" xr:uid="{00000000-0005-0000-0000-000040130000}"/>
    <cellStyle name="Normal 3 27 11 3" xfId="6654" xr:uid="{00000000-0005-0000-0000-000041130000}"/>
    <cellStyle name="Normal 3 27 11 3 2" xfId="6655" xr:uid="{00000000-0005-0000-0000-000042130000}"/>
    <cellStyle name="Normal 3 27 11 4" xfId="6656" xr:uid="{00000000-0005-0000-0000-000043130000}"/>
    <cellStyle name="Normal 3 27 11 5" xfId="6657" xr:uid="{00000000-0005-0000-0000-000044130000}"/>
    <cellStyle name="Normal 3 27 12" xfId="2083" xr:uid="{00000000-0005-0000-0000-000045130000}"/>
    <cellStyle name="Normal 3 27 12 2" xfId="6658" xr:uid="{00000000-0005-0000-0000-000046130000}"/>
    <cellStyle name="Normal 3 27 12 2 2" xfId="6659" xr:uid="{00000000-0005-0000-0000-000047130000}"/>
    <cellStyle name="Normal 3 27 12 3" xfId="6660" xr:uid="{00000000-0005-0000-0000-000048130000}"/>
    <cellStyle name="Normal 3 27 12 3 2" xfId="6661" xr:uid="{00000000-0005-0000-0000-000049130000}"/>
    <cellStyle name="Normal 3 27 12 4" xfId="6662" xr:uid="{00000000-0005-0000-0000-00004A130000}"/>
    <cellStyle name="Normal 3 27 12 5" xfId="6663" xr:uid="{00000000-0005-0000-0000-00004B130000}"/>
    <cellStyle name="Normal 3 27 13" xfId="2084" xr:uid="{00000000-0005-0000-0000-00004C130000}"/>
    <cellStyle name="Normal 3 27 13 2" xfId="6664" xr:uid="{00000000-0005-0000-0000-00004D130000}"/>
    <cellStyle name="Normal 3 27 13 2 2" xfId="6665" xr:uid="{00000000-0005-0000-0000-00004E130000}"/>
    <cellStyle name="Normal 3 27 13 3" xfId="6666" xr:uid="{00000000-0005-0000-0000-00004F130000}"/>
    <cellStyle name="Normal 3 27 13 3 2" xfId="6667" xr:uid="{00000000-0005-0000-0000-000050130000}"/>
    <cellStyle name="Normal 3 27 13 4" xfId="6668" xr:uid="{00000000-0005-0000-0000-000051130000}"/>
    <cellStyle name="Normal 3 27 13 5" xfId="6669" xr:uid="{00000000-0005-0000-0000-000052130000}"/>
    <cellStyle name="Normal 3 27 14" xfId="6670" xr:uid="{00000000-0005-0000-0000-000053130000}"/>
    <cellStyle name="Normal 3 27 14 2" xfId="6671" xr:uid="{00000000-0005-0000-0000-000054130000}"/>
    <cellStyle name="Normal 3 27 15" xfId="6672" xr:uid="{00000000-0005-0000-0000-000055130000}"/>
    <cellStyle name="Normal 3 27 15 2" xfId="6673" xr:uid="{00000000-0005-0000-0000-000056130000}"/>
    <cellStyle name="Normal 3 27 16" xfId="6674" xr:uid="{00000000-0005-0000-0000-000057130000}"/>
    <cellStyle name="Normal 3 27 17" xfId="6675" xr:uid="{00000000-0005-0000-0000-000058130000}"/>
    <cellStyle name="Normal 3 27 2" xfId="2085" xr:uid="{00000000-0005-0000-0000-000059130000}"/>
    <cellStyle name="Normal 3 27 2 10" xfId="2086" xr:uid="{00000000-0005-0000-0000-00005A130000}"/>
    <cellStyle name="Normal 3 27 2 10 2" xfId="6676" xr:uid="{00000000-0005-0000-0000-00005B130000}"/>
    <cellStyle name="Normal 3 27 2 10 2 2" xfId="6677" xr:uid="{00000000-0005-0000-0000-00005C130000}"/>
    <cellStyle name="Normal 3 27 2 10 3" xfId="6678" xr:uid="{00000000-0005-0000-0000-00005D130000}"/>
    <cellStyle name="Normal 3 27 2 10 3 2" xfId="6679" xr:uid="{00000000-0005-0000-0000-00005E130000}"/>
    <cellStyle name="Normal 3 27 2 10 4" xfId="6680" xr:uid="{00000000-0005-0000-0000-00005F130000}"/>
    <cellStyle name="Normal 3 27 2 10 5" xfId="6681" xr:uid="{00000000-0005-0000-0000-000060130000}"/>
    <cellStyle name="Normal 3 27 2 11" xfId="2087" xr:uid="{00000000-0005-0000-0000-000061130000}"/>
    <cellStyle name="Normal 3 27 2 11 2" xfId="6682" xr:uid="{00000000-0005-0000-0000-000062130000}"/>
    <cellStyle name="Normal 3 27 2 11 2 2" xfId="6683" xr:uid="{00000000-0005-0000-0000-000063130000}"/>
    <cellStyle name="Normal 3 27 2 11 3" xfId="6684" xr:uid="{00000000-0005-0000-0000-000064130000}"/>
    <cellStyle name="Normal 3 27 2 11 3 2" xfId="6685" xr:uid="{00000000-0005-0000-0000-000065130000}"/>
    <cellStyle name="Normal 3 27 2 11 4" xfId="6686" xr:uid="{00000000-0005-0000-0000-000066130000}"/>
    <cellStyle name="Normal 3 27 2 11 5" xfId="6687" xr:uid="{00000000-0005-0000-0000-000067130000}"/>
    <cellStyle name="Normal 3 27 2 12" xfId="2088" xr:uid="{00000000-0005-0000-0000-000068130000}"/>
    <cellStyle name="Normal 3 27 2 12 2" xfId="6688" xr:uid="{00000000-0005-0000-0000-000069130000}"/>
    <cellStyle name="Normal 3 27 2 12 2 2" xfId="6689" xr:uid="{00000000-0005-0000-0000-00006A130000}"/>
    <cellStyle name="Normal 3 27 2 12 3" xfId="6690" xr:uid="{00000000-0005-0000-0000-00006B130000}"/>
    <cellStyle name="Normal 3 27 2 12 3 2" xfId="6691" xr:uid="{00000000-0005-0000-0000-00006C130000}"/>
    <cellStyle name="Normal 3 27 2 12 4" xfId="6692" xr:uid="{00000000-0005-0000-0000-00006D130000}"/>
    <cellStyle name="Normal 3 27 2 12 5" xfId="6693" xr:uid="{00000000-0005-0000-0000-00006E130000}"/>
    <cellStyle name="Normal 3 27 2 13" xfId="6694" xr:uid="{00000000-0005-0000-0000-00006F130000}"/>
    <cellStyle name="Normal 3 27 2 13 2" xfId="6695" xr:uid="{00000000-0005-0000-0000-000070130000}"/>
    <cellStyle name="Normal 3 27 2 14" xfId="6696" xr:uid="{00000000-0005-0000-0000-000071130000}"/>
    <cellStyle name="Normal 3 27 2 14 2" xfId="6697" xr:uid="{00000000-0005-0000-0000-000072130000}"/>
    <cellStyle name="Normal 3 27 2 15" xfId="6698" xr:uid="{00000000-0005-0000-0000-000073130000}"/>
    <cellStyle name="Normal 3 27 2 16" xfId="6699" xr:uid="{00000000-0005-0000-0000-000074130000}"/>
    <cellStyle name="Normal 3 27 2 2" xfId="2089" xr:uid="{00000000-0005-0000-0000-000075130000}"/>
    <cellStyle name="Normal 3 27 2 2 2" xfId="6700" xr:uid="{00000000-0005-0000-0000-000076130000}"/>
    <cellStyle name="Normal 3 27 2 2 2 2" xfId="6701" xr:uid="{00000000-0005-0000-0000-000077130000}"/>
    <cellStyle name="Normal 3 27 2 2 3" xfId="6702" xr:uid="{00000000-0005-0000-0000-000078130000}"/>
    <cellStyle name="Normal 3 27 2 2 3 2" xfId="6703" xr:uid="{00000000-0005-0000-0000-000079130000}"/>
    <cellStyle name="Normal 3 27 2 2 4" xfId="6704" xr:uid="{00000000-0005-0000-0000-00007A130000}"/>
    <cellStyle name="Normal 3 27 2 2 5" xfId="6705" xr:uid="{00000000-0005-0000-0000-00007B130000}"/>
    <cellStyle name="Normal 3 27 2 3" xfId="2090" xr:uid="{00000000-0005-0000-0000-00007C130000}"/>
    <cellStyle name="Normal 3 27 2 3 2" xfId="6706" xr:uid="{00000000-0005-0000-0000-00007D130000}"/>
    <cellStyle name="Normal 3 27 2 3 2 2" xfId="6707" xr:uid="{00000000-0005-0000-0000-00007E130000}"/>
    <cellStyle name="Normal 3 27 2 3 3" xfId="6708" xr:uid="{00000000-0005-0000-0000-00007F130000}"/>
    <cellStyle name="Normal 3 27 2 3 3 2" xfId="6709" xr:uid="{00000000-0005-0000-0000-000080130000}"/>
    <cellStyle name="Normal 3 27 2 3 4" xfId="6710" xr:uid="{00000000-0005-0000-0000-000081130000}"/>
    <cellStyle name="Normal 3 27 2 3 5" xfId="6711" xr:uid="{00000000-0005-0000-0000-000082130000}"/>
    <cellStyle name="Normal 3 27 2 4" xfId="2091" xr:uid="{00000000-0005-0000-0000-000083130000}"/>
    <cellStyle name="Normal 3 27 2 4 2" xfId="6712" xr:uid="{00000000-0005-0000-0000-000084130000}"/>
    <cellStyle name="Normal 3 27 2 4 2 2" xfId="6713" xr:uid="{00000000-0005-0000-0000-000085130000}"/>
    <cellStyle name="Normal 3 27 2 4 3" xfId="6714" xr:uid="{00000000-0005-0000-0000-000086130000}"/>
    <cellStyle name="Normal 3 27 2 4 3 2" xfId="6715" xr:uid="{00000000-0005-0000-0000-000087130000}"/>
    <cellStyle name="Normal 3 27 2 4 4" xfId="6716" xr:uid="{00000000-0005-0000-0000-000088130000}"/>
    <cellStyle name="Normal 3 27 2 4 5" xfId="6717" xr:uid="{00000000-0005-0000-0000-000089130000}"/>
    <cellStyle name="Normal 3 27 2 5" xfId="2092" xr:uid="{00000000-0005-0000-0000-00008A130000}"/>
    <cellStyle name="Normal 3 27 2 5 2" xfId="6718" xr:uid="{00000000-0005-0000-0000-00008B130000}"/>
    <cellStyle name="Normal 3 27 2 5 2 2" xfId="6719" xr:uid="{00000000-0005-0000-0000-00008C130000}"/>
    <cellStyle name="Normal 3 27 2 5 3" xfId="6720" xr:uid="{00000000-0005-0000-0000-00008D130000}"/>
    <cellStyle name="Normal 3 27 2 5 3 2" xfId="6721" xr:uid="{00000000-0005-0000-0000-00008E130000}"/>
    <cellStyle name="Normal 3 27 2 5 4" xfId="6722" xr:uid="{00000000-0005-0000-0000-00008F130000}"/>
    <cellStyle name="Normal 3 27 2 5 5" xfId="6723" xr:uid="{00000000-0005-0000-0000-000090130000}"/>
    <cellStyle name="Normal 3 27 2 6" xfId="2093" xr:uid="{00000000-0005-0000-0000-000091130000}"/>
    <cellStyle name="Normal 3 27 2 6 2" xfId="6724" xr:uid="{00000000-0005-0000-0000-000092130000}"/>
    <cellStyle name="Normal 3 27 2 6 2 2" xfId="6725" xr:uid="{00000000-0005-0000-0000-000093130000}"/>
    <cellStyle name="Normal 3 27 2 6 3" xfId="6726" xr:uid="{00000000-0005-0000-0000-000094130000}"/>
    <cellStyle name="Normal 3 27 2 6 3 2" xfId="6727" xr:uid="{00000000-0005-0000-0000-000095130000}"/>
    <cellStyle name="Normal 3 27 2 6 4" xfId="6728" xr:uid="{00000000-0005-0000-0000-000096130000}"/>
    <cellStyle name="Normal 3 27 2 6 5" xfId="6729" xr:uid="{00000000-0005-0000-0000-000097130000}"/>
    <cellStyle name="Normal 3 27 2 7" xfId="2094" xr:uid="{00000000-0005-0000-0000-000098130000}"/>
    <cellStyle name="Normal 3 27 2 7 2" xfId="6730" xr:uid="{00000000-0005-0000-0000-000099130000}"/>
    <cellStyle name="Normal 3 27 2 7 2 2" xfId="6731" xr:uid="{00000000-0005-0000-0000-00009A130000}"/>
    <cellStyle name="Normal 3 27 2 7 3" xfId="6732" xr:uid="{00000000-0005-0000-0000-00009B130000}"/>
    <cellStyle name="Normal 3 27 2 7 3 2" xfId="6733" xr:uid="{00000000-0005-0000-0000-00009C130000}"/>
    <cellStyle name="Normal 3 27 2 7 4" xfId="6734" xr:uid="{00000000-0005-0000-0000-00009D130000}"/>
    <cellStyle name="Normal 3 27 2 7 5" xfId="6735" xr:uid="{00000000-0005-0000-0000-00009E130000}"/>
    <cellStyle name="Normal 3 27 2 8" xfId="2095" xr:uid="{00000000-0005-0000-0000-00009F130000}"/>
    <cellStyle name="Normal 3 27 2 8 2" xfId="6736" xr:uid="{00000000-0005-0000-0000-0000A0130000}"/>
    <cellStyle name="Normal 3 27 2 8 2 2" xfId="6737" xr:uid="{00000000-0005-0000-0000-0000A1130000}"/>
    <cellStyle name="Normal 3 27 2 8 3" xfId="6738" xr:uid="{00000000-0005-0000-0000-0000A2130000}"/>
    <cellStyle name="Normal 3 27 2 8 3 2" xfId="6739" xr:uid="{00000000-0005-0000-0000-0000A3130000}"/>
    <cellStyle name="Normal 3 27 2 8 4" xfId="6740" xr:uid="{00000000-0005-0000-0000-0000A4130000}"/>
    <cellStyle name="Normal 3 27 2 8 5" xfId="6741" xr:uid="{00000000-0005-0000-0000-0000A5130000}"/>
    <cellStyle name="Normal 3 27 2 9" xfId="2096" xr:uid="{00000000-0005-0000-0000-0000A6130000}"/>
    <cellStyle name="Normal 3 27 2 9 2" xfId="6742" xr:uid="{00000000-0005-0000-0000-0000A7130000}"/>
    <cellStyle name="Normal 3 27 2 9 2 2" xfId="6743" xr:uid="{00000000-0005-0000-0000-0000A8130000}"/>
    <cellStyle name="Normal 3 27 2 9 3" xfId="6744" xr:uid="{00000000-0005-0000-0000-0000A9130000}"/>
    <cellStyle name="Normal 3 27 2 9 3 2" xfId="6745" xr:uid="{00000000-0005-0000-0000-0000AA130000}"/>
    <cellStyle name="Normal 3 27 2 9 4" xfId="6746" xr:uid="{00000000-0005-0000-0000-0000AB130000}"/>
    <cellStyle name="Normal 3 27 2 9 5" xfId="6747" xr:uid="{00000000-0005-0000-0000-0000AC130000}"/>
    <cellStyle name="Normal 3 27 3" xfId="2097" xr:uid="{00000000-0005-0000-0000-0000AD130000}"/>
    <cellStyle name="Normal 3 27 3 2" xfId="6748" xr:uid="{00000000-0005-0000-0000-0000AE130000}"/>
    <cellStyle name="Normal 3 27 3 2 2" xfId="6749" xr:uid="{00000000-0005-0000-0000-0000AF130000}"/>
    <cellStyle name="Normal 3 27 3 3" xfId="6750" xr:uid="{00000000-0005-0000-0000-0000B0130000}"/>
    <cellStyle name="Normal 3 27 3 3 2" xfId="6751" xr:uid="{00000000-0005-0000-0000-0000B1130000}"/>
    <cellStyle name="Normal 3 27 3 4" xfId="6752" xr:uid="{00000000-0005-0000-0000-0000B2130000}"/>
    <cellStyle name="Normal 3 27 3 5" xfId="6753" xr:uid="{00000000-0005-0000-0000-0000B3130000}"/>
    <cellStyle name="Normal 3 27 4" xfId="2098" xr:uid="{00000000-0005-0000-0000-0000B4130000}"/>
    <cellStyle name="Normal 3 27 4 2" xfId="6754" xr:uid="{00000000-0005-0000-0000-0000B5130000}"/>
    <cellStyle name="Normal 3 27 4 2 2" xfId="6755" xr:uid="{00000000-0005-0000-0000-0000B6130000}"/>
    <cellStyle name="Normal 3 27 4 3" xfId="6756" xr:uid="{00000000-0005-0000-0000-0000B7130000}"/>
    <cellStyle name="Normal 3 27 4 3 2" xfId="6757" xr:uid="{00000000-0005-0000-0000-0000B8130000}"/>
    <cellStyle name="Normal 3 27 4 4" xfId="6758" xr:uid="{00000000-0005-0000-0000-0000B9130000}"/>
    <cellStyle name="Normal 3 27 4 5" xfId="6759" xr:uid="{00000000-0005-0000-0000-0000BA130000}"/>
    <cellStyle name="Normal 3 27 5" xfId="2099" xr:uid="{00000000-0005-0000-0000-0000BB130000}"/>
    <cellStyle name="Normal 3 27 5 2" xfId="6760" xr:uid="{00000000-0005-0000-0000-0000BC130000}"/>
    <cellStyle name="Normal 3 27 5 2 2" xfId="6761" xr:uid="{00000000-0005-0000-0000-0000BD130000}"/>
    <cellStyle name="Normal 3 27 5 3" xfId="6762" xr:uid="{00000000-0005-0000-0000-0000BE130000}"/>
    <cellStyle name="Normal 3 27 5 3 2" xfId="6763" xr:uid="{00000000-0005-0000-0000-0000BF130000}"/>
    <cellStyle name="Normal 3 27 5 4" xfId="6764" xr:uid="{00000000-0005-0000-0000-0000C0130000}"/>
    <cellStyle name="Normal 3 27 5 5" xfId="6765" xr:uid="{00000000-0005-0000-0000-0000C1130000}"/>
    <cellStyle name="Normal 3 27 6" xfId="2100" xr:uid="{00000000-0005-0000-0000-0000C2130000}"/>
    <cellStyle name="Normal 3 27 6 2" xfId="6766" xr:uid="{00000000-0005-0000-0000-0000C3130000}"/>
    <cellStyle name="Normal 3 27 6 2 2" xfId="6767" xr:uid="{00000000-0005-0000-0000-0000C4130000}"/>
    <cellStyle name="Normal 3 27 6 3" xfId="6768" xr:uid="{00000000-0005-0000-0000-0000C5130000}"/>
    <cellStyle name="Normal 3 27 6 3 2" xfId="6769" xr:uid="{00000000-0005-0000-0000-0000C6130000}"/>
    <cellStyle name="Normal 3 27 6 4" xfId="6770" xr:uid="{00000000-0005-0000-0000-0000C7130000}"/>
    <cellStyle name="Normal 3 27 6 5" xfId="6771" xr:uid="{00000000-0005-0000-0000-0000C8130000}"/>
    <cellStyle name="Normal 3 27 7" xfId="2101" xr:uid="{00000000-0005-0000-0000-0000C9130000}"/>
    <cellStyle name="Normal 3 27 7 2" xfId="6772" xr:uid="{00000000-0005-0000-0000-0000CA130000}"/>
    <cellStyle name="Normal 3 27 7 2 2" xfId="6773" xr:uid="{00000000-0005-0000-0000-0000CB130000}"/>
    <cellStyle name="Normal 3 27 7 3" xfId="6774" xr:uid="{00000000-0005-0000-0000-0000CC130000}"/>
    <cellStyle name="Normal 3 27 7 3 2" xfId="6775" xr:uid="{00000000-0005-0000-0000-0000CD130000}"/>
    <cellStyle name="Normal 3 27 7 4" xfId="6776" xr:uid="{00000000-0005-0000-0000-0000CE130000}"/>
    <cellStyle name="Normal 3 27 7 5" xfId="6777" xr:uid="{00000000-0005-0000-0000-0000CF130000}"/>
    <cellStyle name="Normal 3 27 8" xfId="2102" xr:uid="{00000000-0005-0000-0000-0000D0130000}"/>
    <cellStyle name="Normal 3 27 8 2" xfId="6778" xr:uid="{00000000-0005-0000-0000-0000D1130000}"/>
    <cellStyle name="Normal 3 27 8 2 2" xfId="6779" xr:uid="{00000000-0005-0000-0000-0000D2130000}"/>
    <cellStyle name="Normal 3 27 8 3" xfId="6780" xr:uid="{00000000-0005-0000-0000-0000D3130000}"/>
    <cellStyle name="Normal 3 27 8 3 2" xfId="6781" xr:uid="{00000000-0005-0000-0000-0000D4130000}"/>
    <cellStyle name="Normal 3 27 8 4" xfId="6782" xr:uid="{00000000-0005-0000-0000-0000D5130000}"/>
    <cellStyle name="Normal 3 27 8 5" xfId="6783" xr:uid="{00000000-0005-0000-0000-0000D6130000}"/>
    <cellStyle name="Normal 3 27 9" xfId="2103" xr:uid="{00000000-0005-0000-0000-0000D7130000}"/>
    <cellStyle name="Normal 3 27 9 2" xfId="6784" xr:uid="{00000000-0005-0000-0000-0000D8130000}"/>
    <cellStyle name="Normal 3 27 9 2 2" xfId="6785" xr:uid="{00000000-0005-0000-0000-0000D9130000}"/>
    <cellStyle name="Normal 3 27 9 3" xfId="6786" xr:uid="{00000000-0005-0000-0000-0000DA130000}"/>
    <cellStyle name="Normal 3 27 9 3 2" xfId="6787" xr:uid="{00000000-0005-0000-0000-0000DB130000}"/>
    <cellStyle name="Normal 3 27 9 4" xfId="6788" xr:uid="{00000000-0005-0000-0000-0000DC130000}"/>
    <cellStyle name="Normal 3 27 9 5" xfId="6789" xr:uid="{00000000-0005-0000-0000-0000DD130000}"/>
    <cellStyle name="Normal 3 28" xfId="2104" xr:uid="{00000000-0005-0000-0000-0000DE130000}"/>
    <cellStyle name="Normal 3 28 10" xfId="2105" xr:uid="{00000000-0005-0000-0000-0000DF130000}"/>
    <cellStyle name="Normal 3 28 10 2" xfId="6790" xr:uid="{00000000-0005-0000-0000-0000E0130000}"/>
    <cellStyle name="Normal 3 28 10 2 2" xfId="6791" xr:uid="{00000000-0005-0000-0000-0000E1130000}"/>
    <cellStyle name="Normal 3 28 10 3" xfId="6792" xr:uid="{00000000-0005-0000-0000-0000E2130000}"/>
    <cellStyle name="Normal 3 28 10 3 2" xfId="6793" xr:uid="{00000000-0005-0000-0000-0000E3130000}"/>
    <cellStyle name="Normal 3 28 10 4" xfId="6794" xr:uid="{00000000-0005-0000-0000-0000E4130000}"/>
    <cellStyle name="Normal 3 28 10 5" xfId="6795" xr:uid="{00000000-0005-0000-0000-0000E5130000}"/>
    <cellStyle name="Normal 3 28 11" xfId="2106" xr:uid="{00000000-0005-0000-0000-0000E6130000}"/>
    <cellStyle name="Normal 3 28 11 2" xfId="6796" xr:uid="{00000000-0005-0000-0000-0000E7130000}"/>
    <cellStyle name="Normal 3 28 11 2 2" xfId="6797" xr:uid="{00000000-0005-0000-0000-0000E8130000}"/>
    <cellStyle name="Normal 3 28 11 3" xfId="6798" xr:uid="{00000000-0005-0000-0000-0000E9130000}"/>
    <cellStyle name="Normal 3 28 11 3 2" xfId="6799" xr:uid="{00000000-0005-0000-0000-0000EA130000}"/>
    <cellStyle name="Normal 3 28 11 4" xfId="6800" xr:uid="{00000000-0005-0000-0000-0000EB130000}"/>
    <cellStyle name="Normal 3 28 11 5" xfId="6801" xr:uid="{00000000-0005-0000-0000-0000EC130000}"/>
    <cellStyle name="Normal 3 28 12" xfId="2107" xr:uid="{00000000-0005-0000-0000-0000ED130000}"/>
    <cellStyle name="Normal 3 28 12 2" xfId="6802" xr:uid="{00000000-0005-0000-0000-0000EE130000}"/>
    <cellStyle name="Normal 3 28 12 2 2" xfId="6803" xr:uid="{00000000-0005-0000-0000-0000EF130000}"/>
    <cellStyle name="Normal 3 28 12 3" xfId="6804" xr:uid="{00000000-0005-0000-0000-0000F0130000}"/>
    <cellStyle name="Normal 3 28 12 3 2" xfId="6805" xr:uid="{00000000-0005-0000-0000-0000F1130000}"/>
    <cellStyle name="Normal 3 28 12 4" xfId="6806" xr:uid="{00000000-0005-0000-0000-0000F2130000}"/>
    <cellStyle name="Normal 3 28 12 5" xfId="6807" xr:uid="{00000000-0005-0000-0000-0000F3130000}"/>
    <cellStyle name="Normal 3 28 13" xfId="2108" xr:uid="{00000000-0005-0000-0000-0000F4130000}"/>
    <cellStyle name="Normal 3 28 13 2" xfId="6808" xr:uid="{00000000-0005-0000-0000-0000F5130000}"/>
    <cellStyle name="Normal 3 28 13 2 2" xfId="6809" xr:uid="{00000000-0005-0000-0000-0000F6130000}"/>
    <cellStyle name="Normal 3 28 13 3" xfId="6810" xr:uid="{00000000-0005-0000-0000-0000F7130000}"/>
    <cellStyle name="Normal 3 28 13 3 2" xfId="6811" xr:uid="{00000000-0005-0000-0000-0000F8130000}"/>
    <cellStyle name="Normal 3 28 13 4" xfId="6812" xr:uid="{00000000-0005-0000-0000-0000F9130000}"/>
    <cellStyle name="Normal 3 28 13 5" xfId="6813" xr:uid="{00000000-0005-0000-0000-0000FA130000}"/>
    <cellStyle name="Normal 3 28 14" xfId="6814" xr:uid="{00000000-0005-0000-0000-0000FB130000}"/>
    <cellStyle name="Normal 3 28 14 2" xfId="6815" xr:uid="{00000000-0005-0000-0000-0000FC130000}"/>
    <cellStyle name="Normal 3 28 15" xfId="6816" xr:uid="{00000000-0005-0000-0000-0000FD130000}"/>
    <cellStyle name="Normal 3 28 15 2" xfId="6817" xr:uid="{00000000-0005-0000-0000-0000FE130000}"/>
    <cellStyle name="Normal 3 28 16" xfId="6818" xr:uid="{00000000-0005-0000-0000-0000FF130000}"/>
    <cellStyle name="Normal 3 28 17" xfId="6819" xr:uid="{00000000-0005-0000-0000-000000140000}"/>
    <cellStyle name="Normal 3 28 2" xfId="2109" xr:uid="{00000000-0005-0000-0000-000001140000}"/>
    <cellStyle name="Normal 3 28 2 10" xfId="2110" xr:uid="{00000000-0005-0000-0000-000002140000}"/>
    <cellStyle name="Normal 3 28 2 10 2" xfId="6820" xr:uid="{00000000-0005-0000-0000-000003140000}"/>
    <cellStyle name="Normal 3 28 2 10 2 2" xfId="6821" xr:uid="{00000000-0005-0000-0000-000004140000}"/>
    <cellStyle name="Normal 3 28 2 10 3" xfId="6822" xr:uid="{00000000-0005-0000-0000-000005140000}"/>
    <cellStyle name="Normal 3 28 2 10 3 2" xfId="6823" xr:uid="{00000000-0005-0000-0000-000006140000}"/>
    <cellStyle name="Normal 3 28 2 10 4" xfId="6824" xr:uid="{00000000-0005-0000-0000-000007140000}"/>
    <cellStyle name="Normal 3 28 2 10 5" xfId="6825" xr:uid="{00000000-0005-0000-0000-000008140000}"/>
    <cellStyle name="Normal 3 28 2 11" xfId="2111" xr:uid="{00000000-0005-0000-0000-000009140000}"/>
    <cellStyle name="Normal 3 28 2 11 2" xfId="6826" xr:uid="{00000000-0005-0000-0000-00000A140000}"/>
    <cellStyle name="Normal 3 28 2 11 2 2" xfId="6827" xr:uid="{00000000-0005-0000-0000-00000B140000}"/>
    <cellStyle name="Normal 3 28 2 11 3" xfId="6828" xr:uid="{00000000-0005-0000-0000-00000C140000}"/>
    <cellStyle name="Normal 3 28 2 11 3 2" xfId="6829" xr:uid="{00000000-0005-0000-0000-00000D140000}"/>
    <cellStyle name="Normal 3 28 2 11 4" xfId="6830" xr:uid="{00000000-0005-0000-0000-00000E140000}"/>
    <cellStyle name="Normal 3 28 2 11 5" xfId="6831" xr:uid="{00000000-0005-0000-0000-00000F140000}"/>
    <cellStyle name="Normal 3 28 2 12" xfId="2112" xr:uid="{00000000-0005-0000-0000-000010140000}"/>
    <cellStyle name="Normal 3 28 2 12 2" xfId="6832" xr:uid="{00000000-0005-0000-0000-000011140000}"/>
    <cellStyle name="Normal 3 28 2 12 2 2" xfId="6833" xr:uid="{00000000-0005-0000-0000-000012140000}"/>
    <cellStyle name="Normal 3 28 2 12 3" xfId="6834" xr:uid="{00000000-0005-0000-0000-000013140000}"/>
    <cellStyle name="Normal 3 28 2 12 3 2" xfId="6835" xr:uid="{00000000-0005-0000-0000-000014140000}"/>
    <cellStyle name="Normal 3 28 2 12 4" xfId="6836" xr:uid="{00000000-0005-0000-0000-000015140000}"/>
    <cellStyle name="Normal 3 28 2 12 5" xfId="6837" xr:uid="{00000000-0005-0000-0000-000016140000}"/>
    <cellStyle name="Normal 3 28 2 13" xfId="6838" xr:uid="{00000000-0005-0000-0000-000017140000}"/>
    <cellStyle name="Normal 3 28 2 13 2" xfId="6839" xr:uid="{00000000-0005-0000-0000-000018140000}"/>
    <cellStyle name="Normal 3 28 2 14" xfId="6840" xr:uid="{00000000-0005-0000-0000-000019140000}"/>
    <cellStyle name="Normal 3 28 2 14 2" xfId="6841" xr:uid="{00000000-0005-0000-0000-00001A140000}"/>
    <cellStyle name="Normal 3 28 2 15" xfId="6842" xr:uid="{00000000-0005-0000-0000-00001B140000}"/>
    <cellStyle name="Normal 3 28 2 16" xfId="6843" xr:uid="{00000000-0005-0000-0000-00001C140000}"/>
    <cellStyle name="Normal 3 28 2 2" xfId="2113" xr:uid="{00000000-0005-0000-0000-00001D140000}"/>
    <cellStyle name="Normal 3 28 2 2 2" xfId="6844" xr:uid="{00000000-0005-0000-0000-00001E140000}"/>
    <cellStyle name="Normal 3 28 2 2 2 2" xfId="6845" xr:uid="{00000000-0005-0000-0000-00001F140000}"/>
    <cellStyle name="Normal 3 28 2 2 3" xfId="6846" xr:uid="{00000000-0005-0000-0000-000020140000}"/>
    <cellStyle name="Normal 3 28 2 2 3 2" xfId="6847" xr:uid="{00000000-0005-0000-0000-000021140000}"/>
    <cellStyle name="Normal 3 28 2 2 4" xfId="6848" xr:uid="{00000000-0005-0000-0000-000022140000}"/>
    <cellStyle name="Normal 3 28 2 2 5" xfId="6849" xr:uid="{00000000-0005-0000-0000-000023140000}"/>
    <cellStyle name="Normal 3 28 2 3" xfId="2114" xr:uid="{00000000-0005-0000-0000-000024140000}"/>
    <cellStyle name="Normal 3 28 2 3 2" xfId="6850" xr:uid="{00000000-0005-0000-0000-000025140000}"/>
    <cellStyle name="Normal 3 28 2 3 2 2" xfId="6851" xr:uid="{00000000-0005-0000-0000-000026140000}"/>
    <cellStyle name="Normal 3 28 2 3 3" xfId="6852" xr:uid="{00000000-0005-0000-0000-000027140000}"/>
    <cellStyle name="Normal 3 28 2 3 3 2" xfId="6853" xr:uid="{00000000-0005-0000-0000-000028140000}"/>
    <cellStyle name="Normal 3 28 2 3 4" xfId="6854" xr:uid="{00000000-0005-0000-0000-000029140000}"/>
    <cellStyle name="Normal 3 28 2 3 5" xfId="6855" xr:uid="{00000000-0005-0000-0000-00002A140000}"/>
    <cellStyle name="Normal 3 28 2 4" xfId="2115" xr:uid="{00000000-0005-0000-0000-00002B140000}"/>
    <cellStyle name="Normal 3 28 2 4 2" xfId="6856" xr:uid="{00000000-0005-0000-0000-00002C140000}"/>
    <cellStyle name="Normal 3 28 2 4 2 2" xfId="6857" xr:uid="{00000000-0005-0000-0000-00002D140000}"/>
    <cellStyle name="Normal 3 28 2 4 3" xfId="6858" xr:uid="{00000000-0005-0000-0000-00002E140000}"/>
    <cellStyle name="Normal 3 28 2 4 3 2" xfId="6859" xr:uid="{00000000-0005-0000-0000-00002F140000}"/>
    <cellStyle name="Normal 3 28 2 4 4" xfId="6860" xr:uid="{00000000-0005-0000-0000-000030140000}"/>
    <cellStyle name="Normal 3 28 2 4 5" xfId="6861" xr:uid="{00000000-0005-0000-0000-000031140000}"/>
    <cellStyle name="Normal 3 28 2 5" xfId="2116" xr:uid="{00000000-0005-0000-0000-000032140000}"/>
    <cellStyle name="Normal 3 28 2 5 2" xfId="6862" xr:uid="{00000000-0005-0000-0000-000033140000}"/>
    <cellStyle name="Normal 3 28 2 5 2 2" xfId="6863" xr:uid="{00000000-0005-0000-0000-000034140000}"/>
    <cellStyle name="Normal 3 28 2 5 3" xfId="6864" xr:uid="{00000000-0005-0000-0000-000035140000}"/>
    <cellStyle name="Normal 3 28 2 5 3 2" xfId="6865" xr:uid="{00000000-0005-0000-0000-000036140000}"/>
    <cellStyle name="Normal 3 28 2 5 4" xfId="6866" xr:uid="{00000000-0005-0000-0000-000037140000}"/>
    <cellStyle name="Normal 3 28 2 5 5" xfId="6867" xr:uid="{00000000-0005-0000-0000-000038140000}"/>
    <cellStyle name="Normal 3 28 2 6" xfId="2117" xr:uid="{00000000-0005-0000-0000-000039140000}"/>
    <cellStyle name="Normal 3 28 2 6 2" xfId="6868" xr:uid="{00000000-0005-0000-0000-00003A140000}"/>
    <cellStyle name="Normal 3 28 2 6 2 2" xfId="6869" xr:uid="{00000000-0005-0000-0000-00003B140000}"/>
    <cellStyle name="Normal 3 28 2 6 3" xfId="6870" xr:uid="{00000000-0005-0000-0000-00003C140000}"/>
    <cellStyle name="Normal 3 28 2 6 3 2" xfId="6871" xr:uid="{00000000-0005-0000-0000-00003D140000}"/>
    <cellStyle name="Normal 3 28 2 6 4" xfId="6872" xr:uid="{00000000-0005-0000-0000-00003E140000}"/>
    <cellStyle name="Normal 3 28 2 6 5" xfId="6873" xr:uid="{00000000-0005-0000-0000-00003F140000}"/>
    <cellStyle name="Normal 3 28 2 7" xfId="2118" xr:uid="{00000000-0005-0000-0000-000040140000}"/>
    <cellStyle name="Normal 3 28 2 7 2" xfId="6874" xr:uid="{00000000-0005-0000-0000-000041140000}"/>
    <cellStyle name="Normal 3 28 2 7 2 2" xfId="6875" xr:uid="{00000000-0005-0000-0000-000042140000}"/>
    <cellStyle name="Normal 3 28 2 7 3" xfId="6876" xr:uid="{00000000-0005-0000-0000-000043140000}"/>
    <cellStyle name="Normal 3 28 2 7 3 2" xfId="6877" xr:uid="{00000000-0005-0000-0000-000044140000}"/>
    <cellStyle name="Normal 3 28 2 7 4" xfId="6878" xr:uid="{00000000-0005-0000-0000-000045140000}"/>
    <cellStyle name="Normal 3 28 2 7 5" xfId="6879" xr:uid="{00000000-0005-0000-0000-000046140000}"/>
    <cellStyle name="Normal 3 28 2 8" xfId="2119" xr:uid="{00000000-0005-0000-0000-000047140000}"/>
    <cellStyle name="Normal 3 28 2 8 2" xfId="6880" xr:uid="{00000000-0005-0000-0000-000048140000}"/>
    <cellStyle name="Normal 3 28 2 8 2 2" xfId="6881" xr:uid="{00000000-0005-0000-0000-000049140000}"/>
    <cellStyle name="Normal 3 28 2 8 3" xfId="6882" xr:uid="{00000000-0005-0000-0000-00004A140000}"/>
    <cellStyle name="Normal 3 28 2 8 3 2" xfId="6883" xr:uid="{00000000-0005-0000-0000-00004B140000}"/>
    <cellStyle name="Normal 3 28 2 8 4" xfId="6884" xr:uid="{00000000-0005-0000-0000-00004C140000}"/>
    <cellStyle name="Normal 3 28 2 8 5" xfId="6885" xr:uid="{00000000-0005-0000-0000-00004D140000}"/>
    <cellStyle name="Normal 3 28 2 9" xfId="2120" xr:uid="{00000000-0005-0000-0000-00004E140000}"/>
    <cellStyle name="Normal 3 28 2 9 2" xfId="6886" xr:uid="{00000000-0005-0000-0000-00004F140000}"/>
    <cellStyle name="Normal 3 28 2 9 2 2" xfId="6887" xr:uid="{00000000-0005-0000-0000-000050140000}"/>
    <cellStyle name="Normal 3 28 2 9 3" xfId="6888" xr:uid="{00000000-0005-0000-0000-000051140000}"/>
    <cellStyle name="Normal 3 28 2 9 3 2" xfId="6889" xr:uid="{00000000-0005-0000-0000-000052140000}"/>
    <cellStyle name="Normal 3 28 2 9 4" xfId="6890" xr:uid="{00000000-0005-0000-0000-000053140000}"/>
    <cellStyle name="Normal 3 28 2 9 5" xfId="6891" xr:uid="{00000000-0005-0000-0000-000054140000}"/>
    <cellStyle name="Normal 3 28 3" xfId="2121" xr:uid="{00000000-0005-0000-0000-000055140000}"/>
    <cellStyle name="Normal 3 28 3 2" xfId="6892" xr:uid="{00000000-0005-0000-0000-000056140000}"/>
    <cellStyle name="Normal 3 28 3 2 2" xfId="6893" xr:uid="{00000000-0005-0000-0000-000057140000}"/>
    <cellStyle name="Normal 3 28 3 3" xfId="6894" xr:uid="{00000000-0005-0000-0000-000058140000}"/>
    <cellStyle name="Normal 3 28 3 3 2" xfId="6895" xr:uid="{00000000-0005-0000-0000-000059140000}"/>
    <cellStyle name="Normal 3 28 3 4" xfId="6896" xr:uid="{00000000-0005-0000-0000-00005A140000}"/>
    <cellStyle name="Normal 3 28 3 5" xfId="6897" xr:uid="{00000000-0005-0000-0000-00005B140000}"/>
    <cellStyle name="Normal 3 28 4" xfId="2122" xr:uid="{00000000-0005-0000-0000-00005C140000}"/>
    <cellStyle name="Normal 3 28 4 2" xfId="6898" xr:uid="{00000000-0005-0000-0000-00005D140000}"/>
    <cellStyle name="Normal 3 28 4 2 2" xfId="6899" xr:uid="{00000000-0005-0000-0000-00005E140000}"/>
    <cellStyle name="Normal 3 28 4 3" xfId="6900" xr:uid="{00000000-0005-0000-0000-00005F140000}"/>
    <cellStyle name="Normal 3 28 4 3 2" xfId="6901" xr:uid="{00000000-0005-0000-0000-000060140000}"/>
    <cellStyle name="Normal 3 28 4 4" xfId="6902" xr:uid="{00000000-0005-0000-0000-000061140000}"/>
    <cellStyle name="Normal 3 28 4 5" xfId="6903" xr:uid="{00000000-0005-0000-0000-000062140000}"/>
    <cellStyle name="Normal 3 28 5" xfId="2123" xr:uid="{00000000-0005-0000-0000-000063140000}"/>
    <cellStyle name="Normal 3 28 5 2" xfId="6904" xr:uid="{00000000-0005-0000-0000-000064140000}"/>
    <cellStyle name="Normal 3 28 5 2 2" xfId="6905" xr:uid="{00000000-0005-0000-0000-000065140000}"/>
    <cellStyle name="Normal 3 28 5 3" xfId="6906" xr:uid="{00000000-0005-0000-0000-000066140000}"/>
    <cellStyle name="Normal 3 28 5 3 2" xfId="6907" xr:uid="{00000000-0005-0000-0000-000067140000}"/>
    <cellStyle name="Normal 3 28 5 4" xfId="6908" xr:uid="{00000000-0005-0000-0000-000068140000}"/>
    <cellStyle name="Normal 3 28 5 5" xfId="6909" xr:uid="{00000000-0005-0000-0000-000069140000}"/>
    <cellStyle name="Normal 3 28 6" xfId="2124" xr:uid="{00000000-0005-0000-0000-00006A140000}"/>
    <cellStyle name="Normal 3 28 6 2" xfId="6910" xr:uid="{00000000-0005-0000-0000-00006B140000}"/>
    <cellStyle name="Normal 3 28 6 2 2" xfId="6911" xr:uid="{00000000-0005-0000-0000-00006C140000}"/>
    <cellStyle name="Normal 3 28 6 3" xfId="6912" xr:uid="{00000000-0005-0000-0000-00006D140000}"/>
    <cellStyle name="Normal 3 28 6 3 2" xfId="6913" xr:uid="{00000000-0005-0000-0000-00006E140000}"/>
    <cellStyle name="Normal 3 28 6 4" xfId="6914" xr:uid="{00000000-0005-0000-0000-00006F140000}"/>
    <cellStyle name="Normal 3 28 6 5" xfId="6915" xr:uid="{00000000-0005-0000-0000-000070140000}"/>
    <cellStyle name="Normal 3 28 7" xfId="2125" xr:uid="{00000000-0005-0000-0000-000071140000}"/>
    <cellStyle name="Normal 3 28 7 2" xfId="6916" xr:uid="{00000000-0005-0000-0000-000072140000}"/>
    <cellStyle name="Normal 3 28 7 2 2" xfId="6917" xr:uid="{00000000-0005-0000-0000-000073140000}"/>
    <cellStyle name="Normal 3 28 7 3" xfId="6918" xr:uid="{00000000-0005-0000-0000-000074140000}"/>
    <cellStyle name="Normal 3 28 7 3 2" xfId="6919" xr:uid="{00000000-0005-0000-0000-000075140000}"/>
    <cellStyle name="Normal 3 28 7 4" xfId="6920" xr:uid="{00000000-0005-0000-0000-000076140000}"/>
    <cellStyle name="Normal 3 28 7 5" xfId="6921" xr:uid="{00000000-0005-0000-0000-000077140000}"/>
    <cellStyle name="Normal 3 28 8" xfId="2126" xr:uid="{00000000-0005-0000-0000-000078140000}"/>
    <cellStyle name="Normal 3 28 8 2" xfId="6922" xr:uid="{00000000-0005-0000-0000-000079140000}"/>
    <cellStyle name="Normal 3 28 8 2 2" xfId="6923" xr:uid="{00000000-0005-0000-0000-00007A140000}"/>
    <cellStyle name="Normal 3 28 8 3" xfId="6924" xr:uid="{00000000-0005-0000-0000-00007B140000}"/>
    <cellStyle name="Normal 3 28 8 3 2" xfId="6925" xr:uid="{00000000-0005-0000-0000-00007C140000}"/>
    <cellStyle name="Normal 3 28 8 4" xfId="6926" xr:uid="{00000000-0005-0000-0000-00007D140000}"/>
    <cellStyle name="Normal 3 28 8 5" xfId="6927" xr:uid="{00000000-0005-0000-0000-00007E140000}"/>
    <cellStyle name="Normal 3 28 9" xfId="2127" xr:uid="{00000000-0005-0000-0000-00007F140000}"/>
    <cellStyle name="Normal 3 28 9 2" xfId="6928" xr:uid="{00000000-0005-0000-0000-000080140000}"/>
    <cellStyle name="Normal 3 28 9 2 2" xfId="6929" xr:uid="{00000000-0005-0000-0000-000081140000}"/>
    <cellStyle name="Normal 3 28 9 3" xfId="6930" xr:uid="{00000000-0005-0000-0000-000082140000}"/>
    <cellStyle name="Normal 3 28 9 3 2" xfId="6931" xr:uid="{00000000-0005-0000-0000-000083140000}"/>
    <cellStyle name="Normal 3 28 9 4" xfId="6932" xr:uid="{00000000-0005-0000-0000-000084140000}"/>
    <cellStyle name="Normal 3 28 9 5" xfId="6933" xr:uid="{00000000-0005-0000-0000-000085140000}"/>
    <cellStyle name="Normal 3 29" xfId="2128" xr:uid="{00000000-0005-0000-0000-000086140000}"/>
    <cellStyle name="Normal 3 29 10" xfId="2129" xr:uid="{00000000-0005-0000-0000-000087140000}"/>
    <cellStyle name="Normal 3 29 10 2" xfId="6934" xr:uid="{00000000-0005-0000-0000-000088140000}"/>
    <cellStyle name="Normal 3 29 10 2 2" xfId="6935" xr:uid="{00000000-0005-0000-0000-000089140000}"/>
    <cellStyle name="Normal 3 29 10 3" xfId="6936" xr:uid="{00000000-0005-0000-0000-00008A140000}"/>
    <cellStyle name="Normal 3 29 10 3 2" xfId="6937" xr:uid="{00000000-0005-0000-0000-00008B140000}"/>
    <cellStyle name="Normal 3 29 10 4" xfId="6938" xr:uid="{00000000-0005-0000-0000-00008C140000}"/>
    <cellStyle name="Normal 3 29 10 5" xfId="6939" xr:uid="{00000000-0005-0000-0000-00008D140000}"/>
    <cellStyle name="Normal 3 29 11" xfId="2130" xr:uid="{00000000-0005-0000-0000-00008E140000}"/>
    <cellStyle name="Normal 3 29 11 2" xfId="6940" xr:uid="{00000000-0005-0000-0000-00008F140000}"/>
    <cellStyle name="Normal 3 29 11 2 2" xfId="6941" xr:uid="{00000000-0005-0000-0000-000090140000}"/>
    <cellStyle name="Normal 3 29 11 3" xfId="6942" xr:uid="{00000000-0005-0000-0000-000091140000}"/>
    <cellStyle name="Normal 3 29 11 3 2" xfId="6943" xr:uid="{00000000-0005-0000-0000-000092140000}"/>
    <cellStyle name="Normal 3 29 11 4" xfId="6944" xr:uid="{00000000-0005-0000-0000-000093140000}"/>
    <cellStyle name="Normal 3 29 11 5" xfId="6945" xr:uid="{00000000-0005-0000-0000-000094140000}"/>
    <cellStyle name="Normal 3 29 12" xfId="2131" xr:uid="{00000000-0005-0000-0000-000095140000}"/>
    <cellStyle name="Normal 3 29 12 2" xfId="6946" xr:uid="{00000000-0005-0000-0000-000096140000}"/>
    <cellStyle name="Normal 3 29 12 2 2" xfId="6947" xr:uid="{00000000-0005-0000-0000-000097140000}"/>
    <cellStyle name="Normal 3 29 12 3" xfId="6948" xr:uid="{00000000-0005-0000-0000-000098140000}"/>
    <cellStyle name="Normal 3 29 12 3 2" xfId="6949" xr:uid="{00000000-0005-0000-0000-000099140000}"/>
    <cellStyle name="Normal 3 29 12 4" xfId="6950" xr:uid="{00000000-0005-0000-0000-00009A140000}"/>
    <cellStyle name="Normal 3 29 12 5" xfId="6951" xr:uid="{00000000-0005-0000-0000-00009B140000}"/>
    <cellStyle name="Normal 3 29 13" xfId="2132" xr:uid="{00000000-0005-0000-0000-00009C140000}"/>
    <cellStyle name="Normal 3 29 13 2" xfId="6952" xr:uid="{00000000-0005-0000-0000-00009D140000}"/>
    <cellStyle name="Normal 3 29 13 2 2" xfId="6953" xr:uid="{00000000-0005-0000-0000-00009E140000}"/>
    <cellStyle name="Normal 3 29 13 3" xfId="6954" xr:uid="{00000000-0005-0000-0000-00009F140000}"/>
    <cellStyle name="Normal 3 29 13 3 2" xfId="6955" xr:uid="{00000000-0005-0000-0000-0000A0140000}"/>
    <cellStyle name="Normal 3 29 13 4" xfId="6956" xr:uid="{00000000-0005-0000-0000-0000A1140000}"/>
    <cellStyle name="Normal 3 29 13 5" xfId="6957" xr:uid="{00000000-0005-0000-0000-0000A2140000}"/>
    <cellStyle name="Normal 3 29 14" xfId="6958" xr:uid="{00000000-0005-0000-0000-0000A3140000}"/>
    <cellStyle name="Normal 3 29 14 2" xfId="6959" xr:uid="{00000000-0005-0000-0000-0000A4140000}"/>
    <cellStyle name="Normal 3 29 15" xfId="6960" xr:uid="{00000000-0005-0000-0000-0000A5140000}"/>
    <cellStyle name="Normal 3 29 15 2" xfId="6961" xr:uid="{00000000-0005-0000-0000-0000A6140000}"/>
    <cellStyle name="Normal 3 29 16" xfId="6962" xr:uid="{00000000-0005-0000-0000-0000A7140000}"/>
    <cellStyle name="Normal 3 29 17" xfId="6963" xr:uid="{00000000-0005-0000-0000-0000A8140000}"/>
    <cellStyle name="Normal 3 29 2" xfId="2133" xr:uid="{00000000-0005-0000-0000-0000A9140000}"/>
    <cellStyle name="Normal 3 29 2 10" xfId="2134" xr:uid="{00000000-0005-0000-0000-0000AA140000}"/>
    <cellStyle name="Normal 3 29 2 10 2" xfId="6964" xr:uid="{00000000-0005-0000-0000-0000AB140000}"/>
    <cellStyle name="Normal 3 29 2 10 2 2" xfId="6965" xr:uid="{00000000-0005-0000-0000-0000AC140000}"/>
    <cellStyle name="Normal 3 29 2 10 3" xfId="6966" xr:uid="{00000000-0005-0000-0000-0000AD140000}"/>
    <cellStyle name="Normal 3 29 2 10 3 2" xfId="6967" xr:uid="{00000000-0005-0000-0000-0000AE140000}"/>
    <cellStyle name="Normal 3 29 2 10 4" xfId="6968" xr:uid="{00000000-0005-0000-0000-0000AF140000}"/>
    <cellStyle name="Normal 3 29 2 10 5" xfId="6969" xr:uid="{00000000-0005-0000-0000-0000B0140000}"/>
    <cellStyle name="Normal 3 29 2 11" xfId="2135" xr:uid="{00000000-0005-0000-0000-0000B1140000}"/>
    <cellStyle name="Normal 3 29 2 11 2" xfId="6970" xr:uid="{00000000-0005-0000-0000-0000B2140000}"/>
    <cellStyle name="Normal 3 29 2 11 2 2" xfId="6971" xr:uid="{00000000-0005-0000-0000-0000B3140000}"/>
    <cellStyle name="Normal 3 29 2 11 3" xfId="6972" xr:uid="{00000000-0005-0000-0000-0000B4140000}"/>
    <cellStyle name="Normal 3 29 2 11 3 2" xfId="6973" xr:uid="{00000000-0005-0000-0000-0000B5140000}"/>
    <cellStyle name="Normal 3 29 2 11 4" xfId="6974" xr:uid="{00000000-0005-0000-0000-0000B6140000}"/>
    <cellStyle name="Normal 3 29 2 11 5" xfId="6975" xr:uid="{00000000-0005-0000-0000-0000B7140000}"/>
    <cellStyle name="Normal 3 29 2 12" xfId="2136" xr:uid="{00000000-0005-0000-0000-0000B8140000}"/>
    <cellStyle name="Normal 3 29 2 12 2" xfId="6976" xr:uid="{00000000-0005-0000-0000-0000B9140000}"/>
    <cellStyle name="Normal 3 29 2 12 2 2" xfId="6977" xr:uid="{00000000-0005-0000-0000-0000BA140000}"/>
    <cellStyle name="Normal 3 29 2 12 3" xfId="6978" xr:uid="{00000000-0005-0000-0000-0000BB140000}"/>
    <cellStyle name="Normal 3 29 2 12 3 2" xfId="6979" xr:uid="{00000000-0005-0000-0000-0000BC140000}"/>
    <cellStyle name="Normal 3 29 2 12 4" xfId="6980" xr:uid="{00000000-0005-0000-0000-0000BD140000}"/>
    <cellStyle name="Normal 3 29 2 12 5" xfId="6981" xr:uid="{00000000-0005-0000-0000-0000BE140000}"/>
    <cellStyle name="Normal 3 29 2 13" xfId="6982" xr:uid="{00000000-0005-0000-0000-0000BF140000}"/>
    <cellStyle name="Normal 3 29 2 13 2" xfId="6983" xr:uid="{00000000-0005-0000-0000-0000C0140000}"/>
    <cellStyle name="Normal 3 29 2 14" xfId="6984" xr:uid="{00000000-0005-0000-0000-0000C1140000}"/>
    <cellStyle name="Normal 3 29 2 14 2" xfId="6985" xr:uid="{00000000-0005-0000-0000-0000C2140000}"/>
    <cellStyle name="Normal 3 29 2 15" xfId="6986" xr:uid="{00000000-0005-0000-0000-0000C3140000}"/>
    <cellStyle name="Normal 3 29 2 16" xfId="6987" xr:uid="{00000000-0005-0000-0000-0000C4140000}"/>
    <cellStyle name="Normal 3 29 2 2" xfId="2137" xr:uid="{00000000-0005-0000-0000-0000C5140000}"/>
    <cellStyle name="Normal 3 29 2 2 2" xfId="6988" xr:uid="{00000000-0005-0000-0000-0000C6140000}"/>
    <cellStyle name="Normal 3 29 2 2 2 2" xfId="6989" xr:uid="{00000000-0005-0000-0000-0000C7140000}"/>
    <cellStyle name="Normal 3 29 2 2 3" xfId="6990" xr:uid="{00000000-0005-0000-0000-0000C8140000}"/>
    <cellStyle name="Normal 3 29 2 2 3 2" xfId="6991" xr:uid="{00000000-0005-0000-0000-0000C9140000}"/>
    <cellStyle name="Normal 3 29 2 2 4" xfId="6992" xr:uid="{00000000-0005-0000-0000-0000CA140000}"/>
    <cellStyle name="Normal 3 29 2 2 5" xfId="6993" xr:uid="{00000000-0005-0000-0000-0000CB140000}"/>
    <cellStyle name="Normal 3 29 2 3" xfId="2138" xr:uid="{00000000-0005-0000-0000-0000CC140000}"/>
    <cellStyle name="Normal 3 29 2 3 2" xfId="6994" xr:uid="{00000000-0005-0000-0000-0000CD140000}"/>
    <cellStyle name="Normal 3 29 2 3 2 2" xfId="6995" xr:uid="{00000000-0005-0000-0000-0000CE140000}"/>
    <cellStyle name="Normal 3 29 2 3 3" xfId="6996" xr:uid="{00000000-0005-0000-0000-0000CF140000}"/>
    <cellStyle name="Normal 3 29 2 3 3 2" xfId="6997" xr:uid="{00000000-0005-0000-0000-0000D0140000}"/>
    <cellStyle name="Normal 3 29 2 3 4" xfId="6998" xr:uid="{00000000-0005-0000-0000-0000D1140000}"/>
    <cellStyle name="Normal 3 29 2 3 5" xfId="6999" xr:uid="{00000000-0005-0000-0000-0000D2140000}"/>
    <cellStyle name="Normal 3 29 2 4" xfId="2139" xr:uid="{00000000-0005-0000-0000-0000D3140000}"/>
    <cellStyle name="Normal 3 29 2 4 2" xfId="7000" xr:uid="{00000000-0005-0000-0000-0000D4140000}"/>
    <cellStyle name="Normal 3 29 2 4 2 2" xfId="7001" xr:uid="{00000000-0005-0000-0000-0000D5140000}"/>
    <cellStyle name="Normal 3 29 2 4 3" xfId="7002" xr:uid="{00000000-0005-0000-0000-0000D6140000}"/>
    <cellStyle name="Normal 3 29 2 4 3 2" xfId="7003" xr:uid="{00000000-0005-0000-0000-0000D7140000}"/>
    <cellStyle name="Normal 3 29 2 4 4" xfId="7004" xr:uid="{00000000-0005-0000-0000-0000D8140000}"/>
    <cellStyle name="Normal 3 29 2 4 5" xfId="7005" xr:uid="{00000000-0005-0000-0000-0000D9140000}"/>
    <cellStyle name="Normal 3 29 2 5" xfId="2140" xr:uid="{00000000-0005-0000-0000-0000DA140000}"/>
    <cellStyle name="Normal 3 29 2 5 2" xfId="7006" xr:uid="{00000000-0005-0000-0000-0000DB140000}"/>
    <cellStyle name="Normal 3 29 2 5 2 2" xfId="7007" xr:uid="{00000000-0005-0000-0000-0000DC140000}"/>
    <cellStyle name="Normal 3 29 2 5 3" xfId="7008" xr:uid="{00000000-0005-0000-0000-0000DD140000}"/>
    <cellStyle name="Normal 3 29 2 5 3 2" xfId="7009" xr:uid="{00000000-0005-0000-0000-0000DE140000}"/>
    <cellStyle name="Normal 3 29 2 5 4" xfId="7010" xr:uid="{00000000-0005-0000-0000-0000DF140000}"/>
    <cellStyle name="Normal 3 29 2 5 5" xfId="7011" xr:uid="{00000000-0005-0000-0000-0000E0140000}"/>
    <cellStyle name="Normal 3 29 2 6" xfId="2141" xr:uid="{00000000-0005-0000-0000-0000E1140000}"/>
    <cellStyle name="Normal 3 29 2 6 2" xfId="7012" xr:uid="{00000000-0005-0000-0000-0000E2140000}"/>
    <cellStyle name="Normal 3 29 2 6 2 2" xfId="7013" xr:uid="{00000000-0005-0000-0000-0000E3140000}"/>
    <cellStyle name="Normal 3 29 2 6 3" xfId="7014" xr:uid="{00000000-0005-0000-0000-0000E4140000}"/>
    <cellStyle name="Normal 3 29 2 6 3 2" xfId="7015" xr:uid="{00000000-0005-0000-0000-0000E5140000}"/>
    <cellStyle name="Normal 3 29 2 6 4" xfId="7016" xr:uid="{00000000-0005-0000-0000-0000E6140000}"/>
    <cellStyle name="Normal 3 29 2 6 5" xfId="7017" xr:uid="{00000000-0005-0000-0000-0000E7140000}"/>
    <cellStyle name="Normal 3 29 2 7" xfId="2142" xr:uid="{00000000-0005-0000-0000-0000E8140000}"/>
    <cellStyle name="Normal 3 29 2 7 2" xfId="7018" xr:uid="{00000000-0005-0000-0000-0000E9140000}"/>
    <cellStyle name="Normal 3 29 2 7 2 2" xfId="7019" xr:uid="{00000000-0005-0000-0000-0000EA140000}"/>
    <cellStyle name="Normal 3 29 2 7 3" xfId="7020" xr:uid="{00000000-0005-0000-0000-0000EB140000}"/>
    <cellStyle name="Normal 3 29 2 7 3 2" xfId="7021" xr:uid="{00000000-0005-0000-0000-0000EC140000}"/>
    <cellStyle name="Normal 3 29 2 7 4" xfId="7022" xr:uid="{00000000-0005-0000-0000-0000ED140000}"/>
    <cellStyle name="Normal 3 29 2 7 5" xfId="7023" xr:uid="{00000000-0005-0000-0000-0000EE140000}"/>
    <cellStyle name="Normal 3 29 2 8" xfId="2143" xr:uid="{00000000-0005-0000-0000-0000EF140000}"/>
    <cellStyle name="Normal 3 29 2 8 2" xfId="7024" xr:uid="{00000000-0005-0000-0000-0000F0140000}"/>
    <cellStyle name="Normal 3 29 2 8 2 2" xfId="7025" xr:uid="{00000000-0005-0000-0000-0000F1140000}"/>
    <cellStyle name="Normal 3 29 2 8 3" xfId="7026" xr:uid="{00000000-0005-0000-0000-0000F2140000}"/>
    <cellStyle name="Normal 3 29 2 8 3 2" xfId="7027" xr:uid="{00000000-0005-0000-0000-0000F3140000}"/>
    <cellStyle name="Normal 3 29 2 8 4" xfId="7028" xr:uid="{00000000-0005-0000-0000-0000F4140000}"/>
    <cellStyle name="Normal 3 29 2 8 5" xfId="7029" xr:uid="{00000000-0005-0000-0000-0000F5140000}"/>
    <cellStyle name="Normal 3 29 2 9" xfId="2144" xr:uid="{00000000-0005-0000-0000-0000F6140000}"/>
    <cellStyle name="Normal 3 29 2 9 2" xfId="7030" xr:uid="{00000000-0005-0000-0000-0000F7140000}"/>
    <cellStyle name="Normal 3 29 2 9 2 2" xfId="7031" xr:uid="{00000000-0005-0000-0000-0000F8140000}"/>
    <cellStyle name="Normal 3 29 2 9 3" xfId="7032" xr:uid="{00000000-0005-0000-0000-0000F9140000}"/>
    <cellStyle name="Normal 3 29 2 9 3 2" xfId="7033" xr:uid="{00000000-0005-0000-0000-0000FA140000}"/>
    <cellStyle name="Normal 3 29 2 9 4" xfId="7034" xr:uid="{00000000-0005-0000-0000-0000FB140000}"/>
    <cellStyle name="Normal 3 29 2 9 5" xfId="7035" xr:uid="{00000000-0005-0000-0000-0000FC140000}"/>
    <cellStyle name="Normal 3 29 3" xfId="2145" xr:uid="{00000000-0005-0000-0000-0000FD140000}"/>
    <cellStyle name="Normal 3 29 3 2" xfId="7036" xr:uid="{00000000-0005-0000-0000-0000FE140000}"/>
    <cellStyle name="Normal 3 29 3 2 2" xfId="7037" xr:uid="{00000000-0005-0000-0000-0000FF140000}"/>
    <cellStyle name="Normal 3 29 3 3" xfId="7038" xr:uid="{00000000-0005-0000-0000-000000150000}"/>
    <cellStyle name="Normal 3 29 3 3 2" xfId="7039" xr:uid="{00000000-0005-0000-0000-000001150000}"/>
    <cellStyle name="Normal 3 29 3 4" xfId="7040" xr:uid="{00000000-0005-0000-0000-000002150000}"/>
    <cellStyle name="Normal 3 29 3 5" xfId="7041" xr:uid="{00000000-0005-0000-0000-000003150000}"/>
    <cellStyle name="Normal 3 29 4" xfId="2146" xr:uid="{00000000-0005-0000-0000-000004150000}"/>
    <cellStyle name="Normal 3 29 4 2" xfId="7042" xr:uid="{00000000-0005-0000-0000-000005150000}"/>
    <cellStyle name="Normal 3 29 4 2 2" xfId="7043" xr:uid="{00000000-0005-0000-0000-000006150000}"/>
    <cellStyle name="Normal 3 29 4 3" xfId="7044" xr:uid="{00000000-0005-0000-0000-000007150000}"/>
    <cellStyle name="Normal 3 29 4 3 2" xfId="7045" xr:uid="{00000000-0005-0000-0000-000008150000}"/>
    <cellStyle name="Normal 3 29 4 4" xfId="7046" xr:uid="{00000000-0005-0000-0000-000009150000}"/>
    <cellStyle name="Normal 3 29 4 5" xfId="7047" xr:uid="{00000000-0005-0000-0000-00000A150000}"/>
    <cellStyle name="Normal 3 29 5" xfId="2147" xr:uid="{00000000-0005-0000-0000-00000B150000}"/>
    <cellStyle name="Normal 3 29 5 2" xfId="7048" xr:uid="{00000000-0005-0000-0000-00000C150000}"/>
    <cellStyle name="Normal 3 29 5 2 2" xfId="7049" xr:uid="{00000000-0005-0000-0000-00000D150000}"/>
    <cellStyle name="Normal 3 29 5 3" xfId="7050" xr:uid="{00000000-0005-0000-0000-00000E150000}"/>
    <cellStyle name="Normal 3 29 5 3 2" xfId="7051" xr:uid="{00000000-0005-0000-0000-00000F150000}"/>
    <cellStyle name="Normal 3 29 5 4" xfId="7052" xr:uid="{00000000-0005-0000-0000-000010150000}"/>
    <cellStyle name="Normal 3 29 5 5" xfId="7053" xr:uid="{00000000-0005-0000-0000-000011150000}"/>
    <cellStyle name="Normal 3 29 6" xfId="2148" xr:uid="{00000000-0005-0000-0000-000012150000}"/>
    <cellStyle name="Normal 3 29 6 2" xfId="7054" xr:uid="{00000000-0005-0000-0000-000013150000}"/>
    <cellStyle name="Normal 3 29 6 2 2" xfId="7055" xr:uid="{00000000-0005-0000-0000-000014150000}"/>
    <cellStyle name="Normal 3 29 6 3" xfId="7056" xr:uid="{00000000-0005-0000-0000-000015150000}"/>
    <cellStyle name="Normal 3 29 6 3 2" xfId="7057" xr:uid="{00000000-0005-0000-0000-000016150000}"/>
    <cellStyle name="Normal 3 29 6 4" xfId="7058" xr:uid="{00000000-0005-0000-0000-000017150000}"/>
    <cellStyle name="Normal 3 29 6 5" xfId="7059" xr:uid="{00000000-0005-0000-0000-000018150000}"/>
    <cellStyle name="Normal 3 29 7" xfId="2149" xr:uid="{00000000-0005-0000-0000-000019150000}"/>
    <cellStyle name="Normal 3 29 7 2" xfId="7060" xr:uid="{00000000-0005-0000-0000-00001A150000}"/>
    <cellStyle name="Normal 3 29 7 2 2" xfId="7061" xr:uid="{00000000-0005-0000-0000-00001B150000}"/>
    <cellStyle name="Normal 3 29 7 3" xfId="7062" xr:uid="{00000000-0005-0000-0000-00001C150000}"/>
    <cellStyle name="Normal 3 29 7 3 2" xfId="7063" xr:uid="{00000000-0005-0000-0000-00001D150000}"/>
    <cellStyle name="Normal 3 29 7 4" xfId="7064" xr:uid="{00000000-0005-0000-0000-00001E150000}"/>
    <cellStyle name="Normal 3 29 7 5" xfId="7065" xr:uid="{00000000-0005-0000-0000-00001F150000}"/>
    <cellStyle name="Normal 3 29 8" xfId="2150" xr:uid="{00000000-0005-0000-0000-000020150000}"/>
    <cellStyle name="Normal 3 29 8 2" xfId="7066" xr:uid="{00000000-0005-0000-0000-000021150000}"/>
    <cellStyle name="Normal 3 29 8 2 2" xfId="7067" xr:uid="{00000000-0005-0000-0000-000022150000}"/>
    <cellStyle name="Normal 3 29 8 3" xfId="7068" xr:uid="{00000000-0005-0000-0000-000023150000}"/>
    <cellStyle name="Normal 3 29 8 3 2" xfId="7069" xr:uid="{00000000-0005-0000-0000-000024150000}"/>
    <cellStyle name="Normal 3 29 8 4" xfId="7070" xr:uid="{00000000-0005-0000-0000-000025150000}"/>
    <cellStyle name="Normal 3 29 8 5" xfId="7071" xr:uid="{00000000-0005-0000-0000-000026150000}"/>
    <cellStyle name="Normal 3 29 9" xfId="2151" xr:uid="{00000000-0005-0000-0000-000027150000}"/>
    <cellStyle name="Normal 3 29 9 2" xfId="7072" xr:uid="{00000000-0005-0000-0000-000028150000}"/>
    <cellStyle name="Normal 3 29 9 2 2" xfId="7073" xr:uid="{00000000-0005-0000-0000-000029150000}"/>
    <cellStyle name="Normal 3 29 9 3" xfId="7074" xr:uid="{00000000-0005-0000-0000-00002A150000}"/>
    <cellStyle name="Normal 3 29 9 3 2" xfId="7075" xr:uid="{00000000-0005-0000-0000-00002B150000}"/>
    <cellStyle name="Normal 3 29 9 4" xfId="7076" xr:uid="{00000000-0005-0000-0000-00002C150000}"/>
    <cellStyle name="Normal 3 29 9 5" xfId="7077" xr:uid="{00000000-0005-0000-0000-00002D150000}"/>
    <cellStyle name="Normal 3 3" xfId="2152" xr:uid="{00000000-0005-0000-0000-00002E150000}"/>
    <cellStyle name="Normal 3 3 10" xfId="2153" xr:uid="{00000000-0005-0000-0000-00002F150000}"/>
    <cellStyle name="Normal 3 3 10 2" xfId="7078" xr:uid="{00000000-0005-0000-0000-000030150000}"/>
    <cellStyle name="Normal 3 3 10 2 2" xfId="7079" xr:uid="{00000000-0005-0000-0000-000031150000}"/>
    <cellStyle name="Normal 3 3 10 3" xfId="7080" xr:uid="{00000000-0005-0000-0000-000032150000}"/>
    <cellStyle name="Normal 3 3 10 3 2" xfId="8" xr:uid="{00000000-0005-0000-0000-000033150000}"/>
    <cellStyle name="Normal 3 3 10 4" xfId="7081" xr:uid="{00000000-0005-0000-0000-000034150000}"/>
    <cellStyle name="Normal 3 3 10 5" xfId="7082" xr:uid="{00000000-0005-0000-0000-000035150000}"/>
    <cellStyle name="Normal 3 3 11" xfId="2154" xr:uid="{00000000-0005-0000-0000-000036150000}"/>
    <cellStyle name="Normal 3 3 11 2" xfId="7083" xr:uid="{00000000-0005-0000-0000-000037150000}"/>
    <cellStyle name="Normal 3 3 11 2 2" xfId="7084" xr:uid="{00000000-0005-0000-0000-000038150000}"/>
    <cellStyle name="Normal 3 3 11 3" xfId="7085" xr:uid="{00000000-0005-0000-0000-000039150000}"/>
    <cellStyle name="Normal 3 3 11 3 2" xfId="7086" xr:uid="{00000000-0005-0000-0000-00003A150000}"/>
    <cellStyle name="Normal 3 3 11 4" xfId="7087" xr:uid="{00000000-0005-0000-0000-00003B150000}"/>
    <cellStyle name="Normal 3 3 11 5" xfId="7088" xr:uid="{00000000-0005-0000-0000-00003C150000}"/>
    <cellStyle name="Normal 3 3 12" xfId="2155" xr:uid="{00000000-0005-0000-0000-00003D150000}"/>
    <cellStyle name="Normal 3 3 12 2" xfId="7089" xr:uid="{00000000-0005-0000-0000-00003E150000}"/>
    <cellStyle name="Normal 3 3 12 2 2" xfId="7090" xr:uid="{00000000-0005-0000-0000-00003F150000}"/>
    <cellStyle name="Normal 3 3 12 3" xfId="7091" xr:uid="{00000000-0005-0000-0000-000040150000}"/>
    <cellStyle name="Normal 3 3 12 3 2" xfId="7092" xr:uid="{00000000-0005-0000-0000-000041150000}"/>
    <cellStyle name="Normal 3 3 12 4" xfId="7093" xr:uid="{00000000-0005-0000-0000-000042150000}"/>
    <cellStyle name="Normal 3 3 12 5" xfId="7094" xr:uid="{00000000-0005-0000-0000-000043150000}"/>
    <cellStyle name="Normal 3 3 13" xfId="2156" xr:uid="{00000000-0005-0000-0000-000044150000}"/>
    <cellStyle name="Normal 3 3 13 2" xfId="7095" xr:uid="{00000000-0005-0000-0000-000045150000}"/>
    <cellStyle name="Normal 3 3 13 2 2" xfId="7096" xr:uid="{00000000-0005-0000-0000-000046150000}"/>
    <cellStyle name="Normal 3 3 13 3" xfId="7097" xr:uid="{00000000-0005-0000-0000-000047150000}"/>
    <cellStyle name="Normal 3 3 13 3 2" xfId="7098" xr:uid="{00000000-0005-0000-0000-000048150000}"/>
    <cellStyle name="Normal 3 3 13 4" xfId="7099" xr:uid="{00000000-0005-0000-0000-000049150000}"/>
    <cellStyle name="Normal 3 3 13 5" xfId="7100" xr:uid="{00000000-0005-0000-0000-00004A150000}"/>
    <cellStyle name="Normal 3 3 14" xfId="18" xr:uid="{00000000-0005-0000-0000-00004B150000}"/>
    <cellStyle name="Normal 3 3 14 2" xfId="2157" xr:uid="{00000000-0005-0000-0000-00004C150000}"/>
    <cellStyle name="Normal 3 3 2" xfId="47" xr:uid="{00000000-0005-0000-0000-00004D150000}"/>
    <cellStyle name="Normal 3 3 2 10" xfId="2158" xr:uid="{00000000-0005-0000-0000-00004E150000}"/>
    <cellStyle name="Normal 3 3 2 10 2" xfId="7101" xr:uid="{00000000-0005-0000-0000-00004F150000}"/>
    <cellStyle name="Normal 3 3 2 10 2 2" xfId="7102" xr:uid="{00000000-0005-0000-0000-000050150000}"/>
    <cellStyle name="Normal 3 3 2 10 3" xfId="7103" xr:uid="{00000000-0005-0000-0000-000051150000}"/>
    <cellStyle name="Normal 3 3 2 10 3 2" xfId="7104" xr:uid="{00000000-0005-0000-0000-000052150000}"/>
    <cellStyle name="Normal 3 3 2 10 4" xfId="7105" xr:uid="{00000000-0005-0000-0000-000053150000}"/>
    <cellStyle name="Normal 3 3 2 10 5" xfId="7106" xr:uid="{00000000-0005-0000-0000-000054150000}"/>
    <cellStyle name="Normal 3 3 2 11" xfId="2159" xr:uid="{00000000-0005-0000-0000-000055150000}"/>
    <cellStyle name="Normal 3 3 2 11 2" xfId="7107" xr:uid="{00000000-0005-0000-0000-000056150000}"/>
    <cellStyle name="Normal 3 3 2 11 2 2" xfId="7108" xr:uid="{00000000-0005-0000-0000-000057150000}"/>
    <cellStyle name="Normal 3 3 2 11 3" xfId="7109" xr:uid="{00000000-0005-0000-0000-000058150000}"/>
    <cellStyle name="Normal 3 3 2 11 3 2" xfId="7110" xr:uid="{00000000-0005-0000-0000-000059150000}"/>
    <cellStyle name="Normal 3 3 2 11 4" xfId="7111" xr:uid="{00000000-0005-0000-0000-00005A150000}"/>
    <cellStyle name="Normal 3 3 2 11 5" xfId="7112" xr:uid="{00000000-0005-0000-0000-00005B150000}"/>
    <cellStyle name="Normal 3 3 2 12" xfId="2160" xr:uid="{00000000-0005-0000-0000-00005C150000}"/>
    <cellStyle name="Normal 3 3 2 12 2" xfId="7113" xr:uid="{00000000-0005-0000-0000-00005D150000}"/>
    <cellStyle name="Normal 3 3 2 12 2 2" xfId="7114" xr:uid="{00000000-0005-0000-0000-00005E150000}"/>
    <cellStyle name="Normal 3 3 2 12 3" xfId="7115" xr:uid="{00000000-0005-0000-0000-00005F150000}"/>
    <cellStyle name="Normal 3 3 2 12 3 2" xfId="7116" xr:uid="{00000000-0005-0000-0000-000060150000}"/>
    <cellStyle name="Normal 3 3 2 12 4" xfId="7117" xr:uid="{00000000-0005-0000-0000-000061150000}"/>
    <cellStyle name="Normal 3 3 2 12 5" xfId="7118" xr:uid="{00000000-0005-0000-0000-000062150000}"/>
    <cellStyle name="Normal 3 3 2 13" xfId="7119" xr:uid="{00000000-0005-0000-0000-000063150000}"/>
    <cellStyle name="Normal 3 3 2 13 2" xfId="7120" xr:uid="{00000000-0005-0000-0000-000064150000}"/>
    <cellStyle name="Normal 3 3 2 14" xfId="7121" xr:uid="{00000000-0005-0000-0000-000065150000}"/>
    <cellStyle name="Normal 3 3 2 14 2" xfId="7122" xr:uid="{00000000-0005-0000-0000-000066150000}"/>
    <cellStyle name="Normal 3 3 2 15" xfId="7123" xr:uid="{00000000-0005-0000-0000-000067150000}"/>
    <cellStyle name="Normal 3 3 2 16" xfId="7124" xr:uid="{00000000-0005-0000-0000-000068150000}"/>
    <cellStyle name="Normal 3 3 2 2" xfId="2161" xr:uid="{00000000-0005-0000-0000-000069150000}"/>
    <cellStyle name="Normal 3 3 2 2 2" xfId="7125" xr:uid="{00000000-0005-0000-0000-00006A150000}"/>
    <cellStyle name="Normal 3 3 2 2 2 2" xfId="7126" xr:uid="{00000000-0005-0000-0000-00006B150000}"/>
    <cellStyle name="Normal 3 3 2 2 3" xfId="7127" xr:uid="{00000000-0005-0000-0000-00006C150000}"/>
    <cellStyle name="Normal 3 3 2 2 3 2" xfId="7128" xr:uid="{00000000-0005-0000-0000-00006D150000}"/>
    <cellStyle name="Normal 3 3 2 2 4" xfId="7129" xr:uid="{00000000-0005-0000-0000-00006E150000}"/>
    <cellStyle name="Normal 3 3 2 2 5" xfId="7130" xr:uid="{00000000-0005-0000-0000-00006F150000}"/>
    <cellStyle name="Normal 3 3 2 3" xfId="2162" xr:uid="{00000000-0005-0000-0000-000070150000}"/>
    <cellStyle name="Normal 3 3 2 3 2" xfId="7131" xr:uid="{00000000-0005-0000-0000-000071150000}"/>
    <cellStyle name="Normal 3 3 2 3 2 2" xfId="7132" xr:uid="{00000000-0005-0000-0000-000072150000}"/>
    <cellStyle name="Normal 3 3 2 3 3" xfId="7133" xr:uid="{00000000-0005-0000-0000-000073150000}"/>
    <cellStyle name="Normal 3 3 2 3 3 2" xfId="7134" xr:uid="{00000000-0005-0000-0000-000074150000}"/>
    <cellStyle name="Normal 3 3 2 3 4" xfId="7135" xr:uid="{00000000-0005-0000-0000-000075150000}"/>
    <cellStyle name="Normal 3 3 2 3 5" xfId="7136" xr:uid="{00000000-0005-0000-0000-000076150000}"/>
    <cellStyle name="Normal 3 3 2 4" xfId="2163" xr:uid="{00000000-0005-0000-0000-000077150000}"/>
    <cellStyle name="Normal 3 3 2 4 2" xfId="7137" xr:uid="{00000000-0005-0000-0000-000078150000}"/>
    <cellStyle name="Normal 3 3 2 4 2 2" xfId="7138" xr:uid="{00000000-0005-0000-0000-000079150000}"/>
    <cellStyle name="Normal 3 3 2 4 3" xfId="7139" xr:uid="{00000000-0005-0000-0000-00007A150000}"/>
    <cellStyle name="Normal 3 3 2 4 3 2" xfId="7140" xr:uid="{00000000-0005-0000-0000-00007B150000}"/>
    <cellStyle name="Normal 3 3 2 4 4" xfId="7141" xr:uid="{00000000-0005-0000-0000-00007C150000}"/>
    <cellStyle name="Normal 3 3 2 4 5" xfId="7142" xr:uid="{00000000-0005-0000-0000-00007D150000}"/>
    <cellStyle name="Normal 3 3 2 5" xfId="2164" xr:uid="{00000000-0005-0000-0000-00007E150000}"/>
    <cellStyle name="Normal 3 3 2 5 2" xfId="7143" xr:uid="{00000000-0005-0000-0000-00007F150000}"/>
    <cellStyle name="Normal 3 3 2 5 2 2" xfId="7144" xr:uid="{00000000-0005-0000-0000-000080150000}"/>
    <cellStyle name="Normal 3 3 2 5 3" xfId="7145" xr:uid="{00000000-0005-0000-0000-000081150000}"/>
    <cellStyle name="Normal 3 3 2 5 3 2" xfId="7146" xr:uid="{00000000-0005-0000-0000-000082150000}"/>
    <cellStyle name="Normal 3 3 2 5 4" xfId="7147" xr:uid="{00000000-0005-0000-0000-000083150000}"/>
    <cellStyle name="Normal 3 3 2 5 5" xfId="7148" xr:uid="{00000000-0005-0000-0000-000084150000}"/>
    <cellStyle name="Normal 3 3 2 6" xfId="2165" xr:uid="{00000000-0005-0000-0000-000085150000}"/>
    <cellStyle name="Normal 3 3 2 6 2" xfId="7149" xr:uid="{00000000-0005-0000-0000-000086150000}"/>
    <cellStyle name="Normal 3 3 2 6 2 2" xfId="7150" xr:uid="{00000000-0005-0000-0000-000087150000}"/>
    <cellStyle name="Normal 3 3 2 6 3" xfId="7151" xr:uid="{00000000-0005-0000-0000-000088150000}"/>
    <cellStyle name="Normal 3 3 2 6 3 2" xfId="7152" xr:uid="{00000000-0005-0000-0000-000089150000}"/>
    <cellStyle name="Normal 3 3 2 6 4" xfId="7153" xr:uid="{00000000-0005-0000-0000-00008A150000}"/>
    <cellStyle name="Normal 3 3 2 6 5" xfId="7154" xr:uid="{00000000-0005-0000-0000-00008B150000}"/>
    <cellStyle name="Normal 3 3 2 7" xfId="2166" xr:uid="{00000000-0005-0000-0000-00008C150000}"/>
    <cellStyle name="Normal 3 3 2 7 2" xfId="7155" xr:uid="{00000000-0005-0000-0000-00008D150000}"/>
    <cellStyle name="Normal 3 3 2 7 2 2" xfId="7156" xr:uid="{00000000-0005-0000-0000-00008E150000}"/>
    <cellStyle name="Normal 3 3 2 7 3" xfId="7157" xr:uid="{00000000-0005-0000-0000-00008F150000}"/>
    <cellStyle name="Normal 3 3 2 7 3 2" xfId="7158" xr:uid="{00000000-0005-0000-0000-000090150000}"/>
    <cellStyle name="Normal 3 3 2 7 4" xfId="7159" xr:uid="{00000000-0005-0000-0000-000091150000}"/>
    <cellStyle name="Normal 3 3 2 7 5" xfId="7160" xr:uid="{00000000-0005-0000-0000-000092150000}"/>
    <cellStyle name="Normal 3 3 2 8" xfId="2167" xr:uid="{00000000-0005-0000-0000-000093150000}"/>
    <cellStyle name="Normal 3 3 2 8 2" xfId="7161" xr:uid="{00000000-0005-0000-0000-000094150000}"/>
    <cellStyle name="Normal 3 3 2 8 2 2" xfId="7162" xr:uid="{00000000-0005-0000-0000-000095150000}"/>
    <cellStyle name="Normal 3 3 2 8 3" xfId="7163" xr:uid="{00000000-0005-0000-0000-000096150000}"/>
    <cellStyle name="Normal 3 3 2 8 3 2" xfId="7164" xr:uid="{00000000-0005-0000-0000-000097150000}"/>
    <cellStyle name="Normal 3 3 2 8 4" xfId="7165" xr:uid="{00000000-0005-0000-0000-000098150000}"/>
    <cellStyle name="Normal 3 3 2 8 5" xfId="7166" xr:uid="{00000000-0005-0000-0000-000099150000}"/>
    <cellStyle name="Normal 3 3 2 9" xfId="2168" xr:uid="{00000000-0005-0000-0000-00009A150000}"/>
    <cellStyle name="Normal 3 3 2 9 2" xfId="7167" xr:uid="{00000000-0005-0000-0000-00009B150000}"/>
    <cellStyle name="Normal 3 3 2 9 2 2" xfId="7168" xr:uid="{00000000-0005-0000-0000-00009C150000}"/>
    <cellStyle name="Normal 3 3 2 9 3" xfId="7169" xr:uid="{00000000-0005-0000-0000-00009D150000}"/>
    <cellStyle name="Normal 3 3 2 9 3 2" xfId="7170" xr:uid="{00000000-0005-0000-0000-00009E150000}"/>
    <cellStyle name="Normal 3 3 2 9 4" xfId="7171" xr:uid="{00000000-0005-0000-0000-00009F150000}"/>
    <cellStyle name="Normal 3 3 2 9 5" xfId="7172" xr:uid="{00000000-0005-0000-0000-0000A0150000}"/>
    <cellStyle name="Normal 3 3 3" xfId="2169" xr:uid="{00000000-0005-0000-0000-0000A1150000}"/>
    <cellStyle name="Normal 3 3 3 2" xfId="7173" xr:uid="{00000000-0005-0000-0000-0000A2150000}"/>
    <cellStyle name="Normal 3 3 3 2 2" xfId="7174" xr:uid="{00000000-0005-0000-0000-0000A3150000}"/>
    <cellStyle name="Normal 3 3 3 3" xfId="7175" xr:uid="{00000000-0005-0000-0000-0000A4150000}"/>
    <cellStyle name="Normal 3 3 3 3 2" xfId="7176" xr:uid="{00000000-0005-0000-0000-0000A5150000}"/>
    <cellStyle name="Normal 3 3 3 4" xfId="7177" xr:uid="{00000000-0005-0000-0000-0000A6150000}"/>
    <cellStyle name="Normal 3 3 3 5" xfId="7178" xr:uid="{00000000-0005-0000-0000-0000A7150000}"/>
    <cellStyle name="Normal 3 3 4" xfId="2170" xr:uid="{00000000-0005-0000-0000-0000A8150000}"/>
    <cellStyle name="Normal 3 3 4 2" xfId="7179" xr:uid="{00000000-0005-0000-0000-0000A9150000}"/>
    <cellStyle name="Normal 3 3 4 2 2" xfId="7180" xr:uid="{00000000-0005-0000-0000-0000AA150000}"/>
    <cellStyle name="Normal 3 3 4 3" xfId="7181" xr:uid="{00000000-0005-0000-0000-0000AB150000}"/>
    <cellStyle name="Normal 3 3 4 3 2" xfId="7182" xr:uid="{00000000-0005-0000-0000-0000AC150000}"/>
    <cellStyle name="Normal 3 3 4 4" xfId="7183" xr:uid="{00000000-0005-0000-0000-0000AD150000}"/>
    <cellStyle name="Normal 3 3 4 5" xfId="7184" xr:uid="{00000000-0005-0000-0000-0000AE150000}"/>
    <cellStyle name="Normal 3 3 5" xfId="2171" xr:uid="{00000000-0005-0000-0000-0000AF150000}"/>
    <cellStyle name="Normal 3 3 5 2" xfId="7185" xr:uid="{00000000-0005-0000-0000-0000B0150000}"/>
    <cellStyle name="Normal 3 3 5 2 2" xfId="7186" xr:uid="{00000000-0005-0000-0000-0000B1150000}"/>
    <cellStyle name="Normal 3 3 5 3" xfId="7187" xr:uid="{00000000-0005-0000-0000-0000B2150000}"/>
    <cellStyle name="Normal 3 3 5 3 2" xfId="7188" xr:uid="{00000000-0005-0000-0000-0000B3150000}"/>
    <cellStyle name="Normal 3 3 5 4" xfId="7189" xr:uid="{00000000-0005-0000-0000-0000B4150000}"/>
    <cellStyle name="Normal 3 3 5 5" xfId="7190" xr:uid="{00000000-0005-0000-0000-0000B5150000}"/>
    <cellStyle name="Normal 3 3 6" xfId="2172" xr:uid="{00000000-0005-0000-0000-0000B6150000}"/>
    <cellStyle name="Normal 3 3 6 2" xfId="7191" xr:uid="{00000000-0005-0000-0000-0000B7150000}"/>
    <cellStyle name="Normal 3 3 6 2 2" xfId="7192" xr:uid="{00000000-0005-0000-0000-0000B8150000}"/>
    <cellStyle name="Normal 3 3 6 3" xfId="7193" xr:uid="{00000000-0005-0000-0000-0000B9150000}"/>
    <cellStyle name="Normal 3 3 6 3 2" xfId="7194" xr:uid="{00000000-0005-0000-0000-0000BA150000}"/>
    <cellStyle name="Normal 3 3 6 4" xfId="7195" xr:uid="{00000000-0005-0000-0000-0000BB150000}"/>
    <cellStyle name="Normal 3 3 6 5" xfId="7196" xr:uid="{00000000-0005-0000-0000-0000BC150000}"/>
    <cellStyle name="Normal 3 3 7" xfId="2173" xr:uid="{00000000-0005-0000-0000-0000BD150000}"/>
    <cellStyle name="Normal 3 3 7 2" xfId="7197" xr:uid="{00000000-0005-0000-0000-0000BE150000}"/>
    <cellStyle name="Normal 3 3 7 2 2" xfId="7198" xr:uid="{00000000-0005-0000-0000-0000BF150000}"/>
    <cellStyle name="Normal 3 3 7 3" xfId="7199" xr:uid="{00000000-0005-0000-0000-0000C0150000}"/>
    <cellStyle name="Normal 3 3 7 3 2" xfId="7200" xr:uid="{00000000-0005-0000-0000-0000C1150000}"/>
    <cellStyle name="Normal 3 3 7 4" xfId="7201" xr:uid="{00000000-0005-0000-0000-0000C2150000}"/>
    <cellStyle name="Normal 3 3 7 5" xfId="7202" xr:uid="{00000000-0005-0000-0000-0000C3150000}"/>
    <cellStyle name="Normal 3 3 8" xfId="2174" xr:uid="{00000000-0005-0000-0000-0000C4150000}"/>
    <cellStyle name="Normal 3 3 8 2" xfId="7203" xr:uid="{00000000-0005-0000-0000-0000C5150000}"/>
    <cellStyle name="Normal 3 3 8 2 2" xfId="7204" xr:uid="{00000000-0005-0000-0000-0000C6150000}"/>
    <cellStyle name="Normal 3 3 8 3" xfId="7205" xr:uid="{00000000-0005-0000-0000-0000C7150000}"/>
    <cellStyle name="Normal 3 3 8 3 2" xfId="7206" xr:uid="{00000000-0005-0000-0000-0000C8150000}"/>
    <cellStyle name="Normal 3 3 8 4" xfId="7207" xr:uid="{00000000-0005-0000-0000-0000C9150000}"/>
    <cellStyle name="Normal 3 3 8 5" xfId="7208" xr:uid="{00000000-0005-0000-0000-0000CA150000}"/>
    <cellStyle name="Normal 3 3 9" xfId="2175" xr:uid="{00000000-0005-0000-0000-0000CB150000}"/>
    <cellStyle name="Normal 3 3 9 2" xfId="7209" xr:uid="{00000000-0005-0000-0000-0000CC150000}"/>
    <cellStyle name="Normal 3 3 9 2 2" xfId="7210" xr:uid="{00000000-0005-0000-0000-0000CD150000}"/>
    <cellStyle name="Normal 3 3 9 3" xfId="7211" xr:uid="{00000000-0005-0000-0000-0000CE150000}"/>
    <cellStyle name="Normal 3 3 9 3 2" xfId="7212" xr:uid="{00000000-0005-0000-0000-0000CF150000}"/>
    <cellStyle name="Normal 3 3 9 4" xfId="7213" xr:uid="{00000000-0005-0000-0000-0000D0150000}"/>
    <cellStyle name="Normal 3 3 9 5" xfId="7214" xr:uid="{00000000-0005-0000-0000-0000D1150000}"/>
    <cellStyle name="Normal 3 30" xfId="2176" xr:uid="{00000000-0005-0000-0000-0000D2150000}"/>
    <cellStyle name="Normal 3 30 10" xfId="2177" xr:uid="{00000000-0005-0000-0000-0000D3150000}"/>
    <cellStyle name="Normal 3 30 10 2" xfId="7215" xr:uid="{00000000-0005-0000-0000-0000D4150000}"/>
    <cellStyle name="Normal 3 30 10 2 2" xfId="7216" xr:uid="{00000000-0005-0000-0000-0000D5150000}"/>
    <cellStyle name="Normal 3 30 10 3" xfId="7217" xr:uid="{00000000-0005-0000-0000-0000D6150000}"/>
    <cellStyle name="Normal 3 30 10 3 2" xfId="7218" xr:uid="{00000000-0005-0000-0000-0000D7150000}"/>
    <cellStyle name="Normal 3 30 10 4" xfId="7219" xr:uid="{00000000-0005-0000-0000-0000D8150000}"/>
    <cellStyle name="Normal 3 30 10 5" xfId="7220" xr:uid="{00000000-0005-0000-0000-0000D9150000}"/>
    <cellStyle name="Normal 3 30 11" xfId="2178" xr:uid="{00000000-0005-0000-0000-0000DA150000}"/>
    <cellStyle name="Normal 3 30 11 2" xfId="7221" xr:uid="{00000000-0005-0000-0000-0000DB150000}"/>
    <cellStyle name="Normal 3 30 11 2 2" xfId="7222" xr:uid="{00000000-0005-0000-0000-0000DC150000}"/>
    <cellStyle name="Normal 3 30 11 3" xfId="7223" xr:uid="{00000000-0005-0000-0000-0000DD150000}"/>
    <cellStyle name="Normal 3 30 11 3 2" xfId="7224" xr:uid="{00000000-0005-0000-0000-0000DE150000}"/>
    <cellStyle name="Normal 3 30 11 4" xfId="7225" xr:uid="{00000000-0005-0000-0000-0000DF150000}"/>
    <cellStyle name="Normal 3 30 11 5" xfId="7226" xr:uid="{00000000-0005-0000-0000-0000E0150000}"/>
    <cellStyle name="Normal 3 30 12" xfId="2179" xr:uid="{00000000-0005-0000-0000-0000E1150000}"/>
    <cellStyle name="Normal 3 30 12 2" xfId="7227" xr:uid="{00000000-0005-0000-0000-0000E2150000}"/>
    <cellStyle name="Normal 3 30 12 2 2" xfId="7228" xr:uid="{00000000-0005-0000-0000-0000E3150000}"/>
    <cellStyle name="Normal 3 30 12 3" xfId="7229" xr:uid="{00000000-0005-0000-0000-0000E4150000}"/>
    <cellStyle name="Normal 3 30 12 3 2" xfId="7230" xr:uid="{00000000-0005-0000-0000-0000E5150000}"/>
    <cellStyle name="Normal 3 30 12 4" xfId="7231" xr:uid="{00000000-0005-0000-0000-0000E6150000}"/>
    <cellStyle name="Normal 3 30 12 5" xfId="7232" xr:uid="{00000000-0005-0000-0000-0000E7150000}"/>
    <cellStyle name="Normal 3 30 13" xfId="2180" xr:uid="{00000000-0005-0000-0000-0000E8150000}"/>
    <cellStyle name="Normal 3 30 13 2" xfId="7233" xr:uid="{00000000-0005-0000-0000-0000E9150000}"/>
    <cellStyle name="Normal 3 30 13 2 2" xfId="7234" xr:uid="{00000000-0005-0000-0000-0000EA150000}"/>
    <cellStyle name="Normal 3 30 13 3" xfId="7235" xr:uid="{00000000-0005-0000-0000-0000EB150000}"/>
    <cellStyle name="Normal 3 30 13 3 2" xfId="7236" xr:uid="{00000000-0005-0000-0000-0000EC150000}"/>
    <cellStyle name="Normal 3 30 13 4" xfId="7237" xr:uid="{00000000-0005-0000-0000-0000ED150000}"/>
    <cellStyle name="Normal 3 30 13 5" xfId="7238" xr:uid="{00000000-0005-0000-0000-0000EE150000}"/>
    <cellStyle name="Normal 3 30 14" xfId="7239" xr:uid="{00000000-0005-0000-0000-0000EF150000}"/>
    <cellStyle name="Normal 3 30 14 2" xfId="7240" xr:uid="{00000000-0005-0000-0000-0000F0150000}"/>
    <cellStyle name="Normal 3 30 15" xfId="7241" xr:uid="{00000000-0005-0000-0000-0000F1150000}"/>
    <cellStyle name="Normal 3 30 15 2" xfId="7242" xr:uid="{00000000-0005-0000-0000-0000F2150000}"/>
    <cellStyle name="Normal 3 30 16" xfId="7243" xr:uid="{00000000-0005-0000-0000-0000F3150000}"/>
    <cellStyle name="Normal 3 30 17" xfId="7244" xr:uid="{00000000-0005-0000-0000-0000F4150000}"/>
    <cellStyle name="Normal 3 30 2" xfId="2181" xr:uid="{00000000-0005-0000-0000-0000F5150000}"/>
    <cellStyle name="Normal 3 30 2 10" xfId="2182" xr:uid="{00000000-0005-0000-0000-0000F6150000}"/>
    <cellStyle name="Normal 3 30 2 10 2" xfId="7245" xr:uid="{00000000-0005-0000-0000-0000F7150000}"/>
    <cellStyle name="Normal 3 30 2 10 2 2" xfId="7246" xr:uid="{00000000-0005-0000-0000-0000F8150000}"/>
    <cellStyle name="Normal 3 30 2 10 3" xfId="7247" xr:uid="{00000000-0005-0000-0000-0000F9150000}"/>
    <cellStyle name="Normal 3 30 2 10 3 2" xfId="7248" xr:uid="{00000000-0005-0000-0000-0000FA150000}"/>
    <cellStyle name="Normal 3 30 2 10 4" xfId="7249" xr:uid="{00000000-0005-0000-0000-0000FB150000}"/>
    <cellStyle name="Normal 3 30 2 10 5" xfId="7250" xr:uid="{00000000-0005-0000-0000-0000FC150000}"/>
    <cellStyle name="Normal 3 30 2 11" xfId="2183" xr:uid="{00000000-0005-0000-0000-0000FD150000}"/>
    <cellStyle name="Normal 3 30 2 11 2" xfId="7251" xr:uid="{00000000-0005-0000-0000-0000FE150000}"/>
    <cellStyle name="Normal 3 30 2 11 2 2" xfId="7252" xr:uid="{00000000-0005-0000-0000-0000FF150000}"/>
    <cellStyle name="Normal 3 30 2 11 3" xfId="7253" xr:uid="{00000000-0005-0000-0000-000000160000}"/>
    <cellStyle name="Normal 3 30 2 11 3 2" xfId="7254" xr:uid="{00000000-0005-0000-0000-000001160000}"/>
    <cellStyle name="Normal 3 30 2 11 4" xfId="7255" xr:uid="{00000000-0005-0000-0000-000002160000}"/>
    <cellStyle name="Normal 3 30 2 11 5" xfId="7256" xr:uid="{00000000-0005-0000-0000-000003160000}"/>
    <cellStyle name="Normal 3 30 2 12" xfId="2184" xr:uid="{00000000-0005-0000-0000-000004160000}"/>
    <cellStyle name="Normal 3 30 2 12 2" xfId="7257" xr:uid="{00000000-0005-0000-0000-000005160000}"/>
    <cellStyle name="Normal 3 30 2 12 2 2" xfId="7258" xr:uid="{00000000-0005-0000-0000-000006160000}"/>
    <cellStyle name="Normal 3 30 2 12 3" xfId="7259" xr:uid="{00000000-0005-0000-0000-000007160000}"/>
    <cellStyle name="Normal 3 30 2 12 3 2" xfId="7260" xr:uid="{00000000-0005-0000-0000-000008160000}"/>
    <cellStyle name="Normal 3 30 2 12 4" xfId="7261" xr:uid="{00000000-0005-0000-0000-000009160000}"/>
    <cellStyle name="Normal 3 30 2 12 5" xfId="7262" xr:uid="{00000000-0005-0000-0000-00000A160000}"/>
    <cellStyle name="Normal 3 30 2 13" xfId="7263" xr:uid="{00000000-0005-0000-0000-00000B160000}"/>
    <cellStyle name="Normal 3 30 2 13 2" xfId="7264" xr:uid="{00000000-0005-0000-0000-00000C160000}"/>
    <cellStyle name="Normal 3 30 2 14" xfId="7265" xr:uid="{00000000-0005-0000-0000-00000D160000}"/>
    <cellStyle name="Normal 3 30 2 14 2" xfId="7266" xr:uid="{00000000-0005-0000-0000-00000E160000}"/>
    <cellStyle name="Normal 3 30 2 15" xfId="7267" xr:uid="{00000000-0005-0000-0000-00000F160000}"/>
    <cellStyle name="Normal 3 30 2 16" xfId="7268" xr:uid="{00000000-0005-0000-0000-000010160000}"/>
    <cellStyle name="Normal 3 30 2 2" xfId="2185" xr:uid="{00000000-0005-0000-0000-000011160000}"/>
    <cellStyle name="Normal 3 30 2 2 2" xfId="7269" xr:uid="{00000000-0005-0000-0000-000012160000}"/>
    <cellStyle name="Normal 3 30 2 2 2 2" xfId="7270" xr:uid="{00000000-0005-0000-0000-000013160000}"/>
    <cellStyle name="Normal 3 30 2 2 3" xfId="7271" xr:uid="{00000000-0005-0000-0000-000014160000}"/>
    <cellStyle name="Normal 3 30 2 2 3 2" xfId="7272" xr:uid="{00000000-0005-0000-0000-000015160000}"/>
    <cellStyle name="Normal 3 30 2 2 4" xfId="7273" xr:uid="{00000000-0005-0000-0000-000016160000}"/>
    <cellStyle name="Normal 3 30 2 2 5" xfId="7274" xr:uid="{00000000-0005-0000-0000-000017160000}"/>
    <cellStyle name="Normal 3 30 2 3" xfId="2186" xr:uid="{00000000-0005-0000-0000-000018160000}"/>
    <cellStyle name="Normal 3 30 2 3 2" xfId="7275" xr:uid="{00000000-0005-0000-0000-000019160000}"/>
    <cellStyle name="Normal 3 30 2 3 2 2" xfId="7276" xr:uid="{00000000-0005-0000-0000-00001A160000}"/>
    <cellStyle name="Normal 3 30 2 3 3" xfId="7277" xr:uid="{00000000-0005-0000-0000-00001B160000}"/>
    <cellStyle name="Normal 3 30 2 3 3 2" xfId="7278" xr:uid="{00000000-0005-0000-0000-00001C160000}"/>
    <cellStyle name="Normal 3 30 2 3 4" xfId="7279" xr:uid="{00000000-0005-0000-0000-00001D160000}"/>
    <cellStyle name="Normal 3 30 2 3 5" xfId="7280" xr:uid="{00000000-0005-0000-0000-00001E160000}"/>
    <cellStyle name="Normal 3 30 2 4" xfId="2187" xr:uid="{00000000-0005-0000-0000-00001F160000}"/>
    <cellStyle name="Normal 3 30 2 4 2" xfId="7281" xr:uid="{00000000-0005-0000-0000-000020160000}"/>
    <cellStyle name="Normal 3 30 2 4 2 2" xfId="7282" xr:uid="{00000000-0005-0000-0000-000021160000}"/>
    <cellStyle name="Normal 3 30 2 4 3" xfId="7283" xr:uid="{00000000-0005-0000-0000-000022160000}"/>
    <cellStyle name="Normal 3 30 2 4 3 2" xfId="7284" xr:uid="{00000000-0005-0000-0000-000023160000}"/>
    <cellStyle name="Normal 3 30 2 4 4" xfId="7285" xr:uid="{00000000-0005-0000-0000-000024160000}"/>
    <cellStyle name="Normal 3 30 2 4 5" xfId="7286" xr:uid="{00000000-0005-0000-0000-000025160000}"/>
    <cellStyle name="Normal 3 30 2 5" xfId="2188" xr:uid="{00000000-0005-0000-0000-000026160000}"/>
    <cellStyle name="Normal 3 30 2 5 2" xfId="7287" xr:uid="{00000000-0005-0000-0000-000027160000}"/>
    <cellStyle name="Normal 3 30 2 5 2 2" xfId="7288" xr:uid="{00000000-0005-0000-0000-000028160000}"/>
    <cellStyle name="Normal 3 30 2 5 3" xfId="7289" xr:uid="{00000000-0005-0000-0000-000029160000}"/>
    <cellStyle name="Normal 3 30 2 5 3 2" xfId="7290" xr:uid="{00000000-0005-0000-0000-00002A160000}"/>
    <cellStyle name="Normal 3 30 2 5 4" xfId="7291" xr:uid="{00000000-0005-0000-0000-00002B160000}"/>
    <cellStyle name="Normal 3 30 2 5 5" xfId="7292" xr:uid="{00000000-0005-0000-0000-00002C160000}"/>
    <cellStyle name="Normal 3 30 2 6" xfId="2189" xr:uid="{00000000-0005-0000-0000-00002D160000}"/>
    <cellStyle name="Normal 3 30 2 6 2" xfId="7293" xr:uid="{00000000-0005-0000-0000-00002E160000}"/>
    <cellStyle name="Normal 3 30 2 6 2 2" xfId="7294" xr:uid="{00000000-0005-0000-0000-00002F160000}"/>
    <cellStyle name="Normal 3 30 2 6 3" xfId="7295" xr:uid="{00000000-0005-0000-0000-000030160000}"/>
    <cellStyle name="Normal 3 30 2 6 3 2" xfId="7296" xr:uid="{00000000-0005-0000-0000-000031160000}"/>
    <cellStyle name="Normal 3 30 2 6 4" xfId="7297" xr:uid="{00000000-0005-0000-0000-000032160000}"/>
    <cellStyle name="Normal 3 30 2 6 5" xfId="7298" xr:uid="{00000000-0005-0000-0000-000033160000}"/>
    <cellStyle name="Normal 3 30 2 7" xfId="2190" xr:uid="{00000000-0005-0000-0000-000034160000}"/>
    <cellStyle name="Normal 3 30 2 7 2" xfId="7299" xr:uid="{00000000-0005-0000-0000-000035160000}"/>
    <cellStyle name="Normal 3 30 2 7 2 2" xfId="7300" xr:uid="{00000000-0005-0000-0000-000036160000}"/>
    <cellStyle name="Normal 3 30 2 7 3" xfId="7301" xr:uid="{00000000-0005-0000-0000-000037160000}"/>
    <cellStyle name="Normal 3 30 2 7 3 2" xfId="7302" xr:uid="{00000000-0005-0000-0000-000038160000}"/>
    <cellStyle name="Normal 3 30 2 7 4" xfId="7303" xr:uid="{00000000-0005-0000-0000-000039160000}"/>
    <cellStyle name="Normal 3 30 2 7 5" xfId="7304" xr:uid="{00000000-0005-0000-0000-00003A160000}"/>
    <cellStyle name="Normal 3 30 2 8" xfId="2191" xr:uid="{00000000-0005-0000-0000-00003B160000}"/>
    <cellStyle name="Normal 3 30 2 8 2" xfId="7305" xr:uid="{00000000-0005-0000-0000-00003C160000}"/>
    <cellStyle name="Normal 3 30 2 8 2 2" xfId="7306" xr:uid="{00000000-0005-0000-0000-00003D160000}"/>
    <cellStyle name="Normal 3 30 2 8 3" xfId="7307" xr:uid="{00000000-0005-0000-0000-00003E160000}"/>
    <cellStyle name="Normal 3 30 2 8 3 2" xfId="7308" xr:uid="{00000000-0005-0000-0000-00003F160000}"/>
    <cellStyle name="Normal 3 30 2 8 4" xfId="7309" xr:uid="{00000000-0005-0000-0000-000040160000}"/>
    <cellStyle name="Normal 3 30 2 8 5" xfId="7310" xr:uid="{00000000-0005-0000-0000-000041160000}"/>
    <cellStyle name="Normal 3 30 2 9" xfId="2192" xr:uid="{00000000-0005-0000-0000-000042160000}"/>
    <cellStyle name="Normal 3 30 2 9 2" xfId="7311" xr:uid="{00000000-0005-0000-0000-000043160000}"/>
    <cellStyle name="Normal 3 30 2 9 2 2" xfId="7312" xr:uid="{00000000-0005-0000-0000-000044160000}"/>
    <cellStyle name="Normal 3 30 2 9 3" xfId="7313" xr:uid="{00000000-0005-0000-0000-000045160000}"/>
    <cellStyle name="Normal 3 30 2 9 3 2" xfId="7314" xr:uid="{00000000-0005-0000-0000-000046160000}"/>
    <cellStyle name="Normal 3 30 2 9 4" xfId="7315" xr:uid="{00000000-0005-0000-0000-000047160000}"/>
    <cellStyle name="Normal 3 30 2 9 5" xfId="7316" xr:uid="{00000000-0005-0000-0000-000048160000}"/>
    <cellStyle name="Normal 3 30 3" xfId="2193" xr:uid="{00000000-0005-0000-0000-000049160000}"/>
    <cellStyle name="Normal 3 30 3 2" xfId="7317" xr:uid="{00000000-0005-0000-0000-00004A160000}"/>
    <cellStyle name="Normal 3 30 3 2 2" xfId="7318" xr:uid="{00000000-0005-0000-0000-00004B160000}"/>
    <cellStyle name="Normal 3 30 3 3" xfId="7319" xr:uid="{00000000-0005-0000-0000-00004C160000}"/>
    <cellStyle name="Normal 3 30 3 3 2" xfId="7320" xr:uid="{00000000-0005-0000-0000-00004D160000}"/>
    <cellStyle name="Normal 3 30 3 4" xfId="7321" xr:uid="{00000000-0005-0000-0000-00004E160000}"/>
    <cellStyle name="Normal 3 30 3 5" xfId="7322" xr:uid="{00000000-0005-0000-0000-00004F160000}"/>
    <cellStyle name="Normal 3 30 4" xfId="2194" xr:uid="{00000000-0005-0000-0000-000050160000}"/>
    <cellStyle name="Normal 3 30 4 2" xfId="7323" xr:uid="{00000000-0005-0000-0000-000051160000}"/>
    <cellStyle name="Normal 3 30 4 2 2" xfId="7324" xr:uid="{00000000-0005-0000-0000-000052160000}"/>
    <cellStyle name="Normal 3 30 4 3" xfId="7325" xr:uid="{00000000-0005-0000-0000-000053160000}"/>
    <cellStyle name="Normal 3 30 4 3 2" xfId="7326" xr:uid="{00000000-0005-0000-0000-000054160000}"/>
    <cellStyle name="Normal 3 30 4 4" xfId="7327" xr:uid="{00000000-0005-0000-0000-000055160000}"/>
    <cellStyle name="Normal 3 30 4 5" xfId="7328" xr:uid="{00000000-0005-0000-0000-000056160000}"/>
    <cellStyle name="Normal 3 30 5" xfId="2195" xr:uid="{00000000-0005-0000-0000-000057160000}"/>
    <cellStyle name="Normal 3 30 5 2" xfId="7329" xr:uid="{00000000-0005-0000-0000-000058160000}"/>
    <cellStyle name="Normal 3 30 5 2 2" xfId="7330" xr:uid="{00000000-0005-0000-0000-000059160000}"/>
    <cellStyle name="Normal 3 30 5 3" xfId="7331" xr:uid="{00000000-0005-0000-0000-00005A160000}"/>
    <cellStyle name="Normal 3 30 5 3 2" xfId="7332" xr:uid="{00000000-0005-0000-0000-00005B160000}"/>
    <cellStyle name="Normal 3 30 5 4" xfId="7333" xr:uid="{00000000-0005-0000-0000-00005C160000}"/>
    <cellStyle name="Normal 3 30 5 5" xfId="7334" xr:uid="{00000000-0005-0000-0000-00005D160000}"/>
    <cellStyle name="Normal 3 30 6" xfId="2196" xr:uid="{00000000-0005-0000-0000-00005E160000}"/>
    <cellStyle name="Normal 3 30 6 2" xfId="7335" xr:uid="{00000000-0005-0000-0000-00005F160000}"/>
    <cellStyle name="Normal 3 30 6 2 2" xfId="7336" xr:uid="{00000000-0005-0000-0000-000060160000}"/>
    <cellStyle name="Normal 3 30 6 3" xfId="7337" xr:uid="{00000000-0005-0000-0000-000061160000}"/>
    <cellStyle name="Normal 3 30 6 3 2" xfId="7338" xr:uid="{00000000-0005-0000-0000-000062160000}"/>
    <cellStyle name="Normal 3 30 6 4" xfId="7339" xr:uid="{00000000-0005-0000-0000-000063160000}"/>
    <cellStyle name="Normal 3 30 6 5" xfId="7340" xr:uid="{00000000-0005-0000-0000-000064160000}"/>
    <cellStyle name="Normal 3 30 7" xfId="2197" xr:uid="{00000000-0005-0000-0000-000065160000}"/>
    <cellStyle name="Normal 3 30 7 2" xfId="7341" xr:uid="{00000000-0005-0000-0000-000066160000}"/>
    <cellStyle name="Normal 3 30 7 2 2" xfId="7342" xr:uid="{00000000-0005-0000-0000-000067160000}"/>
    <cellStyle name="Normal 3 30 7 3" xfId="7343" xr:uid="{00000000-0005-0000-0000-000068160000}"/>
    <cellStyle name="Normal 3 30 7 3 2" xfId="7344" xr:uid="{00000000-0005-0000-0000-000069160000}"/>
    <cellStyle name="Normal 3 30 7 4" xfId="7345" xr:uid="{00000000-0005-0000-0000-00006A160000}"/>
    <cellStyle name="Normal 3 30 7 5" xfId="7346" xr:uid="{00000000-0005-0000-0000-00006B160000}"/>
    <cellStyle name="Normal 3 30 8" xfId="2198" xr:uid="{00000000-0005-0000-0000-00006C160000}"/>
    <cellStyle name="Normal 3 30 8 2" xfId="7347" xr:uid="{00000000-0005-0000-0000-00006D160000}"/>
    <cellStyle name="Normal 3 30 8 2 2" xfId="7348" xr:uid="{00000000-0005-0000-0000-00006E160000}"/>
    <cellStyle name="Normal 3 30 8 3" xfId="7349" xr:uid="{00000000-0005-0000-0000-00006F160000}"/>
    <cellStyle name="Normal 3 30 8 3 2" xfId="7350" xr:uid="{00000000-0005-0000-0000-000070160000}"/>
    <cellStyle name="Normal 3 30 8 4" xfId="7351" xr:uid="{00000000-0005-0000-0000-000071160000}"/>
    <cellStyle name="Normal 3 30 8 5" xfId="7352" xr:uid="{00000000-0005-0000-0000-000072160000}"/>
    <cellStyle name="Normal 3 30 9" xfId="2199" xr:uid="{00000000-0005-0000-0000-000073160000}"/>
    <cellStyle name="Normal 3 30 9 2" xfId="7353" xr:uid="{00000000-0005-0000-0000-000074160000}"/>
    <cellStyle name="Normal 3 30 9 2 2" xfId="7354" xr:uid="{00000000-0005-0000-0000-000075160000}"/>
    <cellStyle name="Normal 3 30 9 3" xfId="7355" xr:uid="{00000000-0005-0000-0000-000076160000}"/>
    <cellStyle name="Normal 3 30 9 3 2" xfId="7356" xr:uid="{00000000-0005-0000-0000-000077160000}"/>
    <cellStyle name="Normal 3 30 9 4" xfId="7357" xr:uid="{00000000-0005-0000-0000-000078160000}"/>
    <cellStyle name="Normal 3 30 9 5" xfId="7358" xr:uid="{00000000-0005-0000-0000-000079160000}"/>
    <cellStyle name="Normal 3 31" xfId="2200" xr:uid="{00000000-0005-0000-0000-00007A160000}"/>
    <cellStyle name="Normal 3 31 10" xfId="2201" xr:uid="{00000000-0005-0000-0000-00007B160000}"/>
    <cellStyle name="Normal 3 31 10 2" xfId="7359" xr:uid="{00000000-0005-0000-0000-00007C160000}"/>
    <cellStyle name="Normal 3 31 10 2 2" xfId="7360" xr:uid="{00000000-0005-0000-0000-00007D160000}"/>
    <cellStyle name="Normal 3 31 10 3" xfId="7361" xr:uid="{00000000-0005-0000-0000-00007E160000}"/>
    <cellStyle name="Normal 3 31 10 3 2" xfId="7362" xr:uid="{00000000-0005-0000-0000-00007F160000}"/>
    <cellStyle name="Normal 3 31 10 4" xfId="7363" xr:uid="{00000000-0005-0000-0000-000080160000}"/>
    <cellStyle name="Normal 3 31 10 5" xfId="7364" xr:uid="{00000000-0005-0000-0000-000081160000}"/>
    <cellStyle name="Normal 3 31 11" xfId="2202" xr:uid="{00000000-0005-0000-0000-000082160000}"/>
    <cellStyle name="Normal 3 31 11 2" xfId="7365" xr:uid="{00000000-0005-0000-0000-000083160000}"/>
    <cellStyle name="Normal 3 31 11 2 2" xfId="7366" xr:uid="{00000000-0005-0000-0000-000084160000}"/>
    <cellStyle name="Normal 3 31 11 3" xfId="7367" xr:uid="{00000000-0005-0000-0000-000085160000}"/>
    <cellStyle name="Normal 3 31 11 3 2" xfId="7368" xr:uid="{00000000-0005-0000-0000-000086160000}"/>
    <cellStyle name="Normal 3 31 11 4" xfId="7369" xr:uid="{00000000-0005-0000-0000-000087160000}"/>
    <cellStyle name="Normal 3 31 11 5" xfId="7370" xr:uid="{00000000-0005-0000-0000-000088160000}"/>
    <cellStyle name="Normal 3 31 12" xfId="2203" xr:uid="{00000000-0005-0000-0000-000089160000}"/>
    <cellStyle name="Normal 3 31 12 2" xfId="7371" xr:uid="{00000000-0005-0000-0000-00008A160000}"/>
    <cellStyle name="Normal 3 31 12 2 2" xfId="7372" xr:uid="{00000000-0005-0000-0000-00008B160000}"/>
    <cellStyle name="Normal 3 31 12 3" xfId="7373" xr:uid="{00000000-0005-0000-0000-00008C160000}"/>
    <cellStyle name="Normal 3 31 12 3 2" xfId="7374" xr:uid="{00000000-0005-0000-0000-00008D160000}"/>
    <cellStyle name="Normal 3 31 12 4" xfId="7375" xr:uid="{00000000-0005-0000-0000-00008E160000}"/>
    <cellStyle name="Normal 3 31 12 5" xfId="7376" xr:uid="{00000000-0005-0000-0000-00008F160000}"/>
    <cellStyle name="Normal 3 31 13" xfId="2204" xr:uid="{00000000-0005-0000-0000-000090160000}"/>
    <cellStyle name="Normal 3 31 13 2" xfId="7377" xr:uid="{00000000-0005-0000-0000-000091160000}"/>
    <cellStyle name="Normal 3 31 13 2 2" xfId="7378" xr:uid="{00000000-0005-0000-0000-000092160000}"/>
    <cellStyle name="Normal 3 31 13 3" xfId="7379" xr:uid="{00000000-0005-0000-0000-000093160000}"/>
    <cellStyle name="Normal 3 31 13 3 2" xfId="7380" xr:uid="{00000000-0005-0000-0000-000094160000}"/>
    <cellStyle name="Normal 3 31 13 4" xfId="7381" xr:uid="{00000000-0005-0000-0000-000095160000}"/>
    <cellStyle name="Normal 3 31 13 5" xfId="7382" xr:uid="{00000000-0005-0000-0000-000096160000}"/>
    <cellStyle name="Normal 3 31 14" xfId="7383" xr:uid="{00000000-0005-0000-0000-000097160000}"/>
    <cellStyle name="Normal 3 31 14 2" xfId="7384" xr:uid="{00000000-0005-0000-0000-000098160000}"/>
    <cellStyle name="Normal 3 31 15" xfId="7385" xr:uid="{00000000-0005-0000-0000-000099160000}"/>
    <cellStyle name="Normal 3 31 15 2" xfId="7386" xr:uid="{00000000-0005-0000-0000-00009A160000}"/>
    <cellStyle name="Normal 3 31 16" xfId="7387" xr:uid="{00000000-0005-0000-0000-00009B160000}"/>
    <cellStyle name="Normal 3 31 17" xfId="7388" xr:uid="{00000000-0005-0000-0000-00009C160000}"/>
    <cellStyle name="Normal 3 31 2" xfId="2205" xr:uid="{00000000-0005-0000-0000-00009D160000}"/>
    <cellStyle name="Normal 3 31 2 10" xfId="2206" xr:uid="{00000000-0005-0000-0000-00009E160000}"/>
    <cellStyle name="Normal 3 31 2 10 2" xfId="7389" xr:uid="{00000000-0005-0000-0000-00009F160000}"/>
    <cellStyle name="Normal 3 31 2 10 2 2" xfId="7390" xr:uid="{00000000-0005-0000-0000-0000A0160000}"/>
    <cellStyle name="Normal 3 31 2 10 3" xfId="7391" xr:uid="{00000000-0005-0000-0000-0000A1160000}"/>
    <cellStyle name="Normal 3 31 2 10 3 2" xfId="7392" xr:uid="{00000000-0005-0000-0000-0000A2160000}"/>
    <cellStyle name="Normal 3 31 2 10 4" xfId="7393" xr:uid="{00000000-0005-0000-0000-0000A3160000}"/>
    <cellStyle name="Normal 3 31 2 10 5" xfId="7394" xr:uid="{00000000-0005-0000-0000-0000A4160000}"/>
    <cellStyle name="Normal 3 31 2 11" xfId="2207" xr:uid="{00000000-0005-0000-0000-0000A5160000}"/>
    <cellStyle name="Normal 3 31 2 11 2" xfId="7395" xr:uid="{00000000-0005-0000-0000-0000A6160000}"/>
    <cellStyle name="Normal 3 31 2 11 2 2" xfId="7396" xr:uid="{00000000-0005-0000-0000-0000A7160000}"/>
    <cellStyle name="Normal 3 31 2 11 3" xfId="7397" xr:uid="{00000000-0005-0000-0000-0000A8160000}"/>
    <cellStyle name="Normal 3 31 2 11 3 2" xfId="7398" xr:uid="{00000000-0005-0000-0000-0000A9160000}"/>
    <cellStyle name="Normal 3 31 2 11 4" xfId="7399" xr:uid="{00000000-0005-0000-0000-0000AA160000}"/>
    <cellStyle name="Normal 3 31 2 11 5" xfId="7400" xr:uid="{00000000-0005-0000-0000-0000AB160000}"/>
    <cellStyle name="Normal 3 31 2 12" xfId="2208" xr:uid="{00000000-0005-0000-0000-0000AC160000}"/>
    <cellStyle name="Normal 3 31 2 12 2" xfId="7401" xr:uid="{00000000-0005-0000-0000-0000AD160000}"/>
    <cellStyle name="Normal 3 31 2 12 2 2" xfId="7402" xr:uid="{00000000-0005-0000-0000-0000AE160000}"/>
    <cellStyle name="Normal 3 31 2 12 3" xfId="7403" xr:uid="{00000000-0005-0000-0000-0000AF160000}"/>
    <cellStyle name="Normal 3 31 2 12 3 2" xfId="7404" xr:uid="{00000000-0005-0000-0000-0000B0160000}"/>
    <cellStyle name="Normal 3 31 2 12 4" xfId="7405" xr:uid="{00000000-0005-0000-0000-0000B1160000}"/>
    <cellStyle name="Normal 3 31 2 12 5" xfId="7406" xr:uid="{00000000-0005-0000-0000-0000B2160000}"/>
    <cellStyle name="Normal 3 31 2 13" xfId="7407" xr:uid="{00000000-0005-0000-0000-0000B3160000}"/>
    <cellStyle name="Normal 3 31 2 13 2" xfId="7408" xr:uid="{00000000-0005-0000-0000-0000B4160000}"/>
    <cellStyle name="Normal 3 31 2 14" xfId="7409" xr:uid="{00000000-0005-0000-0000-0000B5160000}"/>
    <cellStyle name="Normal 3 31 2 14 2" xfId="7410" xr:uid="{00000000-0005-0000-0000-0000B6160000}"/>
    <cellStyle name="Normal 3 31 2 15" xfId="7411" xr:uid="{00000000-0005-0000-0000-0000B7160000}"/>
    <cellStyle name="Normal 3 31 2 16" xfId="7412" xr:uid="{00000000-0005-0000-0000-0000B8160000}"/>
    <cellStyle name="Normal 3 31 2 2" xfId="2209" xr:uid="{00000000-0005-0000-0000-0000B9160000}"/>
    <cellStyle name="Normal 3 31 2 2 2" xfId="7413" xr:uid="{00000000-0005-0000-0000-0000BA160000}"/>
    <cellStyle name="Normal 3 31 2 2 2 2" xfId="7414" xr:uid="{00000000-0005-0000-0000-0000BB160000}"/>
    <cellStyle name="Normal 3 31 2 2 3" xfId="7415" xr:uid="{00000000-0005-0000-0000-0000BC160000}"/>
    <cellStyle name="Normal 3 31 2 2 3 2" xfId="7416" xr:uid="{00000000-0005-0000-0000-0000BD160000}"/>
    <cellStyle name="Normal 3 31 2 2 4" xfId="7417" xr:uid="{00000000-0005-0000-0000-0000BE160000}"/>
    <cellStyle name="Normal 3 31 2 2 5" xfId="7418" xr:uid="{00000000-0005-0000-0000-0000BF160000}"/>
    <cellStyle name="Normal 3 31 2 3" xfId="2210" xr:uid="{00000000-0005-0000-0000-0000C0160000}"/>
    <cellStyle name="Normal 3 31 2 3 2" xfId="7419" xr:uid="{00000000-0005-0000-0000-0000C1160000}"/>
    <cellStyle name="Normal 3 31 2 3 2 2" xfId="7420" xr:uid="{00000000-0005-0000-0000-0000C2160000}"/>
    <cellStyle name="Normal 3 31 2 3 3" xfId="7421" xr:uid="{00000000-0005-0000-0000-0000C3160000}"/>
    <cellStyle name="Normal 3 31 2 3 3 2" xfId="7422" xr:uid="{00000000-0005-0000-0000-0000C4160000}"/>
    <cellStyle name="Normal 3 31 2 3 4" xfId="7423" xr:uid="{00000000-0005-0000-0000-0000C5160000}"/>
    <cellStyle name="Normal 3 31 2 3 5" xfId="7424" xr:uid="{00000000-0005-0000-0000-0000C6160000}"/>
    <cellStyle name="Normal 3 31 2 4" xfId="2211" xr:uid="{00000000-0005-0000-0000-0000C7160000}"/>
    <cellStyle name="Normal 3 31 2 4 2" xfId="7425" xr:uid="{00000000-0005-0000-0000-0000C8160000}"/>
    <cellStyle name="Normal 3 31 2 4 2 2" xfId="7426" xr:uid="{00000000-0005-0000-0000-0000C9160000}"/>
    <cellStyle name="Normal 3 31 2 4 3" xfId="7427" xr:uid="{00000000-0005-0000-0000-0000CA160000}"/>
    <cellStyle name="Normal 3 31 2 4 3 2" xfId="7428" xr:uid="{00000000-0005-0000-0000-0000CB160000}"/>
    <cellStyle name="Normal 3 31 2 4 4" xfId="7429" xr:uid="{00000000-0005-0000-0000-0000CC160000}"/>
    <cellStyle name="Normal 3 31 2 4 5" xfId="7430" xr:uid="{00000000-0005-0000-0000-0000CD160000}"/>
    <cellStyle name="Normal 3 31 2 5" xfId="2212" xr:uid="{00000000-0005-0000-0000-0000CE160000}"/>
    <cellStyle name="Normal 3 31 2 5 2" xfId="7431" xr:uid="{00000000-0005-0000-0000-0000CF160000}"/>
    <cellStyle name="Normal 3 31 2 5 2 2" xfId="7432" xr:uid="{00000000-0005-0000-0000-0000D0160000}"/>
    <cellStyle name="Normal 3 31 2 5 3" xfId="7433" xr:uid="{00000000-0005-0000-0000-0000D1160000}"/>
    <cellStyle name="Normal 3 31 2 5 3 2" xfId="7434" xr:uid="{00000000-0005-0000-0000-0000D2160000}"/>
    <cellStyle name="Normal 3 31 2 5 4" xfId="7435" xr:uid="{00000000-0005-0000-0000-0000D3160000}"/>
    <cellStyle name="Normal 3 31 2 5 5" xfId="7436" xr:uid="{00000000-0005-0000-0000-0000D4160000}"/>
    <cellStyle name="Normal 3 31 2 6" xfId="2213" xr:uid="{00000000-0005-0000-0000-0000D5160000}"/>
    <cellStyle name="Normal 3 31 2 6 2" xfId="7437" xr:uid="{00000000-0005-0000-0000-0000D6160000}"/>
    <cellStyle name="Normal 3 31 2 6 2 2" xfId="7438" xr:uid="{00000000-0005-0000-0000-0000D7160000}"/>
    <cellStyle name="Normal 3 31 2 6 3" xfId="7439" xr:uid="{00000000-0005-0000-0000-0000D8160000}"/>
    <cellStyle name="Normal 3 31 2 6 3 2" xfId="7440" xr:uid="{00000000-0005-0000-0000-0000D9160000}"/>
    <cellStyle name="Normal 3 31 2 6 4" xfId="7441" xr:uid="{00000000-0005-0000-0000-0000DA160000}"/>
    <cellStyle name="Normal 3 31 2 6 5" xfId="7442" xr:uid="{00000000-0005-0000-0000-0000DB160000}"/>
    <cellStyle name="Normal 3 31 2 7" xfId="2214" xr:uid="{00000000-0005-0000-0000-0000DC160000}"/>
    <cellStyle name="Normal 3 31 2 7 2" xfId="7443" xr:uid="{00000000-0005-0000-0000-0000DD160000}"/>
    <cellStyle name="Normal 3 31 2 7 2 2" xfId="7444" xr:uid="{00000000-0005-0000-0000-0000DE160000}"/>
    <cellStyle name="Normal 3 31 2 7 3" xfId="7445" xr:uid="{00000000-0005-0000-0000-0000DF160000}"/>
    <cellStyle name="Normal 3 31 2 7 3 2" xfId="7446" xr:uid="{00000000-0005-0000-0000-0000E0160000}"/>
    <cellStyle name="Normal 3 31 2 7 4" xfId="7447" xr:uid="{00000000-0005-0000-0000-0000E1160000}"/>
    <cellStyle name="Normal 3 31 2 7 5" xfId="7448" xr:uid="{00000000-0005-0000-0000-0000E2160000}"/>
    <cellStyle name="Normal 3 31 2 8" xfId="2215" xr:uid="{00000000-0005-0000-0000-0000E3160000}"/>
    <cellStyle name="Normal 3 31 2 8 2" xfId="7449" xr:uid="{00000000-0005-0000-0000-0000E4160000}"/>
    <cellStyle name="Normal 3 31 2 8 2 2" xfId="7450" xr:uid="{00000000-0005-0000-0000-0000E5160000}"/>
    <cellStyle name="Normal 3 31 2 8 3" xfId="7451" xr:uid="{00000000-0005-0000-0000-0000E6160000}"/>
    <cellStyle name="Normal 3 31 2 8 3 2" xfId="7452" xr:uid="{00000000-0005-0000-0000-0000E7160000}"/>
    <cellStyle name="Normal 3 31 2 8 4" xfId="7453" xr:uid="{00000000-0005-0000-0000-0000E8160000}"/>
    <cellStyle name="Normal 3 31 2 8 5" xfId="7454" xr:uid="{00000000-0005-0000-0000-0000E9160000}"/>
    <cellStyle name="Normal 3 31 2 9" xfId="2216" xr:uid="{00000000-0005-0000-0000-0000EA160000}"/>
    <cellStyle name="Normal 3 31 2 9 2" xfId="7455" xr:uid="{00000000-0005-0000-0000-0000EB160000}"/>
    <cellStyle name="Normal 3 31 2 9 2 2" xfId="7456" xr:uid="{00000000-0005-0000-0000-0000EC160000}"/>
    <cellStyle name="Normal 3 31 2 9 3" xfId="7457" xr:uid="{00000000-0005-0000-0000-0000ED160000}"/>
    <cellStyle name="Normal 3 31 2 9 3 2" xfId="7458" xr:uid="{00000000-0005-0000-0000-0000EE160000}"/>
    <cellStyle name="Normal 3 31 2 9 4" xfId="7459" xr:uid="{00000000-0005-0000-0000-0000EF160000}"/>
    <cellStyle name="Normal 3 31 2 9 5" xfId="7460" xr:uid="{00000000-0005-0000-0000-0000F0160000}"/>
    <cellStyle name="Normal 3 31 3" xfId="2217" xr:uid="{00000000-0005-0000-0000-0000F1160000}"/>
    <cellStyle name="Normal 3 31 3 2" xfId="7461" xr:uid="{00000000-0005-0000-0000-0000F2160000}"/>
    <cellStyle name="Normal 3 31 3 2 2" xfId="7462" xr:uid="{00000000-0005-0000-0000-0000F3160000}"/>
    <cellStyle name="Normal 3 31 3 3" xfId="7463" xr:uid="{00000000-0005-0000-0000-0000F4160000}"/>
    <cellStyle name="Normal 3 31 3 3 2" xfId="7464" xr:uid="{00000000-0005-0000-0000-0000F5160000}"/>
    <cellStyle name="Normal 3 31 3 4" xfId="7465" xr:uid="{00000000-0005-0000-0000-0000F6160000}"/>
    <cellStyle name="Normal 3 31 3 5" xfId="7466" xr:uid="{00000000-0005-0000-0000-0000F7160000}"/>
    <cellStyle name="Normal 3 31 4" xfId="2218" xr:uid="{00000000-0005-0000-0000-0000F8160000}"/>
    <cellStyle name="Normal 3 31 4 2" xfId="7467" xr:uid="{00000000-0005-0000-0000-0000F9160000}"/>
    <cellStyle name="Normal 3 31 4 2 2" xfId="7468" xr:uid="{00000000-0005-0000-0000-0000FA160000}"/>
    <cellStyle name="Normal 3 31 4 3" xfId="7469" xr:uid="{00000000-0005-0000-0000-0000FB160000}"/>
    <cellStyle name="Normal 3 31 4 3 2" xfId="7470" xr:uid="{00000000-0005-0000-0000-0000FC160000}"/>
    <cellStyle name="Normal 3 31 4 4" xfId="7471" xr:uid="{00000000-0005-0000-0000-0000FD160000}"/>
    <cellStyle name="Normal 3 31 4 5" xfId="7472" xr:uid="{00000000-0005-0000-0000-0000FE160000}"/>
    <cellStyle name="Normal 3 31 5" xfId="2219" xr:uid="{00000000-0005-0000-0000-0000FF160000}"/>
    <cellStyle name="Normal 3 31 5 2" xfId="7473" xr:uid="{00000000-0005-0000-0000-000000170000}"/>
    <cellStyle name="Normal 3 31 5 2 2" xfId="7474" xr:uid="{00000000-0005-0000-0000-000001170000}"/>
    <cellStyle name="Normal 3 31 5 3" xfId="7475" xr:uid="{00000000-0005-0000-0000-000002170000}"/>
    <cellStyle name="Normal 3 31 5 3 2" xfId="7476" xr:uid="{00000000-0005-0000-0000-000003170000}"/>
    <cellStyle name="Normal 3 31 5 4" xfId="7477" xr:uid="{00000000-0005-0000-0000-000004170000}"/>
    <cellStyle name="Normal 3 31 5 5" xfId="7478" xr:uid="{00000000-0005-0000-0000-000005170000}"/>
    <cellStyle name="Normal 3 31 6" xfId="2220" xr:uid="{00000000-0005-0000-0000-000006170000}"/>
    <cellStyle name="Normal 3 31 6 2" xfId="7479" xr:uid="{00000000-0005-0000-0000-000007170000}"/>
    <cellStyle name="Normal 3 31 6 2 2" xfId="7480" xr:uid="{00000000-0005-0000-0000-000008170000}"/>
    <cellStyle name="Normal 3 31 6 3" xfId="7481" xr:uid="{00000000-0005-0000-0000-000009170000}"/>
    <cellStyle name="Normal 3 31 6 3 2" xfId="7482" xr:uid="{00000000-0005-0000-0000-00000A170000}"/>
    <cellStyle name="Normal 3 31 6 4" xfId="7483" xr:uid="{00000000-0005-0000-0000-00000B170000}"/>
    <cellStyle name="Normal 3 31 6 5" xfId="7484" xr:uid="{00000000-0005-0000-0000-00000C170000}"/>
    <cellStyle name="Normal 3 31 7" xfId="2221" xr:uid="{00000000-0005-0000-0000-00000D170000}"/>
    <cellStyle name="Normal 3 31 7 2" xfId="7485" xr:uid="{00000000-0005-0000-0000-00000E170000}"/>
    <cellStyle name="Normal 3 31 7 2 2" xfId="7486" xr:uid="{00000000-0005-0000-0000-00000F170000}"/>
    <cellStyle name="Normal 3 31 7 3" xfId="7487" xr:uid="{00000000-0005-0000-0000-000010170000}"/>
    <cellStyle name="Normal 3 31 7 3 2" xfId="7488" xr:uid="{00000000-0005-0000-0000-000011170000}"/>
    <cellStyle name="Normal 3 31 7 4" xfId="7489" xr:uid="{00000000-0005-0000-0000-000012170000}"/>
    <cellStyle name="Normal 3 31 7 5" xfId="7490" xr:uid="{00000000-0005-0000-0000-000013170000}"/>
    <cellStyle name="Normal 3 31 8" xfId="2222" xr:uid="{00000000-0005-0000-0000-000014170000}"/>
    <cellStyle name="Normal 3 31 8 2" xfId="7491" xr:uid="{00000000-0005-0000-0000-000015170000}"/>
    <cellStyle name="Normal 3 31 8 2 2" xfId="7492" xr:uid="{00000000-0005-0000-0000-000016170000}"/>
    <cellStyle name="Normal 3 31 8 3" xfId="7493" xr:uid="{00000000-0005-0000-0000-000017170000}"/>
    <cellStyle name="Normal 3 31 8 3 2" xfId="7494" xr:uid="{00000000-0005-0000-0000-000018170000}"/>
    <cellStyle name="Normal 3 31 8 4" xfId="7495" xr:uid="{00000000-0005-0000-0000-000019170000}"/>
    <cellStyle name="Normal 3 31 8 5" xfId="7496" xr:uid="{00000000-0005-0000-0000-00001A170000}"/>
    <cellStyle name="Normal 3 31 9" xfId="2223" xr:uid="{00000000-0005-0000-0000-00001B170000}"/>
    <cellStyle name="Normal 3 31 9 2" xfId="7497" xr:uid="{00000000-0005-0000-0000-00001C170000}"/>
    <cellStyle name="Normal 3 31 9 2 2" xfId="7498" xr:uid="{00000000-0005-0000-0000-00001D170000}"/>
    <cellStyle name="Normal 3 31 9 3" xfId="7499" xr:uid="{00000000-0005-0000-0000-00001E170000}"/>
    <cellStyle name="Normal 3 31 9 3 2" xfId="7500" xr:uid="{00000000-0005-0000-0000-00001F170000}"/>
    <cellStyle name="Normal 3 31 9 4" xfId="7501" xr:uid="{00000000-0005-0000-0000-000020170000}"/>
    <cellStyle name="Normal 3 31 9 5" xfId="7502" xr:uid="{00000000-0005-0000-0000-000021170000}"/>
    <cellStyle name="Normal 3 32" xfId="2224" xr:uid="{00000000-0005-0000-0000-000022170000}"/>
    <cellStyle name="Normal 3 32 10" xfId="2225" xr:uid="{00000000-0005-0000-0000-000023170000}"/>
    <cellStyle name="Normal 3 32 10 2" xfId="7503" xr:uid="{00000000-0005-0000-0000-000024170000}"/>
    <cellStyle name="Normal 3 32 10 2 2" xfId="7504" xr:uid="{00000000-0005-0000-0000-000025170000}"/>
    <cellStyle name="Normal 3 32 10 3" xfId="7505" xr:uid="{00000000-0005-0000-0000-000026170000}"/>
    <cellStyle name="Normal 3 32 10 3 2" xfId="7506" xr:uid="{00000000-0005-0000-0000-000027170000}"/>
    <cellStyle name="Normal 3 32 10 4" xfId="7507" xr:uid="{00000000-0005-0000-0000-000028170000}"/>
    <cellStyle name="Normal 3 32 10 5" xfId="7508" xr:uid="{00000000-0005-0000-0000-000029170000}"/>
    <cellStyle name="Normal 3 32 11" xfId="2226" xr:uid="{00000000-0005-0000-0000-00002A170000}"/>
    <cellStyle name="Normal 3 32 11 2" xfId="7509" xr:uid="{00000000-0005-0000-0000-00002B170000}"/>
    <cellStyle name="Normal 3 32 11 2 2" xfId="7510" xr:uid="{00000000-0005-0000-0000-00002C170000}"/>
    <cellStyle name="Normal 3 32 11 3" xfId="7511" xr:uid="{00000000-0005-0000-0000-00002D170000}"/>
    <cellStyle name="Normal 3 32 11 3 2" xfId="7512" xr:uid="{00000000-0005-0000-0000-00002E170000}"/>
    <cellStyle name="Normal 3 32 11 4" xfId="7513" xr:uid="{00000000-0005-0000-0000-00002F170000}"/>
    <cellStyle name="Normal 3 32 11 5" xfId="7514" xr:uid="{00000000-0005-0000-0000-000030170000}"/>
    <cellStyle name="Normal 3 32 12" xfId="2227" xr:uid="{00000000-0005-0000-0000-000031170000}"/>
    <cellStyle name="Normal 3 32 12 2" xfId="7515" xr:uid="{00000000-0005-0000-0000-000032170000}"/>
    <cellStyle name="Normal 3 32 12 2 2" xfId="7516" xr:uid="{00000000-0005-0000-0000-000033170000}"/>
    <cellStyle name="Normal 3 32 12 3" xfId="7517" xr:uid="{00000000-0005-0000-0000-000034170000}"/>
    <cellStyle name="Normal 3 32 12 3 2" xfId="7518" xr:uid="{00000000-0005-0000-0000-000035170000}"/>
    <cellStyle name="Normal 3 32 12 4" xfId="7519" xr:uid="{00000000-0005-0000-0000-000036170000}"/>
    <cellStyle name="Normal 3 32 12 5" xfId="7520" xr:uid="{00000000-0005-0000-0000-000037170000}"/>
    <cellStyle name="Normal 3 32 13" xfId="2228" xr:uid="{00000000-0005-0000-0000-000038170000}"/>
    <cellStyle name="Normal 3 32 13 2" xfId="7521" xr:uid="{00000000-0005-0000-0000-000039170000}"/>
    <cellStyle name="Normal 3 32 13 2 2" xfId="7522" xr:uid="{00000000-0005-0000-0000-00003A170000}"/>
    <cellStyle name="Normal 3 32 13 3" xfId="7523" xr:uid="{00000000-0005-0000-0000-00003B170000}"/>
    <cellStyle name="Normal 3 32 13 3 2" xfId="7524" xr:uid="{00000000-0005-0000-0000-00003C170000}"/>
    <cellStyle name="Normal 3 32 13 4" xfId="7525" xr:uid="{00000000-0005-0000-0000-00003D170000}"/>
    <cellStyle name="Normal 3 32 13 5" xfId="7526" xr:uid="{00000000-0005-0000-0000-00003E170000}"/>
    <cellStyle name="Normal 3 32 14" xfId="7527" xr:uid="{00000000-0005-0000-0000-00003F170000}"/>
    <cellStyle name="Normal 3 32 14 2" xfId="7528" xr:uid="{00000000-0005-0000-0000-000040170000}"/>
    <cellStyle name="Normal 3 32 15" xfId="7529" xr:uid="{00000000-0005-0000-0000-000041170000}"/>
    <cellStyle name="Normal 3 32 15 2" xfId="7530" xr:uid="{00000000-0005-0000-0000-000042170000}"/>
    <cellStyle name="Normal 3 32 16" xfId="7531" xr:uid="{00000000-0005-0000-0000-000043170000}"/>
    <cellStyle name="Normal 3 32 17" xfId="7532" xr:uid="{00000000-0005-0000-0000-000044170000}"/>
    <cellStyle name="Normal 3 32 2" xfId="2229" xr:uid="{00000000-0005-0000-0000-000045170000}"/>
    <cellStyle name="Normal 3 32 2 10" xfId="2230" xr:uid="{00000000-0005-0000-0000-000046170000}"/>
    <cellStyle name="Normal 3 32 2 10 2" xfId="7533" xr:uid="{00000000-0005-0000-0000-000047170000}"/>
    <cellStyle name="Normal 3 32 2 10 2 2" xfId="7534" xr:uid="{00000000-0005-0000-0000-000048170000}"/>
    <cellStyle name="Normal 3 32 2 10 3" xfId="7535" xr:uid="{00000000-0005-0000-0000-000049170000}"/>
    <cellStyle name="Normal 3 32 2 10 3 2" xfId="7536" xr:uid="{00000000-0005-0000-0000-00004A170000}"/>
    <cellStyle name="Normal 3 32 2 10 4" xfId="7537" xr:uid="{00000000-0005-0000-0000-00004B170000}"/>
    <cellStyle name="Normal 3 32 2 10 5" xfId="7538" xr:uid="{00000000-0005-0000-0000-00004C170000}"/>
    <cellStyle name="Normal 3 32 2 11" xfId="2231" xr:uid="{00000000-0005-0000-0000-00004D170000}"/>
    <cellStyle name="Normal 3 32 2 11 2" xfId="7539" xr:uid="{00000000-0005-0000-0000-00004E170000}"/>
    <cellStyle name="Normal 3 32 2 11 2 2" xfId="7540" xr:uid="{00000000-0005-0000-0000-00004F170000}"/>
    <cellStyle name="Normal 3 32 2 11 3" xfId="7541" xr:uid="{00000000-0005-0000-0000-000050170000}"/>
    <cellStyle name="Normal 3 32 2 11 3 2" xfId="7542" xr:uid="{00000000-0005-0000-0000-000051170000}"/>
    <cellStyle name="Normal 3 32 2 11 4" xfId="7543" xr:uid="{00000000-0005-0000-0000-000052170000}"/>
    <cellStyle name="Normal 3 32 2 11 5" xfId="7544" xr:uid="{00000000-0005-0000-0000-000053170000}"/>
    <cellStyle name="Normal 3 32 2 12" xfId="2232" xr:uid="{00000000-0005-0000-0000-000054170000}"/>
    <cellStyle name="Normal 3 32 2 12 2" xfId="7545" xr:uid="{00000000-0005-0000-0000-000055170000}"/>
    <cellStyle name="Normal 3 32 2 12 2 2" xfId="7546" xr:uid="{00000000-0005-0000-0000-000056170000}"/>
    <cellStyle name="Normal 3 32 2 12 3" xfId="7547" xr:uid="{00000000-0005-0000-0000-000057170000}"/>
    <cellStyle name="Normal 3 32 2 12 3 2" xfId="7548" xr:uid="{00000000-0005-0000-0000-000058170000}"/>
    <cellStyle name="Normal 3 32 2 12 4" xfId="7549" xr:uid="{00000000-0005-0000-0000-000059170000}"/>
    <cellStyle name="Normal 3 32 2 12 5" xfId="7550" xr:uid="{00000000-0005-0000-0000-00005A170000}"/>
    <cellStyle name="Normal 3 32 2 13" xfId="7551" xr:uid="{00000000-0005-0000-0000-00005B170000}"/>
    <cellStyle name="Normal 3 32 2 13 2" xfId="7552" xr:uid="{00000000-0005-0000-0000-00005C170000}"/>
    <cellStyle name="Normal 3 32 2 14" xfId="7553" xr:uid="{00000000-0005-0000-0000-00005D170000}"/>
    <cellStyle name="Normal 3 32 2 14 2" xfId="7554" xr:uid="{00000000-0005-0000-0000-00005E170000}"/>
    <cellStyle name="Normal 3 32 2 15" xfId="7555" xr:uid="{00000000-0005-0000-0000-00005F170000}"/>
    <cellStyle name="Normal 3 32 2 16" xfId="7556" xr:uid="{00000000-0005-0000-0000-000060170000}"/>
    <cellStyle name="Normal 3 32 2 2" xfId="2233" xr:uid="{00000000-0005-0000-0000-000061170000}"/>
    <cellStyle name="Normal 3 32 2 2 2" xfId="7557" xr:uid="{00000000-0005-0000-0000-000062170000}"/>
    <cellStyle name="Normal 3 32 2 2 2 2" xfId="7558" xr:uid="{00000000-0005-0000-0000-000063170000}"/>
    <cellStyle name="Normal 3 32 2 2 3" xfId="7559" xr:uid="{00000000-0005-0000-0000-000064170000}"/>
    <cellStyle name="Normal 3 32 2 2 3 2" xfId="7560" xr:uid="{00000000-0005-0000-0000-000065170000}"/>
    <cellStyle name="Normal 3 32 2 2 4" xfId="7561" xr:uid="{00000000-0005-0000-0000-000066170000}"/>
    <cellStyle name="Normal 3 32 2 2 5" xfId="7562" xr:uid="{00000000-0005-0000-0000-000067170000}"/>
    <cellStyle name="Normal 3 32 2 3" xfId="2234" xr:uid="{00000000-0005-0000-0000-000068170000}"/>
    <cellStyle name="Normal 3 32 2 3 2" xfId="7563" xr:uid="{00000000-0005-0000-0000-000069170000}"/>
    <cellStyle name="Normal 3 32 2 3 2 2" xfId="7564" xr:uid="{00000000-0005-0000-0000-00006A170000}"/>
    <cellStyle name="Normal 3 32 2 3 3" xfId="7565" xr:uid="{00000000-0005-0000-0000-00006B170000}"/>
    <cellStyle name="Normal 3 32 2 3 3 2" xfId="7566" xr:uid="{00000000-0005-0000-0000-00006C170000}"/>
    <cellStyle name="Normal 3 32 2 3 4" xfId="7567" xr:uid="{00000000-0005-0000-0000-00006D170000}"/>
    <cellStyle name="Normal 3 32 2 3 5" xfId="7568" xr:uid="{00000000-0005-0000-0000-00006E170000}"/>
    <cellStyle name="Normal 3 32 2 4" xfId="2235" xr:uid="{00000000-0005-0000-0000-00006F170000}"/>
    <cellStyle name="Normal 3 32 2 4 2" xfId="7569" xr:uid="{00000000-0005-0000-0000-000070170000}"/>
    <cellStyle name="Normal 3 32 2 4 2 2" xfId="7570" xr:uid="{00000000-0005-0000-0000-000071170000}"/>
    <cellStyle name="Normal 3 32 2 4 3" xfId="7571" xr:uid="{00000000-0005-0000-0000-000072170000}"/>
    <cellStyle name="Normal 3 32 2 4 3 2" xfId="7572" xr:uid="{00000000-0005-0000-0000-000073170000}"/>
    <cellStyle name="Normal 3 32 2 4 4" xfId="7573" xr:uid="{00000000-0005-0000-0000-000074170000}"/>
    <cellStyle name="Normal 3 32 2 4 5" xfId="7574" xr:uid="{00000000-0005-0000-0000-000075170000}"/>
    <cellStyle name="Normal 3 32 2 5" xfId="2236" xr:uid="{00000000-0005-0000-0000-000076170000}"/>
    <cellStyle name="Normal 3 32 2 5 2" xfId="7575" xr:uid="{00000000-0005-0000-0000-000077170000}"/>
    <cellStyle name="Normal 3 32 2 5 2 2" xfId="7576" xr:uid="{00000000-0005-0000-0000-000078170000}"/>
    <cellStyle name="Normal 3 32 2 5 3" xfId="7577" xr:uid="{00000000-0005-0000-0000-000079170000}"/>
    <cellStyle name="Normal 3 32 2 5 3 2" xfId="7578" xr:uid="{00000000-0005-0000-0000-00007A170000}"/>
    <cellStyle name="Normal 3 32 2 5 4" xfId="7579" xr:uid="{00000000-0005-0000-0000-00007B170000}"/>
    <cellStyle name="Normal 3 32 2 5 5" xfId="7580" xr:uid="{00000000-0005-0000-0000-00007C170000}"/>
    <cellStyle name="Normal 3 32 2 6" xfId="2237" xr:uid="{00000000-0005-0000-0000-00007D170000}"/>
    <cellStyle name="Normal 3 32 2 6 2" xfId="7581" xr:uid="{00000000-0005-0000-0000-00007E170000}"/>
    <cellStyle name="Normal 3 32 2 6 2 2" xfId="7582" xr:uid="{00000000-0005-0000-0000-00007F170000}"/>
    <cellStyle name="Normal 3 32 2 6 3" xfId="7583" xr:uid="{00000000-0005-0000-0000-000080170000}"/>
    <cellStyle name="Normal 3 32 2 6 3 2" xfId="7584" xr:uid="{00000000-0005-0000-0000-000081170000}"/>
    <cellStyle name="Normal 3 32 2 6 4" xfId="7585" xr:uid="{00000000-0005-0000-0000-000082170000}"/>
    <cellStyle name="Normal 3 32 2 6 5" xfId="7586" xr:uid="{00000000-0005-0000-0000-000083170000}"/>
    <cellStyle name="Normal 3 32 2 7" xfId="2238" xr:uid="{00000000-0005-0000-0000-000084170000}"/>
    <cellStyle name="Normal 3 32 2 7 2" xfId="7587" xr:uid="{00000000-0005-0000-0000-000085170000}"/>
    <cellStyle name="Normal 3 32 2 7 2 2" xfId="7588" xr:uid="{00000000-0005-0000-0000-000086170000}"/>
    <cellStyle name="Normal 3 32 2 7 3" xfId="7589" xr:uid="{00000000-0005-0000-0000-000087170000}"/>
    <cellStyle name="Normal 3 32 2 7 3 2" xfId="7590" xr:uid="{00000000-0005-0000-0000-000088170000}"/>
    <cellStyle name="Normal 3 32 2 7 4" xfId="7591" xr:uid="{00000000-0005-0000-0000-000089170000}"/>
    <cellStyle name="Normal 3 32 2 7 5" xfId="7592" xr:uid="{00000000-0005-0000-0000-00008A170000}"/>
    <cellStyle name="Normal 3 32 2 8" xfId="2239" xr:uid="{00000000-0005-0000-0000-00008B170000}"/>
    <cellStyle name="Normal 3 32 2 8 2" xfId="7593" xr:uid="{00000000-0005-0000-0000-00008C170000}"/>
    <cellStyle name="Normal 3 32 2 8 2 2" xfId="7594" xr:uid="{00000000-0005-0000-0000-00008D170000}"/>
    <cellStyle name="Normal 3 32 2 8 3" xfId="7595" xr:uid="{00000000-0005-0000-0000-00008E170000}"/>
    <cellStyle name="Normal 3 32 2 8 3 2" xfId="7596" xr:uid="{00000000-0005-0000-0000-00008F170000}"/>
    <cellStyle name="Normal 3 32 2 8 4" xfId="7597" xr:uid="{00000000-0005-0000-0000-000090170000}"/>
    <cellStyle name="Normal 3 32 2 8 5" xfId="7598" xr:uid="{00000000-0005-0000-0000-000091170000}"/>
    <cellStyle name="Normal 3 32 2 9" xfId="2240" xr:uid="{00000000-0005-0000-0000-000092170000}"/>
    <cellStyle name="Normal 3 32 2 9 2" xfId="7599" xr:uid="{00000000-0005-0000-0000-000093170000}"/>
    <cellStyle name="Normal 3 32 2 9 2 2" xfId="7600" xr:uid="{00000000-0005-0000-0000-000094170000}"/>
    <cellStyle name="Normal 3 32 2 9 3" xfId="7601" xr:uid="{00000000-0005-0000-0000-000095170000}"/>
    <cellStyle name="Normal 3 32 2 9 3 2" xfId="7602" xr:uid="{00000000-0005-0000-0000-000096170000}"/>
    <cellStyle name="Normal 3 32 2 9 4" xfId="7603" xr:uid="{00000000-0005-0000-0000-000097170000}"/>
    <cellStyle name="Normal 3 32 2 9 5" xfId="7604" xr:uid="{00000000-0005-0000-0000-000098170000}"/>
    <cellStyle name="Normal 3 32 3" xfId="2241" xr:uid="{00000000-0005-0000-0000-000099170000}"/>
    <cellStyle name="Normal 3 32 3 2" xfId="7605" xr:uid="{00000000-0005-0000-0000-00009A170000}"/>
    <cellStyle name="Normal 3 32 3 2 2" xfId="7606" xr:uid="{00000000-0005-0000-0000-00009B170000}"/>
    <cellStyle name="Normal 3 32 3 3" xfId="7607" xr:uid="{00000000-0005-0000-0000-00009C170000}"/>
    <cellStyle name="Normal 3 32 3 3 2" xfId="7608" xr:uid="{00000000-0005-0000-0000-00009D170000}"/>
    <cellStyle name="Normal 3 32 3 4" xfId="7609" xr:uid="{00000000-0005-0000-0000-00009E170000}"/>
    <cellStyle name="Normal 3 32 3 5" xfId="7610" xr:uid="{00000000-0005-0000-0000-00009F170000}"/>
    <cellStyle name="Normal 3 32 4" xfId="2242" xr:uid="{00000000-0005-0000-0000-0000A0170000}"/>
    <cellStyle name="Normal 3 32 4 2" xfId="7611" xr:uid="{00000000-0005-0000-0000-0000A1170000}"/>
    <cellStyle name="Normal 3 32 4 2 2" xfId="7612" xr:uid="{00000000-0005-0000-0000-0000A2170000}"/>
    <cellStyle name="Normal 3 32 4 3" xfId="7613" xr:uid="{00000000-0005-0000-0000-0000A3170000}"/>
    <cellStyle name="Normal 3 32 4 3 2" xfId="7614" xr:uid="{00000000-0005-0000-0000-0000A4170000}"/>
    <cellStyle name="Normal 3 32 4 4" xfId="7615" xr:uid="{00000000-0005-0000-0000-0000A5170000}"/>
    <cellStyle name="Normal 3 32 4 5" xfId="7616" xr:uid="{00000000-0005-0000-0000-0000A6170000}"/>
    <cellStyle name="Normal 3 32 5" xfId="2243" xr:uid="{00000000-0005-0000-0000-0000A7170000}"/>
    <cellStyle name="Normal 3 32 5 2" xfId="7617" xr:uid="{00000000-0005-0000-0000-0000A8170000}"/>
    <cellStyle name="Normal 3 32 5 2 2" xfId="7618" xr:uid="{00000000-0005-0000-0000-0000A9170000}"/>
    <cellStyle name="Normal 3 32 5 3" xfId="7619" xr:uid="{00000000-0005-0000-0000-0000AA170000}"/>
    <cellStyle name="Normal 3 32 5 3 2" xfId="7620" xr:uid="{00000000-0005-0000-0000-0000AB170000}"/>
    <cellStyle name="Normal 3 32 5 4" xfId="7621" xr:uid="{00000000-0005-0000-0000-0000AC170000}"/>
    <cellStyle name="Normal 3 32 5 5" xfId="7622" xr:uid="{00000000-0005-0000-0000-0000AD170000}"/>
    <cellStyle name="Normal 3 32 6" xfId="2244" xr:uid="{00000000-0005-0000-0000-0000AE170000}"/>
    <cellStyle name="Normal 3 32 6 2" xfId="7623" xr:uid="{00000000-0005-0000-0000-0000AF170000}"/>
    <cellStyle name="Normal 3 32 6 2 2" xfId="7624" xr:uid="{00000000-0005-0000-0000-0000B0170000}"/>
    <cellStyle name="Normal 3 32 6 3" xfId="7625" xr:uid="{00000000-0005-0000-0000-0000B1170000}"/>
    <cellStyle name="Normal 3 32 6 3 2" xfId="7626" xr:uid="{00000000-0005-0000-0000-0000B2170000}"/>
    <cellStyle name="Normal 3 32 6 4" xfId="7627" xr:uid="{00000000-0005-0000-0000-0000B3170000}"/>
    <cellStyle name="Normal 3 32 6 5" xfId="7628" xr:uid="{00000000-0005-0000-0000-0000B4170000}"/>
    <cellStyle name="Normal 3 32 7" xfId="2245" xr:uid="{00000000-0005-0000-0000-0000B5170000}"/>
    <cellStyle name="Normal 3 32 7 2" xfId="7629" xr:uid="{00000000-0005-0000-0000-0000B6170000}"/>
    <cellStyle name="Normal 3 32 7 2 2" xfId="7630" xr:uid="{00000000-0005-0000-0000-0000B7170000}"/>
    <cellStyle name="Normal 3 32 7 3" xfId="7631" xr:uid="{00000000-0005-0000-0000-0000B8170000}"/>
    <cellStyle name="Normal 3 32 7 3 2" xfId="7632" xr:uid="{00000000-0005-0000-0000-0000B9170000}"/>
    <cellStyle name="Normal 3 32 7 4" xfId="7633" xr:uid="{00000000-0005-0000-0000-0000BA170000}"/>
    <cellStyle name="Normal 3 32 7 5" xfId="7634" xr:uid="{00000000-0005-0000-0000-0000BB170000}"/>
    <cellStyle name="Normal 3 32 8" xfId="2246" xr:uid="{00000000-0005-0000-0000-0000BC170000}"/>
    <cellStyle name="Normal 3 32 8 2" xfId="7635" xr:uid="{00000000-0005-0000-0000-0000BD170000}"/>
    <cellStyle name="Normal 3 32 8 2 2" xfId="7636" xr:uid="{00000000-0005-0000-0000-0000BE170000}"/>
    <cellStyle name="Normal 3 32 8 3" xfId="7637" xr:uid="{00000000-0005-0000-0000-0000BF170000}"/>
    <cellStyle name="Normal 3 32 8 3 2" xfId="7638" xr:uid="{00000000-0005-0000-0000-0000C0170000}"/>
    <cellStyle name="Normal 3 32 8 4" xfId="7639" xr:uid="{00000000-0005-0000-0000-0000C1170000}"/>
    <cellStyle name="Normal 3 32 8 5" xfId="7640" xr:uid="{00000000-0005-0000-0000-0000C2170000}"/>
    <cellStyle name="Normal 3 32 9" xfId="2247" xr:uid="{00000000-0005-0000-0000-0000C3170000}"/>
    <cellStyle name="Normal 3 32 9 2" xfId="7641" xr:uid="{00000000-0005-0000-0000-0000C4170000}"/>
    <cellStyle name="Normal 3 32 9 2 2" xfId="7642" xr:uid="{00000000-0005-0000-0000-0000C5170000}"/>
    <cellStyle name="Normal 3 32 9 3" xfId="7643" xr:uid="{00000000-0005-0000-0000-0000C6170000}"/>
    <cellStyle name="Normal 3 32 9 3 2" xfId="7644" xr:uid="{00000000-0005-0000-0000-0000C7170000}"/>
    <cellStyle name="Normal 3 32 9 4" xfId="7645" xr:uid="{00000000-0005-0000-0000-0000C8170000}"/>
    <cellStyle name="Normal 3 32 9 5" xfId="7646" xr:uid="{00000000-0005-0000-0000-0000C9170000}"/>
    <cellStyle name="Normal 3 33" xfId="2248" xr:uid="{00000000-0005-0000-0000-0000CA170000}"/>
    <cellStyle name="Normal 3 33 10" xfId="2249" xr:uid="{00000000-0005-0000-0000-0000CB170000}"/>
    <cellStyle name="Normal 3 33 10 2" xfId="7647" xr:uid="{00000000-0005-0000-0000-0000CC170000}"/>
    <cellStyle name="Normal 3 33 10 2 2" xfId="7648" xr:uid="{00000000-0005-0000-0000-0000CD170000}"/>
    <cellStyle name="Normal 3 33 10 3" xfId="7649" xr:uid="{00000000-0005-0000-0000-0000CE170000}"/>
    <cellStyle name="Normal 3 33 10 3 2" xfId="7650" xr:uid="{00000000-0005-0000-0000-0000CF170000}"/>
    <cellStyle name="Normal 3 33 10 4" xfId="7651" xr:uid="{00000000-0005-0000-0000-0000D0170000}"/>
    <cellStyle name="Normal 3 33 10 5" xfId="7652" xr:uid="{00000000-0005-0000-0000-0000D1170000}"/>
    <cellStyle name="Normal 3 33 11" xfId="2250" xr:uid="{00000000-0005-0000-0000-0000D2170000}"/>
    <cellStyle name="Normal 3 33 11 2" xfId="7653" xr:uid="{00000000-0005-0000-0000-0000D3170000}"/>
    <cellStyle name="Normal 3 33 11 2 2" xfId="7654" xr:uid="{00000000-0005-0000-0000-0000D4170000}"/>
    <cellStyle name="Normal 3 33 11 3" xfId="7655" xr:uid="{00000000-0005-0000-0000-0000D5170000}"/>
    <cellStyle name="Normal 3 33 11 3 2" xfId="7656" xr:uid="{00000000-0005-0000-0000-0000D6170000}"/>
    <cellStyle name="Normal 3 33 11 4" xfId="7657" xr:uid="{00000000-0005-0000-0000-0000D7170000}"/>
    <cellStyle name="Normal 3 33 11 5" xfId="7658" xr:uid="{00000000-0005-0000-0000-0000D8170000}"/>
    <cellStyle name="Normal 3 33 12" xfId="2251" xr:uid="{00000000-0005-0000-0000-0000D9170000}"/>
    <cellStyle name="Normal 3 33 12 2" xfId="7659" xr:uid="{00000000-0005-0000-0000-0000DA170000}"/>
    <cellStyle name="Normal 3 33 12 2 2" xfId="7660" xr:uid="{00000000-0005-0000-0000-0000DB170000}"/>
    <cellStyle name="Normal 3 33 12 3" xfId="7661" xr:uid="{00000000-0005-0000-0000-0000DC170000}"/>
    <cellStyle name="Normal 3 33 12 3 2" xfId="7662" xr:uid="{00000000-0005-0000-0000-0000DD170000}"/>
    <cellStyle name="Normal 3 33 12 4" xfId="7663" xr:uid="{00000000-0005-0000-0000-0000DE170000}"/>
    <cellStyle name="Normal 3 33 12 5" xfId="7664" xr:uid="{00000000-0005-0000-0000-0000DF170000}"/>
    <cellStyle name="Normal 3 33 13" xfId="2252" xr:uid="{00000000-0005-0000-0000-0000E0170000}"/>
    <cellStyle name="Normal 3 33 13 2" xfId="7665" xr:uid="{00000000-0005-0000-0000-0000E1170000}"/>
    <cellStyle name="Normal 3 33 13 2 2" xfId="7666" xr:uid="{00000000-0005-0000-0000-0000E2170000}"/>
    <cellStyle name="Normal 3 33 13 3" xfId="7667" xr:uid="{00000000-0005-0000-0000-0000E3170000}"/>
    <cellStyle name="Normal 3 33 13 3 2" xfId="7668" xr:uid="{00000000-0005-0000-0000-0000E4170000}"/>
    <cellStyle name="Normal 3 33 13 4" xfId="7669" xr:uid="{00000000-0005-0000-0000-0000E5170000}"/>
    <cellStyle name="Normal 3 33 13 5" xfId="7670" xr:uid="{00000000-0005-0000-0000-0000E6170000}"/>
    <cellStyle name="Normal 3 33 14" xfId="7671" xr:uid="{00000000-0005-0000-0000-0000E7170000}"/>
    <cellStyle name="Normal 3 33 14 2" xfId="7672" xr:uid="{00000000-0005-0000-0000-0000E8170000}"/>
    <cellStyle name="Normal 3 33 15" xfId="7673" xr:uid="{00000000-0005-0000-0000-0000E9170000}"/>
    <cellStyle name="Normal 3 33 15 2" xfId="7674" xr:uid="{00000000-0005-0000-0000-0000EA170000}"/>
    <cellStyle name="Normal 3 33 16" xfId="7675" xr:uid="{00000000-0005-0000-0000-0000EB170000}"/>
    <cellStyle name="Normal 3 33 17" xfId="7676" xr:uid="{00000000-0005-0000-0000-0000EC170000}"/>
    <cellStyle name="Normal 3 33 2" xfId="2253" xr:uid="{00000000-0005-0000-0000-0000ED170000}"/>
    <cellStyle name="Normal 3 33 2 10" xfId="2254" xr:uid="{00000000-0005-0000-0000-0000EE170000}"/>
    <cellStyle name="Normal 3 33 2 10 2" xfId="7677" xr:uid="{00000000-0005-0000-0000-0000EF170000}"/>
    <cellStyle name="Normal 3 33 2 10 2 2" xfId="7678" xr:uid="{00000000-0005-0000-0000-0000F0170000}"/>
    <cellStyle name="Normal 3 33 2 10 3" xfId="7679" xr:uid="{00000000-0005-0000-0000-0000F1170000}"/>
    <cellStyle name="Normal 3 33 2 10 3 2" xfId="7680" xr:uid="{00000000-0005-0000-0000-0000F2170000}"/>
    <cellStyle name="Normal 3 33 2 10 4" xfId="7681" xr:uid="{00000000-0005-0000-0000-0000F3170000}"/>
    <cellStyle name="Normal 3 33 2 10 5" xfId="7682" xr:uid="{00000000-0005-0000-0000-0000F4170000}"/>
    <cellStyle name="Normal 3 33 2 11" xfId="2255" xr:uid="{00000000-0005-0000-0000-0000F5170000}"/>
    <cellStyle name="Normal 3 33 2 11 2" xfId="7683" xr:uid="{00000000-0005-0000-0000-0000F6170000}"/>
    <cellStyle name="Normal 3 33 2 11 2 2" xfId="7684" xr:uid="{00000000-0005-0000-0000-0000F7170000}"/>
    <cellStyle name="Normal 3 33 2 11 3" xfId="7685" xr:uid="{00000000-0005-0000-0000-0000F8170000}"/>
    <cellStyle name="Normal 3 33 2 11 3 2" xfId="7686" xr:uid="{00000000-0005-0000-0000-0000F9170000}"/>
    <cellStyle name="Normal 3 33 2 11 4" xfId="7687" xr:uid="{00000000-0005-0000-0000-0000FA170000}"/>
    <cellStyle name="Normal 3 33 2 11 5" xfId="7688" xr:uid="{00000000-0005-0000-0000-0000FB170000}"/>
    <cellStyle name="Normal 3 33 2 12" xfId="2256" xr:uid="{00000000-0005-0000-0000-0000FC170000}"/>
    <cellStyle name="Normal 3 33 2 12 2" xfId="7689" xr:uid="{00000000-0005-0000-0000-0000FD170000}"/>
    <cellStyle name="Normal 3 33 2 12 2 2" xfId="7690" xr:uid="{00000000-0005-0000-0000-0000FE170000}"/>
    <cellStyle name="Normal 3 33 2 12 3" xfId="7691" xr:uid="{00000000-0005-0000-0000-0000FF170000}"/>
    <cellStyle name="Normal 3 33 2 12 3 2" xfId="7692" xr:uid="{00000000-0005-0000-0000-000000180000}"/>
    <cellStyle name="Normal 3 33 2 12 4" xfId="7693" xr:uid="{00000000-0005-0000-0000-000001180000}"/>
    <cellStyle name="Normal 3 33 2 12 5" xfId="7694" xr:uid="{00000000-0005-0000-0000-000002180000}"/>
    <cellStyle name="Normal 3 33 2 13" xfId="7695" xr:uid="{00000000-0005-0000-0000-000003180000}"/>
    <cellStyle name="Normal 3 33 2 13 2" xfId="7696" xr:uid="{00000000-0005-0000-0000-000004180000}"/>
    <cellStyle name="Normal 3 33 2 14" xfId="7697" xr:uid="{00000000-0005-0000-0000-000005180000}"/>
    <cellStyle name="Normal 3 33 2 14 2" xfId="7698" xr:uid="{00000000-0005-0000-0000-000006180000}"/>
    <cellStyle name="Normal 3 33 2 15" xfId="7699" xr:uid="{00000000-0005-0000-0000-000007180000}"/>
    <cellStyle name="Normal 3 33 2 16" xfId="7700" xr:uid="{00000000-0005-0000-0000-000008180000}"/>
    <cellStyle name="Normal 3 33 2 2" xfId="2257" xr:uid="{00000000-0005-0000-0000-000009180000}"/>
    <cellStyle name="Normal 3 33 2 2 2" xfId="7701" xr:uid="{00000000-0005-0000-0000-00000A180000}"/>
    <cellStyle name="Normal 3 33 2 2 2 2" xfId="7702" xr:uid="{00000000-0005-0000-0000-00000B180000}"/>
    <cellStyle name="Normal 3 33 2 2 3" xfId="7703" xr:uid="{00000000-0005-0000-0000-00000C180000}"/>
    <cellStyle name="Normal 3 33 2 2 3 2" xfId="7704" xr:uid="{00000000-0005-0000-0000-00000D180000}"/>
    <cellStyle name="Normal 3 33 2 2 4" xfId="7705" xr:uid="{00000000-0005-0000-0000-00000E180000}"/>
    <cellStyle name="Normal 3 33 2 2 5" xfId="7706" xr:uid="{00000000-0005-0000-0000-00000F180000}"/>
    <cellStyle name="Normal 3 33 2 3" xfId="2258" xr:uid="{00000000-0005-0000-0000-000010180000}"/>
    <cellStyle name="Normal 3 33 2 3 2" xfId="7707" xr:uid="{00000000-0005-0000-0000-000011180000}"/>
    <cellStyle name="Normal 3 33 2 3 2 2" xfId="7708" xr:uid="{00000000-0005-0000-0000-000012180000}"/>
    <cellStyle name="Normal 3 33 2 3 3" xfId="7709" xr:uid="{00000000-0005-0000-0000-000013180000}"/>
    <cellStyle name="Normal 3 33 2 3 3 2" xfId="7710" xr:uid="{00000000-0005-0000-0000-000014180000}"/>
    <cellStyle name="Normal 3 33 2 3 4" xfId="7711" xr:uid="{00000000-0005-0000-0000-000015180000}"/>
    <cellStyle name="Normal 3 33 2 3 5" xfId="7712" xr:uid="{00000000-0005-0000-0000-000016180000}"/>
    <cellStyle name="Normal 3 33 2 4" xfId="2259" xr:uid="{00000000-0005-0000-0000-000017180000}"/>
    <cellStyle name="Normal 3 33 2 4 2" xfId="7713" xr:uid="{00000000-0005-0000-0000-000018180000}"/>
    <cellStyle name="Normal 3 33 2 4 2 2" xfId="7714" xr:uid="{00000000-0005-0000-0000-000019180000}"/>
    <cellStyle name="Normal 3 33 2 4 3" xfId="7715" xr:uid="{00000000-0005-0000-0000-00001A180000}"/>
    <cellStyle name="Normal 3 33 2 4 3 2" xfId="7716" xr:uid="{00000000-0005-0000-0000-00001B180000}"/>
    <cellStyle name="Normal 3 33 2 4 4" xfId="7717" xr:uid="{00000000-0005-0000-0000-00001C180000}"/>
    <cellStyle name="Normal 3 33 2 4 5" xfId="7718" xr:uid="{00000000-0005-0000-0000-00001D180000}"/>
    <cellStyle name="Normal 3 33 2 5" xfId="2260" xr:uid="{00000000-0005-0000-0000-00001E180000}"/>
    <cellStyle name="Normal 3 33 2 5 2" xfId="7719" xr:uid="{00000000-0005-0000-0000-00001F180000}"/>
    <cellStyle name="Normal 3 33 2 5 2 2" xfId="7720" xr:uid="{00000000-0005-0000-0000-000020180000}"/>
    <cellStyle name="Normal 3 33 2 5 3" xfId="7721" xr:uid="{00000000-0005-0000-0000-000021180000}"/>
    <cellStyle name="Normal 3 33 2 5 3 2" xfId="7722" xr:uid="{00000000-0005-0000-0000-000022180000}"/>
    <cellStyle name="Normal 3 33 2 5 4" xfId="7723" xr:uid="{00000000-0005-0000-0000-000023180000}"/>
    <cellStyle name="Normal 3 33 2 5 5" xfId="7724" xr:uid="{00000000-0005-0000-0000-000024180000}"/>
    <cellStyle name="Normal 3 33 2 6" xfId="2261" xr:uid="{00000000-0005-0000-0000-000025180000}"/>
    <cellStyle name="Normal 3 33 2 6 2" xfId="7725" xr:uid="{00000000-0005-0000-0000-000026180000}"/>
    <cellStyle name="Normal 3 33 2 6 2 2" xfId="7726" xr:uid="{00000000-0005-0000-0000-000027180000}"/>
    <cellStyle name="Normal 3 33 2 6 3" xfId="7727" xr:uid="{00000000-0005-0000-0000-000028180000}"/>
    <cellStyle name="Normal 3 33 2 6 3 2" xfId="7728" xr:uid="{00000000-0005-0000-0000-000029180000}"/>
    <cellStyle name="Normal 3 33 2 6 4" xfId="7729" xr:uid="{00000000-0005-0000-0000-00002A180000}"/>
    <cellStyle name="Normal 3 33 2 6 5" xfId="7730" xr:uid="{00000000-0005-0000-0000-00002B180000}"/>
    <cellStyle name="Normal 3 33 2 7" xfId="2262" xr:uid="{00000000-0005-0000-0000-00002C180000}"/>
    <cellStyle name="Normal 3 33 2 7 2" xfId="7731" xr:uid="{00000000-0005-0000-0000-00002D180000}"/>
    <cellStyle name="Normal 3 33 2 7 2 2" xfId="7732" xr:uid="{00000000-0005-0000-0000-00002E180000}"/>
    <cellStyle name="Normal 3 33 2 7 3" xfId="7733" xr:uid="{00000000-0005-0000-0000-00002F180000}"/>
    <cellStyle name="Normal 3 33 2 7 3 2" xfId="7734" xr:uid="{00000000-0005-0000-0000-000030180000}"/>
    <cellStyle name="Normal 3 33 2 7 4" xfId="7735" xr:uid="{00000000-0005-0000-0000-000031180000}"/>
    <cellStyle name="Normal 3 33 2 7 5" xfId="7736" xr:uid="{00000000-0005-0000-0000-000032180000}"/>
    <cellStyle name="Normal 3 33 2 8" xfId="2263" xr:uid="{00000000-0005-0000-0000-000033180000}"/>
    <cellStyle name="Normal 3 33 2 8 2" xfId="7737" xr:uid="{00000000-0005-0000-0000-000034180000}"/>
    <cellStyle name="Normal 3 33 2 8 2 2" xfId="7738" xr:uid="{00000000-0005-0000-0000-000035180000}"/>
    <cellStyle name="Normal 3 33 2 8 3" xfId="7739" xr:uid="{00000000-0005-0000-0000-000036180000}"/>
    <cellStyle name="Normal 3 33 2 8 3 2" xfId="7740" xr:uid="{00000000-0005-0000-0000-000037180000}"/>
    <cellStyle name="Normal 3 33 2 8 4" xfId="7741" xr:uid="{00000000-0005-0000-0000-000038180000}"/>
    <cellStyle name="Normal 3 33 2 8 5" xfId="7742" xr:uid="{00000000-0005-0000-0000-000039180000}"/>
    <cellStyle name="Normal 3 33 2 9" xfId="2264" xr:uid="{00000000-0005-0000-0000-00003A180000}"/>
    <cellStyle name="Normal 3 33 2 9 2" xfId="7743" xr:uid="{00000000-0005-0000-0000-00003B180000}"/>
    <cellStyle name="Normal 3 33 2 9 2 2" xfId="7744" xr:uid="{00000000-0005-0000-0000-00003C180000}"/>
    <cellStyle name="Normal 3 33 2 9 3" xfId="7745" xr:uid="{00000000-0005-0000-0000-00003D180000}"/>
    <cellStyle name="Normal 3 33 2 9 3 2" xfId="7746" xr:uid="{00000000-0005-0000-0000-00003E180000}"/>
    <cellStyle name="Normal 3 33 2 9 4" xfId="7747" xr:uid="{00000000-0005-0000-0000-00003F180000}"/>
    <cellStyle name="Normal 3 33 2 9 5" xfId="7748" xr:uid="{00000000-0005-0000-0000-000040180000}"/>
    <cellStyle name="Normal 3 33 3" xfId="2265" xr:uid="{00000000-0005-0000-0000-000041180000}"/>
    <cellStyle name="Normal 3 33 3 2" xfId="7749" xr:uid="{00000000-0005-0000-0000-000042180000}"/>
    <cellStyle name="Normal 3 33 3 2 2" xfId="7750" xr:uid="{00000000-0005-0000-0000-000043180000}"/>
    <cellStyle name="Normal 3 33 3 3" xfId="7751" xr:uid="{00000000-0005-0000-0000-000044180000}"/>
    <cellStyle name="Normal 3 33 3 3 2" xfId="7752" xr:uid="{00000000-0005-0000-0000-000045180000}"/>
    <cellStyle name="Normal 3 33 3 4" xfId="7753" xr:uid="{00000000-0005-0000-0000-000046180000}"/>
    <cellStyle name="Normal 3 33 3 5" xfId="7754" xr:uid="{00000000-0005-0000-0000-000047180000}"/>
    <cellStyle name="Normal 3 33 4" xfId="2266" xr:uid="{00000000-0005-0000-0000-000048180000}"/>
    <cellStyle name="Normal 3 33 4 2" xfId="7755" xr:uid="{00000000-0005-0000-0000-000049180000}"/>
    <cellStyle name="Normal 3 33 4 2 2" xfId="7756" xr:uid="{00000000-0005-0000-0000-00004A180000}"/>
    <cellStyle name="Normal 3 33 4 3" xfId="7757" xr:uid="{00000000-0005-0000-0000-00004B180000}"/>
    <cellStyle name="Normal 3 33 4 3 2" xfId="7758" xr:uid="{00000000-0005-0000-0000-00004C180000}"/>
    <cellStyle name="Normal 3 33 4 4" xfId="7759" xr:uid="{00000000-0005-0000-0000-00004D180000}"/>
    <cellStyle name="Normal 3 33 4 5" xfId="7760" xr:uid="{00000000-0005-0000-0000-00004E180000}"/>
    <cellStyle name="Normal 3 33 5" xfId="2267" xr:uid="{00000000-0005-0000-0000-00004F180000}"/>
    <cellStyle name="Normal 3 33 5 2" xfId="7761" xr:uid="{00000000-0005-0000-0000-000050180000}"/>
    <cellStyle name="Normal 3 33 5 2 2" xfId="7762" xr:uid="{00000000-0005-0000-0000-000051180000}"/>
    <cellStyle name="Normal 3 33 5 3" xfId="7763" xr:uid="{00000000-0005-0000-0000-000052180000}"/>
    <cellStyle name="Normal 3 33 5 3 2" xfId="7764" xr:uid="{00000000-0005-0000-0000-000053180000}"/>
    <cellStyle name="Normal 3 33 5 4" xfId="7765" xr:uid="{00000000-0005-0000-0000-000054180000}"/>
    <cellStyle name="Normal 3 33 5 5" xfId="7766" xr:uid="{00000000-0005-0000-0000-000055180000}"/>
    <cellStyle name="Normal 3 33 6" xfId="2268" xr:uid="{00000000-0005-0000-0000-000056180000}"/>
    <cellStyle name="Normal 3 33 6 2" xfId="7767" xr:uid="{00000000-0005-0000-0000-000057180000}"/>
    <cellStyle name="Normal 3 33 6 2 2" xfId="7768" xr:uid="{00000000-0005-0000-0000-000058180000}"/>
    <cellStyle name="Normal 3 33 6 3" xfId="7769" xr:uid="{00000000-0005-0000-0000-000059180000}"/>
    <cellStyle name="Normal 3 33 6 3 2" xfId="7770" xr:uid="{00000000-0005-0000-0000-00005A180000}"/>
    <cellStyle name="Normal 3 33 6 4" xfId="7771" xr:uid="{00000000-0005-0000-0000-00005B180000}"/>
    <cellStyle name="Normal 3 33 6 5" xfId="7772" xr:uid="{00000000-0005-0000-0000-00005C180000}"/>
    <cellStyle name="Normal 3 33 7" xfId="2269" xr:uid="{00000000-0005-0000-0000-00005D180000}"/>
    <cellStyle name="Normal 3 33 7 2" xfId="7773" xr:uid="{00000000-0005-0000-0000-00005E180000}"/>
    <cellStyle name="Normal 3 33 7 2 2" xfId="7774" xr:uid="{00000000-0005-0000-0000-00005F180000}"/>
    <cellStyle name="Normal 3 33 7 3" xfId="7775" xr:uid="{00000000-0005-0000-0000-000060180000}"/>
    <cellStyle name="Normal 3 33 7 3 2" xfId="7776" xr:uid="{00000000-0005-0000-0000-000061180000}"/>
    <cellStyle name="Normal 3 33 7 4" xfId="7777" xr:uid="{00000000-0005-0000-0000-000062180000}"/>
    <cellStyle name="Normal 3 33 7 5" xfId="7778" xr:uid="{00000000-0005-0000-0000-000063180000}"/>
    <cellStyle name="Normal 3 33 8" xfId="2270" xr:uid="{00000000-0005-0000-0000-000064180000}"/>
    <cellStyle name="Normal 3 33 8 2" xfId="7779" xr:uid="{00000000-0005-0000-0000-000065180000}"/>
    <cellStyle name="Normal 3 33 8 2 2" xfId="7780" xr:uid="{00000000-0005-0000-0000-000066180000}"/>
    <cellStyle name="Normal 3 33 8 3" xfId="7781" xr:uid="{00000000-0005-0000-0000-000067180000}"/>
    <cellStyle name="Normal 3 33 8 3 2" xfId="7782" xr:uid="{00000000-0005-0000-0000-000068180000}"/>
    <cellStyle name="Normal 3 33 8 4" xfId="7783" xr:uid="{00000000-0005-0000-0000-000069180000}"/>
    <cellStyle name="Normal 3 33 8 5" xfId="7784" xr:uid="{00000000-0005-0000-0000-00006A180000}"/>
    <cellStyle name="Normal 3 33 9" xfId="2271" xr:uid="{00000000-0005-0000-0000-00006B180000}"/>
    <cellStyle name="Normal 3 33 9 2" xfId="7785" xr:uid="{00000000-0005-0000-0000-00006C180000}"/>
    <cellStyle name="Normal 3 33 9 2 2" xfId="7786" xr:uid="{00000000-0005-0000-0000-00006D180000}"/>
    <cellStyle name="Normal 3 33 9 3" xfId="7787" xr:uid="{00000000-0005-0000-0000-00006E180000}"/>
    <cellStyle name="Normal 3 33 9 3 2" xfId="7788" xr:uid="{00000000-0005-0000-0000-00006F180000}"/>
    <cellStyle name="Normal 3 33 9 4" xfId="7789" xr:uid="{00000000-0005-0000-0000-000070180000}"/>
    <cellStyle name="Normal 3 33 9 5" xfId="7790" xr:uid="{00000000-0005-0000-0000-000071180000}"/>
    <cellStyle name="Normal 3 34" xfId="2272" xr:uid="{00000000-0005-0000-0000-000072180000}"/>
    <cellStyle name="Normal 3 34 10" xfId="2273" xr:uid="{00000000-0005-0000-0000-000073180000}"/>
    <cellStyle name="Normal 3 34 10 2" xfId="7791" xr:uid="{00000000-0005-0000-0000-000074180000}"/>
    <cellStyle name="Normal 3 34 10 2 2" xfId="7792" xr:uid="{00000000-0005-0000-0000-000075180000}"/>
    <cellStyle name="Normal 3 34 10 3" xfId="7793" xr:uid="{00000000-0005-0000-0000-000076180000}"/>
    <cellStyle name="Normal 3 34 10 3 2" xfId="7794" xr:uid="{00000000-0005-0000-0000-000077180000}"/>
    <cellStyle name="Normal 3 34 10 4" xfId="7795" xr:uid="{00000000-0005-0000-0000-000078180000}"/>
    <cellStyle name="Normal 3 34 10 5" xfId="7796" xr:uid="{00000000-0005-0000-0000-000079180000}"/>
    <cellStyle name="Normal 3 34 11" xfId="2274" xr:uid="{00000000-0005-0000-0000-00007A180000}"/>
    <cellStyle name="Normal 3 34 11 2" xfId="7797" xr:uid="{00000000-0005-0000-0000-00007B180000}"/>
    <cellStyle name="Normal 3 34 11 2 2" xfId="7798" xr:uid="{00000000-0005-0000-0000-00007C180000}"/>
    <cellStyle name="Normal 3 34 11 3" xfId="7799" xr:uid="{00000000-0005-0000-0000-00007D180000}"/>
    <cellStyle name="Normal 3 34 11 3 2" xfId="7800" xr:uid="{00000000-0005-0000-0000-00007E180000}"/>
    <cellStyle name="Normal 3 34 11 4" xfId="7801" xr:uid="{00000000-0005-0000-0000-00007F180000}"/>
    <cellStyle name="Normal 3 34 11 5" xfId="7802" xr:uid="{00000000-0005-0000-0000-000080180000}"/>
    <cellStyle name="Normal 3 34 12" xfId="2275" xr:uid="{00000000-0005-0000-0000-000081180000}"/>
    <cellStyle name="Normal 3 34 12 2" xfId="7803" xr:uid="{00000000-0005-0000-0000-000082180000}"/>
    <cellStyle name="Normal 3 34 12 2 2" xfId="7804" xr:uid="{00000000-0005-0000-0000-000083180000}"/>
    <cellStyle name="Normal 3 34 12 3" xfId="7805" xr:uid="{00000000-0005-0000-0000-000084180000}"/>
    <cellStyle name="Normal 3 34 12 3 2" xfId="7806" xr:uid="{00000000-0005-0000-0000-000085180000}"/>
    <cellStyle name="Normal 3 34 12 4" xfId="7807" xr:uid="{00000000-0005-0000-0000-000086180000}"/>
    <cellStyle name="Normal 3 34 12 5" xfId="7808" xr:uid="{00000000-0005-0000-0000-000087180000}"/>
    <cellStyle name="Normal 3 34 13" xfId="2276" xr:uid="{00000000-0005-0000-0000-000088180000}"/>
    <cellStyle name="Normal 3 34 13 2" xfId="7809" xr:uid="{00000000-0005-0000-0000-000089180000}"/>
    <cellStyle name="Normal 3 34 13 2 2" xfId="7810" xr:uid="{00000000-0005-0000-0000-00008A180000}"/>
    <cellStyle name="Normal 3 34 13 3" xfId="7811" xr:uid="{00000000-0005-0000-0000-00008B180000}"/>
    <cellStyle name="Normal 3 34 13 3 2" xfId="7812" xr:uid="{00000000-0005-0000-0000-00008C180000}"/>
    <cellStyle name="Normal 3 34 13 4" xfId="7813" xr:uid="{00000000-0005-0000-0000-00008D180000}"/>
    <cellStyle name="Normal 3 34 13 5" xfId="7814" xr:uid="{00000000-0005-0000-0000-00008E180000}"/>
    <cellStyle name="Normal 3 34 14" xfId="7815" xr:uid="{00000000-0005-0000-0000-00008F180000}"/>
    <cellStyle name="Normal 3 34 14 2" xfId="7816" xr:uid="{00000000-0005-0000-0000-000090180000}"/>
    <cellStyle name="Normal 3 34 15" xfId="7817" xr:uid="{00000000-0005-0000-0000-000091180000}"/>
    <cellStyle name="Normal 3 34 15 2" xfId="7818" xr:uid="{00000000-0005-0000-0000-000092180000}"/>
    <cellStyle name="Normal 3 34 16" xfId="7819" xr:uid="{00000000-0005-0000-0000-000093180000}"/>
    <cellStyle name="Normal 3 34 17" xfId="7820" xr:uid="{00000000-0005-0000-0000-000094180000}"/>
    <cellStyle name="Normal 3 34 2" xfId="2277" xr:uid="{00000000-0005-0000-0000-000095180000}"/>
    <cellStyle name="Normal 3 34 2 10" xfId="2278" xr:uid="{00000000-0005-0000-0000-000096180000}"/>
    <cellStyle name="Normal 3 34 2 10 2" xfId="7821" xr:uid="{00000000-0005-0000-0000-000097180000}"/>
    <cellStyle name="Normal 3 34 2 10 2 2" xfId="7822" xr:uid="{00000000-0005-0000-0000-000098180000}"/>
    <cellStyle name="Normal 3 34 2 10 3" xfId="7823" xr:uid="{00000000-0005-0000-0000-000099180000}"/>
    <cellStyle name="Normal 3 34 2 10 3 2" xfId="7824" xr:uid="{00000000-0005-0000-0000-00009A180000}"/>
    <cellStyle name="Normal 3 34 2 10 4" xfId="7825" xr:uid="{00000000-0005-0000-0000-00009B180000}"/>
    <cellStyle name="Normal 3 34 2 10 5" xfId="7826" xr:uid="{00000000-0005-0000-0000-00009C180000}"/>
    <cellStyle name="Normal 3 34 2 11" xfId="2279" xr:uid="{00000000-0005-0000-0000-00009D180000}"/>
    <cellStyle name="Normal 3 34 2 11 2" xfId="7827" xr:uid="{00000000-0005-0000-0000-00009E180000}"/>
    <cellStyle name="Normal 3 34 2 11 2 2" xfId="7828" xr:uid="{00000000-0005-0000-0000-00009F180000}"/>
    <cellStyle name="Normal 3 34 2 11 3" xfId="7829" xr:uid="{00000000-0005-0000-0000-0000A0180000}"/>
    <cellStyle name="Normal 3 34 2 11 3 2" xfId="7830" xr:uid="{00000000-0005-0000-0000-0000A1180000}"/>
    <cellStyle name="Normal 3 34 2 11 4" xfId="7831" xr:uid="{00000000-0005-0000-0000-0000A2180000}"/>
    <cellStyle name="Normal 3 34 2 11 5" xfId="7832" xr:uid="{00000000-0005-0000-0000-0000A3180000}"/>
    <cellStyle name="Normal 3 34 2 12" xfId="2280" xr:uid="{00000000-0005-0000-0000-0000A4180000}"/>
    <cellStyle name="Normal 3 34 2 12 2" xfId="7833" xr:uid="{00000000-0005-0000-0000-0000A5180000}"/>
    <cellStyle name="Normal 3 34 2 12 2 2" xfId="7834" xr:uid="{00000000-0005-0000-0000-0000A6180000}"/>
    <cellStyle name="Normal 3 34 2 12 3" xfId="7835" xr:uid="{00000000-0005-0000-0000-0000A7180000}"/>
    <cellStyle name="Normal 3 34 2 12 3 2" xfId="7836" xr:uid="{00000000-0005-0000-0000-0000A8180000}"/>
    <cellStyle name="Normal 3 34 2 12 4" xfId="7837" xr:uid="{00000000-0005-0000-0000-0000A9180000}"/>
    <cellStyle name="Normal 3 34 2 12 5" xfId="7838" xr:uid="{00000000-0005-0000-0000-0000AA180000}"/>
    <cellStyle name="Normal 3 34 2 13" xfId="7839" xr:uid="{00000000-0005-0000-0000-0000AB180000}"/>
    <cellStyle name="Normal 3 34 2 13 2" xfId="7840" xr:uid="{00000000-0005-0000-0000-0000AC180000}"/>
    <cellStyle name="Normal 3 34 2 14" xfId="7841" xr:uid="{00000000-0005-0000-0000-0000AD180000}"/>
    <cellStyle name="Normal 3 34 2 14 2" xfId="7842" xr:uid="{00000000-0005-0000-0000-0000AE180000}"/>
    <cellStyle name="Normal 3 34 2 15" xfId="7843" xr:uid="{00000000-0005-0000-0000-0000AF180000}"/>
    <cellStyle name="Normal 3 34 2 16" xfId="7844" xr:uid="{00000000-0005-0000-0000-0000B0180000}"/>
    <cellStyle name="Normal 3 34 2 2" xfId="2281" xr:uid="{00000000-0005-0000-0000-0000B1180000}"/>
    <cellStyle name="Normal 3 34 2 2 2" xfId="7845" xr:uid="{00000000-0005-0000-0000-0000B2180000}"/>
    <cellStyle name="Normal 3 34 2 2 2 2" xfId="7846" xr:uid="{00000000-0005-0000-0000-0000B3180000}"/>
    <cellStyle name="Normal 3 34 2 2 3" xfId="7847" xr:uid="{00000000-0005-0000-0000-0000B4180000}"/>
    <cellStyle name="Normal 3 34 2 2 3 2" xfId="7848" xr:uid="{00000000-0005-0000-0000-0000B5180000}"/>
    <cellStyle name="Normal 3 34 2 2 4" xfId="7849" xr:uid="{00000000-0005-0000-0000-0000B6180000}"/>
    <cellStyle name="Normal 3 34 2 2 5" xfId="7850" xr:uid="{00000000-0005-0000-0000-0000B7180000}"/>
    <cellStyle name="Normal 3 34 2 3" xfId="2282" xr:uid="{00000000-0005-0000-0000-0000B8180000}"/>
    <cellStyle name="Normal 3 34 2 3 2" xfId="7851" xr:uid="{00000000-0005-0000-0000-0000B9180000}"/>
    <cellStyle name="Normal 3 34 2 3 2 2" xfId="7852" xr:uid="{00000000-0005-0000-0000-0000BA180000}"/>
    <cellStyle name="Normal 3 34 2 3 3" xfId="7853" xr:uid="{00000000-0005-0000-0000-0000BB180000}"/>
    <cellStyle name="Normal 3 34 2 3 3 2" xfId="7854" xr:uid="{00000000-0005-0000-0000-0000BC180000}"/>
    <cellStyle name="Normal 3 34 2 3 4" xfId="7855" xr:uid="{00000000-0005-0000-0000-0000BD180000}"/>
    <cellStyle name="Normal 3 34 2 3 5" xfId="7856" xr:uid="{00000000-0005-0000-0000-0000BE180000}"/>
    <cellStyle name="Normal 3 34 2 4" xfId="2283" xr:uid="{00000000-0005-0000-0000-0000BF180000}"/>
    <cellStyle name="Normal 3 34 2 4 2" xfId="7857" xr:uid="{00000000-0005-0000-0000-0000C0180000}"/>
    <cellStyle name="Normal 3 34 2 4 2 2" xfId="7858" xr:uid="{00000000-0005-0000-0000-0000C1180000}"/>
    <cellStyle name="Normal 3 34 2 4 3" xfId="7859" xr:uid="{00000000-0005-0000-0000-0000C2180000}"/>
    <cellStyle name="Normal 3 34 2 4 3 2" xfId="7860" xr:uid="{00000000-0005-0000-0000-0000C3180000}"/>
    <cellStyle name="Normal 3 34 2 4 4" xfId="7861" xr:uid="{00000000-0005-0000-0000-0000C4180000}"/>
    <cellStyle name="Normal 3 34 2 4 5" xfId="7862" xr:uid="{00000000-0005-0000-0000-0000C5180000}"/>
    <cellStyle name="Normal 3 34 2 5" xfId="2284" xr:uid="{00000000-0005-0000-0000-0000C6180000}"/>
    <cellStyle name="Normal 3 34 2 5 2" xfId="7863" xr:uid="{00000000-0005-0000-0000-0000C7180000}"/>
    <cellStyle name="Normal 3 34 2 5 2 2" xfId="7864" xr:uid="{00000000-0005-0000-0000-0000C8180000}"/>
    <cellStyle name="Normal 3 34 2 5 3" xfId="7865" xr:uid="{00000000-0005-0000-0000-0000C9180000}"/>
    <cellStyle name="Normal 3 34 2 5 3 2" xfId="7866" xr:uid="{00000000-0005-0000-0000-0000CA180000}"/>
    <cellStyle name="Normal 3 34 2 5 4" xfId="7867" xr:uid="{00000000-0005-0000-0000-0000CB180000}"/>
    <cellStyle name="Normal 3 34 2 5 5" xfId="7868" xr:uid="{00000000-0005-0000-0000-0000CC180000}"/>
    <cellStyle name="Normal 3 34 2 6" xfId="2285" xr:uid="{00000000-0005-0000-0000-0000CD180000}"/>
    <cellStyle name="Normal 3 34 2 6 2" xfId="7869" xr:uid="{00000000-0005-0000-0000-0000CE180000}"/>
    <cellStyle name="Normal 3 34 2 6 2 2" xfId="7870" xr:uid="{00000000-0005-0000-0000-0000CF180000}"/>
    <cellStyle name="Normal 3 34 2 6 3" xfId="7871" xr:uid="{00000000-0005-0000-0000-0000D0180000}"/>
    <cellStyle name="Normal 3 34 2 6 3 2" xfId="7872" xr:uid="{00000000-0005-0000-0000-0000D1180000}"/>
    <cellStyle name="Normal 3 34 2 6 4" xfId="7873" xr:uid="{00000000-0005-0000-0000-0000D2180000}"/>
    <cellStyle name="Normal 3 34 2 6 5" xfId="7874" xr:uid="{00000000-0005-0000-0000-0000D3180000}"/>
    <cellStyle name="Normal 3 34 2 7" xfId="2286" xr:uid="{00000000-0005-0000-0000-0000D4180000}"/>
    <cellStyle name="Normal 3 34 2 7 2" xfId="7875" xr:uid="{00000000-0005-0000-0000-0000D5180000}"/>
    <cellStyle name="Normal 3 34 2 7 2 2" xfId="7876" xr:uid="{00000000-0005-0000-0000-0000D6180000}"/>
    <cellStyle name="Normal 3 34 2 7 3" xfId="7877" xr:uid="{00000000-0005-0000-0000-0000D7180000}"/>
    <cellStyle name="Normal 3 34 2 7 3 2" xfId="7878" xr:uid="{00000000-0005-0000-0000-0000D8180000}"/>
    <cellStyle name="Normal 3 34 2 7 4" xfId="7879" xr:uid="{00000000-0005-0000-0000-0000D9180000}"/>
    <cellStyle name="Normal 3 34 2 7 5" xfId="7880" xr:uid="{00000000-0005-0000-0000-0000DA180000}"/>
    <cellStyle name="Normal 3 34 2 8" xfId="2287" xr:uid="{00000000-0005-0000-0000-0000DB180000}"/>
    <cellStyle name="Normal 3 34 2 8 2" xfId="7881" xr:uid="{00000000-0005-0000-0000-0000DC180000}"/>
    <cellStyle name="Normal 3 34 2 8 2 2" xfId="7882" xr:uid="{00000000-0005-0000-0000-0000DD180000}"/>
    <cellStyle name="Normal 3 34 2 8 3" xfId="7883" xr:uid="{00000000-0005-0000-0000-0000DE180000}"/>
    <cellStyle name="Normal 3 34 2 8 3 2" xfId="7884" xr:uid="{00000000-0005-0000-0000-0000DF180000}"/>
    <cellStyle name="Normal 3 34 2 8 4" xfId="7885" xr:uid="{00000000-0005-0000-0000-0000E0180000}"/>
    <cellStyle name="Normal 3 34 2 8 5" xfId="7886" xr:uid="{00000000-0005-0000-0000-0000E1180000}"/>
    <cellStyle name="Normal 3 34 2 9" xfId="2288" xr:uid="{00000000-0005-0000-0000-0000E2180000}"/>
    <cellStyle name="Normal 3 34 2 9 2" xfId="7887" xr:uid="{00000000-0005-0000-0000-0000E3180000}"/>
    <cellStyle name="Normal 3 34 2 9 2 2" xfId="7888" xr:uid="{00000000-0005-0000-0000-0000E4180000}"/>
    <cellStyle name="Normal 3 34 2 9 3" xfId="7889" xr:uid="{00000000-0005-0000-0000-0000E5180000}"/>
    <cellStyle name="Normal 3 34 2 9 3 2" xfId="7890" xr:uid="{00000000-0005-0000-0000-0000E6180000}"/>
    <cellStyle name="Normal 3 34 2 9 4" xfId="7891" xr:uid="{00000000-0005-0000-0000-0000E7180000}"/>
    <cellStyle name="Normal 3 34 2 9 5" xfId="7892" xr:uid="{00000000-0005-0000-0000-0000E8180000}"/>
    <cellStyle name="Normal 3 34 3" xfId="2289" xr:uid="{00000000-0005-0000-0000-0000E9180000}"/>
    <cellStyle name="Normal 3 34 3 2" xfId="7893" xr:uid="{00000000-0005-0000-0000-0000EA180000}"/>
    <cellStyle name="Normal 3 34 3 2 2" xfId="7894" xr:uid="{00000000-0005-0000-0000-0000EB180000}"/>
    <cellStyle name="Normal 3 34 3 3" xfId="7895" xr:uid="{00000000-0005-0000-0000-0000EC180000}"/>
    <cellStyle name="Normal 3 34 3 3 2" xfId="7896" xr:uid="{00000000-0005-0000-0000-0000ED180000}"/>
    <cellStyle name="Normal 3 34 3 4" xfId="7897" xr:uid="{00000000-0005-0000-0000-0000EE180000}"/>
    <cellStyle name="Normal 3 34 3 5" xfId="7898" xr:uid="{00000000-0005-0000-0000-0000EF180000}"/>
    <cellStyle name="Normal 3 34 4" xfId="2290" xr:uid="{00000000-0005-0000-0000-0000F0180000}"/>
    <cellStyle name="Normal 3 34 4 2" xfId="7899" xr:uid="{00000000-0005-0000-0000-0000F1180000}"/>
    <cellStyle name="Normal 3 34 4 2 2" xfId="7900" xr:uid="{00000000-0005-0000-0000-0000F2180000}"/>
    <cellStyle name="Normal 3 34 4 3" xfId="7901" xr:uid="{00000000-0005-0000-0000-0000F3180000}"/>
    <cellStyle name="Normal 3 34 4 3 2" xfId="7902" xr:uid="{00000000-0005-0000-0000-0000F4180000}"/>
    <cellStyle name="Normal 3 34 4 4" xfId="7903" xr:uid="{00000000-0005-0000-0000-0000F5180000}"/>
    <cellStyle name="Normal 3 34 4 5" xfId="7904" xr:uid="{00000000-0005-0000-0000-0000F6180000}"/>
    <cellStyle name="Normal 3 34 5" xfId="2291" xr:uid="{00000000-0005-0000-0000-0000F7180000}"/>
    <cellStyle name="Normal 3 34 5 2" xfId="7905" xr:uid="{00000000-0005-0000-0000-0000F8180000}"/>
    <cellStyle name="Normal 3 34 5 2 2" xfId="7906" xr:uid="{00000000-0005-0000-0000-0000F9180000}"/>
    <cellStyle name="Normal 3 34 5 3" xfId="7907" xr:uid="{00000000-0005-0000-0000-0000FA180000}"/>
    <cellStyle name="Normal 3 34 5 3 2" xfId="7908" xr:uid="{00000000-0005-0000-0000-0000FB180000}"/>
    <cellStyle name="Normal 3 34 5 4" xfId="7909" xr:uid="{00000000-0005-0000-0000-0000FC180000}"/>
    <cellStyle name="Normal 3 34 5 5" xfId="7910" xr:uid="{00000000-0005-0000-0000-0000FD180000}"/>
    <cellStyle name="Normal 3 34 6" xfId="2292" xr:uid="{00000000-0005-0000-0000-0000FE180000}"/>
    <cellStyle name="Normal 3 34 6 2" xfId="7911" xr:uid="{00000000-0005-0000-0000-0000FF180000}"/>
    <cellStyle name="Normal 3 34 6 2 2" xfId="7912" xr:uid="{00000000-0005-0000-0000-000000190000}"/>
    <cellStyle name="Normal 3 34 6 3" xfId="7913" xr:uid="{00000000-0005-0000-0000-000001190000}"/>
    <cellStyle name="Normal 3 34 6 3 2" xfId="7914" xr:uid="{00000000-0005-0000-0000-000002190000}"/>
    <cellStyle name="Normal 3 34 6 4" xfId="7915" xr:uid="{00000000-0005-0000-0000-000003190000}"/>
    <cellStyle name="Normal 3 34 6 5" xfId="7916" xr:uid="{00000000-0005-0000-0000-000004190000}"/>
    <cellStyle name="Normal 3 34 7" xfId="2293" xr:uid="{00000000-0005-0000-0000-000005190000}"/>
    <cellStyle name="Normal 3 34 7 2" xfId="7917" xr:uid="{00000000-0005-0000-0000-000006190000}"/>
    <cellStyle name="Normal 3 34 7 2 2" xfId="7918" xr:uid="{00000000-0005-0000-0000-000007190000}"/>
    <cellStyle name="Normal 3 34 7 3" xfId="7919" xr:uid="{00000000-0005-0000-0000-000008190000}"/>
    <cellStyle name="Normal 3 34 7 3 2" xfId="7920" xr:uid="{00000000-0005-0000-0000-000009190000}"/>
    <cellStyle name="Normal 3 34 7 4" xfId="7921" xr:uid="{00000000-0005-0000-0000-00000A190000}"/>
    <cellStyle name="Normal 3 34 7 5" xfId="7922" xr:uid="{00000000-0005-0000-0000-00000B190000}"/>
    <cellStyle name="Normal 3 34 8" xfId="2294" xr:uid="{00000000-0005-0000-0000-00000C190000}"/>
    <cellStyle name="Normal 3 34 8 2" xfId="7923" xr:uid="{00000000-0005-0000-0000-00000D190000}"/>
    <cellStyle name="Normal 3 34 8 2 2" xfId="7924" xr:uid="{00000000-0005-0000-0000-00000E190000}"/>
    <cellStyle name="Normal 3 34 8 3" xfId="7925" xr:uid="{00000000-0005-0000-0000-00000F190000}"/>
    <cellStyle name="Normal 3 34 8 3 2" xfId="7926" xr:uid="{00000000-0005-0000-0000-000010190000}"/>
    <cellStyle name="Normal 3 34 8 4" xfId="7927" xr:uid="{00000000-0005-0000-0000-000011190000}"/>
    <cellStyle name="Normal 3 34 8 5" xfId="7928" xr:uid="{00000000-0005-0000-0000-000012190000}"/>
    <cellStyle name="Normal 3 34 9" xfId="2295" xr:uid="{00000000-0005-0000-0000-000013190000}"/>
    <cellStyle name="Normal 3 34 9 2" xfId="7929" xr:uid="{00000000-0005-0000-0000-000014190000}"/>
    <cellStyle name="Normal 3 34 9 2 2" xfId="7930" xr:uid="{00000000-0005-0000-0000-000015190000}"/>
    <cellStyle name="Normal 3 34 9 3" xfId="7931" xr:uid="{00000000-0005-0000-0000-000016190000}"/>
    <cellStyle name="Normal 3 34 9 3 2" xfId="7932" xr:uid="{00000000-0005-0000-0000-000017190000}"/>
    <cellStyle name="Normal 3 34 9 4" xfId="7933" xr:uid="{00000000-0005-0000-0000-000018190000}"/>
    <cellStyle name="Normal 3 34 9 5" xfId="7934" xr:uid="{00000000-0005-0000-0000-000019190000}"/>
    <cellStyle name="Normal 3 35" xfId="2296" xr:uid="{00000000-0005-0000-0000-00001A190000}"/>
    <cellStyle name="Normal 3 35 10" xfId="2297" xr:uid="{00000000-0005-0000-0000-00001B190000}"/>
    <cellStyle name="Normal 3 35 10 2" xfId="7935" xr:uid="{00000000-0005-0000-0000-00001C190000}"/>
    <cellStyle name="Normal 3 35 10 2 2" xfId="7936" xr:uid="{00000000-0005-0000-0000-00001D190000}"/>
    <cellStyle name="Normal 3 35 10 3" xfId="7937" xr:uid="{00000000-0005-0000-0000-00001E190000}"/>
    <cellStyle name="Normal 3 35 10 3 2" xfId="7938" xr:uid="{00000000-0005-0000-0000-00001F190000}"/>
    <cellStyle name="Normal 3 35 10 4" xfId="7939" xr:uid="{00000000-0005-0000-0000-000020190000}"/>
    <cellStyle name="Normal 3 35 10 5" xfId="7940" xr:uid="{00000000-0005-0000-0000-000021190000}"/>
    <cellStyle name="Normal 3 35 11" xfId="2298" xr:uid="{00000000-0005-0000-0000-000022190000}"/>
    <cellStyle name="Normal 3 35 11 2" xfId="7941" xr:uid="{00000000-0005-0000-0000-000023190000}"/>
    <cellStyle name="Normal 3 35 11 2 2" xfId="7942" xr:uid="{00000000-0005-0000-0000-000024190000}"/>
    <cellStyle name="Normal 3 35 11 3" xfId="7943" xr:uid="{00000000-0005-0000-0000-000025190000}"/>
    <cellStyle name="Normal 3 35 11 3 2" xfId="7944" xr:uid="{00000000-0005-0000-0000-000026190000}"/>
    <cellStyle name="Normal 3 35 11 4" xfId="7945" xr:uid="{00000000-0005-0000-0000-000027190000}"/>
    <cellStyle name="Normal 3 35 11 5" xfId="7946" xr:uid="{00000000-0005-0000-0000-000028190000}"/>
    <cellStyle name="Normal 3 35 12" xfId="2299" xr:uid="{00000000-0005-0000-0000-000029190000}"/>
    <cellStyle name="Normal 3 35 12 2" xfId="7947" xr:uid="{00000000-0005-0000-0000-00002A190000}"/>
    <cellStyle name="Normal 3 35 12 2 2" xfId="7948" xr:uid="{00000000-0005-0000-0000-00002B190000}"/>
    <cellStyle name="Normal 3 35 12 3" xfId="7949" xr:uid="{00000000-0005-0000-0000-00002C190000}"/>
    <cellStyle name="Normal 3 35 12 3 2" xfId="7950" xr:uid="{00000000-0005-0000-0000-00002D190000}"/>
    <cellStyle name="Normal 3 35 12 4" xfId="7951" xr:uid="{00000000-0005-0000-0000-00002E190000}"/>
    <cellStyle name="Normal 3 35 12 5" xfId="7952" xr:uid="{00000000-0005-0000-0000-00002F190000}"/>
    <cellStyle name="Normal 3 35 13" xfId="2300" xr:uid="{00000000-0005-0000-0000-000030190000}"/>
    <cellStyle name="Normal 3 35 13 2" xfId="7953" xr:uid="{00000000-0005-0000-0000-000031190000}"/>
    <cellStyle name="Normal 3 35 13 2 2" xfId="7954" xr:uid="{00000000-0005-0000-0000-000032190000}"/>
    <cellStyle name="Normal 3 35 13 3" xfId="7955" xr:uid="{00000000-0005-0000-0000-000033190000}"/>
    <cellStyle name="Normal 3 35 13 3 2" xfId="7956" xr:uid="{00000000-0005-0000-0000-000034190000}"/>
    <cellStyle name="Normal 3 35 13 4" xfId="7957" xr:uid="{00000000-0005-0000-0000-000035190000}"/>
    <cellStyle name="Normal 3 35 13 5" xfId="7958" xr:uid="{00000000-0005-0000-0000-000036190000}"/>
    <cellStyle name="Normal 3 35 14" xfId="7959" xr:uid="{00000000-0005-0000-0000-000037190000}"/>
    <cellStyle name="Normal 3 35 14 2" xfId="7960" xr:uid="{00000000-0005-0000-0000-000038190000}"/>
    <cellStyle name="Normal 3 35 15" xfId="7961" xr:uid="{00000000-0005-0000-0000-000039190000}"/>
    <cellStyle name="Normal 3 35 15 2" xfId="7962" xr:uid="{00000000-0005-0000-0000-00003A190000}"/>
    <cellStyle name="Normal 3 35 16" xfId="7963" xr:uid="{00000000-0005-0000-0000-00003B190000}"/>
    <cellStyle name="Normal 3 35 17" xfId="7964" xr:uid="{00000000-0005-0000-0000-00003C190000}"/>
    <cellStyle name="Normal 3 35 2" xfId="2301" xr:uid="{00000000-0005-0000-0000-00003D190000}"/>
    <cellStyle name="Normal 3 35 2 10" xfId="2302" xr:uid="{00000000-0005-0000-0000-00003E190000}"/>
    <cellStyle name="Normal 3 35 2 10 2" xfId="7965" xr:uid="{00000000-0005-0000-0000-00003F190000}"/>
    <cellStyle name="Normal 3 35 2 10 2 2" xfId="7966" xr:uid="{00000000-0005-0000-0000-000040190000}"/>
    <cellStyle name="Normal 3 35 2 10 3" xfId="7967" xr:uid="{00000000-0005-0000-0000-000041190000}"/>
    <cellStyle name="Normal 3 35 2 10 3 2" xfId="7968" xr:uid="{00000000-0005-0000-0000-000042190000}"/>
    <cellStyle name="Normal 3 35 2 10 4" xfId="7969" xr:uid="{00000000-0005-0000-0000-000043190000}"/>
    <cellStyle name="Normal 3 35 2 10 5" xfId="7970" xr:uid="{00000000-0005-0000-0000-000044190000}"/>
    <cellStyle name="Normal 3 35 2 11" xfId="2303" xr:uid="{00000000-0005-0000-0000-000045190000}"/>
    <cellStyle name="Normal 3 35 2 11 2" xfId="7971" xr:uid="{00000000-0005-0000-0000-000046190000}"/>
    <cellStyle name="Normal 3 35 2 11 2 2" xfId="7972" xr:uid="{00000000-0005-0000-0000-000047190000}"/>
    <cellStyle name="Normal 3 35 2 11 3" xfId="7973" xr:uid="{00000000-0005-0000-0000-000048190000}"/>
    <cellStyle name="Normal 3 35 2 11 3 2" xfId="7974" xr:uid="{00000000-0005-0000-0000-000049190000}"/>
    <cellStyle name="Normal 3 35 2 11 4" xfId="7975" xr:uid="{00000000-0005-0000-0000-00004A190000}"/>
    <cellStyle name="Normal 3 35 2 11 5" xfId="7976" xr:uid="{00000000-0005-0000-0000-00004B190000}"/>
    <cellStyle name="Normal 3 35 2 12" xfId="2304" xr:uid="{00000000-0005-0000-0000-00004C190000}"/>
    <cellStyle name="Normal 3 35 2 12 2" xfId="7977" xr:uid="{00000000-0005-0000-0000-00004D190000}"/>
    <cellStyle name="Normal 3 35 2 12 2 2" xfId="7978" xr:uid="{00000000-0005-0000-0000-00004E190000}"/>
    <cellStyle name="Normal 3 35 2 12 3" xfId="7979" xr:uid="{00000000-0005-0000-0000-00004F190000}"/>
    <cellStyle name="Normal 3 35 2 12 3 2" xfId="7980" xr:uid="{00000000-0005-0000-0000-000050190000}"/>
    <cellStyle name="Normal 3 35 2 12 4" xfId="7981" xr:uid="{00000000-0005-0000-0000-000051190000}"/>
    <cellStyle name="Normal 3 35 2 12 5" xfId="7982" xr:uid="{00000000-0005-0000-0000-000052190000}"/>
    <cellStyle name="Normal 3 35 2 13" xfId="7983" xr:uid="{00000000-0005-0000-0000-000053190000}"/>
    <cellStyle name="Normal 3 35 2 13 2" xfId="7984" xr:uid="{00000000-0005-0000-0000-000054190000}"/>
    <cellStyle name="Normal 3 35 2 14" xfId="7985" xr:uid="{00000000-0005-0000-0000-000055190000}"/>
    <cellStyle name="Normal 3 35 2 14 2" xfId="7986" xr:uid="{00000000-0005-0000-0000-000056190000}"/>
    <cellStyle name="Normal 3 35 2 15" xfId="7987" xr:uid="{00000000-0005-0000-0000-000057190000}"/>
    <cellStyle name="Normal 3 35 2 16" xfId="7988" xr:uid="{00000000-0005-0000-0000-000058190000}"/>
    <cellStyle name="Normal 3 35 2 2" xfId="2305" xr:uid="{00000000-0005-0000-0000-000059190000}"/>
    <cellStyle name="Normal 3 35 2 2 2" xfId="7989" xr:uid="{00000000-0005-0000-0000-00005A190000}"/>
    <cellStyle name="Normal 3 35 2 2 2 2" xfId="7990" xr:uid="{00000000-0005-0000-0000-00005B190000}"/>
    <cellStyle name="Normal 3 35 2 2 3" xfId="7991" xr:uid="{00000000-0005-0000-0000-00005C190000}"/>
    <cellStyle name="Normal 3 35 2 2 3 2" xfId="7992" xr:uid="{00000000-0005-0000-0000-00005D190000}"/>
    <cellStyle name="Normal 3 35 2 2 4" xfId="7993" xr:uid="{00000000-0005-0000-0000-00005E190000}"/>
    <cellStyle name="Normal 3 35 2 2 5" xfId="7994" xr:uid="{00000000-0005-0000-0000-00005F190000}"/>
    <cellStyle name="Normal 3 35 2 3" xfId="2306" xr:uid="{00000000-0005-0000-0000-000060190000}"/>
    <cellStyle name="Normal 3 35 2 3 2" xfId="7995" xr:uid="{00000000-0005-0000-0000-000061190000}"/>
    <cellStyle name="Normal 3 35 2 3 2 2" xfId="7996" xr:uid="{00000000-0005-0000-0000-000062190000}"/>
    <cellStyle name="Normal 3 35 2 3 3" xfId="7997" xr:uid="{00000000-0005-0000-0000-000063190000}"/>
    <cellStyle name="Normal 3 35 2 3 3 2" xfId="7998" xr:uid="{00000000-0005-0000-0000-000064190000}"/>
    <cellStyle name="Normal 3 35 2 3 4" xfId="7999" xr:uid="{00000000-0005-0000-0000-000065190000}"/>
    <cellStyle name="Normal 3 35 2 3 5" xfId="8000" xr:uid="{00000000-0005-0000-0000-000066190000}"/>
    <cellStyle name="Normal 3 35 2 4" xfId="2307" xr:uid="{00000000-0005-0000-0000-000067190000}"/>
    <cellStyle name="Normal 3 35 2 4 2" xfId="8001" xr:uid="{00000000-0005-0000-0000-000068190000}"/>
    <cellStyle name="Normal 3 35 2 4 2 2" xfId="8002" xr:uid="{00000000-0005-0000-0000-000069190000}"/>
    <cellStyle name="Normal 3 35 2 4 3" xfId="8003" xr:uid="{00000000-0005-0000-0000-00006A190000}"/>
    <cellStyle name="Normal 3 35 2 4 3 2" xfId="8004" xr:uid="{00000000-0005-0000-0000-00006B190000}"/>
    <cellStyle name="Normal 3 35 2 4 4" xfId="8005" xr:uid="{00000000-0005-0000-0000-00006C190000}"/>
    <cellStyle name="Normal 3 35 2 4 5" xfId="8006" xr:uid="{00000000-0005-0000-0000-00006D190000}"/>
    <cellStyle name="Normal 3 35 2 5" xfId="2308" xr:uid="{00000000-0005-0000-0000-00006E190000}"/>
    <cellStyle name="Normal 3 35 2 5 2" xfId="8007" xr:uid="{00000000-0005-0000-0000-00006F190000}"/>
    <cellStyle name="Normal 3 35 2 5 2 2" xfId="8008" xr:uid="{00000000-0005-0000-0000-000070190000}"/>
    <cellStyle name="Normal 3 35 2 5 3" xfId="8009" xr:uid="{00000000-0005-0000-0000-000071190000}"/>
    <cellStyle name="Normal 3 35 2 5 3 2" xfId="8010" xr:uid="{00000000-0005-0000-0000-000072190000}"/>
    <cellStyle name="Normal 3 35 2 5 4" xfId="8011" xr:uid="{00000000-0005-0000-0000-000073190000}"/>
    <cellStyle name="Normal 3 35 2 5 5" xfId="8012" xr:uid="{00000000-0005-0000-0000-000074190000}"/>
    <cellStyle name="Normal 3 35 2 6" xfId="2309" xr:uid="{00000000-0005-0000-0000-000075190000}"/>
    <cellStyle name="Normal 3 35 2 6 2" xfId="8013" xr:uid="{00000000-0005-0000-0000-000076190000}"/>
    <cellStyle name="Normal 3 35 2 6 2 2" xfId="8014" xr:uid="{00000000-0005-0000-0000-000077190000}"/>
    <cellStyle name="Normal 3 35 2 6 3" xfId="8015" xr:uid="{00000000-0005-0000-0000-000078190000}"/>
    <cellStyle name="Normal 3 35 2 6 3 2" xfId="8016" xr:uid="{00000000-0005-0000-0000-000079190000}"/>
    <cellStyle name="Normal 3 35 2 6 4" xfId="8017" xr:uid="{00000000-0005-0000-0000-00007A190000}"/>
    <cellStyle name="Normal 3 35 2 6 5" xfId="8018" xr:uid="{00000000-0005-0000-0000-00007B190000}"/>
    <cellStyle name="Normal 3 35 2 7" xfId="2310" xr:uid="{00000000-0005-0000-0000-00007C190000}"/>
    <cellStyle name="Normal 3 35 2 7 2" xfId="8019" xr:uid="{00000000-0005-0000-0000-00007D190000}"/>
    <cellStyle name="Normal 3 35 2 7 2 2" xfId="8020" xr:uid="{00000000-0005-0000-0000-00007E190000}"/>
    <cellStyle name="Normal 3 35 2 7 3" xfId="8021" xr:uid="{00000000-0005-0000-0000-00007F190000}"/>
    <cellStyle name="Normal 3 35 2 7 3 2" xfId="8022" xr:uid="{00000000-0005-0000-0000-000080190000}"/>
    <cellStyle name="Normal 3 35 2 7 4" xfId="8023" xr:uid="{00000000-0005-0000-0000-000081190000}"/>
    <cellStyle name="Normal 3 35 2 7 5" xfId="8024" xr:uid="{00000000-0005-0000-0000-000082190000}"/>
    <cellStyle name="Normal 3 35 2 8" xfId="2311" xr:uid="{00000000-0005-0000-0000-000083190000}"/>
    <cellStyle name="Normal 3 35 2 8 2" xfId="8025" xr:uid="{00000000-0005-0000-0000-000084190000}"/>
    <cellStyle name="Normal 3 35 2 8 2 2" xfId="8026" xr:uid="{00000000-0005-0000-0000-000085190000}"/>
    <cellStyle name="Normal 3 35 2 8 3" xfId="8027" xr:uid="{00000000-0005-0000-0000-000086190000}"/>
    <cellStyle name="Normal 3 35 2 8 3 2" xfId="8028" xr:uid="{00000000-0005-0000-0000-000087190000}"/>
    <cellStyle name="Normal 3 35 2 8 4" xfId="8029" xr:uid="{00000000-0005-0000-0000-000088190000}"/>
    <cellStyle name="Normal 3 35 2 8 5" xfId="8030" xr:uid="{00000000-0005-0000-0000-000089190000}"/>
    <cellStyle name="Normal 3 35 2 9" xfId="2312" xr:uid="{00000000-0005-0000-0000-00008A190000}"/>
    <cellStyle name="Normal 3 35 2 9 2" xfId="8031" xr:uid="{00000000-0005-0000-0000-00008B190000}"/>
    <cellStyle name="Normal 3 35 2 9 2 2" xfId="8032" xr:uid="{00000000-0005-0000-0000-00008C190000}"/>
    <cellStyle name="Normal 3 35 2 9 3" xfId="8033" xr:uid="{00000000-0005-0000-0000-00008D190000}"/>
    <cellStyle name="Normal 3 35 2 9 3 2" xfId="8034" xr:uid="{00000000-0005-0000-0000-00008E190000}"/>
    <cellStyle name="Normal 3 35 2 9 4" xfId="8035" xr:uid="{00000000-0005-0000-0000-00008F190000}"/>
    <cellStyle name="Normal 3 35 2 9 5" xfId="8036" xr:uid="{00000000-0005-0000-0000-000090190000}"/>
    <cellStyle name="Normal 3 35 3" xfId="2313" xr:uid="{00000000-0005-0000-0000-000091190000}"/>
    <cellStyle name="Normal 3 35 3 2" xfId="8037" xr:uid="{00000000-0005-0000-0000-000092190000}"/>
    <cellStyle name="Normal 3 35 3 2 2" xfId="8038" xr:uid="{00000000-0005-0000-0000-000093190000}"/>
    <cellStyle name="Normal 3 35 3 3" xfId="8039" xr:uid="{00000000-0005-0000-0000-000094190000}"/>
    <cellStyle name="Normal 3 35 3 3 2" xfId="8040" xr:uid="{00000000-0005-0000-0000-000095190000}"/>
    <cellStyle name="Normal 3 35 3 4" xfId="8041" xr:uid="{00000000-0005-0000-0000-000096190000}"/>
    <cellStyle name="Normal 3 35 3 5" xfId="8042" xr:uid="{00000000-0005-0000-0000-000097190000}"/>
    <cellStyle name="Normal 3 35 4" xfId="2314" xr:uid="{00000000-0005-0000-0000-000098190000}"/>
    <cellStyle name="Normal 3 35 4 2" xfId="8043" xr:uid="{00000000-0005-0000-0000-000099190000}"/>
    <cellStyle name="Normal 3 35 4 2 2" xfId="8044" xr:uid="{00000000-0005-0000-0000-00009A190000}"/>
    <cellStyle name="Normal 3 35 4 3" xfId="8045" xr:uid="{00000000-0005-0000-0000-00009B190000}"/>
    <cellStyle name="Normal 3 35 4 3 2" xfId="8046" xr:uid="{00000000-0005-0000-0000-00009C190000}"/>
    <cellStyle name="Normal 3 35 4 4" xfId="8047" xr:uid="{00000000-0005-0000-0000-00009D190000}"/>
    <cellStyle name="Normal 3 35 4 5" xfId="8048" xr:uid="{00000000-0005-0000-0000-00009E190000}"/>
    <cellStyle name="Normal 3 35 5" xfId="2315" xr:uid="{00000000-0005-0000-0000-00009F190000}"/>
    <cellStyle name="Normal 3 35 5 2" xfId="8049" xr:uid="{00000000-0005-0000-0000-0000A0190000}"/>
    <cellStyle name="Normal 3 35 5 2 2" xfId="8050" xr:uid="{00000000-0005-0000-0000-0000A1190000}"/>
    <cellStyle name="Normal 3 35 5 3" xfId="8051" xr:uid="{00000000-0005-0000-0000-0000A2190000}"/>
    <cellStyle name="Normal 3 35 5 3 2" xfId="8052" xr:uid="{00000000-0005-0000-0000-0000A3190000}"/>
    <cellStyle name="Normal 3 35 5 4" xfId="8053" xr:uid="{00000000-0005-0000-0000-0000A4190000}"/>
    <cellStyle name="Normal 3 35 5 5" xfId="8054" xr:uid="{00000000-0005-0000-0000-0000A5190000}"/>
    <cellStyle name="Normal 3 35 6" xfId="2316" xr:uid="{00000000-0005-0000-0000-0000A6190000}"/>
    <cellStyle name="Normal 3 35 6 2" xfId="8055" xr:uid="{00000000-0005-0000-0000-0000A7190000}"/>
    <cellStyle name="Normal 3 35 6 2 2" xfId="8056" xr:uid="{00000000-0005-0000-0000-0000A8190000}"/>
    <cellStyle name="Normal 3 35 6 3" xfId="8057" xr:uid="{00000000-0005-0000-0000-0000A9190000}"/>
    <cellStyle name="Normal 3 35 6 3 2" xfId="8058" xr:uid="{00000000-0005-0000-0000-0000AA190000}"/>
    <cellStyle name="Normal 3 35 6 4" xfId="8059" xr:uid="{00000000-0005-0000-0000-0000AB190000}"/>
    <cellStyle name="Normal 3 35 6 5" xfId="8060" xr:uid="{00000000-0005-0000-0000-0000AC190000}"/>
    <cellStyle name="Normal 3 35 7" xfId="2317" xr:uid="{00000000-0005-0000-0000-0000AD190000}"/>
    <cellStyle name="Normal 3 35 7 2" xfId="8061" xr:uid="{00000000-0005-0000-0000-0000AE190000}"/>
    <cellStyle name="Normal 3 35 7 2 2" xfId="8062" xr:uid="{00000000-0005-0000-0000-0000AF190000}"/>
    <cellStyle name="Normal 3 35 7 3" xfId="8063" xr:uid="{00000000-0005-0000-0000-0000B0190000}"/>
    <cellStyle name="Normal 3 35 7 3 2" xfId="8064" xr:uid="{00000000-0005-0000-0000-0000B1190000}"/>
    <cellStyle name="Normal 3 35 7 4" xfId="8065" xr:uid="{00000000-0005-0000-0000-0000B2190000}"/>
    <cellStyle name="Normal 3 35 7 5" xfId="8066" xr:uid="{00000000-0005-0000-0000-0000B3190000}"/>
    <cellStyle name="Normal 3 35 8" xfId="2318" xr:uid="{00000000-0005-0000-0000-0000B4190000}"/>
    <cellStyle name="Normal 3 35 8 2" xfId="8067" xr:uid="{00000000-0005-0000-0000-0000B5190000}"/>
    <cellStyle name="Normal 3 35 8 2 2" xfId="8068" xr:uid="{00000000-0005-0000-0000-0000B6190000}"/>
    <cellStyle name="Normal 3 35 8 3" xfId="8069" xr:uid="{00000000-0005-0000-0000-0000B7190000}"/>
    <cellStyle name="Normal 3 35 8 3 2" xfId="8070" xr:uid="{00000000-0005-0000-0000-0000B8190000}"/>
    <cellStyle name="Normal 3 35 8 4" xfId="8071" xr:uid="{00000000-0005-0000-0000-0000B9190000}"/>
    <cellStyle name="Normal 3 35 8 5" xfId="8072" xr:uid="{00000000-0005-0000-0000-0000BA190000}"/>
    <cellStyle name="Normal 3 35 9" xfId="2319" xr:uid="{00000000-0005-0000-0000-0000BB190000}"/>
    <cellStyle name="Normal 3 35 9 2" xfId="8073" xr:uid="{00000000-0005-0000-0000-0000BC190000}"/>
    <cellStyle name="Normal 3 35 9 2 2" xfId="8074" xr:uid="{00000000-0005-0000-0000-0000BD190000}"/>
    <cellStyle name="Normal 3 35 9 3" xfId="8075" xr:uid="{00000000-0005-0000-0000-0000BE190000}"/>
    <cellStyle name="Normal 3 35 9 3 2" xfId="8076" xr:uid="{00000000-0005-0000-0000-0000BF190000}"/>
    <cellStyle name="Normal 3 35 9 4" xfId="8077" xr:uid="{00000000-0005-0000-0000-0000C0190000}"/>
    <cellStyle name="Normal 3 35 9 5" xfId="8078" xr:uid="{00000000-0005-0000-0000-0000C1190000}"/>
    <cellStyle name="Normal 3 36" xfId="2320" xr:uid="{00000000-0005-0000-0000-0000C2190000}"/>
    <cellStyle name="Normal 3 36 10" xfId="2321" xr:uid="{00000000-0005-0000-0000-0000C3190000}"/>
    <cellStyle name="Normal 3 36 10 2" xfId="8079" xr:uid="{00000000-0005-0000-0000-0000C4190000}"/>
    <cellStyle name="Normal 3 36 10 2 2" xfId="8080" xr:uid="{00000000-0005-0000-0000-0000C5190000}"/>
    <cellStyle name="Normal 3 36 10 3" xfId="8081" xr:uid="{00000000-0005-0000-0000-0000C6190000}"/>
    <cellStyle name="Normal 3 36 10 3 2" xfId="8082" xr:uid="{00000000-0005-0000-0000-0000C7190000}"/>
    <cellStyle name="Normal 3 36 10 4" xfId="8083" xr:uid="{00000000-0005-0000-0000-0000C8190000}"/>
    <cellStyle name="Normal 3 36 10 5" xfId="8084" xr:uid="{00000000-0005-0000-0000-0000C9190000}"/>
    <cellStyle name="Normal 3 36 11" xfId="2322" xr:uid="{00000000-0005-0000-0000-0000CA190000}"/>
    <cellStyle name="Normal 3 36 11 2" xfId="8085" xr:uid="{00000000-0005-0000-0000-0000CB190000}"/>
    <cellStyle name="Normal 3 36 11 2 2" xfId="8086" xr:uid="{00000000-0005-0000-0000-0000CC190000}"/>
    <cellStyle name="Normal 3 36 11 3" xfId="8087" xr:uid="{00000000-0005-0000-0000-0000CD190000}"/>
    <cellStyle name="Normal 3 36 11 3 2" xfId="8088" xr:uid="{00000000-0005-0000-0000-0000CE190000}"/>
    <cellStyle name="Normal 3 36 11 4" xfId="8089" xr:uid="{00000000-0005-0000-0000-0000CF190000}"/>
    <cellStyle name="Normal 3 36 11 5" xfId="8090" xr:uid="{00000000-0005-0000-0000-0000D0190000}"/>
    <cellStyle name="Normal 3 36 12" xfId="2323" xr:uid="{00000000-0005-0000-0000-0000D1190000}"/>
    <cellStyle name="Normal 3 36 12 2" xfId="8091" xr:uid="{00000000-0005-0000-0000-0000D2190000}"/>
    <cellStyle name="Normal 3 36 12 2 2" xfId="8092" xr:uid="{00000000-0005-0000-0000-0000D3190000}"/>
    <cellStyle name="Normal 3 36 12 3" xfId="8093" xr:uid="{00000000-0005-0000-0000-0000D4190000}"/>
    <cellStyle name="Normal 3 36 12 3 2" xfId="8094" xr:uid="{00000000-0005-0000-0000-0000D5190000}"/>
    <cellStyle name="Normal 3 36 12 4" xfId="8095" xr:uid="{00000000-0005-0000-0000-0000D6190000}"/>
    <cellStyle name="Normal 3 36 12 5" xfId="8096" xr:uid="{00000000-0005-0000-0000-0000D7190000}"/>
    <cellStyle name="Normal 3 36 13" xfId="2324" xr:uid="{00000000-0005-0000-0000-0000D8190000}"/>
    <cellStyle name="Normal 3 36 13 2" xfId="8097" xr:uid="{00000000-0005-0000-0000-0000D9190000}"/>
    <cellStyle name="Normal 3 36 13 2 2" xfId="8098" xr:uid="{00000000-0005-0000-0000-0000DA190000}"/>
    <cellStyle name="Normal 3 36 13 3" xfId="8099" xr:uid="{00000000-0005-0000-0000-0000DB190000}"/>
    <cellStyle name="Normal 3 36 13 3 2" xfId="8100" xr:uid="{00000000-0005-0000-0000-0000DC190000}"/>
    <cellStyle name="Normal 3 36 13 4" xfId="8101" xr:uid="{00000000-0005-0000-0000-0000DD190000}"/>
    <cellStyle name="Normal 3 36 13 5" xfId="8102" xr:uid="{00000000-0005-0000-0000-0000DE190000}"/>
    <cellStyle name="Normal 3 36 14" xfId="8103" xr:uid="{00000000-0005-0000-0000-0000DF190000}"/>
    <cellStyle name="Normal 3 36 14 2" xfId="8104" xr:uid="{00000000-0005-0000-0000-0000E0190000}"/>
    <cellStyle name="Normal 3 36 15" xfId="8105" xr:uid="{00000000-0005-0000-0000-0000E1190000}"/>
    <cellStyle name="Normal 3 36 15 2" xfId="8106" xr:uid="{00000000-0005-0000-0000-0000E2190000}"/>
    <cellStyle name="Normal 3 36 16" xfId="8107" xr:uid="{00000000-0005-0000-0000-0000E3190000}"/>
    <cellStyle name="Normal 3 36 17" xfId="8108" xr:uid="{00000000-0005-0000-0000-0000E4190000}"/>
    <cellStyle name="Normal 3 36 2" xfId="2325" xr:uid="{00000000-0005-0000-0000-0000E5190000}"/>
    <cellStyle name="Normal 3 36 2 10" xfId="2326" xr:uid="{00000000-0005-0000-0000-0000E6190000}"/>
    <cellStyle name="Normal 3 36 2 10 2" xfId="8109" xr:uid="{00000000-0005-0000-0000-0000E7190000}"/>
    <cellStyle name="Normal 3 36 2 10 2 2" xfId="8110" xr:uid="{00000000-0005-0000-0000-0000E8190000}"/>
    <cellStyle name="Normal 3 36 2 10 3" xfId="8111" xr:uid="{00000000-0005-0000-0000-0000E9190000}"/>
    <cellStyle name="Normal 3 36 2 10 3 2" xfId="8112" xr:uid="{00000000-0005-0000-0000-0000EA190000}"/>
    <cellStyle name="Normal 3 36 2 10 4" xfId="8113" xr:uid="{00000000-0005-0000-0000-0000EB190000}"/>
    <cellStyle name="Normal 3 36 2 10 5" xfId="8114" xr:uid="{00000000-0005-0000-0000-0000EC190000}"/>
    <cellStyle name="Normal 3 36 2 11" xfId="2327" xr:uid="{00000000-0005-0000-0000-0000ED190000}"/>
    <cellStyle name="Normal 3 36 2 11 2" xfId="8115" xr:uid="{00000000-0005-0000-0000-0000EE190000}"/>
    <cellStyle name="Normal 3 36 2 11 2 2" xfId="8116" xr:uid="{00000000-0005-0000-0000-0000EF190000}"/>
    <cellStyle name="Normal 3 36 2 11 3" xfId="8117" xr:uid="{00000000-0005-0000-0000-0000F0190000}"/>
    <cellStyle name="Normal 3 36 2 11 3 2" xfId="8118" xr:uid="{00000000-0005-0000-0000-0000F1190000}"/>
    <cellStyle name="Normal 3 36 2 11 4" xfId="8119" xr:uid="{00000000-0005-0000-0000-0000F2190000}"/>
    <cellStyle name="Normal 3 36 2 11 5" xfId="8120" xr:uid="{00000000-0005-0000-0000-0000F3190000}"/>
    <cellStyle name="Normal 3 36 2 12" xfId="2328" xr:uid="{00000000-0005-0000-0000-0000F4190000}"/>
    <cellStyle name="Normal 3 36 2 12 2" xfId="8121" xr:uid="{00000000-0005-0000-0000-0000F5190000}"/>
    <cellStyle name="Normal 3 36 2 12 2 2" xfId="8122" xr:uid="{00000000-0005-0000-0000-0000F6190000}"/>
    <cellStyle name="Normal 3 36 2 12 3" xfId="8123" xr:uid="{00000000-0005-0000-0000-0000F7190000}"/>
    <cellStyle name="Normal 3 36 2 12 3 2" xfId="8124" xr:uid="{00000000-0005-0000-0000-0000F8190000}"/>
    <cellStyle name="Normal 3 36 2 12 4" xfId="8125" xr:uid="{00000000-0005-0000-0000-0000F9190000}"/>
    <cellStyle name="Normal 3 36 2 12 5" xfId="8126" xr:uid="{00000000-0005-0000-0000-0000FA190000}"/>
    <cellStyle name="Normal 3 36 2 13" xfId="8127" xr:uid="{00000000-0005-0000-0000-0000FB190000}"/>
    <cellStyle name="Normal 3 36 2 13 2" xfId="8128" xr:uid="{00000000-0005-0000-0000-0000FC190000}"/>
    <cellStyle name="Normal 3 36 2 14" xfId="8129" xr:uid="{00000000-0005-0000-0000-0000FD190000}"/>
    <cellStyle name="Normal 3 36 2 14 2" xfId="8130" xr:uid="{00000000-0005-0000-0000-0000FE190000}"/>
    <cellStyle name="Normal 3 36 2 15" xfId="8131" xr:uid="{00000000-0005-0000-0000-0000FF190000}"/>
    <cellStyle name="Normal 3 36 2 16" xfId="8132" xr:uid="{00000000-0005-0000-0000-0000001A0000}"/>
    <cellStyle name="Normal 3 36 2 2" xfId="2329" xr:uid="{00000000-0005-0000-0000-0000011A0000}"/>
    <cellStyle name="Normal 3 36 2 2 2" xfId="8133" xr:uid="{00000000-0005-0000-0000-0000021A0000}"/>
    <cellStyle name="Normal 3 36 2 2 2 2" xfId="8134" xr:uid="{00000000-0005-0000-0000-0000031A0000}"/>
    <cellStyle name="Normal 3 36 2 2 3" xfId="8135" xr:uid="{00000000-0005-0000-0000-0000041A0000}"/>
    <cellStyle name="Normal 3 36 2 2 3 2" xfId="8136" xr:uid="{00000000-0005-0000-0000-0000051A0000}"/>
    <cellStyle name="Normal 3 36 2 2 4" xfId="8137" xr:uid="{00000000-0005-0000-0000-0000061A0000}"/>
    <cellStyle name="Normal 3 36 2 2 5" xfId="8138" xr:uid="{00000000-0005-0000-0000-0000071A0000}"/>
    <cellStyle name="Normal 3 36 2 3" xfId="2330" xr:uid="{00000000-0005-0000-0000-0000081A0000}"/>
    <cellStyle name="Normal 3 36 2 3 2" xfId="8139" xr:uid="{00000000-0005-0000-0000-0000091A0000}"/>
    <cellStyle name="Normal 3 36 2 3 2 2" xfId="8140" xr:uid="{00000000-0005-0000-0000-00000A1A0000}"/>
    <cellStyle name="Normal 3 36 2 3 3" xfId="8141" xr:uid="{00000000-0005-0000-0000-00000B1A0000}"/>
    <cellStyle name="Normal 3 36 2 3 3 2" xfId="8142" xr:uid="{00000000-0005-0000-0000-00000C1A0000}"/>
    <cellStyle name="Normal 3 36 2 3 4" xfId="8143" xr:uid="{00000000-0005-0000-0000-00000D1A0000}"/>
    <cellStyle name="Normal 3 36 2 3 5" xfId="8144" xr:uid="{00000000-0005-0000-0000-00000E1A0000}"/>
    <cellStyle name="Normal 3 36 2 4" xfId="2331" xr:uid="{00000000-0005-0000-0000-00000F1A0000}"/>
    <cellStyle name="Normal 3 36 2 4 2" xfId="8145" xr:uid="{00000000-0005-0000-0000-0000101A0000}"/>
    <cellStyle name="Normal 3 36 2 4 2 2" xfId="8146" xr:uid="{00000000-0005-0000-0000-0000111A0000}"/>
    <cellStyle name="Normal 3 36 2 4 3" xfId="8147" xr:uid="{00000000-0005-0000-0000-0000121A0000}"/>
    <cellStyle name="Normal 3 36 2 4 3 2" xfId="8148" xr:uid="{00000000-0005-0000-0000-0000131A0000}"/>
    <cellStyle name="Normal 3 36 2 4 4" xfId="8149" xr:uid="{00000000-0005-0000-0000-0000141A0000}"/>
    <cellStyle name="Normal 3 36 2 4 5" xfId="8150" xr:uid="{00000000-0005-0000-0000-0000151A0000}"/>
    <cellStyle name="Normal 3 36 2 5" xfId="2332" xr:uid="{00000000-0005-0000-0000-0000161A0000}"/>
    <cellStyle name="Normal 3 36 2 5 2" xfId="8151" xr:uid="{00000000-0005-0000-0000-0000171A0000}"/>
    <cellStyle name="Normal 3 36 2 5 2 2" xfId="8152" xr:uid="{00000000-0005-0000-0000-0000181A0000}"/>
    <cellStyle name="Normal 3 36 2 5 3" xfId="8153" xr:uid="{00000000-0005-0000-0000-0000191A0000}"/>
    <cellStyle name="Normal 3 36 2 5 3 2" xfId="8154" xr:uid="{00000000-0005-0000-0000-00001A1A0000}"/>
    <cellStyle name="Normal 3 36 2 5 4" xfId="8155" xr:uid="{00000000-0005-0000-0000-00001B1A0000}"/>
    <cellStyle name="Normal 3 36 2 5 5" xfId="8156" xr:uid="{00000000-0005-0000-0000-00001C1A0000}"/>
    <cellStyle name="Normal 3 36 2 6" xfId="2333" xr:uid="{00000000-0005-0000-0000-00001D1A0000}"/>
    <cellStyle name="Normal 3 36 2 6 2" xfId="8157" xr:uid="{00000000-0005-0000-0000-00001E1A0000}"/>
    <cellStyle name="Normal 3 36 2 6 2 2" xfId="8158" xr:uid="{00000000-0005-0000-0000-00001F1A0000}"/>
    <cellStyle name="Normal 3 36 2 6 3" xfId="8159" xr:uid="{00000000-0005-0000-0000-0000201A0000}"/>
    <cellStyle name="Normal 3 36 2 6 3 2" xfId="8160" xr:uid="{00000000-0005-0000-0000-0000211A0000}"/>
    <cellStyle name="Normal 3 36 2 6 4" xfId="8161" xr:uid="{00000000-0005-0000-0000-0000221A0000}"/>
    <cellStyle name="Normal 3 36 2 6 5" xfId="8162" xr:uid="{00000000-0005-0000-0000-0000231A0000}"/>
    <cellStyle name="Normal 3 36 2 7" xfId="2334" xr:uid="{00000000-0005-0000-0000-0000241A0000}"/>
    <cellStyle name="Normal 3 36 2 7 2" xfId="8163" xr:uid="{00000000-0005-0000-0000-0000251A0000}"/>
    <cellStyle name="Normal 3 36 2 7 2 2" xfId="8164" xr:uid="{00000000-0005-0000-0000-0000261A0000}"/>
    <cellStyle name="Normal 3 36 2 7 3" xfId="8165" xr:uid="{00000000-0005-0000-0000-0000271A0000}"/>
    <cellStyle name="Normal 3 36 2 7 3 2" xfId="8166" xr:uid="{00000000-0005-0000-0000-0000281A0000}"/>
    <cellStyle name="Normal 3 36 2 7 4" xfId="8167" xr:uid="{00000000-0005-0000-0000-0000291A0000}"/>
    <cellStyle name="Normal 3 36 2 7 5" xfId="8168" xr:uid="{00000000-0005-0000-0000-00002A1A0000}"/>
    <cellStyle name="Normal 3 36 2 8" xfId="2335" xr:uid="{00000000-0005-0000-0000-00002B1A0000}"/>
    <cellStyle name="Normal 3 36 2 8 2" xfId="8169" xr:uid="{00000000-0005-0000-0000-00002C1A0000}"/>
    <cellStyle name="Normal 3 36 2 8 2 2" xfId="8170" xr:uid="{00000000-0005-0000-0000-00002D1A0000}"/>
    <cellStyle name="Normal 3 36 2 8 3" xfId="8171" xr:uid="{00000000-0005-0000-0000-00002E1A0000}"/>
    <cellStyle name="Normal 3 36 2 8 3 2" xfId="8172" xr:uid="{00000000-0005-0000-0000-00002F1A0000}"/>
    <cellStyle name="Normal 3 36 2 8 4" xfId="8173" xr:uid="{00000000-0005-0000-0000-0000301A0000}"/>
    <cellStyle name="Normal 3 36 2 8 5" xfId="8174" xr:uid="{00000000-0005-0000-0000-0000311A0000}"/>
    <cellStyle name="Normal 3 36 2 9" xfId="2336" xr:uid="{00000000-0005-0000-0000-0000321A0000}"/>
    <cellStyle name="Normal 3 36 2 9 2" xfId="8175" xr:uid="{00000000-0005-0000-0000-0000331A0000}"/>
    <cellStyle name="Normal 3 36 2 9 2 2" xfId="8176" xr:uid="{00000000-0005-0000-0000-0000341A0000}"/>
    <cellStyle name="Normal 3 36 2 9 3" xfId="8177" xr:uid="{00000000-0005-0000-0000-0000351A0000}"/>
    <cellStyle name="Normal 3 36 2 9 3 2" xfId="8178" xr:uid="{00000000-0005-0000-0000-0000361A0000}"/>
    <cellStyle name="Normal 3 36 2 9 4" xfId="8179" xr:uid="{00000000-0005-0000-0000-0000371A0000}"/>
    <cellStyle name="Normal 3 36 2 9 5" xfId="8180" xr:uid="{00000000-0005-0000-0000-0000381A0000}"/>
    <cellStyle name="Normal 3 36 3" xfId="2337" xr:uid="{00000000-0005-0000-0000-0000391A0000}"/>
    <cellStyle name="Normal 3 36 3 2" xfId="8181" xr:uid="{00000000-0005-0000-0000-00003A1A0000}"/>
    <cellStyle name="Normal 3 36 3 2 2" xfId="8182" xr:uid="{00000000-0005-0000-0000-00003B1A0000}"/>
    <cellStyle name="Normal 3 36 3 3" xfId="8183" xr:uid="{00000000-0005-0000-0000-00003C1A0000}"/>
    <cellStyle name="Normal 3 36 3 3 2" xfId="8184" xr:uid="{00000000-0005-0000-0000-00003D1A0000}"/>
    <cellStyle name="Normal 3 36 3 4" xfId="8185" xr:uid="{00000000-0005-0000-0000-00003E1A0000}"/>
    <cellStyle name="Normal 3 36 3 5" xfId="8186" xr:uid="{00000000-0005-0000-0000-00003F1A0000}"/>
    <cellStyle name="Normal 3 36 4" xfId="2338" xr:uid="{00000000-0005-0000-0000-0000401A0000}"/>
    <cellStyle name="Normal 3 36 4 2" xfId="8187" xr:uid="{00000000-0005-0000-0000-0000411A0000}"/>
    <cellStyle name="Normal 3 36 4 2 2" xfId="8188" xr:uid="{00000000-0005-0000-0000-0000421A0000}"/>
    <cellStyle name="Normal 3 36 4 3" xfId="8189" xr:uid="{00000000-0005-0000-0000-0000431A0000}"/>
    <cellStyle name="Normal 3 36 4 3 2" xfId="8190" xr:uid="{00000000-0005-0000-0000-0000441A0000}"/>
    <cellStyle name="Normal 3 36 4 4" xfId="8191" xr:uid="{00000000-0005-0000-0000-0000451A0000}"/>
    <cellStyle name="Normal 3 36 4 5" xfId="8192" xr:uid="{00000000-0005-0000-0000-0000461A0000}"/>
    <cellStyle name="Normal 3 36 5" xfId="2339" xr:uid="{00000000-0005-0000-0000-0000471A0000}"/>
    <cellStyle name="Normal 3 36 5 2" xfId="8193" xr:uid="{00000000-0005-0000-0000-0000481A0000}"/>
    <cellStyle name="Normal 3 36 5 2 2" xfId="8194" xr:uid="{00000000-0005-0000-0000-0000491A0000}"/>
    <cellStyle name="Normal 3 36 5 3" xfId="8195" xr:uid="{00000000-0005-0000-0000-00004A1A0000}"/>
    <cellStyle name="Normal 3 36 5 3 2" xfId="8196" xr:uid="{00000000-0005-0000-0000-00004B1A0000}"/>
    <cellStyle name="Normal 3 36 5 4" xfId="8197" xr:uid="{00000000-0005-0000-0000-00004C1A0000}"/>
    <cellStyle name="Normal 3 36 5 5" xfId="8198" xr:uid="{00000000-0005-0000-0000-00004D1A0000}"/>
    <cellStyle name="Normal 3 36 6" xfId="2340" xr:uid="{00000000-0005-0000-0000-00004E1A0000}"/>
    <cellStyle name="Normal 3 36 6 2" xfId="8199" xr:uid="{00000000-0005-0000-0000-00004F1A0000}"/>
    <cellStyle name="Normal 3 36 6 2 2" xfId="8200" xr:uid="{00000000-0005-0000-0000-0000501A0000}"/>
    <cellStyle name="Normal 3 36 6 3" xfId="8201" xr:uid="{00000000-0005-0000-0000-0000511A0000}"/>
    <cellStyle name="Normal 3 36 6 3 2" xfId="8202" xr:uid="{00000000-0005-0000-0000-0000521A0000}"/>
    <cellStyle name="Normal 3 36 6 4" xfId="8203" xr:uid="{00000000-0005-0000-0000-0000531A0000}"/>
    <cellStyle name="Normal 3 36 6 5" xfId="8204" xr:uid="{00000000-0005-0000-0000-0000541A0000}"/>
    <cellStyle name="Normal 3 36 7" xfId="2341" xr:uid="{00000000-0005-0000-0000-0000551A0000}"/>
    <cellStyle name="Normal 3 36 7 2" xfId="8205" xr:uid="{00000000-0005-0000-0000-0000561A0000}"/>
    <cellStyle name="Normal 3 36 7 2 2" xfId="8206" xr:uid="{00000000-0005-0000-0000-0000571A0000}"/>
    <cellStyle name="Normal 3 36 7 3" xfId="8207" xr:uid="{00000000-0005-0000-0000-0000581A0000}"/>
    <cellStyle name="Normal 3 36 7 3 2" xfId="8208" xr:uid="{00000000-0005-0000-0000-0000591A0000}"/>
    <cellStyle name="Normal 3 36 7 4" xfId="8209" xr:uid="{00000000-0005-0000-0000-00005A1A0000}"/>
    <cellStyle name="Normal 3 36 7 5" xfId="8210" xr:uid="{00000000-0005-0000-0000-00005B1A0000}"/>
    <cellStyle name="Normal 3 36 8" xfId="2342" xr:uid="{00000000-0005-0000-0000-00005C1A0000}"/>
    <cellStyle name="Normal 3 36 8 2" xfId="8211" xr:uid="{00000000-0005-0000-0000-00005D1A0000}"/>
    <cellStyle name="Normal 3 36 8 2 2" xfId="8212" xr:uid="{00000000-0005-0000-0000-00005E1A0000}"/>
    <cellStyle name="Normal 3 36 8 3" xfId="8213" xr:uid="{00000000-0005-0000-0000-00005F1A0000}"/>
    <cellStyle name="Normal 3 36 8 3 2" xfId="8214" xr:uid="{00000000-0005-0000-0000-0000601A0000}"/>
    <cellStyle name="Normal 3 36 8 4" xfId="8215" xr:uid="{00000000-0005-0000-0000-0000611A0000}"/>
    <cellStyle name="Normal 3 36 8 5" xfId="8216" xr:uid="{00000000-0005-0000-0000-0000621A0000}"/>
    <cellStyle name="Normal 3 36 9" xfId="2343" xr:uid="{00000000-0005-0000-0000-0000631A0000}"/>
    <cellStyle name="Normal 3 36 9 2" xfId="8217" xr:uid="{00000000-0005-0000-0000-0000641A0000}"/>
    <cellStyle name="Normal 3 36 9 2 2" xfId="8218" xr:uid="{00000000-0005-0000-0000-0000651A0000}"/>
    <cellStyle name="Normal 3 36 9 3" xfId="8219" xr:uid="{00000000-0005-0000-0000-0000661A0000}"/>
    <cellStyle name="Normal 3 36 9 3 2" xfId="8220" xr:uid="{00000000-0005-0000-0000-0000671A0000}"/>
    <cellStyle name="Normal 3 36 9 4" xfId="8221" xr:uid="{00000000-0005-0000-0000-0000681A0000}"/>
    <cellStyle name="Normal 3 36 9 5" xfId="8222" xr:uid="{00000000-0005-0000-0000-0000691A0000}"/>
    <cellStyle name="Normal 3 37" xfId="2344" xr:uid="{00000000-0005-0000-0000-00006A1A0000}"/>
    <cellStyle name="Normal 3 37 10" xfId="2345" xr:uid="{00000000-0005-0000-0000-00006B1A0000}"/>
    <cellStyle name="Normal 3 37 10 2" xfId="8223" xr:uid="{00000000-0005-0000-0000-00006C1A0000}"/>
    <cellStyle name="Normal 3 37 10 2 2" xfId="8224" xr:uid="{00000000-0005-0000-0000-00006D1A0000}"/>
    <cellStyle name="Normal 3 37 10 3" xfId="8225" xr:uid="{00000000-0005-0000-0000-00006E1A0000}"/>
    <cellStyle name="Normal 3 37 10 3 2" xfId="8226" xr:uid="{00000000-0005-0000-0000-00006F1A0000}"/>
    <cellStyle name="Normal 3 37 10 4" xfId="8227" xr:uid="{00000000-0005-0000-0000-0000701A0000}"/>
    <cellStyle name="Normal 3 37 10 5" xfId="8228" xr:uid="{00000000-0005-0000-0000-0000711A0000}"/>
    <cellStyle name="Normal 3 37 11" xfId="2346" xr:uid="{00000000-0005-0000-0000-0000721A0000}"/>
    <cellStyle name="Normal 3 37 11 2" xfId="8229" xr:uid="{00000000-0005-0000-0000-0000731A0000}"/>
    <cellStyle name="Normal 3 37 11 2 2" xfId="8230" xr:uid="{00000000-0005-0000-0000-0000741A0000}"/>
    <cellStyle name="Normal 3 37 11 3" xfId="8231" xr:uid="{00000000-0005-0000-0000-0000751A0000}"/>
    <cellStyle name="Normal 3 37 11 3 2" xfId="8232" xr:uid="{00000000-0005-0000-0000-0000761A0000}"/>
    <cellStyle name="Normal 3 37 11 4" xfId="8233" xr:uid="{00000000-0005-0000-0000-0000771A0000}"/>
    <cellStyle name="Normal 3 37 11 5" xfId="8234" xr:uid="{00000000-0005-0000-0000-0000781A0000}"/>
    <cellStyle name="Normal 3 37 12" xfId="2347" xr:uid="{00000000-0005-0000-0000-0000791A0000}"/>
    <cellStyle name="Normal 3 37 12 2" xfId="8235" xr:uid="{00000000-0005-0000-0000-00007A1A0000}"/>
    <cellStyle name="Normal 3 37 12 2 2" xfId="8236" xr:uid="{00000000-0005-0000-0000-00007B1A0000}"/>
    <cellStyle name="Normal 3 37 12 3" xfId="8237" xr:uid="{00000000-0005-0000-0000-00007C1A0000}"/>
    <cellStyle name="Normal 3 37 12 3 2" xfId="8238" xr:uid="{00000000-0005-0000-0000-00007D1A0000}"/>
    <cellStyle name="Normal 3 37 12 4" xfId="8239" xr:uid="{00000000-0005-0000-0000-00007E1A0000}"/>
    <cellStyle name="Normal 3 37 12 5" xfId="8240" xr:uid="{00000000-0005-0000-0000-00007F1A0000}"/>
    <cellStyle name="Normal 3 37 13" xfId="2348" xr:uid="{00000000-0005-0000-0000-0000801A0000}"/>
    <cellStyle name="Normal 3 37 13 2" xfId="8241" xr:uid="{00000000-0005-0000-0000-0000811A0000}"/>
    <cellStyle name="Normal 3 37 13 2 2" xfId="8242" xr:uid="{00000000-0005-0000-0000-0000821A0000}"/>
    <cellStyle name="Normal 3 37 13 3" xfId="8243" xr:uid="{00000000-0005-0000-0000-0000831A0000}"/>
    <cellStyle name="Normal 3 37 13 3 2" xfId="8244" xr:uid="{00000000-0005-0000-0000-0000841A0000}"/>
    <cellStyle name="Normal 3 37 13 4" xfId="8245" xr:uid="{00000000-0005-0000-0000-0000851A0000}"/>
    <cellStyle name="Normal 3 37 13 5" xfId="8246" xr:uid="{00000000-0005-0000-0000-0000861A0000}"/>
    <cellStyle name="Normal 3 37 14" xfId="8247" xr:uid="{00000000-0005-0000-0000-0000871A0000}"/>
    <cellStyle name="Normal 3 37 14 2" xfId="8248" xr:uid="{00000000-0005-0000-0000-0000881A0000}"/>
    <cellStyle name="Normal 3 37 15" xfId="8249" xr:uid="{00000000-0005-0000-0000-0000891A0000}"/>
    <cellStyle name="Normal 3 37 15 2" xfId="8250" xr:uid="{00000000-0005-0000-0000-00008A1A0000}"/>
    <cellStyle name="Normal 3 37 16" xfId="8251" xr:uid="{00000000-0005-0000-0000-00008B1A0000}"/>
    <cellStyle name="Normal 3 37 17" xfId="8252" xr:uid="{00000000-0005-0000-0000-00008C1A0000}"/>
    <cellStyle name="Normal 3 37 2" xfId="2349" xr:uid="{00000000-0005-0000-0000-00008D1A0000}"/>
    <cellStyle name="Normal 3 37 2 10" xfId="2350" xr:uid="{00000000-0005-0000-0000-00008E1A0000}"/>
    <cellStyle name="Normal 3 37 2 10 2" xfId="8253" xr:uid="{00000000-0005-0000-0000-00008F1A0000}"/>
    <cellStyle name="Normal 3 37 2 10 2 2" xfId="8254" xr:uid="{00000000-0005-0000-0000-0000901A0000}"/>
    <cellStyle name="Normal 3 37 2 10 3" xfId="8255" xr:uid="{00000000-0005-0000-0000-0000911A0000}"/>
    <cellStyle name="Normal 3 37 2 10 3 2" xfId="8256" xr:uid="{00000000-0005-0000-0000-0000921A0000}"/>
    <cellStyle name="Normal 3 37 2 10 4" xfId="8257" xr:uid="{00000000-0005-0000-0000-0000931A0000}"/>
    <cellStyle name="Normal 3 37 2 10 5" xfId="8258" xr:uid="{00000000-0005-0000-0000-0000941A0000}"/>
    <cellStyle name="Normal 3 37 2 11" xfId="2351" xr:uid="{00000000-0005-0000-0000-0000951A0000}"/>
    <cellStyle name="Normal 3 37 2 11 2" xfId="8259" xr:uid="{00000000-0005-0000-0000-0000961A0000}"/>
    <cellStyle name="Normal 3 37 2 11 2 2" xfId="8260" xr:uid="{00000000-0005-0000-0000-0000971A0000}"/>
    <cellStyle name="Normal 3 37 2 11 3" xfId="8261" xr:uid="{00000000-0005-0000-0000-0000981A0000}"/>
    <cellStyle name="Normal 3 37 2 11 3 2" xfId="8262" xr:uid="{00000000-0005-0000-0000-0000991A0000}"/>
    <cellStyle name="Normal 3 37 2 11 4" xfId="8263" xr:uid="{00000000-0005-0000-0000-00009A1A0000}"/>
    <cellStyle name="Normal 3 37 2 11 5" xfId="8264" xr:uid="{00000000-0005-0000-0000-00009B1A0000}"/>
    <cellStyle name="Normal 3 37 2 12" xfId="2352" xr:uid="{00000000-0005-0000-0000-00009C1A0000}"/>
    <cellStyle name="Normal 3 37 2 12 2" xfId="8265" xr:uid="{00000000-0005-0000-0000-00009D1A0000}"/>
    <cellStyle name="Normal 3 37 2 12 2 2" xfId="8266" xr:uid="{00000000-0005-0000-0000-00009E1A0000}"/>
    <cellStyle name="Normal 3 37 2 12 3" xfId="8267" xr:uid="{00000000-0005-0000-0000-00009F1A0000}"/>
    <cellStyle name="Normal 3 37 2 12 3 2" xfId="8268" xr:uid="{00000000-0005-0000-0000-0000A01A0000}"/>
    <cellStyle name="Normal 3 37 2 12 4" xfId="8269" xr:uid="{00000000-0005-0000-0000-0000A11A0000}"/>
    <cellStyle name="Normal 3 37 2 12 5" xfId="8270" xr:uid="{00000000-0005-0000-0000-0000A21A0000}"/>
    <cellStyle name="Normal 3 37 2 13" xfId="8271" xr:uid="{00000000-0005-0000-0000-0000A31A0000}"/>
    <cellStyle name="Normal 3 37 2 13 2" xfId="8272" xr:uid="{00000000-0005-0000-0000-0000A41A0000}"/>
    <cellStyle name="Normal 3 37 2 14" xfId="8273" xr:uid="{00000000-0005-0000-0000-0000A51A0000}"/>
    <cellStyle name="Normal 3 37 2 14 2" xfId="8274" xr:uid="{00000000-0005-0000-0000-0000A61A0000}"/>
    <cellStyle name="Normal 3 37 2 15" xfId="8275" xr:uid="{00000000-0005-0000-0000-0000A71A0000}"/>
    <cellStyle name="Normal 3 37 2 16" xfId="8276" xr:uid="{00000000-0005-0000-0000-0000A81A0000}"/>
    <cellStyle name="Normal 3 37 2 2" xfId="2353" xr:uid="{00000000-0005-0000-0000-0000A91A0000}"/>
    <cellStyle name="Normal 3 37 2 2 2" xfId="8277" xr:uid="{00000000-0005-0000-0000-0000AA1A0000}"/>
    <cellStyle name="Normal 3 37 2 2 2 2" xfId="8278" xr:uid="{00000000-0005-0000-0000-0000AB1A0000}"/>
    <cellStyle name="Normal 3 37 2 2 3" xfId="8279" xr:uid="{00000000-0005-0000-0000-0000AC1A0000}"/>
    <cellStyle name="Normal 3 37 2 2 3 2" xfId="8280" xr:uid="{00000000-0005-0000-0000-0000AD1A0000}"/>
    <cellStyle name="Normal 3 37 2 2 4" xfId="8281" xr:uid="{00000000-0005-0000-0000-0000AE1A0000}"/>
    <cellStyle name="Normal 3 37 2 2 5" xfId="8282" xr:uid="{00000000-0005-0000-0000-0000AF1A0000}"/>
    <cellStyle name="Normal 3 37 2 3" xfId="2354" xr:uid="{00000000-0005-0000-0000-0000B01A0000}"/>
    <cellStyle name="Normal 3 37 2 3 2" xfId="8283" xr:uid="{00000000-0005-0000-0000-0000B11A0000}"/>
    <cellStyle name="Normal 3 37 2 3 2 2" xfId="8284" xr:uid="{00000000-0005-0000-0000-0000B21A0000}"/>
    <cellStyle name="Normal 3 37 2 3 3" xfId="8285" xr:uid="{00000000-0005-0000-0000-0000B31A0000}"/>
    <cellStyle name="Normal 3 37 2 3 3 2" xfId="8286" xr:uid="{00000000-0005-0000-0000-0000B41A0000}"/>
    <cellStyle name="Normal 3 37 2 3 4" xfId="8287" xr:uid="{00000000-0005-0000-0000-0000B51A0000}"/>
    <cellStyle name="Normal 3 37 2 3 5" xfId="8288" xr:uid="{00000000-0005-0000-0000-0000B61A0000}"/>
    <cellStyle name="Normal 3 37 2 4" xfId="2355" xr:uid="{00000000-0005-0000-0000-0000B71A0000}"/>
    <cellStyle name="Normal 3 37 2 4 2" xfId="8289" xr:uid="{00000000-0005-0000-0000-0000B81A0000}"/>
    <cellStyle name="Normal 3 37 2 4 2 2" xfId="8290" xr:uid="{00000000-0005-0000-0000-0000B91A0000}"/>
    <cellStyle name="Normal 3 37 2 4 3" xfId="8291" xr:uid="{00000000-0005-0000-0000-0000BA1A0000}"/>
    <cellStyle name="Normal 3 37 2 4 3 2" xfId="8292" xr:uid="{00000000-0005-0000-0000-0000BB1A0000}"/>
    <cellStyle name="Normal 3 37 2 4 4" xfId="8293" xr:uid="{00000000-0005-0000-0000-0000BC1A0000}"/>
    <cellStyle name="Normal 3 37 2 4 5" xfId="8294" xr:uid="{00000000-0005-0000-0000-0000BD1A0000}"/>
    <cellStyle name="Normal 3 37 2 5" xfId="2356" xr:uid="{00000000-0005-0000-0000-0000BE1A0000}"/>
    <cellStyle name="Normal 3 37 2 5 2" xfId="8295" xr:uid="{00000000-0005-0000-0000-0000BF1A0000}"/>
    <cellStyle name="Normal 3 37 2 5 2 2" xfId="8296" xr:uid="{00000000-0005-0000-0000-0000C01A0000}"/>
    <cellStyle name="Normal 3 37 2 5 3" xfId="8297" xr:uid="{00000000-0005-0000-0000-0000C11A0000}"/>
    <cellStyle name="Normal 3 37 2 5 3 2" xfId="8298" xr:uid="{00000000-0005-0000-0000-0000C21A0000}"/>
    <cellStyle name="Normal 3 37 2 5 4" xfId="8299" xr:uid="{00000000-0005-0000-0000-0000C31A0000}"/>
    <cellStyle name="Normal 3 37 2 5 5" xfId="8300" xr:uid="{00000000-0005-0000-0000-0000C41A0000}"/>
    <cellStyle name="Normal 3 37 2 6" xfId="2357" xr:uid="{00000000-0005-0000-0000-0000C51A0000}"/>
    <cellStyle name="Normal 3 37 2 6 2" xfId="8301" xr:uid="{00000000-0005-0000-0000-0000C61A0000}"/>
    <cellStyle name="Normal 3 37 2 6 2 2" xfId="8302" xr:uid="{00000000-0005-0000-0000-0000C71A0000}"/>
    <cellStyle name="Normal 3 37 2 6 3" xfId="8303" xr:uid="{00000000-0005-0000-0000-0000C81A0000}"/>
    <cellStyle name="Normal 3 37 2 6 3 2" xfId="8304" xr:uid="{00000000-0005-0000-0000-0000C91A0000}"/>
    <cellStyle name="Normal 3 37 2 6 4" xfId="8305" xr:uid="{00000000-0005-0000-0000-0000CA1A0000}"/>
    <cellStyle name="Normal 3 37 2 6 5" xfId="8306" xr:uid="{00000000-0005-0000-0000-0000CB1A0000}"/>
    <cellStyle name="Normal 3 37 2 7" xfId="2358" xr:uid="{00000000-0005-0000-0000-0000CC1A0000}"/>
    <cellStyle name="Normal 3 37 2 7 2" xfId="8307" xr:uid="{00000000-0005-0000-0000-0000CD1A0000}"/>
    <cellStyle name="Normal 3 37 2 7 2 2" xfId="8308" xr:uid="{00000000-0005-0000-0000-0000CE1A0000}"/>
    <cellStyle name="Normal 3 37 2 7 3" xfId="8309" xr:uid="{00000000-0005-0000-0000-0000CF1A0000}"/>
    <cellStyle name="Normal 3 37 2 7 3 2" xfId="8310" xr:uid="{00000000-0005-0000-0000-0000D01A0000}"/>
    <cellStyle name="Normal 3 37 2 7 4" xfId="8311" xr:uid="{00000000-0005-0000-0000-0000D11A0000}"/>
    <cellStyle name="Normal 3 37 2 7 5" xfId="8312" xr:uid="{00000000-0005-0000-0000-0000D21A0000}"/>
    <cellStyle name="Normal 3 37 2 8" xfId="2359" xr:uid="{00000000-0005-0000-0000-0000D31A0000}"/>
    <cellStyle name="Normal 3 37 2 8 2" xfId="8313" xr:uid="{00000000-0005-0000-0000-0000D41A0000}"/>
    <cellStyle name="Normal 3 37 2 8 2 2" xfId="8314" xr:uid="{00000000-0005-0000-0000-0000D51A0000}"/>
    <cellStyle name="Normal 3 37 2 8 3" xfId="8315" xr:uid="{00000000-0005-0000-0000-0000D61A0000}"/>
    <cellStyle name="Normal 3 37 2 8 3 2" xfId="8316" xr:uid="{00000000-0005-0000-0000-0000D71A0000}"/>
    <cellStyle name="Normal 3 37 2 8 4" xfId="8317" xr:uid="{00000000-0005-0000-0000-0000D81A0000}"/>
    <cellStyle name="Normal 3 37 2 8 5" xfId="8318" xr:uid="{00000000-0005-0000-0000-0000D91A0000}"/>
    <cellStyle name="Normal 3 37 2 9" xfId="2360" xr:uid="{00000000-0005-0000-0000-0000DA1A0000}"/>
    <cellStyle name="Normal 3 37 2 9 2" xfId="8319" xr:uid="{00000000-0005-0000-0000-0000DB1A0000}"/>
    <cellStyle name="Normal 3 37 2 9 2 2" xfId="8320" xr:uid="{00000000-0005-0000-0000-0000DC1A0000}"/>
    <cellStyle name="Normal 3 37 2 9 3" xfId="8321" xr:uid="{00000000-0005-0000-0000-0000DD1A0000}"/>
    <cellStyle name="Normal 3 37 2 9 3 2" xfId="8322" xr:uid="{00000000-0005-0000-0000-0000DE1A0000}"/>
    <cellStyle name="Normal 3 37 2 9 4" xfId="8323" xr:uid="{00000000-0005-0000-0000-0000DF1A0000}"/>
    <cellStyle name="Normal 3 37 2 9 5" xfId="8324" xr:uid="{00000000-0005-0000-0000-0000E01A0000}"/>
    <cellStyle name="Normal 3 37 3" xfId="2361" xr:uid="{00000000-0005-0000-0000-0000E11A0000}"/>
    <cellStyle name="Normal 3 37 3 2" xfId="8325" xr:uid="{00000000-0005-0000-0000-0000E21A0000}"/>
    <cellStyle name="Normal 3 37 3 2 2" xfId="8326" xr:uid="{00000000-0005-0000-0000-0000E31A0000}"/>
    <cellStyle name="Normal 3 37 3 3" xfId="8327" xr:uid="{00000000-0005-0000-0000-0000E41A0000}"/>
    <cellStyle name="Normal 3 37 3 3 2" xfId="8328" xr:uid="{00000000-0005-0000-0000-0000E51A0000}"/>
    <cellStyle name="Normal 3 37 3 4" xfId="8329" xr:uid="{00000000-0005-0000-0000-0000E61A0000}"/>
    <cellStyle name="Normal 3 37 3 5" xfId="8330" xr:uid="{00000000-0005-0000-0000-0000E71A0000}"/>
    <cellStyle name="Normal 3 37 4" xfId="2362" xr:uid="{00000000-0005-0000-0000-0000E81A0000}"/>
    <cellStyle name="Normal 3 37 4 2" xfId="8331" xr:uid="{00000000-0005-0000-0000-0000E91A0000}"/>
    <cellStyle name="Normal 3 37 4 2 2" xfId="8332" xr:uid="{00000000-0005-0000-0000-0000EA1A0000}"/>
    <cellStyle name="Normal 3 37 4 3" xfId="8333" xr:uid="{00000000-0005-0000-0000-0000EB1A0000}"/>
    <cellStyle name="Normal 3 37 4 3 2" xfId="8334" xr:uid="{00000000-0005-0000-0000-0000EC1A0000}"/>
    <cellStyle name="Normal 3 37 4 4" xfId="8335" xr:uid="{00000000-0005-0000-0000-0000ED1A0000}"/>
    <cellStyle name="Normal 3 37 4 5" xfId="8336" xr:uid="{00000000-0005-0000-0000-0000EE1A0000}"/>
    <cellStyle name="Normal 3 37 5" xfId="2363" xr:uid="{00000000-0005-0000-0000-0000EF1A0000}"/>
    <cellStyle name="Normal 3 37 5 2" xfId="8337" xr:uid="{00000000-0005-0000-0000-0000F01A0000}"/>
    <cellStyle name="Normal 3 37 5 2 2" xfId="8338" xr:uid="{00000000-0005-0000-0000-0000F11A0000}"/>
    <cellStyle name="Normal 3 37 5 3" xfId="8339" xr:uid="{00000000-0005-0000-0000-0000F21A0000}"/>
    <cellStyle name="Normal 3 37 5 3 2" xfId="8340" xr:uid="{00000000-0005-0000-0000-0000F31A0000}"/>
    <cellStyle name="Normal 3 37 5 4" xfId="8341" xr:uid="{00000000-0005-0000-0000-0000F41A0000}"/>
    <cellStyle name="Normal 3 37 5 5" xfId="8342" xr:uid="{00000000-0005-0000-0000-0000F51A0000}"/>
    <cellStyle name="Normal 3 37 6" xfId="2364" xr:uid="{00000000-0005-0000-0000-0000F61A0000}"/>
    <cellStyle name="Normal 3 37 6 2" xfId="8343" xr:uid="{00000000-0005-0000-0000-0000F71A0000}"/>
    <cellStyle name="Normal 3 37 6 2 2" xfId="8344" xr:uid="{00000000-0005-0000-0000-0000F81A0000}"/>
    <cellStyle name="Normal 3 37 6 3" xfId="8345" xr:uid="{00000000-0005-0000-0000-0000F91A0000}"/>
    <cellStyle name="Normal 3 37 6 3 2" xfId="8346" xr:uid="{00000000-0005-0000-0000-0000FA1A0000}"/>
    <cellStyle name="Normal 3 37 6 4" xfId="8347" xr:uid="{00000000-0005-0000-0000-0000FB1A0000}"/>
    <cellStyle name="Normal 3 37 6 5" xfId="8348" xr:uid="{00000000-0005-0000-0000-0000FC1A0000}"/>
    <cellStyle name="Normal 3 37 7" xfId="2365" xr:uid="{00000000-0005-0000-0000-0000FD1A0000}"/>
    <cellStyle name="Normal 3 37 7 2" xfId="8349" xr:uid="{00000000-0005-0000-0000-0000FE1A0000}"/>
    <cellStyle name="Normal 3 37 7 2 2" xfId="8350" xr:uid="{00000000-0005-0000-0000-0000FF1A0000}"/>
    <cellStyle name="Normal 3 37 7 3" xfId="8351" xr:uid="{00000000-0005-0000-0000-0000001B0000}"/>
    <cellStyle name="Normal 3 37 7 3 2" xfId="8352" xr:uid="{00000000-0005-0000-0000-0000011B0000}"/>
    <cellStyle name="Normal 3 37 7 4" xfId="8353" xr:uid="{00000000-0005-0000-0000-0000021B0000}"/>
    <cellStyle name="Normal 3 37 7 5" xfId="8354" xr:uid="{00000000-0005-0000-0000-0000031B0000}"/>
    <cellStyle name="Normal 3 37 8" xfId="2366" xr:uid="{00000000-0005-0000-0000-0000041B0000}"/>
    <cellStyle name="Normal 3 37 8 2" xfId="8355" xr:uid="{00000000-0005-0000-0000-0000051B0000}"/>
    <cellStyle name="Normal 3 37 8 2 2" xfId="8356" xr:uid="{00000000-0005-0000-0000-0000061B0000}"/>
    <cellStyle name="Normal 3 37 8 3" xfId="8357" xr:uid="{00000000-0005-0000-0000-0000071B0000}"/>
    <cellStyle name="Normal 3 37 8 3 2" xfId="8358" xr:uid="{00000000-0005-0000-0000-0000081B0000}"/>
    <cellStyle name="Normal 3 37 8 4" xfId="8359" xr:uid="{00000000-0005-0000-0000-0000091B0000}"/>
    <cellStyle name="Normal 3 37 8 5" xfId="8360" xr:uid="{00000000-0005-0000-0000-00000A1B0000}"/>
    <cellStyle name="Normal 3 37 9" xfId="2367" xr:uid="{00000000-0005-0000-0000-00000B1B0000}"/>
    <cellStyle name="Normal 3 37 9 2" xfId="8361" xr:uid="{00000000-0005-0000-0000-00000C1B0000}"/>
    <cellStyle name="Normal 3 37 9 2 2" xfId="8362" xr:uid="{00000000-0005-0000-0000-00000D1B0000}"/>
    <cellStyle name="Normal 3 37 9 3" xfId="8363" xr:uid="{00000000-0005-0000-0000-00000E1B0000}"/>
    <cellStyle name="Normal 3 37 9 3 2" xfId="8364" xr:uid="{00000000-0005-0000-0000-00000F1B0000}"/>
    <cellStyle name="Normal 3 37 9 4" xfId="8365" xr:uid="{00000000-0005-0000-0000-0000101B0000}"/>
    <cellStyle name="Normal 3 37 9 5" xfId="8366" xr:uid="{00000000-0005-0000-0000-0000111B0000}"/>
    <cellStyle name="Normal 3 38" xfId="2368" xr:uid="{00000000-0005-0000-0000-0000121B0000}"/>
    <cellStyle name="Normal 3 38 10" xfId="2369" xr:uid="{00000000-0005-0000-0000-0000131B0000}"/>
    <cellStyle name="Normal 3 38 10 2" xfId="8367" xr:uid="{00000000-0005-0000-0000-0000141B0000}"/>
    <cellStyle name="Normal 3 38 10 2 2" xfId="8368" xr:uid="{00000000-0005-0000-0000-0000151B0000}"/>
    <cellStyle name="Normal 3 38 10 3" xfId="8369" xr:uid="{00000000-0005-0000-0000-0000161B0000}"/>
    <cellStyle name="Normal 3 38 10 3 2" xfId="8370" xr:uid="{00000000-0005-0000-0000-0000171B0000}"/>
    <cellStyle name="Normal 3 38 10 4" xfId="8371" xr:uid="{00000000-0005-0000-0000-0000181B0000}"/>
    <cellStyle name="Normal 3 38 10 5" xfId="8372" xr:uid="{00000000-0005-0000-0000-0000191B0000}"/>
    <cellStyle name="Normal 3 38 11" xfId="2370" xr:uid="{00000000-0005-0000-0000-00001A1B0000}"/>
    <cellStyle name="Normal 3 38 11 2" xfId="8373" xr:uid="{00000000-0005-0000-0000-00001B1B0000}"/>
    <cellStyle name="Normal 3 38 11 2 2" xfId="8374" xr:uid="{00000000-0005-0000-0000-00001C1B0000}"/>
    <cellStyle name="Normal 3 38 11 3" xfId="8375" xr:uid="{00000000-0005-0000-0000-00001D1B0000}"/>
    <cellStyle name="Normal 3 38 11 3 2" xfId="8376" xr:uid="{00000000-0005-0000-0000-00001E1B0000}"/>
    <cellStyle name="Normal 3 38 11 4" xfId="8377" xr:uid="{00000000-0005-0000-0000-00001F1B0000}"/>
    <cellStyle name="Normal 3 38 11 5" xfId="8378" xr:uid="{00000000-0005-0000-0000-0000201B0000}"/>
    <cellStyle name="Normal 3 38 12" xfId="2371" xr:uid="{00000000-0005-0000-0000-0000211B0000}"/>
    <cellStyle name="Normal 3 38 12 2" xfId="8379" xr:uid="{00000000-0005-0000-0000-0000221B0000}"/>
    <cellStyle name="Normal 3 38 12 2 2" xfId="8380" xr:uid="{00000000-0005-0000-0000-0000231B0000}"/>
    <cellStyle name="Normal 3 38 12 3" xfId="8381" xr:uid="{00000000-0005-0000-0000-0000241B0000}"/>
    <cellStyle name="Normal 3 38 12 3 2" xfId="8382" xr:uid="{00000000-0005-0000-0000-0000251B0000}"/>
    <cellStyle name="Normal 3 38 12 4" xfId="8383" xr:uid="{00000000-0005-0000-0000-0000261B0000}"/>
    <cellStyle name="Normal 3 38 12 5" xfId="8384" xr:uid="{00000000-0005-0000-0000-0000271B0000}"/>
    <cellStyle name="Normal 3 38 13" xfId="2372" xr:uid="{00000000-0005-0000-0000-0000281B0000}"/>
    <cellStyle name="Normal 3 38 13 2" xfId="8385" xr:uid="{00000000-0005-0000-0000-0000291B0000}"/>
    <cellStyle name="Normal 3 38 13 2 2" xfId="8386" xr:uid="{00000000-0005-0000-0000-00002A1B0000}"/>
    <cellStyle name="Normal 3 38 13 3" xfId="8387" xr:uid="{00000000-0005-0000-0000-00002B1B0000}"/>
    <cellStyle name="Normal 3 38 13 3 2" xfId="8388" xr:uid="{00000000-0005-0000-0000-00002C1B0000}"/>
    <cellStyle name="Normal 3 38 13 4" xfId="8389" xr:uid="{00000000-0005-0000-0000-00002D1B0000}"/>
    <cellStyle name="Normal 3 38 13 5" xfId="8390" xr:uid="{00000000-0005-0000-0000-00002E1B0000}"/>
    <cellStyle name="Normal 3 38 14" xfId="8391" xr:uid="{00000000-0005-0000-0000-00002F1B0000}"/>
    <cellStyle name="Normal 3 38 14 2" xfId="8392" xr:uid="{00000000-0005-0000-0000-0000301B0000}"/>
    <cellStyle name="Normal 3 38 15" xfId="8393" xr:uid="{00000000-0005-0000-0000-0000311B0000}"/>
    <cellStyle name="Normal 3 38 15 2" xfId="8394" xr:uid="{00000000-0005-0000-0000-0000321B0000}"/>
    <cellStyle name="Normal 3 38 16" xfId="8395" xr:uid="{00000000-0005-0000-0000-0000331B0000}"/>
    <cellStyle name="Normal 3 38 17" xfId="8396" xr:uid="{00000000-0005-0000-0000-0000341B0000}"/>
    <cellStyle name="Normal 3 38 2" xfId="2373" xr:uid="{00000000-0005-0000-0000-0000351B0000}"/>
    <cellStyle name="Normal 3 38 2 10" xfId="2374" xr:uid="{00000000-0005-0000-0000-0000361B0000}"/>
    <cellStyle name="Normal 3 38 2 10 2" xfId="8397" xr:uid="{00000000-0005-0000-0000-0000371B0000}"/>
    <cellStyle name="Normal 3 38 2 10 2 2" xfId="8398" xr:uid="{00000000-0005-0000-0000-0000381B0000}"/>
    <cellStyle name="Normal 3 38 2 10 3" xfId="8399" xr:uid="{00000000-0005-0000-0000-0000391B0000}"/>
    <cellStyle name="Normal 3 38 2 10 3 2" xfId="8400" xr:uid="{00000000-0005-0000-0000-00003A1B0000}"/>
    <cellStyle name="Normal 3 38 2 10 4" xfId="8401" xr:uid="{00000000-0005-0000-0000-00003B1B0000}"/>
    <cellStyle name="Normal 3 38 2 10 5" xfId="8402" xr:uid="{00000000-0005-0000-0000-00003C1B0000}"/>
    <cellStyle name="Normal 3 38 2 11" xfId="2375" xr:uid="{00000000-0005-0000-0000-00003D1B0000}"/>
    <cellStyle name="Normal 3 38 2 11 2" xfId="8403" xr:uid="{00000000-0005-0000-0000-00003E1B0000}"/>
    <cellStyle name="Normal 3 38 2 11 2 2" xfId="8404" xr:uid="{00000000-0005-0000-0000-00003F1B0000}"/>
    <cellStyle name="Normal 3 38 2 11 3" xfId="8405" xr:uid="{00000000-0005-0000-0000-0000401B0000}"/>
    <cellStyle name="Normal 3 38 2 11 3 2" xfId="8406" xr:uid="{00000000-0005-0000-0000-0000411B0000}"/>
    <cellStyle name="Normal 3 38 2 11 4" xfId="8407" xr:uid="{00000000-0005-0000-0000-0000421B0000}"/>
    <cellStyle name="Normal 3 38 2 11 5" xfId="8408" xr:uid="{00000000-0005-0000-0000-0000431B0000}"/>
    <cellStyle name="Normal 3 38 2 12" xfId="2376" xr:uid="{00000000-0005-0000-0000-0000441B0000}"/>
    <cellStyle name="Normal 3 38 2 12 2" xfId="8409" xr:uid="{00000000-0005-0000-0000-0000451B0000}"/>
    <cellStyle name="Normal 3 38 2 12 2 2" xfId="8410" xr:uid="{00000000-0005-0000-0000-0000461B0000}"/>
    <cellStyle name="Normal 3 38 2 12 3" xfId="8411" xr:uid="{00000000-0005-0000-0000-0000471B0000}"/>
    <cellStyle name="Normal 3 38 2 12 3 2" xfId="8412" xr:uid="{00000000-0005-0000-0000-0000481B0000}"/>
    <cellStyle name="Normal 3 38 2 12 4" xfId="8413" xr:uid="{00000000-0005-0000-0000-0000491B0000}"/>
    <cellStyle name="Normal 3 38 2 12 5" xfId="8414" xr:uid="{00000000-0005-0000-0000-00004A1B0000}"/>
    <cellStyle name="Normal 3 38 2 13" xfId="8415" xr:uid="{00000000-0005-0000-0000-00004B1B0000}"/>
    <cellStyle name="Normal 3 38 2 13 2" xfId="8416" xr:uid="{00000000-0005-0000-0000-00004C1B0000}"/>
    <cellStyle name="Normal 3 38 2 14" xfId="8417" xr:uid="{00000000-0005-0000-0000-00004D1B0000}"/>
    <cellStyle name="Normal 3 38 2 14 2" xfId="8418" xr:uid="{00000000-0005-0000-0000-00004E1B0000}"/>
    <cellStyle name="Normal 3 38 2 15" xfId="8419" xr:uid="{00000000-0005-0000-0000-00004F1B0000}"/>
    <cellStyle name="Normal 3 38 2 16" xfId="8420" xr:uid="{00000000-0005-0000-0000-0000501B0000}"/>
    <cellStyle name="Normal 3 38 2 2" xfId="2377" xr:uid="{00000000-0005-0000-0000-0000511B0000}"/>
    <cellStyle name="Normal 3 38 2 2 2" xfId="8421" xr:uid="{00000000-0005-0000-0000-0000521B0000}"/>
    <cellStyle name="Normal 3 38 2 2 2 2" xfId="8422" xr:uid="{00000000-0005-0000-0000-0000531B0000}"/>
    <cellStyle name="Normal 3 38 2 2 3" xfId="8423" xr:uid="{00000000-0005-0000-0000-0000541B0000}"/>
    <cellStyle name="Normal 3 38 2 2 3 2" xfId="8424" xr:uid="{00000000-0005-0000-0000-0000551B0000}"/>
    <cellStyle name="Normal 3 38 2 2 4" xfId="8425" xr:uid="{00000000-0005-0000-0000-0000561B0000}"/>
    <cellStyle name="Normal 3 38 2 2 5" xfId="8426" xr:uid="{00000000-0005-0000-0000-0000571B0000}"/>
    <cellStyle name="Normal 3 38 2 3" xfId="2378" xr:uid="{00000000-0005-0000-0000-0000581B0000}"/>
    <cellStyle name="Normal 3 38 2 3 2" xfId="8427" xr:uid="{00000000-0005-0000-0000-0000591B0000}"/>
    <cellStyle name="Normal 3 38 2 3 2 2" xfId="8428" xr:uid="{00000000-0005-0000-0000-00005A1B0000}"/>
    <cellStyle name="Normal 3 38 2 3 3" xfId="8429" xr:uid="{00000000-0005-0000-0000-00005B1B0000}"/>
    <cellStyle name="Normal 3 38 2 3 3 2" xfId="8430" xr:uid="{00000000-0005-0000-0000-00005C1B0000}"/>
    <cellStyle name="Normal 3 38 2 3 4" xfId="8431" xr:uid="{00000000-0005-0000-0000-00005D1B0000}"/>
    <cellStyle name="Normal 3 38 2 3 5" xfId="8432" xr:uid="{00000000-0005-0000-0000-00005E1B0000}"/>
    <cellStyle name="Normal 3 38 2 4" xfId="2379" xr:uid="{00000000-0005-0000-0000-00005F1B0000}"/>
    <cellStyle name="Normal 3 38 2 4 2" xfId="8433" xr:uid="{00000000-0005-0000-0000-0000601B0000}"/>
    <cellStyle name="Normal 3 38 2 4 2 2" xfId="8434" xr:uid="{00000000-0005-0000-0000-0000611B0000}"/>
    <cellStyle name="Normal 3 38 2 4 3" xfId="8435" xr:uid="{00000000-0005-0000-0000-0000621B0000}"/>
    <cellStyle name="Normal 3 38 2 4 3 2" xfId="8436" xr:uid="{00000000-0005-0000-0000-0000631B0000}"/>
    <cellStyle name="Normal 3 38 2 4 4" xfId="8437" xr:uid="{00000000-0005-0000-0000-0000641B0000}"/>
    <cellStyle name="Normal 3 38 2 4 5" xfId="8438" xr:uid="{00000000-0005-0000-0000-0000651B0000}"/>
    <cellStyle name="Normal 3 38 2 5" xfId="2380" xr:uid="{00000000-0005-0000-0000-0000661B0000}"/>
    <cellStyle name="Normal 3 38 2 5 2" xfId="8439" xr:uid="{00000000-0005-0000-0000-0000671B0000}"/>
    <cellStyle name="Normal 3 38 2 5 2 2" xfId="8440" xr:uid="{00000000-0005-0000-0000-0000681B0000}"/>
    <cellStyle name="Normal 3 38 2 5 3" xfId="8441" xr:uid="{00000000-0005-0000-0000-0000691B0000}"/>
    <cellStyle name="Normal 3 38 2 5 3 2" xfId="8442" xr:uid="{00000000-0005-0000-0000-00006A1B0000}"/>
    <cellStyle name="Normal 3 38 2 5 4" xfId="8443" xr:uid="{00000000-0005-0000-0000-00006B1B0000}"/>
    <cellStyle name="Normal 3 38 2 5 5" xfId="8444" xr:uid="{00000000-0005-0000-0000-00006C1B0000}"/>
    <cellStyle name="Normal 3 38 2 6" xfId="2381" xr:uid="{00000000-0005-0000-0000-00006D1B0000}"/>
    <cellStyle name="Normal 3 38 2 6 2" xfId="8445" xr:uid="{00000000-0005-0000-0000-00006E1B0000}"/>
    <cellStyle name="Normal 3 38 2 6 2 2" xfId="8446" xr:uid="{00000000-0005-0000-0000-00006F1B0000}"/>
    <cellStyle name="Normal 3 38 2 6 3" xfId="8447" xr:uid="{00000000-0005-0000-0000-0000701B0000}"/>
    <cellStyle name="Normal 3 38 2 6 3 2" xfId="8448" xr:uid="{00000000-0005-0000-0000-0000711B0000}"/>
    <cellStyle name="Normal 3 38 2 6 4" xfId="8449" xr:uid="{00000000-0005-0000-0000-0000721B0000}"/>
    <cellStyle name="Normal 3 38 2 6 5" xfId="8450" xr:uid="{00000000-0005-0000-0000-0000731B0000}"/>
    <cellStyle name="Normal 3 38 2 7" xfId="2382" xr:uid="{00000000-0005-0000-0000-0000741B0000}"/>
    <cellStyle name="Normal 3 38 2 7 2" xfId="8451" xr:uid="{00000000-0005-0000-0000-0000751B0000}"/>
    <cellStyle name="Normal 3 38 2 7 2 2" xfId="8452" xr:uid="{00000000-0005-0000-0000-0000761B0000}"/>
    <cellStyle name="Normal 3 38 2 7 3" xfId="8453" xr:uid="{00000000-0005-0000-0000-0000771B0000}"/>
    <cellStyle name="Normal 3 38 2 7 3 2" xfId="8454" xr:uid="{00000000-0005-0000-0000-0000781B0000}"/>
    <cellStyle name="Normal 3 38 2 7 4" xfId="8455" xr:uid="{00000000-0005-0000-0000-0000791B0000}"/>
    <cellStyle name="Normal 3 38 2 7 5" xfId="8456" xr:uid="{00000000-0005-0000-0000-00007A1B0000}"/>
    <cellStyle name="Normal 3 38 2 8" xfId="2383" xr:uid="{00000000-0005-0000-0000-00007B1B0000}"/>
    <cellStyle name="Normal 3 38 2 8 2" xfId="8457" xr:uid="{00000000-0005-0000-0000-00007C1B0000}"/>
    <cellStyle name="Normal 3 38 2 8 2 2" xfId="8458" xr:uid="{00000000-0005-0000-0000-00007D1B0000}"/>
    <cellStyle name="Normal 3 38 2 8 3" xfId="8459" xr:uid="{00000000-0005-0000-0000-00007E1B0000}"/>
    <cellStyle name="Normal 3 38 2 8 3 2" xfId="8460" xr:uid="{00000000-0005-0000-0000-00007F1B0000}"/>
    <cellStyle name="Normal 3 38 2 8 4" xfId="8461" xr:uid="{00000000-0005-0000-0000-0000801B0000}"/>
    <cellStyle name="Normal 3 38 2 8 5" xfId="8462" xr:uid="{00000000-0005-0000-0000-0000811B0000}"/>
    <cellStyle name="Normal 3 38 2 9" xfId="2384" xr:uid="{00000000-0005-0000-0000-0000821B0000}"/>
    <cellStyle name="Normal 3 38 2 9 2" xfId="8463" xr:uid="{00000000-0005-0000-0000-0000831B0000}"/>
    <cellStyle name="Normal 3 38 2 9 2 2" xfId="8464" xr:uid="{00000000-0005-0000-0000-0000841B0000}"/>
    <cellStyle name="Normal 3 38 2 9 3" xfId="8465" xr:uid="{00000000-0005-0000-0000-0000851B0000}"/>
    <cellStyle name="Normal 3 38 2 9 3 2" xfId="8466" xr:uid="{00000000-0005-0000-0000-0000861B0000}"/>
    <cellStyle name="Normal 3 38 2 9 4" xfId="8467" xr:uid="{00000000-0005-0000-0000-0000871B0000}"/>
    <cellStyle name="Normal 3 38 2 9 5" xfId="8468" xr:uid="{00000000-0005-0000-0000-0000881B0000}"/>
    <cellStyle name="Normal 3 38 3" xfId="2385" xr:uid="{00000000-0005-0000-0000-0000891B0000}"/>
    <cellStyle name="Normal 3 38 3 2" xfId="8469" xr:uid="{00000000-0005-0000-0000-00008A1B0000}"/>
    <cellStyle name="Normal 3 38 3 2 2" xfId="8470" xr:uid="{00000000-0005-0000-0000-00008B1B0000}"/>
    <cellStyle name="Normal 3 38 3 3" xfId="8471" xr:uid="{00000000-0005-0000-0000-00008C1B0000}"/>
    <cellStyle name="Normal 3 38 3 3 2" xfId="8472" xr:uid="{00000000-0005-0000-0000-00008D1B0000}"/>
    <cellStyle name="Normal 3 38 3 4" xfId="8473" xr:uid="{00000000-0005-0000-0000-00008E1B0000}"/>
    <cellStyle name="Normal 3 38 3 5" xfId="8474" xr:uid="{00000000-0005-0000-0000-00008F1B0000}"/>
    <cellStyle name="Normal 3 38 4" xfId="2386" xr:uid="{00000000-0005-0000-0000-0000901B0000}"/>
    <cellStyle name="Normal 3 38 4 2" xfId="8475" xr:uid="{00000000-0005-0000-0000-0000911B0000}"/>
    <cellStyle name="Normal 3 38 4 2 2" xfId="8476" xr:uid="{00000000-0005-0000-0000-0000921B0000}"/>
    <cellStyle name="Normal 3 38 4 3" xfId="8477" xr:uid="{00000000-0005-0000-0000-0000931B0000}"/>
    <cellStyle name="Normal 3 38 4 3 2" xfId="8478" xr:uid="{00000000-0005-0000-0000-0000941B0000}"/>
    <cellStyle name="Normal 3 38 4 4" xfId="8479" xr:uid="{00000000-0005-0000-0000-0000951B0000}"/>
    <cellStyle name="Normal 3 38 4 5" xfId="8480" xr:uid="{00000000-0005-0000-0000-0000961B0000}"/>
    <cellStyle name="Normal 3 38 5" xfId="2387" xr:uid="{00000000-0005-0000-0000-0000971B0000}"/>
    <cellStyle name="Normal 3 38 5 2" xfId="8481" xr:uid="{00000000-0005-0000-0000-0000981B0000}"/>
    <cellStyle name="Normal 3 38 5 2 2" xfId="8482" xr:uid="{00000000-0005-0000-0000-0000991B0000}"/>
    <cellStyle name="Normal 3 38 5 3" xfId="8483" xr:uid="{00000000-0005-0000-0000-00009A1B0000}"/>
    <cellStyle name="Normal 3 38 5 3 2" xfId="8484" xr:uid="{00000000-0005-0000-0000-00009B1B0000}"/>
    <cellStyle name="Normal 3 38 5 4" xfId="8485" xr:uid="{00000000-0005-0000-0000-00009C1B0000}"/>
    <cellStyle name="Normal 3 38 5 5" xfId="8486" xr:uid="{00000000-0005-0000-0000-00009D1B0000}"/>
    <cellStyle name="Normal 3 38 6" xfId="2388" xr:uid="{00000000-0005-0000-0000-00009E1B0000}"/>
    <cellStyle name="Normal 3 38 6 2" xfId="8487" xr:uid="{00000000-0005-0000-0000-00009F1B0000}"/>
    <cellStyle name="Normal 3 38 6 2 2" xfId="8488" xr:uid="{00000000-0005-0000-0000-0000A01B0000}"/>
    <cellStyle name="Normal 3 38 6 3" xfId="8489" xr:uid="{00000000-0005-0000-0000-0000A11B0000}"/>
    <cellStyle name="Normal 3 38 6 3 2" xfId="8490" xr:uid="{00000000-0005-0000-0000-0000A21B0000}"/>
    <cellStyle name="Normal 3 38 6 4" xfId="8491" xr:uid="{00000000-0005-0000-0000-0000A31B0000}"/>
    <cellStyle name="Normal 3 38 6 5" xfId="8492" xr:uid="{00000000-0005-0000-0000-0000A41B0000}"/>
    <cellStyle name="Normal 3 38 7" xfId="2389" xr:uid="{00000000-0005-0000-0000-0000A51B0000}"/>
    <cellStyle name="Normal 3 38 7 2" xfId="8493" xr:uid="{00000000-0005-0000-0000-0000A61B0000}"/>
    <cellStyle name="Normal 3 38 7 2 2" xfId="8494" xr:uid="{00000000-0005-0000-0000-0000A71B0000}"/>
    <cellStyle name="Normal 3 38 7 3" xfId="8495" xr:uid="{00000000-0005-0000-0000-0000A81B0000}"/>
    <cellStyle name="Normal 3 38 7 3 2" xfId="8496" xr:uid="{00000000-0005-0000-0000-0000A91B0000}"/>
    <cellStyle name="Normal 3 38 7 4" xfId="8497" xr:uid="{00000000-0005-0000-0000-0000AA1B0000}"/>
    <cellStyle name="Normal 3 38 7 5" xfId="8498" xr:uid="{00000000-0005-0000-0000-0000AB1B0000}"/>
    <cellStyle name="Normal 3 38 8" xfId="2390" xr:uid="{00000000-0005-0000-0000-0000AC1B0000}"/>
    <cellStyle name="Normal 3 38 8 2" xfId="8499" xr:uid="{00000000-0005-0000-0000-0000AD1B0000}"/>
    <cellStyle name="Normal 3 38 8 2 2" xfId="8500" xr:uid="{00000000-0005-0000-0000-0000AE1B0000}"/>
    <cellStyle name="Normal 3 38 8 3" xfId="8501" xr:uid="{00000000-0005-0000-0000-0000AF1B0000}"/>
    <cellStyle name="Normal 3 38 8 3 2" xfId="8502" xr:uid="{00000000-0005-0000-0000-0000B01B0000}"/>
    <cellStyle name="Normal 3 38 8 4" xfId="8503" xr:uid="{00000000-0005-0000-0000-0000B11B0000}"/>
    <cellStyle name="Normal 3 38 8 5" xfId="8504" xr:uid="{00000000-0005-0000-0000-0000B21B0000}"/>
    <cellStyle name="Normal 3 38 9" xfId="2391" xr:uid="{00000000-0005-0000-0000-0000B31B0000}"/>
    <cellStyle name="Normal 3 38 9 2" xfId="8505" xr:uid="{00000000-0005-0000-0000-0000B41B0000}"/>
    <cellStyle name="Normal 3 38 9 2 2" xfId="8506" xr:uid="{00000000-0005-0000-0000-0000B51B0000}"/>
    <cellStyle name="Normal 3 38 9 3" xfId="8507" xr:uid="{00000000-0005-0000-0000-0000B61B0000}"/>
    <cellStyle name="Normal 3 38 9 3 2" xfId="8508" xr:uid="{00000000-0005-0000-0000-0000B71B0000}"/>
    <cellStyle name="Normal 3 38 9 4" xfId="8509" xr:uid="{00000000-0005-0000-0000-0000B81B0000}"/>
    <cellStyle name="Normal 3 38 9 5" xfId="8510" xr:uid="{00000000-0005-0000-0000-0000B91B0000}"/>
    <cellStyle name="Normal 3 39" xfId="2392" xr:uid="{00000000-0005-0000-0000-0000BA1B0000}"/>
    <cellStyle name="Normal 3 39 10" xfId="2393" xr:uid="{00000000-0005-0000-0000-0000BB1B0000}"/>
    <cellStyle name="Normal 3 39 10 2" xfId="8511" xr:uid="{00000000-0005-0000-0000-0000BC1B0000}"/>
    <cellStyle name="Normal 3 39 10 2 2" xfId="8512" xr:uid="{00000000-0005-0000-0000-0000BD1B0000}"/>
    <cellStyle name="Normal 3 39 10 3" xfId="8513" xr:uid="{00000000-0005-0000-0000-0000BE1B0000}"/>
    <cellStyle name="Normal 3 39 10 3 2" xfId="8514" xr:uid="{00000000-0005-0000-0000-0000BF1B0000}"/>
    <cellStyle name="Normal 3 39 10 4" xfId="8515" xr:uid="{00000000-0005-0000-0000-0000C01B0000}"/>
    <cellStyle name="Normal 3 39 10 5" xfId="8516" xr:uid="{00000000-0005-0000-0000-0000C11B0000}"/>
    <cellStyle name="Normal 3 39 11" xfId="2394" xr:uid="{00000000-0005-0000-0000-0000C21B0000}"/>
    <cellStyle name="Normal 3 39 11 2" xfId="8517" xr:uid="{00000000-0005-0000-0000-0000C31B0000}"/>
    <cellStyle name="Normal 3 39 11 2 2" xfId="8518" xr:uid="{00000000-0005-0000-0000-0000C41B0000}"/>
    <cellStyle name="Normal 3 39 11 3" xfId="8519" xr:uid="{00000000-0005-0000-0000-0000C51B0000}"/>
    <cellStyle name="Normal 3 39 11 3 2" xfId="8520" xr:uid="{00000000-0005-0000-0000-0000C61B0000}"/>
    <cellStyle name="Normal 3 39 11 4" xfId="8521" xr:uid="{00000000-0005-0000-0000-0000C71B0000}"/>
    <cellStyle name="Normal 3 39 11 5" xfId="8522" xr:uid="{00000000-0005-0000-0000-0000C81B0000}"/>
    <cellStyle name="Normal 3 39 12" xfId="2395" xr:uid="{00000000-0005-0000-0000-0000C91B0000}"/>
    <cellStyle name="Normal 3 39 12 2" xfId="8523" xr:uid="{00000000-0005-0000-0000-0000CA1B0000}"/>
    <cellStyle name="Normal 3 39 12 2 2" xfId="8524" xr:uid="{00000000-0005-0000-0000-0000CB1B0000}"/>
    <cellStyle name="Normal 3 39 12 3" xfId="8525" xr:uid="{00000000-0005-0000-0000-0000CC1B0000}"/>
    <cellStyle name="Normal 3 39 12 3 2" xfId="8526" xr:uid="{00000000-0005-0000-0000-0000CD1B0000}"/>
    <cellStyle name="Normal 3 39 12 4" xfId="8527" xr:uid="{00000000-0005-0000-0000-0000CE1B0000}"/>
    <cellStyle name="Normal 3 39 12 5" xfId="8528" xr:uid="{00000000-0005-0000-0000-0000CF1B0000}"/>
    <cellStyle name="Normal 3 39 13" xfId="2396" xr:uid="{00000000-0005-0000-0000-0000D01B0000}"/>
    <cellStyle name="Normal 3 39 13 2" xfId="8529" xr:uid="{00000000-0005-0000-0000-0000D11B0000}"/>
    <cellStyle name="Normal 3 39 13 2 2" xfId="8530" xr:uid="{00000000-0005-0000-0000-0000D21B0000}"/>
    <cellStyle name="Normal 3 39 13 3" xfId="8531" xr:uid="{00000000-0005-0000-0000-0000D31B0000}"/>
    <cellStyle name="Normal 3 39 13 3 2" xfId="8532" xr:uid="{00000000-0005-0000-0000-0000D41B0000}"/>
    <cellStyle name="Normal 3 39 13 4" xfId="8533" xr:uid="{00000000-0005-0000-0000-0000D51B0000}"/>
    <cellStyle name="Normal 3 39 13 5" xfId="8534" xr:uid="{00000000-0005-0000-0000-0000D61B0000}"/>
    <cellStyle name="Normal 3 39 14" xfId="8535" xr:uid="{00000000-0005-0000-0000-0000D71B0000}"/>
    <cellStyle name="Normal 3 39 14 2" xfId="8536" xr:uid="{00000000-0005-0000-0000-0000D81B0000}"/>
    <cellStyle name="Normal 3 39 15" xfId="8537" xr:uid="{00000000-0005-0000-0000-0000D91B0000}"/>
    <cellStyle name="Normal 3 39 15 2" xfId="8538" xr:uid="{00000000-0005-0000-0000-0000DA1B0000}"/>
    <cellStyle name="Normal 3 39 16" xfId="8539" xr:uid="{00000000-0005-0000-0000-0000DB1B0000}"/>
    <cellStyle name="Normal 3 39 17" xfId="8540" xr:uid="{00000000-0005-0000-0000-0000DC1B0000}"/>
    <cellStyle name="Normal 3 39 2" xfId="2397" xr:uid="{00000000-0005-0000-0000-0000DD1B0000}"/>
    <cellStyle name="Normal 3 39 2 10" xfId="2398" xr:uid="{00000000-0005-0000-0000-0000DE1B0000}"/>
    <cellStyle name="Normal 3 39 2 10 2" xfId="8541" xr:uid="{00000000-0005-0000-0000-0000DF1B0000}"/>
    <cellStyle name="Normal 3 39 2 10 2 2" xfId="8542" xr:uid="{00000000-0005-0000-0000-0000E01B0000}"/>
    <cellStyle name="Normal 3 39 2 10 3" xfId="8543" xr:uid="{00000000-0005-0000-0000-0000E11B0000}"/>
    <cellStyle name="Normal 3 39 2 10 3 2" xfId="8544" xr:uid="{00000000-0005-0000-0000-0000E21B0000}"/>
    <cellStyle name="Normal 3 39 2 10 4" xfId="8545" xr:uid="{00000000-0005-0000-0000-0000E31B0000}"/>
    <cellStyle name="Normal 3 39 2 10 5" xfId="8546" xr:uid="{00000000-0005-0000-0000-0000E41B0000}"/>
    <cellStyle name="Normal 3 39 2 11" xfId="2399" xr:uid="{00000000-0005-0000-0000-0000E51B0000}"/>
    <cellStyle name="Normal 3 39 2 11 2" xfId="8547" xr:uid="{00000000-0005-0000-0000-0000E61B0000}"/>
    <cellStyle name="Normal 3 39 2 11 2 2" xfId="8548" xr:uid="{00000000-0005-0000-0000-0000E71B0000}"/>
    <cellStyle name="Normal 3 39 2 11 3" xfId="8549" xr:uid="{00000000-0005-0000-0000-0000E81B0000}"/>
    <cellStyle name="Normal 3 39 2 11 3 2" xfId="8550" xr:uid="{00000000-0005-0000-0000-0000E91B0000}"/>
    <cellStyle name="Normal 3 39 2 11 4" xfId="8551" xr:uid="{00000000-0005-0000-0000-0000EA1B0000}"/>
    <cellStyle name="Normal 3 39 2 11 5" xfId="8552" xr:uid="{00000000-0005-0000-0000-0000EB1B0000}"/>
    <cellStyle name="Normal 3 39 2 12" xfId="2400" xr:uid="{00000000-0005-0000-0000-0000EC1B0000}"/>
    <cellStyle name="Normal 3 39 2 12 2" xfId="8553" xr:uid="{00000000-0005-0000-0000-0000ED1B0000}"/>
    <cellStyle name="Normal 3 39 2 12 2 2" xfId="8554" xr:uid="{00000000-0005-0000-0000-0000EE1B0000}"/>
    <cellStyle name="Normal 3 39 2 12 3" xfId="8555" xr:uid="{00000000-0005-0000-0000-0000EF1B0000}"/>
    <cellStyle name="Normal 3 39 2 12 3 2" xfId="8556" xr:uid="{00000000-0005-0000-0000-0000F01B0000}"/>
    <cellStyle name="Normal 3 39 2 12 4" xfId="8557" xr:uid="{00000000-0005-0000-0000-0000F11B0000}"/>
    <cellStyle name="Normal 3 39 2 12 5" xfId="8558" xr:uid="{00000000-0005-0000-0000-0000F21B0000}"/>
    <cellStyle name="Normal 3 39 2 13" xfId="8559" xr:uid="{00000000-0005-0000-0000-0000F31B0000}"/>
    <cellStyle name="Normal 3 39 2 13 2" xfId="8560" xr:uid="{00000000-0005-0000-0000-0000F41B0000}"/>
    <cellStyle name="Normal 3 39 2 14" xfId="8561" xr:uid="{00000000-0005-0000-0000-0000F51B0000}"/>
    <cellStyle name="Normal 3 39 2 14 2" xfId="8562" xr:uid="{00000000-0005-0000-0000-0000F61B0000}"/>
    <cellStyle name="Normal 3 39 2 15" xfId="8563" xr:uid="{00000000-0005-0000-0000-0000F71B0000}"/>
    <cellStyle name="Normal 3 39 2 16" xfId="8564" xr:uid="{00000000-0005-0000-0000-0000F81B0000}"/>
    <cellStyle name="Normal 3 39 2 2" xfId="2401" xr:uid="{00000000-0005-0000-0000-0000F91B0000}"/>
    <cellStyle name="Normal 3 39 2 2 2" xfId="8565" xr:uid="{00000000-0005-0000-0000-0000FA1B0000}"/>
    <cellStyle name="Normal 3 39 2 2 2 2" xfId="8566" xr:uid="{00000000-0005-0000-0000-0000FB1B0000}"/>
    <cellStyle name="Normal 3 39 2 2 3" xfId="8567" xr:uid="{00000000-0005-0000-0000-0000FC1B0000}"/>
    <cellStyle name="Normal 3 39 2 2 3 2" xfId="8568" xr:uid="{00000000-0005-0000-0000-0000FD1B0000}"/>
    <cellStyle name="Normal 3 39 2 2 4" xfId="8569" xr:uid="{00000000-0005-0000-0000-0000FE1B0000}"/>
    <cellStyle name="Normal 3 39 2 2 5" xfId="8570" xr:uid="{00000000-0005-0000-0000-0000FF1B0000}"/>
    <cellStyle name="Normal 3 39 2 3" xfId="2402" xr:uid="{00000000-0005-0000-0000-0000001C0000}"/>
    <cellStyle name="Normal 3 39 2 3 2" xfId="8571" xr:uid="{00000000-0005-0000-0000-0000011C0000}"/>
    <cellStyle name="Normal 3 39 2 3 2 2" xfId="8572" xr:uid="{00000000-0005-0000-0000-0000021C0000}"/>
    <cellStyle name="Normal 3 39 2 3 3" xfId="8573" xr:uid="{00000000-0005-0000-0000-0000031C0000}"/>
    <cellStyle name="Normal 3 39 2 3 3 2" xfId="8574" xr:uid="{00000000-0005-0000-0000-0000041C0000}"/>
    <cellStyle name="Normal 3 39 2 3 4" xfId="8575" xr:uid="{00000000-0005-0000-0000-0000051C0000}"/>
    <cellStyle name="Normal 3 39 2 3 5" xfId="8576" xr:uid="{00000000-0005-0000-0000-0000061C0000}"/>
    <cellStyle name="Normal 3 39 2 4" xfId="2403" xr:uid="{00000000-0005-0000-0000-0000071C0000}"/>
    <cellStyle name="Normal 3 39 2 4 2" xfId="8577" xr:uid="{00000000-0005-0000-0000-0000081C0000}"/>
    <cellStyle name="Normal 3 39 2 4 2 2" xfId="8578" xr:uid="{00000000-0005-0000-0000-0000091C0000}"/>
    <cellStyle name="Normal 3 39 2 4 3" xfId="8579" xr:uid="{00000000-0005-0000-0000-00000A1C0000}"/>
    <cellStyle name="Normal 3 39 2 4 3 2" xfId="8580" xr:uid="{00000000-0005-0000-0000-00000B1C0000}"/>
    <cellStyle name="Normal 3 39 2 4 4" xfId="8581" xr:uid="{00000000-0005-0000-0000-00000C1C0000}"/>
    <cellStyle name="Normal 3 39 2 4 5" xfId="8582" xr:uid="{00000000-0005-0000-0000-00000D1C0000}"/>
    <cellStyle name="Normal 3 39 2 5" xfId="2404" xr:uid="{00000000-0005-0000-0000-00000E1C0000}"/>
    <cellStyle name="Normal 3 39 2 5 2" xfId="8583" xr:uid="{00000000-0005-0000-0000-00000F1C0000}"/>
    <cellStyle name="Normal 3 39 2 5 2 2" xfId="8584" xr:uid="{00000000-0005-0000-0000-0000101C0000}"/>
    <cellStyle name="Normal 3 39 2 5 3" xfId="8585" xr:uid="{00000000-0005-0000-0000-0000111C0000}"/>
    <cellStyle name="Normal 3 39 2 5 3 2" xfId="8586" xr:uid="{00000000-0005-0000-0000-0000121C0000}"/>
    <cellStyle name="Normal 3 39 2 5 4" xfId="8587" xr:uid="{00000000-0005-0000-0000-0000131C0000}"/>
    <cellStyle name="Normal 3 39 2 5 5" xfId="8588" xr:uid="{00000000-0005-0000-0000-0000141C0000}"/>
    <cellStyle name="Normal 3 39 2 6" xfId="2405" xr:uid="{00000000-0005-0000-0000-0000151C0000}"/>
    <cellStyle name="Normal 3 39 2 6 2" xfId="8589" xr:uid="{00000000-0005-0000-0000-0000161C0000}"/>
    <cellStyle name="Normal 3 39 2 6 2 2" xfId="8590" xr:uid="{00000000-0005-0000-0000-0000171C0000}"/>
    <cellStyle name="Normal 3 39 2 6 3" xfId="8591" xr:uid="{00000000-0005-0000-0000-0000181C0000}"/>
    <cellStyle name="Normal 3 39 2 6 3 2" xfId="8592" xr:uid="{00000000-0005-0000-0000-0000191C0000}"/>
    <cellStyle name="Normal 3 39 2 6 4" xfId="8593" xr:uid="{00000000-0005-0000-0000-00001A1C0000}"/>
    <cellStyle name="Normal 3 39 2 6 5" xfId="8594" xr:uid="{00000000-0005-0000-0000-00001B1C0000}"/>
    <cellStyle name="Normal 3 39 2 7" xfId="2406" xr:uid="{00000000-0005-0000-0000-00001C1C0000}"/>
    <cellStyle name="Normal 3 39 2 7 2" xfId="8595" xr:uid="{00000000-0005-0000-0000-00001D1C0000}"/>
    <cellStyle name="Normal 3 39 2 7 2 2" xfId="8596" xr:uid="{00000000-0005-0000-0000-00001E1C0000}"/>
    <cellStyle name="Normal 3 39 2 7 3" xfId="8597" xr:uid="{00000000-0005-0000-0000-00001F1C0000}"/>
    <cellStyle name="Normal 3 39 2 7 3 2" xfId="8598" xr:uid="{00000000-0005-0000-0000-0000201C0000}"/>
    <cellStyle name="Normal 3 39 2 7 4" xfId="8599" xr:uid="{00000000-0005-0000-0000-0000211C0000}"/>
    <cellStyle name="Normal 3 39 2 7 5" xfId="8600" xr:uid="{00000000-0005-0000-0000-0000221C0000}"/>
    <cellStyle name="Normal 3 39 2 8" xfId="2407" xr:uid="{00000000-0005-0000-0000-0000231C0000}"/>
    <cellStyle name="Normal 3 39 2 8 2" xfId="8601" xr:uid="{00000000-0005-0000-0000-0000241C0000}"/>
    <cellStyle name="Normal 3 39 2 8 2 2" xfId="8602" xr:uid="{00000000-0005-0000-0000-0000251C0000}"/>
    <cellStyle name="Normal 3 39 2 8 3" xfId="8603" xr:uid="{00000000-0005-0000-0000-0000261C0000}"/>
    <cellStyle name="Normal 3 39 2 8 3 2" xfId="8604" xr:uid="{00000000-0005-0000-0000-0000271C0000}"/>
    <cellStyle name="Normal 3 39 2 8 4" xfId="8605" xr:uid="{00000000-0005-0000-0000-0000281C0000}"/>
    <cellStyle name="Normal 3 39 2 8 5" xfId="8606" xr:uid="{00000000-0005-0000-0000-0000291C0000}"/>
    <cellStyle name="Normal 3 39 2 9" xfId="2408" xr:uid="{00000000-0005-0000-0000-00002A1C0000}"/>
    <cellStyle name="Normal 3 39 2 9 2" xfId="8607" xr:uid="{00000000-0005-0000-0000-00002B1C0000}"/>
    <cellStyle name="Normal 3 39 2 9 2 2" xfId="8608" xr:uid="{00000000-0005-0000-0000-00002C1C0000}"/>
    <cellStyle name="Normal 3 39 2 9 3" xfId="8609" xr:uid="{00000000-0005-0000-0000-00002D1C0000}"/>
    <cellStyle name="Normal 3 39 2 9 3 2" xfId="8610" xr:uid="{00000000-0005-0000-0000-00002E1C0000}"/>
    <cellStyle name="Normal 3 39 2 9 4" xfId="8611" xr:uid="{00000000-0005-0000-0000-00002F1C0000}"/>
    <cellStyle name="Normal 3 39 2 9 5" xfId="8612" xr:uid="{00000000-0005-0000-0000-0000301C0000}"/>
    <cellStyle name="Normal 3 39 3" xfId="2409" xr:uid="{00000000-0005-0000-0000-0000311C0000}"/>
    <cellStyle name="Normal 3 39 3 2" xfId="8613" xr:uid="{00000000-0005-0000-0000-0000321C0000}"/>
    <cellStyle name="Normal 3 39 3 2 2" xfId="8614" xr:uid="{00000000-0005-0000-0000-0000331C0000}"/>
    <cellStyle name="Normal 3 39 3 3" xfId="8615" xr:uid="{00000000-0005-0000-0000-0000341C0000}"/>
    <cellStyle name="Normal 3 39 3 3 2" xfId="8616" xr:uid="{00000000-0005-0000-0000-0000351C0000}"/>
    <cellStyle name="Normal 3 39 3 4" xfId="8617" xr:uid="{00000000-0005-0000-0000-0000361C0000}"/>
    <cellStyle name="Normal 3 39 3 5" xfId="8618" xr:uid="{00000000-0005-0000-0000-0000371C0000}"/>
    <cellStyle name="Normal 3 39 4" xfId="2410" xr:uid="{00000000-0005-0000-0000-0000381C0000}"/>
    <cellStyle name="Normal 3 39 4 2" xfId="8619" xr:uid="{00000000-0005-0000-0000-0000391C0000}"/>
    <cellStyle name="Normal 3 39 4 2 2" xfId="8620" xr:uid="{00000000-0005-0000-0000-00003A1C0000}"/>
    <cellStyle name="Normal 3 39 4 3" xfId="8621" xr:uid="{00000000-0005-0000-0000-00003B1C0000}"/>
    <cellStyle name="Normal 3 39 4 3 2" xfId="8622" xr:uid="{00000000-0005-0000-0000-00003C1C0000}"/>
    <cellStyle name="Normal 3 39 4 4" xfId="8623" xr:uid="{00000000-0005-0000-0000-00003D1C0000}"/>
    <cellStyle name="Normal 3 39 4 5" xfId="8624" xr:uid="{00000000-0005-0000-0000-00003E1C0000}"/>
    <cellStyle name="Normal 3 39 5" xfId="2411" xr:uid="{00000000-0005-0000-0000-00003F1C0000}"/>
    <cellStyle name="Normal 3 39 5 2" xfId="8625" xr:uid="{00000000-0005-0000-0000-0000401C0000}"/>
    <cellStyle name="Normal 3 39 5 2 2" xfId="8626" xr:uid="{00000000-0005-0000-0000-0000411C0000}"/>
    <cellStyle name="Normal 3 39 5 3" xfId="8627" xr:uid="{00000000-0005-0000-0000-0000421C0000}"/>
    <cellStyle name="Normal 3 39 5 3 2" xfId="8628" xr:uid="{00000000-0005-0000-0000-0000431C0000}"/>
    <cellStyle name="Normal 3 39 5 4" xfId="8629" xr:uid="{00000000-0005-0000-0000-0000441C0000}"/>
    <cellStyle name="Normal 3 39 5 5" xfId="8630" xr:uid="{00000000-0005-0000-0000-0000451C0000}"/>
    <cellStyle name="Normal 3 39 6" xfId="2412" xr:uid="{00000000-0005-0000-0000-0000461C0000}"/>
    <cellStyle name="Normal 3 39 6 2" xfId="8631" xr:uid="{00000000-0005-0000-0000-0000471C0000}"/>
    <cellStyle name="Normal 3 39 6 2 2" xfId="8632" xr:uid="{00000000-0005-0000-0000-0000481C0000}"/>
    <cellStyle name="Normal 3 39 6 3" xfId="8633" xr:uid="{00000000-0005-0000-0000-0000491C0000}"/>
    <cellStyle name="Normal 3 39 6 3 2" xfId="8634" xr:uid="{00000000-0005-0000-0000-00004A1C0000}"/>
    <cellStyle name="Normal 3 39 6 4" xfId="8635" xr:uid="{00000000-0005-0000-0000-00004B1C0000}"/>
    <cellStyle name="Normal 3 39 6 5" xfId="8636" xr:uid="{00000000-0005-0000-0000-00004C1C0000}"/>
    <cellStyle name="Normal 3 39 7" xfId="2413" xr:uid="{00000000-0005-0000-0000-00004D1C0000}"/>
    <cellStyle name="Normal 3 39 7 2" xfId="8637" xr:uid="{00000000-0005-0000-0000-00004E1C0000}"/>
    <cellStyle name="Normal 3 39 7 2 2" xfId="8638" xr:uid="{00000000-0005-0000-0000-00004F1C0000}"/>
    <cellStyle name="Normal 3 39 7 3" xfId="8639" xr:uid="{00000000-0005-0000-0000-0000501C0000}"/>
    <cellStyle name="Normal 3 39 7 3 2" xfId="8640" xr:uid="{00000000-0005-0000-0000-0000511C0000}"/>
    <cellStyle name="Normal 3 39 7 4" xfId="8641" xr:uid="{00000000-0005-0000-0000-0000521C0000}"/>
    <cellStyle name="Normal 3 39 7 5" xfId="8642" xr:uid="{00000000-0005-0000-0000-0000531C0000}"/>
    <cellStyle name="Normal 3 39 8" xfId="2414" xr:uid="{00000000-0005-0000-0000-0000541C0000}"/>
    <cellStyle name="Normal 3 39 8 2" xfId="8643" xr:uid="{00000000-0005-0000-0000-0000551C0000}"/>
    <cellStyle name="Normal 3 39 8 2 2" xfId="8644" xr:uid="{00000000-0005-0000-0000-0000561C0000}"/>
    <cellStyle name="Normal 3 39 8 3" xfId="8645" xr:uid="{00000000-0005-0000-0000-0000571C0000}"/>
    <cellStyle name="Normal 3 39 8 3 2" xfId="8646" xr:uid="{00000000-0005-0000-0000-0000581C0000}"/>
    <cellStyle name="Normal 3 39 8 4" xfId="8647" xr:uid="{00000000-0005-0000-0000-0000591C0000}"/>
    <cellStyle name="Normal 3 39 8 5" xfId="8648" xr:uid="{00000000-0005-0000-0000-00005A1C0000}"/>
    <cellStyle name="Normal 3 39 9" xfId="2415" xr:uid="{00000000-0005-0000-0000-00005B1C0000}"/>
    <cellStyle name="Normal 3 39 9 2" xfId="8649" xr:uid="{00000000-0005-0000-0000-00005C1C0000}"/>
    <cellStyle name="Normal 3 39 9 2 2" xfId="8650" xr:uid="{00000000-0005-0000-0000-00005D1C0000}"/>
    <cellStyle name="Normal 3 39 9 3" xfId="8651" xr:uid="{00000000-0005-0000-0000-00005E1C0000}"/>
    <cellStyle name="Normal 3 39 9 3 2" xfId="8652" xr:uid="{00000000-0005-0000-0000-00005F1C0000}"/>
    <cellStyle name="Normal 3 39 9 4" xfId="8653" xr:uid="{00000000-0005-0000-0000-0000601C0000}"/>
    <cellStyle name="Normal 3 39 9 5" xfId="8654" xr:uid="{00000000-0005-0000-0000-0000611C0000}"/>
    <cellStyle name="Normal 3 4" xfId="38" xr:uid="{00000000-0005-0000-0000-0000621C0000}"/>
    <cellStyle name="Normal 3 4 10" xfId="2417" xr:uid="{00000000-0005-0000-0000-0000631C0000}"/>
    <cellStyle name="Normal 3 4 10 2" xfId="8655" xr:uid="{00000000-0005-0000-0000-0000641C0000}"/>
    <cellStyle name="Normal 3 4 10 2 2" xfId="8656" xr:uid="{00000000-0005-0000-0000-0000651C0000}"/>
    <cellStyle name="Normal 3 4 10 3" xfId="8657" xr:uid="{00000000-0005-0000-0000-0000661C0000}"/>
    <cellStyle name="Normal 3 4 10 3 2" xfId="8658" xr:uid="{00000000-0005-0000-0000-0000671C0000}"/>
    <cellStyle name="Normal 3 4 10 4" xfId="8659" xr:uid="{00000000-0005-0000-0000-0000681C0000}"/>
    <cellStyle name="Normal 3 4 10 5" xfId="8660" xr:uid="{00000000-0005-0000-0000-0000691C0000}"/>
    <cellStyle name="Normal 3 4 11" xfId="2418" xr:uid="{00000000-0005-0000-0000-00006A1C0000}"/>
    <cellStyle name="Normal 3 4 11 2" xfId="8661" xr:uid="{00000000-0005-0000-0000-00006B1C0000}"/>
    <cellStyle name="Normal 3 4 11 2 2" xfId="8662" xr:uid="{00000000-0005-0000-0000-00006C1C0000}"/>
    <cellStyle name="Normal 3 4 11 3" xfId="8663" xr:uid="{00000000-0005-0000-0000-00006D1C0000}"/>
    <cellStyle name="Normal 3 4 11 3 2" xfId="8664" xr:uid="{00000000-0005-0000-0000-00006E1C0000}"/>
    <cellStyle name="Normal 3 4 11 4" xfId="8665" xr:uid="{00000000-0005-0000-0000-00006F1C0000}"/>
    <cellStyle name="Normal 3 4 11 5" xfId="8666" xr:uid="{00000000-0005-0000-0000-0000701C0000}"/>
    <cellStyle name="Normal 3 4 12" xfId="2419" xr:uid="{00000000-0005-0000-0000-0000711C0000}"/>
    <cellStyle name="Normal 3 4 12 2" xfId="8667" xr:uid="{00000000-0005-0000-0000-0000721C0000}"/>
    <cellStyle name="Normal 3 4 12 2 2" xfId="8668" xr:uid="{00000000-0005-0000-0000-0000731C0000}"/>
    <cellStyle name="Normal 3 4 12 3" xfId="8669" xr:uid="{00000000-0005-0000-0000-0000741C0000}"/>
    <cellStyle name="Normal 3 4 12 3 2" xfId="8670" xr:uid="{00000000-0005-0000-0000-0000751C0000}"/>
    <cellStyle name="Normal 3 4 12 4" xfId="8671" xr:uid="{00000000-0005-0000-0000-0000761C0000}"/>
    <cellStyle name="Normal 3 4 12 5" xfId="8672" xr:uid="{00000000-0005-0000-0000-0000771C0000}"/>
    <cellStyle name="Normal 3 4 13" xfId="2420" xr:uid="{00000000-0005-0000-0000-0000781C0000}"/>
    <cellStyle name="Normal 3 4 13 2" xfId="8673" xr:uid="{00000000-0005-0000-0000-0000791C0000}"/>
    <cellStyle name="Normal 3 4 13 2 2" xfId="8674" xr:uid="{00000000-0005-0000-0000-00007A1C0000}"/>
    <cellStyle name="Normal 3 4 13 3" xfId="8675" xr:uid="{00000000-0005-0000-0000-00007B1C0000}"/>
    <cellStyle name="Normal 3 4 13 3 2" xfId="8676" xr:uid="{00000000-0005-0000-0000-00007C1C0000}"/>
    <cellStyle name="Normal 3 4 13 4" xfId="8677" xr:uid="{00000000-0005-0000-0000-00007D1C0000}"/>
    <cellStyle name="Normal 3 4 13 5" xfId="8678" xr:uid="{00000000-0005-0000-0000-00007E1C0000}"/>
    <cellStyle name="Normal 3 4 14" xfId="2416" xr:uid="{00000000-0005-0000-0000-00007F1C0000}"/>
    <cellStyle name="Normal 3 4 2" xfId="2421" xr:uid="{00000000-0005-0000-0000-0000801C0000}"/>
    <cellStyle name="Normal 3 4 2 10" xfId="2422" xr:uid="{00000000-0005-0000-0000-0000811C0000}"/>
    <cellStyle name="Normal 3 4 2 10 2" xfId="8679" xr:uid="{00000000-0005-0000-0000-0000821C0000}"/>
    <cellStyle name="Normal 3 4 2 10 2 2" xfId="8680" xr:uid="{00000000-0005-0000-0000-0000831C0000}"/>
    <cellStyle name="Normal 3 4 2 10 3" xfId="8681" xr:uid="{00000000-0005-0000-0000-0000841C0000}"/>
    <cellStyle name="Normal 3 4 2 10 3 2" xfId="8682" xr:uid="{00000000-0005-0000-0000-0000851C0000}"/>
    <cellStyle name="Normal 3 4 2 10 4" xfId="8683" xr:uid="{00000000-0005-0000-0000-0000861C0000}"/>
    <cellStyle name="Normal 3 4 2 10 5" xfId="8684" xr:uid="{00000000-0005-0000-0000-0000871C0000}"/>
    <cellStyle name="Normal 3 4 2 11" xfId="2423" xr:uid="{00000000-0005-0000-0000-0000881C0000}"/>
    <cellStyle name="Normal 3 4 2 11 2" xfId="8685" xr:uid="{00000000-0005-0000-0000-0000891C0000}"/>
    <cellStyle name="Normal 3 4 2 11 2 2" xfId="8686" xr:uid="{00000000-0005-0000-0000-00008A1C0000}"/>
    <cellStyle name="Normal 3 4 2 11 3" xfId="8687" xr:uid="{00000000-0005-0000-0000-00008B1C0000}"/>
    <cellStyle name="Normal 3 4 2 11 3 2" xfId="8688" xr:uid="{00000000-0005-0000-0000-00008C1C0000}"/>
    <cellStyle name="Normal 3 4 2 11 4" xfId="8689" xr:uid="{00000000-0005-0000-0000-00008D1C0000}"/>
    <cellStyle name="Normal 3 4 2 11 5" xfId="8690" xr:uid="{00000000-0005-0000-0000-00008E1C0000}"/>
    <cellStyle name="Normal 3 4 2 12" xfId="2424" xr:uid="{00000000-0005-0000-0000-00008F1C0000}"/>
    <cellStyle name="Normal 3 4 2 12 2" xfId="8691" xr:uid="{00000000-0005-0000-0000-0000901C0000}"/>
    <cellStyle name="Normal 3 4 2 12 2 2" xfId="8692" xr:uid="{00000000-0005-0000-0000-0000911C0000}"/>
    <cellStyle name="Normal 3 4 2 12 3" xfId="8693" xr:uid="{00000000-0005-0000-0000-0000921C0000}"/>
    <cellStyle name="Normal 3 4 2 12 3 2" xfId="8694" xr:uid="{00000000-0005-0000-0000-0000931C0000}"/>
    <cellStyle name="Normal 3 4 2 12 4" xfId="8695" xr:uid="{00000000-0005-0000-0000-0000941C0000}"/>
    <cellStyle name="Normal 3 4 2 12 5" xfId="8696" xr:uid="{00000000-0005-0000-0000-0000951C0000}"/>
    <cellStyle name="Normal 3 4 2 13" xfId="8697" xr:uid="{00000000-0005-0000-0000-0000961C0000}"/>
    <cellStyle name="Normal 3 4 2 13 2" xfId="8698" xr:uid="{00000000-0005-0000-0000-0000971C0000}"/>
    <cellStyle name="Normal 3 4 2 14" xfId="8699" xr:uid="{00000000-0005-0000-0000-0000981C0000}"/>
    <cellStyle name="Normal 3 4 2 14 2" xfId="8700" xr:uid="{00000000-0005-0000-0000-0000991C0000}"/>
    <cellStyle name="Normal 3 4 2 15" xfId="8701" xr:uid="{00000000-0005-0000-0000-00009A1C0000}"/>
    <cellStyle name="Normal 3 4 2 16" xfId="8702" xr:uid="{00000000-0005-0000-0000-00009B1C0000}"/>
    <cellStyle name="Normal 3 4 2 2" xfId="2425" xr:uid="{00000000-0005-0000-0000-00009C1C0000}"/>
    <cellStyle name="Normal 3 4 2 2 2" xfId="8703" xr:uid="{00000000-0005-0000-0000-00009D1C0000}"/>
    <cellStyle name="Normal 3 4 2 2 2 2" xfId="8704" xr:uid="{00000000-0005-0000-0000-00009E1C0000}"/>
    <cellStyle name="Normal 3 4 2 2 3" xfId="8705" xr:uid="{00000000-0005-0000-0000-00009F1C0000}"/>
    <cellStyle name="Normal 3 4 2 2 3 2" xfId="8706" xr:uid="{00000000-0005-0000-0000-0000A01C0000}"/>
    <cellStyle name="Normal 3 4 2 2 4" xfId="8707" xr:uid="{00000000-0005-0000-0000-0000A11C0000}"/>
    <cellStyle name="Normal 3 4 2 2 5" xfId="8708" xr:uid="{00000000-0005-0000-0000-0000A21C0000}"/>
    <cellStyle name="Normal 3 4 2 3" xfId="2426" xr:uid="{00000000-0005-0000-0000-0000A31C0000}"/>
    <cellStyle name="Normal 3 4 2 3 2" xfId="8709" xr:uid="{00000000-0005-0000-0000-0000A41C0000}"/>
    <cellStyle name="Normal 3 4 2 3 2 2" xfId="8710" xr:uid="{00000000-0005-0000-0000-0000A51C0000}"/>
    <cellStyle name="Normal 3 4 2 3 3" xfId="8711" xr:uid="{00000000-0005-0000-0000-0000A61C0000}"/>
    <cellStyle name="Normal 3 4 2 3 3 2" xfId="8712" xr:uid="{00000000-0005-0000-0000-0000A71C0000}"/>
    <cellStyle name="Normal 3 4 2 3 4" xfId="8713" xr:uid="{00000000-0005-0000-0000-0000A81C0000}"/>
    <cellStyle name="Normal 3 4 2 3 5" xfId="8714" xr:uid="{00000000-0005-0000-0000-0000A91C0000}"/>
    <cellStyle name="Normal 3 4 2 4" xfId="2427" xr:uid="{00000000-0005-0000-0000-0000AA1C0000}"/>
    <cellStyle name="Normal 3 4 2 4 2" xfId="8715" xr:uid="{00000000-0005-0000-0000-0000AB1C0000}"/>
    <cellStyle name="Normal 3 4 2 4 2 2" xfId="8716" xr:uid="{00000000-0005-0000-0000-0000AC1C0000}"/>
    <cellStyle name="Normal 3 4 2 4 3" xfId="8717" xr:uid="{00000000-0005-0000-0000-0000AD1C0000}"/>
    <cellStyle name="Normal 3 4 2 4 3 2" xfId="8718" xr:uid="{00000000-0005-0000-0000-0000AE1C0000}"/>
    <cellStyle name="Normal 3 4 2 4 4" xfId="8719" xr:uid="{00000000-0005-0000-0000-0000AF1C0000}"/>
    <cellStyle name="Normal 3 4 2 4 5" xfId="8720" xr:uid="{00000000-0005-0000-0000-0000B01C0000}"/>
    <cellStyle name="Normal 3 4 2 5" xfId="2428" xr:uid="{00000000-0005-0000-0000-0000B11C0000}"/>
    <cellStyle name="Normal 3 4 2 5 2" xfId="8721" xr:uid="{00000000-0005-0000-0000-0000B21C0000}"/>
    <cellStyle name="Normal 3 4 2 5 2 2" xfId="8722" xr:uid="{00000000-0005-0000-0000-0000B31C0000}"/>
    <cellStyle name="Normal 3 4 2 5 3" xfId="8723" xr:uid="{00000000-0005-0000-0000-0000B41C0000}"/>
    <cellStyle name="Normal 3 4 2 5 3 2" xfId="8724" xr:uid="{00000000-0005-0000-0000-0000B51C0000}"/>
    <cellStyle name="Normal 3 4 2 5 4" xfId="8725" xr:uid="{00000000-0005-0000-0000-0000B61C0000}"/>
    <cellStyle name="Normal 3 4 2 5 5" xfId="8726" xr:uid="{00000000-0005-0000-0000-0000B71C0000}"/>
    <cellStyle name="Normal 3 4 2 6" xfId="2429" xr:uid="{00000000-0005-0000-0000-0000B81C0000}"/>
    <cellStyle name="Normal 3 4 2 6 2" xfId="8727" xr:uid="{00000000-0005-0000-0000-0000B91C0000}"/>
    <cellStyle name="Normal 3 4 2 6 2 2" xfId="8728" xr:uid="{00000000-0005-0000-0000-0000BA1C0000}"/>
    <cellStyle name="Normal 3 4 2 6 3" xfId="8729" xr:uid="{00000000-0005-0000-0000-0000BB1C0000}"/>
    <cellStyle name="Normal 3 4 2 6 3 2" xfId="8730" xr:uid="{00000000-0005-0000-0000-0000BC1C0000}"/>
    <cellStyle name="Normal 3 4 2 6 4" xfId="8731" xr:uid="{00000000-0005-0000-0000-0000BD1C0000}"/>
    <cellStyle name="Normal 3 4 2 6 5" xfId="8732" xr:uid="{00000000-0005-0000-0000-0000BE1C0000}"/>
    <cellStyle name="Normal 3 4 2 7" xfId="2430" xr:uid="{00000000-0005-0000-0000-0000BF1C0000}"/>
    <cellStyle name="Normal 3 4 2 7 2" xfId="8733" xr:uid="{00000000-0005-0000-0000-0000C01C0000}"/>
    <cellStyle name="Normal 3 4 2 7 2 2" xfId="8734" xr:uid="{00000000-0005-0000-0000-0000C11C0000}"/>
    <cellStyle name="Normal 3 4 2 7 3" xfId="8735" xr:uid="{00000000-0005-0000-0000-0000C21C0000}"/>
    <cellStyle name="Normal 3 4 2 7 3 2" xfId="8736" xr:uid="{00000000-0005-0000-0000-0000C31C0000}"/>
    <cellStyle name="Normal 3 4 2 7 4" xfId="8737" xr:uid="{00000000-0005-0000-0000-0000C41C0000}"/>
    <cellStyle name="Normal 3 4 2 7 5" xfId="8738" xr:uid="{00000000-0005-0000-0000-0000C51C0000}"/>
    <cellStyle name="Normal 3 4 2 8" xfId="2431" xr:uid="{00000000-0005-0000-0000-0000C61C0000}"/>
    <cellStyle name="Normal 3 4 2 8 2" xfId="8739" xr:uid="{00000000-0005-0000-0000-0000C71C0000}"/>
    <cellStyle name="Normal 3 4 2 8 2 2" xfId="8740" xr:uid="{00000000-0005-0000-0000-0000C81C0000}"/>
    <cellStyle name="Normal 3 4 2 8 3" xfId="8741" xr:uid="{00000000-0005-0000-0000-0000C91C0000}"/>
    <cellStyle name="Normal 3 4 2 8 3 2" xfId="8742" xr:uid="{00000000-0005-0000-0000-0000CA1C0000}"/>
    <cellStyle name="Normal 3 4 2 8 4" xfId="8743" xr:uid="{00000000-0005-0000-0000-0000CB1C0000}"/>
    <cellStyle name="Normal 3 4 2 8 5" xfId="8744" xr:uid="{00000000-0005-0000-0000-0000CC1C0000}"/>
    <cellStyle name="Normal 3 4 2 9" xfId="2432" xr:uid="{00000000-0005-0000-0000-0000CD1C0000}"/>
    <cellStyle name="Normal 3 4 2 9 2" xfId="8745" xr:uid="{00000000-0005-0000-0000-0000CE1C0000}"/>
    <cellStyle name="Normal 3 4 2 9 2 2" xfId="8746" xr:uid="{00000000-0005-0000-0000-0000CF1C0000}"/>
    <cellStyle name="Normal 3 4 2 9 3" xfId="8747" xr:uid="{00000000-0005-0000-0000-0000D01C0000}"/>
    <cellStyle name="Normal 3 4 2 9 3 2" xfId="8748" xr:uid="{00000000-0005-0000-0000-0000D11C0000}"/>
    <cellStyle name="Normal 3 4 2 9 4" xfId="8749" xr:uid="{00000000-0005-0000-0000-0000D21C0000}"/>
    <cellStyle name="Normal 3 4 2 9 5" xfId="8750" xr:uid="{00000000-0005-0000-0000-0000D31C0000}"/>
    <cellStyle name="Normal 3 4 3" xfId="2433" xr:uid="{00000000-0005-0000-0000-0000D41C0000}"/>
    <cellStyle name="Normal 3 4 3 2" xfId="8751" xr:uid="{00000000-0005-0000-0000-0000D51C0000}"/>
    <cellStyle name="Normal 3 4 3 2 2" xfId="8752" xr:uid="{00000000-0005-0000-0000-0000D61C0000}"/>
    <cellStyle name="Normal 3 4 3 3" xfId="8753" xr:uid="{00000000-0005-0000-0000-0000D71C0000}"/>
    <cellStyle name="Normal 3 4 3 3 2" xfId="8754" xr:uid="{00000000-0005-0000-0000-0000D81C0000}"/>
    <cellStyle name="Normal 3 4 3 4" xfId="8755" xr:uid="{00000000-0005-0000-0000-0000D91C0000}"/>
    <cellStyle name="Normal 3 4 3 5" xfId="8756" xr:uid="{00000000-0005-0000-0000-0000DA1C0000}"/>
    <cellStyle name="Normal 3 4 4" xfId="2434" xr:uid="{00000000-0005-0000-0000-0000DB1C0000}"/>
    <cellStyle name="Normal 3 4 4 2" xfId="8757" xr:uid="{00000000-0005-0000-0000-0000DC1C0000}"/>
    <cellStyle name="Normal 3 4 4 2 2" xfId="8758" xr:uid="{00000000-0005-0000-0000-0000DD1C0000}"/>
    <cellStyle name="Normal 3 4 4 3" xfId="8759" xr:uid="{00000000-0005-0000-0000-0000DE1C0000}"/>
    <cellStyle name="Normal 3 4 4 3 2" xfId="8760" xr:uid="{00000000-0005-0000-0000-0000DF1C0000}"/>
    <cellStyle name="Normal 3 4 4 4" xfId="8761" xr:uid="{00000000-0005-0000-0000-0000E01C0000}"/>
    <cellStyle name="Normal 3 4 4 5" xfId="8762" xr:uid="{00000000-0005-0000-0000-0000E11C0000}"/>
    <cellStyle name="Normal 3 4 5" xfId="2435" xr:uid="{00000000-0005-0000-0000-0000E21C0000}"/>
    <cellStyle name="Normal 3 4 5 2" xfId="8763" xr:uid="{00000000-0005-0000-0000-0000E31C0000}"/>
    <cellStyle name="Normal 3 4 5 2 2" xfId="8764" xr:uid="{00000000-0005-0000-0000-0000E41C0000}"/>
    <cellStyle name="Normal 3 4 5 3" xfId="8765" xr:uid="{00000000-0005-0000-0000-0000E51C0000}"/>
    <cellStyle name="Normal 3 4 5 3 2" xfId="8766" xr:uid="{00000000-0005-0000-0000-0000E61C0000}"/>
    <cellStyle name="Normal 3 4 5 4" xfId="8767" xr:uid="{00000000-0005-0000-0000-0000E71C0000}"/>
    <cellStyle name="Normal 3 4 5 5" xfId="8768" xr:uid="{00000000-0005-0000-0000-0000E81C0000}"/>
    <cellStyle name="Normal 3 4 6" xfId="2436" xr:uid="{00000000-0005-0000-0000-0000E91C0000}"/>
    <cellStyle name="Normal 3 4 6 2" xfId="8769" xr:uid="{00000000-0005-0000-0000-0000EA1C0000}"/>
    <cellStyle name="Normal 3 4 6 2 2" xfId="8770" xr:uid="{00000000-0005-0000-0000-0000EB1C0000}"/>
    <cellStyle name="Normal 3 4 6 3" xfId="8771" xr:uid="{00000000-0005-0000-0000-0000EC1C0000}"/>
    <cellStyle name="Normal 3 4 6 3 2" xfId="8772" xr:uid="{00000000-0005-0000-0000-0000ED1C0000}"/>
    <cellStyle name="Normal 3 4 6 4" xfId="8773" xr:uid="{00000000-0005-0000-0000-0000EE1C0000}"/>
    <cellStyle name="Normal 3 4 6 5" xfId="8774" xr:uid="{00000000-0005-0000-0000-0000EF1C0000}"/>
    <cellStyle name="Normal 3 4 7" xfId="2437" xr:uid="{00000000-0005-0000-0000-0000F01C0000}"/>
    <cellStyle name="Normal 3 4 7 2" xfId="8775" xr:uid="{00000000-0005-0000-0000-0000F11C0000}"/>
    <cellStyle name="Normal 3 4 7 2 2" xfId="8776" xr:uid="{00000000-0005-0000-0000-0000F21C0000}"/>
    <cellStyle name="Normal 3 4 7 3" xfId="8777" xr:uid="{00000000-0005-0000-0000-0000F31C0000}"/>
    <cellStyle name="Normal 3 4 7 3 2" xfId="8778" xr:uid="{00000000-0005-0000-0000-0000F41C0000}"/>
    <cellStyle name="Normal 3 4 7 4" xfId="8779" xr:uid="{00000000-0005-0000-0000-0000F51C0000}"/>
    <cellStyle name="Normal 3 4 7 5" xfId="8780" xr:uid="{00000000-0005-0000-0000-0000F61C0000}"/>
    <cellStyle name="Normal 3 4 8" xfId="2438" xr:uid="{00000000-0005-0000-0000-0000F71C0000}"/>
    <cellStyle name="Normal 3 4 8 2" xfId="8781" xr:uid="{00000000-0005-0000-0000-0000F81C0000}"/>
    <cellStyle name="Normal 3 4 8 2 2" xfId="8782" xr:uid="{00000000-0005-0000-0000-0000F91C0000}"/>
    <cellStyle name="Normal 3 4 8 3" xfId="8783" xr:uid="{00000000-0005-0000-0000-0000FA1C0000}"/>
    <cellStyle name="Normal 3 4 8 3 2" xfId="8784" xr:uid="{00000000-0005-0000-0000-0000FB1C0000}"/>
    <cellStyle name="Normal 3 4 8 4" xfId="8785" xr:uid="{00000000-0005-0000-0000-0000FC1C0000}"/>
    <cellStyle name="Normal 3 4 8 5" xfId="8786" xr:uid="{00000000-0005-0000-0000-0000FD1C0000}"/>
    <cellStyle name="Normal 3 4 9" xfId="2439" xr:uid="{00000000-0005-0000-0000-0000FE1C0000}"/>
    <cellStyle name="Normal 3 4 9 2" xfId="8787" xr:uid="{00000000-0005-0000-0000-0000FF1C0000}"/>
    <cellStyle name="Normal 3 4 9 2 2" xfId="8788" xr:uid="{00000000-0005-0000-0000-0000001D0000}"/>
    <cellStyle name="Normal 3 4 9 3" xfId="8789" xr:uid="{00000000-0005-0000-0000-0000011D0000}"/>
    <cellStyle name="Normal 3 4 9 3 2" xfId="8790" xr:uid="{00000000-0005-0000-0000-0000021D0000}"/>
    <cellStyle name="Normal 3 4 9 4" xfId="8791" xr:uid="{00000000-0005-0000-0000-0000031D0000}"/>
    <cellStyle name="Normal 3 4 9 5" xfId="8792" xr:uid="{00000000-0005-0000-0000-0000041D0000}"/>
    <cellStyle name="Normal 3 4_CUCARACHO" xfId="2440" xr:uid="{00000000-0005-0000-0000-0000051D0000}"/>
    <cellStyle name="Normal 3 40" xfId="2441" xr:uid="{00000000-0005-0000-0000-0000061D0000}"/>
    <cellStyle name="Normal 3 40 10" xfId="2442" xr:uid="{00000000-0005-0000-0000-0000071D0000}"/>
    <cellStyle name="Normal 3 40 10 2" xfId="8793" xr:uid="{00000000-0005-0000-0000-0000081D0000}"/>
    <cellStyle name="Normal 3 40 10 2 2" xfId="8794" xr:uid="{00000000-0005-0000-0000-0000091D0000}"/>
    <cellStyle name="Normal 3 40 10 3" xfId="8795" xr:uid="{00000000-0005-0000-0000-00000A1D0000}"/>
    <cellStyle name="Normal 3 40 10 3 2" xfId="8796" xr:uid="{00000000-0005-0000-0000-00000B1D0000}"/>
    <cellStyle name="Normal 3 40 10 4" xfId="8797" xr:uid="{00000000-0005-0000-0000-00000C1D0000}"/>
    <cellStyle name="Normal 3 40 10 5" xfId="8798" xr:uid="{00000000-0005-0000-0000-00000D1D0000}"/>
    <cellStyle name="Normal 3 40 11" xfId="2443" xr:uid="{00000000-0005-0000-0000-00000E1D0000}"/>
    <cellStyle name="Normal 3 40 11 2" xfId="8799" xr:uid="{00000000-0005-0000-0000-00000F1D0000}"/>
    <cellStyle name="Normal 3 40 11 2 2" xfId="8800" xr:uid="{00000000-0005-0000-0000-0000101D0000}"/>
    <cellStyle name="Normal 3 40 11 3" xfId="8801" xr:uid="{00000000-0005-0000-0000-0000111D0000}"/>
    <cellStyle name="Normal 3 40 11 3 2" xfId="8802" xr:uid="{00000000-0005-0000-0000-0000121D0000}"/>
    <cellStyle name="Normal 3 40 11 4" xfId="8803" xr:uid="{00000000-0005-0000-0000-0000131D0000}"/>
    <cellStyle name="Normal 3 40 11 5" xfId="8804" xr:uid="{00000000-0005-0000-0000-0000141D0000}"/>
    <cellStyle name="Normal 3 40 12" xfId="2444" xr:uid="{00000000-0005-0000-0000-0000151D0000}"/>
    <cellStyle name="Normal 3 40 12 2" xfId="8805" xr:uid="{00000000-0005-0000-0000-0000161D0000}"/>
    <cellStyle name="Normal 3 40 12 2 2" xfId="8806" xr:uid="{00000000-0005-0000-0000-0000171D0000}"/>
    <cellStyle name="Normal 3 40 12 3" xfId="8807" xr:uid="{00000000-0005-0000-0000-0000181D0000}"/>
    <cellStyle name="Normal 3 40 12 3 2" xfId="8808" xr:uid="{00000000-0005-0000-0000-0000191D0000}"/>
    <cellStyle name="Normal 3 40 12 4" xfId="8809" xr:uid="{00000000-0005-0000-0000-00001A1D0000}"/>
    <cellStyle name="Normal 3 40 12 5" xfId="8810" xr:uid="{00000000-0005-0000-0000-00001B1D0000}"/>
    <cellStyle name="Normal 3 40 13" xfId="2445" xr:uid="{00000000-0005-0000-0000-00001C1D0000}"/>
    <cellStyle name="Normal 3 40 13 2" xfId="8811" xr:uid="{00000000-0005-0000-0000-00001D1D0000}"/>
    <cellStyle name="Normal 3 40 13 2 2" xfId="8812" xr:uid="{00000000-0005-0000-0000-00001E1D0000}"/>
    <cellStyle name="Normal 3 40 13 3" xfId="8813" xr:uid="{00000000-0005-0000-0000-00001F1D0000}"/>
    <cellStyle name="Normal 3 40 13 3 2" xfId="8814" xr:uid="{00000000-0005-0000-0000-0000201D0000}"/>
    <cellStyle name="Normal 3 40 13 4" xfId="8815" xr:uid="{00000000-0005-0000-0000-0000211D0000}"/>
    <cellStyle name="Normal 3 40 13 5" xfId="8816" xr:uid="{00000000-0005-0000-0000-0000221D0000}"/>
    <cellStyle name="Normal 3 40 14" xfId="8817" xr:uid="{00000000-0005-0000-0000-0000231D0000}"/>
    <cellStyle name="Normal 3 40 14 2" xfId="8818" xr:uid="{00000000-0005-0000-0000-0000241D0000}"/>
    <cellStyle name="Normal 3 40 15" xfId="8819" xr:uid="{00000000-0005-0000-0000-0000251D0000}"/>
    <cellStyle name="Normal 3 40 15 2" xfId="8820" xr:uid="{00000000-0005-0000-0000-0000261D0000}"/>
    <cellStyle name="Normal 3 40 16" xfId="8821" xr:uid="{00000000-0005-0000-0000-0000271D0000}"/>
    <cellStyle name="Normal 3 40 17" xfId="8822" xr:uid="{00000000-0005-0000-0000-0000281D0000}"/>
    <cellStyle name="Normal 3 40 2" xfId="2446" xr:uid="{00000000-0005-0000-0000-0000291D0000}"/>
    <cellStyle name="Normal 3 40 2 10" xfId="2447" xr:uid="{00000000-0005-0000-0000-00002A1D0000}"/>
    <cellStyle name="Normal 3 40 2 10 2" xfId="8823" xr:uid="{00000000-0005-0000-0000-00002B1D0000}"/>
    <cellStyle name="Normal 3 40 2 10 2 2" xfId="8824" xr:uid="{00000000-0005-0000-0000-00002C1D0000}"/>
    <cellStyle name="Normal 3 40 2 10 3" xfId="8825" xr:uid="{00000000-0005-0000-0000-00002D1D0000}"/>
    <cellStyle name="Normal 3 40 2 10 3 2" xfId="8826" xr:uid="{00000000-0005-0000-0000-00002E1D0000}"/>
    <cellStyle name="Normal 3 40 2 10 4" xfId="8827" xr:uid="{00000000-0005-0000-0000-00002F1D0000}"/>
    <cellStyle name="Normal 3 40 2 10 5" xfId="8828" xr:uid="{00000000-0005-0000-0000-0000301D0000}"/>
    <cellStyle name="Normal 3 40 2 11" xfId="2448" xr:uid="{00000000-0005-0000-0000-0000311D0000}"/>
    <cellStyle name="Normal 3 40 2 11 2" xfId="8829" xr:uid="{00000000-0005-0000-0000-0000321D0000}"/>
    <cellStyle name="Normal 3 40 2 11 2 2" xfId="8830" xr:uid="{00000000-0005-0000-0000-0000331D0000}"/>
    <cellStyle name="Normal 3 40 2 11 3" xfId="8831" xr:uid="{00000000-0005-0000-0000-0000341D0000}"/>
    <cellStyle name="Normal 3 40 2 11 3 2" xfId="8832" xr:uid="{00000000-0005-0000-0000-0000351D0000}"/>
    <cellStyle name="Normal 3 40 2 11 4" xfId="8833" xr:uid="{00000000-0005-0000-0000-0000361D0000}"/>
    <cellStyle name="Normal 3 40 2 11 5" xfId="8834" xr:uid="{00000000-0005-0000-0000-0000371D0000}"/>
    <cellStyle name="Normal 3 40 2 12" xfId="2449" xr:uid="{00000000-0005-0000-0000-0000381D0000}"/>
    <cellStyle name="Normal 3 40 2 12 2" xfId="8835" xr:uid="{00000000-0005-0000-0000-0000391D0000}"/>
    <cellStyle name="Normal 3 40 2 12 2 2" xfId="8836" xr:uid="{00000000-0005-0000-0000-00003A1D0000}"/>
    <cellStyle name="Normal 3 40 2 12 3" xfId="8837" xr:uid="{00000000-0005-0000-0000-00003B1D0000}"/>
    <cellStyle name="Normal 3 40 2 12 3 2" xfId="8838" xr:uid="{00000000-0005-0000-0000-00003C1D0000}"/>
    <cellStyle name="Normal 3 40 2 12 4" xfId="8839" xr:uid="{00000000-0005-0000-0000-00003D1D0000}"/>
    <cellStyle name="Normal 3 40 2 12 5" xfId="8840" xr:uid="{00000000-0005-0000-0000-00003E1D0000}"/>
    <cellStyle name="Normal 3 40 2 13" xfId="8841" xr:uid="{00000000-0005-0000-0000-00003F1D0000}"/>
    <cellStyle name="Normal 3 40 2 13 2" xfId="8842" xr:uid="{00000000-0005-0000-0000-0000401D0000}"/>
    <cellStyle name="Normal 3 40 2 14" xfId="8843" xr:uid="{00000000-0005-0000-0000-0000411D0000}"/>
    <cellStyle name="Normal 3 40 2 14 2" xfId="8844" xr:uid="{00000000-0005-0000-0000-0000421D0000}"/>
    <cellStyle name="Normal 3 40 2 15" xfId="8845" xr:uid="{00000000-0005-0000-0000-0000431D0000}"/>
    <cellStyle name="Normal 3 40 2 16" xfId="8846" xr:uid="{00000000-0005-0000-0000-0000441D0000}"/>
    <cellStyle name="Normal 3 40 2 2" xfId="2450" xr:uid="{00000000-0005-0000-0000-0000451D0000}"/>
    <cellStyle name="Normal 3 40 2 2 2" xfId="8847" xr:uid="{00000000-0005-0000-0000-0000461D0000}"/>
    <cellStyle name="Normal 3 40 2 2 2 2" xfId="8848" xr:uid="{00000000-0005-0000-0000-0000471D0000}"/>
    <cellStyle name="Normal 3 40 2 2 3" xfId="8849" xr:uid="{00000000-0005-0000-0000-0000481D0000}"/>
    <cellStyle name="Normal 3 40 2 2 3 2" xfId="8850" xr:uid="{00000000-0005-0000-0000-0000491D0000}"/>
    <cellStyle name="Normal 3 40 2 2 4" xfId="8851" xr:uid="{00000000-0005-0000-0000-00004A1D0000}"/>
    <cellStyle name="Normal 3 40 2 2 5" xfId="8852" xr:uid="{00000000-0005-0000-0000-00004B1D0000}"/>
    <cellStyle name="Normal 3 40 2 3" xfId="2451" xr:uid="{00000000-0005-0000-0000-00004C1D0000}"/>
    <cellStyle name="Normal 3 40 2 3 2" xfId="8853" xr:uid="{00000000-0005-0000-0000-00004D1D0000}"/>
    <cellStyle name="Normal 3 40 2 3 2 2" xfId="8854" xr:uid="{00000000-0005-0000-0000-00004E1D0000}"/>
    <cellStyle name="Normal 3 40 2 3 3" xfId="8855" xr:uid="{00000000-0005-0000-0000-00004F1D0000}"/>
    <cellStyle name="Normal 3 40 2 3 3 2" xfId="8856" xr:uid="{00000000-0005-0000-0000-0000501D0000}"/>
    <cellStyle name="Normal 3 40 2 3 4" xfId="8857" xr:uid="{00000000-0005-0000-0000-0000511D0000}"/>
    <cellStyle name="Normal 3 40 2 3 5" xfId="8858" xr:uid="{00000000-0005-0000-0000-0000521D0000}"/>
    <cellStyle name="Normal 3 40 2 4" xfId="2452" xr:uid="{00000000-0005-0000-0000-0000531D0000}"/>
    <cellStyle name="Normal 3 40 2 4 2" xfId="8859" xr:uid="{00000000-0005-0000-0000-0000541D0000}"/>
    <cellStyle name="Normal 3 40 2 4 2 2" xfId="8860" xr:uid="{00000000-0005-0000-0000-0000551D0000}"/>
    <cellStyle name="Normal 3 40 2 4 3" xfId="8861" xr:uid="{00000000-0005-0000-0000-0000561D0000}"/>
    <cellStyle name="Normal 3 40 2 4 3 2" xfId="8862" xr:uid="{00000000-0005-0000-0000-0000571D0000}"/>
    <cellStyle name="Normal 3 40 2 4 4" xfId="8863" xr:uid="{00000000-0005-0000-0000-0000581D0000}"/>
    <cellStyle name="Normal 3 40 2 4 5" xfId="8864" xr:uid="{00000000-0005-0000-0000-0000591D0000}"/>
    <cellStyle name="Normal 3 40 2 5" xfId="2453" xr:uid="{00000000-0005-0000-0000-00005A1D0000}"/>
    <cellStyle name="Normal 3 40 2 5 2" xfId="8865" xr:uid="{00000000-0005-0000-0000-00005B1D0000}"/>
    <cellStyle name="Normal 3 40 2 5 2 2" xfId="8866" xr:uid="{00000000-0005-0000-0000-00005C1D0000}"/>
    <cellStyle name="Normal 3 40 2 5 3" xfId="8867" xr:uid="{00000000-0005-0000-0000-00005D1D0000}"/>
    <cellStyle name="Normal 3 40 2 5 3 2" xfId="8868" xr:uid="{00000000-0005-0000-0000-00005E1D0000}"/>
    <cellStyle name="Normal 3 40 2 5 4" xfId="8869" xr:uid="{00000000-0005-0000-0000-00005F1D0000}"/>
    <cellStyle name="Normal 3 40 2 5 5" xfId="8870" xr:uid="{00000000-0005-0000-0000-0000601D0000}"/>
    <cellStyle name="Normal 3 40 2 6" xfId="2454" xr:uid="{00000000-0005-0000-0000-0000611D0000}"/>
    <cellStyle name="Normal 3 40 2 6 2" xfId="8871" xr:uid="{00000000-0005-0000-0000-0000621D0000}"/>
    <cellStyle name="Normal 3 40 2 6 2 2" xfId="8872" xr:uid="{00000000-0005-0000-0000-0000631D0000}"/>
    <cellStyle name="Normal 3 40 2 6 3" xfId="8873" xr:uid="{00000000-0005-0000-0000-0000641D0000}"/>
    <cellStyle name="Normal 3 40 2 6 3 2" xfId="8874" xr:uid="{00000000-0005-0000-0000-0000651D0000}"/>
    <cellStyle name="Normal 3 40 2 6 4" xfId="8875" xr:uid="{00000000-0005-0000-0000-0000661D0000}"/>
    <cellStyle name="Normal 3 40 2 6 5" xfId="8876" xr:uid="{00000000-0005-0000-0000-0000671D0000}"/>
    <cellStyle name="Normal 3 40 2 7" xfId="2455" xr:uid="{00000000-0005-0000-0000-0000681D0000}"/>
    <cellStyle name="Normal 3 40 2 7 2" xfId="8877" xr:uid="{00000000-0005-0000-0000-0000691D0000}"/>
    <cellStyle name="Normal 3 40 2 7 2 2" xfId="8878" xr:uid="{00000000-0005-0000-0000-00006A1D0000}"/>
    <cellStyle name="Normal 3 40 2 7 3" xfId="8879" xr:uid="{00000000-0005-0000-0000-00006B1D0000}"/>
    <cellStyle name="Normal 3 40 2 7 3 2" xfId="8880" xr:uid="{00000000-0005-0000-0000-00006C1D0000}"/>
    <cellStyle name="Normal 3 40 2 7 4" xfId="8881" xr:uid="{00000000-0005-0000-0000-00006D1D0000}"/>
    <cellStyle name="Normal 3 40 2 7 5" xfId="8882" xr:uid="{00000000-0005-0000-0000-00006E1D0000}"/>
    <cellStyle name="Normal 3 40 2 8" xfId="2456" xr:uid="{00000000-0005-0000-0000-00006F1D0000}"/>
    <cellStyle name="Normal 3 40 2 8 2" xfId="8883" xr:uid="{00000000-0005-0000-0000-0000701D0000}"/>
    <cellStyle name="Normal 3 40 2 8 2 2" xfId="8884" xr:uid="{00000000-0005-0000-0000-0000711D0000}"/>
    <cellStyle name="Normal 3 40 2 8 3" xfId="8885" xr:uid="{00000000-0005-0000-0000-0000721D0000}"/>
    <cellStyle name="Normal 3 40 2 8 3 2" xfId="8886" xr:uid="{00000000-0005-0000-0000-0000731D0000}"/>
    <cellStyle name="Normal 3 40 2 8 4" xfId="8887" xr:uid="{00000000-0005-0000-0000-0000741D0000}"/>
    <cellStyle name="Normal 3 40 2 8 5" xfId="8888" xr:uid="{00000000-0005-0000-0000-0000751D0000}"/>
    <cellStyle name="Normal 3 40 2 9" xfId="2457" xr:uid="{00000000-0005-0000-0000-0000761D0000}"/>
    <cellStyle name="Normal 3 40 2 9 2" xfId="8889" xr:uid="{00000000-0005-0000-0000-0000771D0000}"/>
    <cellStyle name="Normal 3 40 2 9 2 2" xfId="8890" xr:uid="{00000000-0005-0000-0000-0000781D0000}"/>
    <cellStyle name="Normal 3 40 2 9 3" xfId="8891" xr:uid="{00000000-0005-0000-0000-0000791D0000}"/>
    <cellStyle name="Normal 3 40 2 9 3 2" xfId="8892" xr:uid="{00000000-0005-0000-0000-00007A1D0000}"/>
    <cellStyle name="Normal 3 40 2 9 4" xfId="8893" xr:uid="{00000000-0005-0000-0000-00007B1D0000}"/>
    <cellStyle name="Normal 3 40 2 9 5" xfId="8894" xr:uid="{00000000-0005-0000-0000-00007C1D0000}"/>
    <cellStyle name="Normal 3 40 3" xfId="2458" xr:uid="{00000000-0005-0000-0000-00007D1D0000}"/>
    <cellStyle name="Normal 3 40 3 2" xfId="8895" xr:uid="{00000000-0005-0000-0000-00007E1D0000}"/>
    <cellStyle name="Normal 3 40 3 2 2" xfId="8896" xr:uid="{00000000-0005-0000-0000-00007F1D0000}"/>
    <cellStyle name="Normal 3 40 3 3" xfId="8897" xr:uid="{00000000-0005-0000-0000-0000801D0000}"/>
    <cellStyle name="Normal 3 40 3 3 2" xfId="8898" xr:uid="{00000000-0005-0000-0000-0000811D0000}"/>
    <cellStyle name="Normal 3 40 3 4" xfId="8899" xr:uid="{00000000-0005-0000-0000-0000821D0000}"/>
    <cellStyle name="Normal 3 40 3 5" xfId="8900" xr:uid="{00000000-0005-0000-0000-0000831D0000}"/>
    <cellStyle name="Normal 3 40 4" xfId="2459" xr:uid="{00000000-0005-0000-0000-0000841D0000}"/>
    <cellStyle name="Normal 3 40 4 2" xfId="8901" xr:uid="{00000000-0005-0000-0000-0000851D0000}"/>
    <cellStyle name="Normal 3 40 4 2 2" xfId="8902" xr:uid="{00000000-0005-0000-0000-0000861D0000}"/>
    <cellStyle name="Normal 3 40 4 3" xfId="8903" xr:uid="{00000000-0005-0000-0000-0000871D0000}"/>
    <cellStyle name="Normal 3 40 4 3 2" xfId="8904" xr:uid="{00000000-0005-0000-0000-0000881D0000}"/>
    <cellStyle name="Normal 3 40 4 4" xfId="8905" xr:uid="{00000000-0005-0000-0000-0000891D0000}"/>
    <cellStyle name="Normal 3 40 4 5" xfId="8906" xr:uid="{00000000-0005-0000-0000-00008A1D0000}"/>
    <cellStyle name="Normal 3 40 5" xfId="2460" xr:uid="{00000000-0005-0000-0000-00008B1D0000}"/>
    <cellStyle name="Normal 3 40 5 2" xfId="8907" xr:uid="{00000000-0005-0000-0000-00008C1D0000}"/>
    <cellStyle name="Normal 3 40 5 2 2" xfId="8908" xr:uid="{00000000-0005-0000-0000-00008D1D0000}"/>
    <cellStyle name="Normal 3 40 5 3" xfId="8909" xr:uid="{00000000-0005-0000-0000-00008E1D0000}"/>
    <cellStyle name="Normal 3 40 5 3 2" xfId="8910" xr:uid="{00000000-0005-0000-0000-00008F1D0000}"/>
    <cellStyle name="Normal 3 40 5 4" xfId="8911" xr:uid="{00000000-0005-0000-0000-0000901D0000}"/>
    <cellStyle name="Normal 3 40 5 5" xfId="8912" xr:uid="{00000000-0005-0000-0000-0000911D0000}"/>
    <cellStyle name="Normal 3 40 6" xfId="2461" xr:uid="{00000000-0005-0000-0000-0000921D0000}"/>
    <cellStyle name="Normal 3 40 6 2" xfId="8913" xr:uid="{00000000-0005-0000-0000-0000931D0000}"/>
    <cellStyle name="Normal 3 40 6 2 2" xfId="8914" xr:uid="{00000000-0005-0000-0000-0000941D0000}"/>
    <cellStyle name="Normal 3 40 6 3" xfId="8915" xr:uid="{00000000-0005-0000-0000-0000951D0000}"/>
    <cellStyle name="Normal 3 40 6 3 2" xfId="8916" xr:uid="{00000000-0005-0000-0000-0000961D0000}"/>
    <cellStyle name="Normal 3 40 6 4" xfId="8917" xr:uid="{00000000-0005-0000-0000-0000971D0000}"/>
    <cellStyle name="Normal 3 40 6 5" xfId="8918" xr:uid="{00000000-0005-0000-0000-0000981D0000}"/>
    <cellStyle name="Normal 3 40 7" xfId="2462" xr:uid="{00000000-0005-0000-0000-0000991D0000}"/>
    <cellStyle name="Normal 3 40 7 2" xfId="8919" xr:uid="{00000000-0005-0000-0000-00009A1D0000}"/>
    <cellStyle name="Normal 3 40 7 2 2" xfId="8920" xr:uid="{00000000-0005-0000-0000-00009B1D0000}"/>
    <cellStyle name="Normal 3 40 7 3" xfId="8921" xr:uid="{00000000-0005-0000-0000-00009C1D0000}"/>
    <cellStyle name="Normal 3 40 7 3 2" xfId="8922" xr:uid="{00000000-0005-0000-0000-00009D1D0000}"/>
    <cellStyle name="Normal 3 40 7 4" xfId="8923" xr:uid="{00000000-0005-0000-0000-00009E1D0000}"/>
    <cellStyle name="Normal 3 40 7 5" xfId="8924" xr:uid="{00000000-0005-0000-0000-00009F1D0000}"/>
    <cellStyle name="Normal 3 40 8" xfId="2463" xr:uid="{00000000-0005-0000-0000-0000A01D0000}"/>
    <cellStyle name="Normal 3 40 8 2" xfId="8925" xr:uid="{00000000-0005-0000-0000-0000A11D0000}"/>
    <cellStyle name="Normal 3 40 8 2 2" xfId="8926" xr:uid="{00000000-0005-0000-0000-0000A21D0000}"/>
    <cellStyle name="Normal 3 40 8 3" xfId="8927" xr:uid="{00000000-0005-0000-0000-0000A31D0000}"/>
    <cellStyle name="Normal 3 40 8 3 2" xfId="8928" xr:uid="{00000000-0005-0000-0000-0000A41D0000}"/>
    <cellStyle name="Normal 3 40 8 4" xfId="8929" xr:uid="{00000000-0005-0000-0000-0000A51D0000}"/>
    <cellStyle name="Normal 3 40 8 5" xfId="8930" xr:uid="{00000000-0005-0000-0000-0000A61D0000}"/>
    <cellStyle name="Normal 3 40 9" xfId="2464" xr:uid="{00000000-0005-0000-0000-0000A71D0000}"/>
    <cellStyle name="Normal 3 40 9 2" xfId="8931" xr:uid="{00000000-0005-0000-0000-0000A81D0000}"/>
    <cellStyle name="Normal 3 40 9 2 2" xfId="8932" xr:uid="{00000000-0005-0000-0000-0000A91D0000}"/>
    <cellStyle name="Normal 3 40 9 3" xfId="8933" xr:uid="{00000000-0005-0000-0000-0000AA1D0000}"/>
    <cellStyle name="Normal 3 40 9 3 2" xfId="8934" xr:uid="{00000000-0005-0000-0000-0000AB1D0000}"/>
    <cellStyle name="Normal 3 40 9 4" xfId="8935" xr:uid="{00000000-0005-0000-0000-0000AC1D0000}"/>
    <cellStyle name="Normal 3 40 9 5" xfId="8936" xr:uid="{00000000-0005-0000-0000-0000AD1D0000}"/>
    <cellStyle name="Normal 3 41" xfId="2465" xr:uid="{00000000-0005-0000-0000-0000AE1D0000}"/>
    <cellStyle name="Normal 3 41 10" xfId="2466" xr:uid="{00000000-0005-0000-0000-0000AF1D0000}"/>
    <cellStyle name="Normal 3 41 10 2" xfId="8937" xr:uid="{00000000-0005-0000-0000-0000B01D0000}"/>
    <cellStyle name="Normal 3 41 10 2 2" xfId="8938" xr:uid="{00000000-0005-0000-0000-0000B11D0000}"/>
    <cellStyle name="Normal 3 41 10 3" xfId="8939" xr:uid="{00000000-0005-0000-0000-0000B21D0000}"/>
    <cellStyle name="Normal 3 41 10 3 2" xfId="8940" xr:uid="{00000000-0005-0000-0000-0000B31D0000}"/>
    <cellStyle name="Normal 3 41 10 4" xfId="8941" xr:uid="{00000000-0005-0000-0000-0000B41D0000}"/>
    <cellStyle name="Normal 3 41 10 5" xfId="8942" xr:uid="{00000000-0005-0000-0000-0000B51D0000}"/>
    <cellStyle name="Normal 3 41 11" xfId="2467" xr:uid="{00000000-0005-0000-0000-0000B61D0000}"/>
    <cellStyle name="Normal 3 41 11 2" xfId="8943" xr:uid="{00000000-0005-0000-0000-0000B71D0000}"/>
    <cellStyle name="Normal 3 41 11 2 2" xfId="8944" xr:uid="{00000000-0005-0000-0000-0000B81D0000}"/>
    <cellStyle name="Normal 3 41 11 3" xfId="8945" xr:uid="{00000000-0005-0000-0000-0000B91D0000}"/>
    <cellStyle name="Normal 3 41 11 3 2" xfId="8946" xr:uid="{00000000-0005-0000-0000-0000BA1D0000}"/>
    <cellStyle name="Normal 3 41 11 4" xfId="8947" xr:uid="{00000000-0005-0000-0000-0000BB1D0000}"/>
    <cellStyle name="Normal 3 41 11 5" xfId="8948" xr:uid="{00000000-0005-0000-0000-0000BC1D0000}"/>
    <cellStyle name="Normal 3 41 12" xfId="2468" xr:uid="{00000000-0005-0000-0000-0000BD1D0000}"/>
    <cellStyle name="Normal 3 41 12 2" xfId="8949" xr:uid="{00000000-0005-0000-0000-0000BE1D0000}"/>
    <cellStyle name="Normal 3 41 12 2 2" xfId="8950" xr:uid="{00000000-0005-0000-0000-0000BF1D0000}"/>
    <cellStyle name="Normal 3 41 12 3" xfId="8951" xr:uid="{00000000-0005-0000-0000-0000C01D0000}"/>
    <cellStyle name="Normal 3 41 12 3 2" xfId="8952" xr:uid="{00000000-0005-0000-0000-0000C11D0000}"/>
    <cellStyle name="Normal 3 41 12 4" xfId="8953" xr:uid="{00000000-0005-0000-0000-0000C21D0000}"/>
    <cellStyle name="Normal 3 41 12 5" xfId="8954" xr:uid="{00000000-0005-0000-0000-0000C31D0000}"/>
    <cellStyle name="Normal 3 41 13" xfId="2469" xr:uid="{00000000-0005-0000-0000-0000C41D0000}"/>
    <cellStyle name="Normal 3 41 13 2" xfId="8955" xr:uid="{00000000-0005-0000-0000-0000C51D0000}"/>
    <cellStyle name="Normal 3 41 13 2 2" xfId="8956" xr:uid="{00000000-0005-0000-0000-0000C61D0000}"/>
    <cellStyle name="Normal 3 41 13 3" xfId="8957" xr:uid="{00000000-0005-0000-0000-0000C71D0000}"/>
    <cellStyle name="Normal 3 41 13 3 2" xfId="8958" xr:uid="{00000000-0005-0000-0000-0000C81D0000}"/>
    <cellStyle name="Normal 3 41 13 4" xfId="8959" xr:uid="{00000000-0005-0000-0000-0000C91D0000}"/>
    <cellStyle name="Normal 3 41 13 5" xfId="8960" xr:uid="{00000000-0005-0000-0000-0000CA1D0000}"/>
    <cellStyle name="Normal 3 41 14" xfId="8961" xr:uid="{00000000-0005-0000-0000-0000CB1D0000}"/>
    <cellStyle name="Normal 3 41 14 2" xfId="8962" xr:uid="{00000000-0005-0000-0000-0000CC1D0000}"/>
    <cellStyle name="Normal 3 41 15" xfId="8963" xr:uid="{00000000-0005-0000-0000-0000CD1D0000}"/>
    <cellStyle name="Normal 3 41 15 2" xfId="8964" xr:uid="{00000000-0005-0000-0000-0000CE1D0000}"/>
    <cellStyle name="Normal 3 41 16" xfId="8965" xr:uid="{00000000-0005-0000-0000-0000CF1D0000}"/>
    <cellStyle name="Normal 3 41 17" xfId="8966" xr:uid="{00000000-0005-0000-0000-0000D01D0000}"/>
    <cellStyle name="Normal 3 41 2" xfId="2470" xr:uid="{00000000-0005-0000-0000-0000D11D0000}"/>
    <cellStyle name="Normal 3 41 2 10" xfId="2471" xr:uid="{00000000-0005-0000-0000-0000D21D0000}"/>
    <cellStyle name="Normal 3 41 2 10 2" xfId="8967" xr:uid="{00000000-0005-0000-0000-0000D31D0000}"/>
    <cellStyle name="Normal 3 41 2 10 2 2" xfId="8968" xr:uid="{00000000-0005-0000-0000-0000D41D0000}"/>
    <cellStyle name="Normal 3 41 2 10 3" xfId="8969" xr:uid="{00000000-0005-0000-0000-0000D51D0000}"/>
    <cellStyle name="Normal 3 41 2 10 3 2" xfId="8970" xr:uid="{00000000-0005-0000-0000-0000D61D0000}"/>
    <cellStyle name="Normal 3 41 2 10 4" xfId="8971" xr:uid="{00000000-0005-0000-0000-0000D71D0000}"/>
    <cellStyle name="Normal 3 41 2 10 5" xfId="8972" xr:uid="{00000000-0005-0000-0000-0000D81D0000}"/>
    <cellStyle name="Normal 3 41 2 11" xfId="2472" xr:uid="{00000000-0005-0000-0000-0000D91D0000}"/>
    <cellStyle name="Normal 3 41 2 11 2" xfId="8973" xr:uid="{00000000-0005-0000-0000-0000DA1D0000}"/>
    <cellStyle name="Normal 3 41 2 11 2 2" xfId="8974" xr:uid="{00000000-0005-0000-0000-0000DB1D0000}"/>
    <cellStyle name="Normal 3 41 2 11 3" xfId="8975" xr:uid="{00000000-0005-0000-0000-0000DC1D0000}"/>
    <cellStyle name="Normal 3 41 2 11 3 2" xfId="8976" xr:uid="{00000000-0005-0000-0000-0000DD1D0000}"/>
    <cellStyle name="Normal 3 41 2 11 4" xfId="8977" xr:uid="{00000000-0005-0000-0000-0000DE1D0000}"/>
    <cellStyle name="Normal 3 41 2 11 5" xfId="8978" xr:uid="{00000000-0005-0000-0000-0000DF1D0000}"/>
    <cellStyle name="Normal 3 41 2 12" xfId="2473" xr:uid="{00000000-0005-0000-0000-0000E01D0000}"/>
    <cellStyle name="Normal 3 41 2 12 2" xfId="8979" xr:uid="{00000000-0005-0000-0000-0000E11D0000}"/>
    <cellStyle name="Normal 3 41 2 12 2 2" xfId="8980" xr:uid="{00000000-0005-0000-0000-0000E21D0000}"/>
    <cellStyle name="Normal 3 41 2 12 3" xfId="8981" xr:uid="{00000000-0005-0000-0000-0000E31D0000}"/>
    <cellStyle name="Normal 3 41 2 12 3 2" xfId="8982" xr:uid="{00000000-0005-0000-0000-0000E41D0000}"/>
    <cellStyle name="Normal 3 41 2 12 4" xfId="8983" xr:uid="{00000000-0005-0000-0000-0000E51D0000}"/>
    <cellStyle name="Normal 3 41 2 12 5" xfId="8984" xr:uid="{00000000-0005-0000-0000-0000E61D0000}"/>
    <cellStyle name="Normal 3 41 2 13" xfId="8985" xr:uid="{00000000-0005-0000-0000-0000E71D0000}"/>
    <cellStyle name="Normal 3 41 2 13 2" xfId="8986" xr:uid="{00000000-0005-0000-0000-0000E81D0000}"/>
    <cellStyle name="Normal 3 41 2 14" xfId="8987" xr:uid="{00000000-0005-0000-0000-0000E91D0000}"/>
    <cellStyle name="Normal 3 41 2 14 2" xfId="8988" xr:uid="{00000000-0005-0000-0000-0000EA1D0000}"/>
    <cellStyle name="Normal 3 41 2 15" xfId="8989" xr:uid="{00000000-0005-0000-0000-0000EB1D0000}"/>
    <cellStyle name="Normal 3 41 2 16" xfId="8990" xr:uid="{00000000-0005-0000-0000-0000EC1D0000}"/>
    <cellStyle name="Normal 3 41 2 2" xfId="2474" xr:uid="{00000000-0005-0000-0000-0000ED1D0000}"/>
    <cellStyle name="Normal 3 41 2 2 2" xfId="8991" xr:uid="{00000000-0005-0000-0000-0000EE1D0000}"/>
    <cellStyle name="Normal 3 41 2 2 2 2" xfId="8992" xr:uid="{00000000-0005-0000-0000-0000EF1D0000}"/>
    <cellStyle name="Normal 3 41 2 2 3" xfId="8993" xr:uid="{00000000-0005-0000-0000-0000F01D0000}"/>
    <cellStyle name="Normal 3 41 2 2 3 2" xfId="8994" xr:uid="{00000000-0005-0000-0000-0000F11D0000}"/>
    <cellStyle name="Normal 3 41 2 2 4" xfId="8995" xr:uid="{00000000-0005-0000-0000-0000F21D0000}"/>
    <cellStyle name="Normal 3 41 2 2 5" xfId="8996" xr:uid="{00000000-0005-0000-0000-0000F31D0000}"/>
    <cellStyle name="Normal 3 41 2 3" xfId="2475" xr:uid="{00000000-0005-0000-0000-0000F41D0000}"/>
    <cellStyle name="Normal 3 41 2 3 2" xfId="8997" xr:uid="{00000000-0005-0000-0000-0000F51D0000}"/>
    <cellStyle name="Normal 3 41 2 3 2 2" xfId="8998" xr:uid="{00000000-0005-0000-0000-0000F61D0000}"/>
    <cellStyle name="Normal 3 41 2 3 3" xfId="8999" xr:uid="{00000000-0005-0000-0000-0000F71D0000}"/>
    <cellStyle name="Normal 3 41 2 3 3 2" xfId="9000" xr:uid="{00000000-0005-0000-0000-0000F81D0000}"/>
    <cellStyle name="Normal 3 41 2 3 4" xfId="9001" xr:uid="{00000000-0005-0000-0000-0000F91D0000}"/>
    <cellStyle name="Normal 3 41 2 3 5" xfId="9002" xr:uid="{00000000-0005-0000-0000-0000FA1D0000}"/>
    <cellStyle name="Normal 3 41 2 4" xfId="2476" xr:uid="{00000000-0005-0000-0000-0000FB1D0000}"/>
    <cellStyle name="Normal 3 41 2 4 2" xfId="9003" xr:uid="{00000000-0005-0000-0000-0000FC1D0000}"/>
    <cellStyle name="Normal 3 41 2 4 2 2" xfId="9004" xr:uid="{00000000-0005-0000-0000-0000FD1D0000}"/>
    <cellStyle name="Normal 3 41 2 4 3" xfId="9005" xr:uid="{00000000-0005-0000-0000-0000FE1D0000}"/>
    <cellStyle name="Normal 3 41 2 4 3 2" xfId="9006" xr:uid="{00000000-0005-0000-0000-0000FF1D0000}"/>
    <cellStyle name="Normal 3 41 2 4 4" xfId="9007" xr:uid="{00000000-0005-0000-0000-0000001E0000}"/>
    <cellStyle name="Normal 3 41 2 4 5" xfId="9008" xr:uid="{00000000-0005-0000-0000-0000011E0000}"/>
    <cellStyle name="Normal 3 41 2 5" xfId="2477" xr:uid="{00000000-0005-0000-0000-0000021E0000}"/>
    <cellStyle name="Normal 3 41 2 5 2" xfId="9009" xr:uid="{00000000-0005-0000-0000-0000031E0000}"/>
    <cellStyle name="Normal 3 41 2 5 2 2" xfId="9010" xr:uid="{00000000-0005-0000-0000-0000041E0000}"/>
    <cellStyle name="Normal 3 41 2 5 3" xfId="9011" xr:uid="{00000000-0005-0000-0000-0000051E0000}"/>
    <cellStyle name="Normal 3 41 2 5 3 2" xfId="9012" xr:uid="{00000000-0005-0000-0000-0000061E0000}"/>
    <cellStyle name="Normal 3 41 2 5 4" xfId="9013" xr:uid="{00000000-0005-0000-0000-0000071E0000}"/>
    <cellStyle name="Normal 3 41 2 5 5" xfId="9014" xr:uid="{00000000-0005-0000-0000-0000081E0000}"/>
    <cellStyle name="Normal 3 41 2 6" xfId="2478" xr:uid="{00000000-0005-0000-0000-0000091E0000}"/>
    <cellStyle name="Normal 3 41 2 6 2" xfId="9015" xr:uid="{00000000-0005-0000-0000-00000A1E0000}"/>
    <cellStyle name="Normal 3 41 2 6 2 2" xfId="9016" xr:uid="{00000000-0005-0000-0000-00000B1E0000}"/>
    <cellStyle name="Normal 3 41 2 6 3" xfId="9017" xr:uid="{00000000-0005-0000-0000-00000C1E0000}"/>
    <cellStyle name="Normal 3 41 2 6 3 2" xfId="9018" xr:uid="{00000000-0005-0000-0000-00000D1E0000}"/>
    <cellStyle name="Normal 3 41 2 6 4" xfId="9019" xr:uid="{00000000-0005-0000-0000-00000E1E0000}"/>
    <cellStyle name="Normal 3 41 2 6 5" xfId="9020" xr:uid="{00000000-0005-0000-0000-00000F1E0000}"/>
    <cellStyle name="Normal 3 41 2 7" xfId="2479" xr:uid="{00000000-0005-0000-0000-0000101E0000}"/>
    <cellStyle name="Normal 3 41 2 7 2" xfId="9021" xr:uid="{00000000-0005-0000-0000-0000111E0000}"/>
    <cellStyle name="Normal 3 41 2 7 2 2" xfId="9022" xr:uid="{00000000-0005-0000-0000-0000121E0000}"/>
    <cellStyle name="Normal 3 41 2 7 3" xfId="9023" xr:uid="{00000000-0005-0000-0000-0000131E0000}"/>
    <cellStyle name="Normal 3 41 2 7 3 2" xfId="9024" xr:uid="{00000000-0005-0000-0000-0000141E0000}"/>
    <cellStyle name="Normal 3 41 2 7 4" xfId="9025" xr:uid="{00000000-0005-0000-0000-0000151E0000}"/>
    <cellStyle name="Normal 3 41 2 7 5" xfId="9026" xr:uid="{00000000-0005-0000-0000-0000161E0000}"/>
    <cellStyle name="Normal 3 41 2 8" xfId="2480" xr:uid="{00000000-0005-0000-0000-0000171E0000}"/>
    <cellStyle name="Normal 3 41 2 8 2" xfId="9027" xr:uid="{00000000-0005-0000-0000-0000181E0000}"/>
    <cellStyle name="Normal 3 41 2 8 2 2" xfId="9028" xr:uid="{00000000-0005-0000-0000-0000191E0000}"/>
    <cellStyle name="Normal 3 41 2 8 3" xfId="9029" xr:uid="{00000000-0005-0000-0000-00001A1E0000}"/>
    <cellStyle name="Normal 3 41 2 8 3 2" xfId="9030" xr:uid="{00000000-0005-0000-0000-00001B1E0000}"/>
    <cellStyle name="Normal 3 41 2 8 4" xfId="9031" xr:uid="{00000000-0005-0000-0000-00001C1E0000}"/>
    <cellStyle name="Normal 3 41 2 8 5" xfId="9032" xr:uid="{00000000-0005-0000-0000-00001D1E0000}"/>
    <cellStyle name="Normal 3 41 2 9" xfId="2481" xr:uid="{00000000-0005-0000-0000-00001E1E0000}"/>
    <cellStyle name="Normal 3 41 2 9 2" xfId="9033" xr:uid="{00000000-0005-0000-0000-00001F1E0000}"/>
    <cellStyle name="Normal 3 41 2 9 2 2" xfId="9034" xr:uid="{00000000-0005-0000-0000-0000201E0000}"/>
    <cellStyle name="Normal 3 41 2 9 3" xfId="9035" xr:uid="{00000000-0005-0000-0000-0000211E0000}"/>
    <cellStyle name="Normal 3 41 2 9 3 2" xfId="9036" xr:uid="{00000000-0005-0000-0000-0000221E0000}"/>
    <cellStyle name="Normal 3 41 2 9 4" xfId="9037" xr:uid="{00000000-0005-0000-0000-0000231E0000}"/>
    <cellStyle name="Normal 3 41 2 9 5" xfId="9038" xr:uid="{00000000-0005-0000-0000-0000241E0000}"/>
    <cellStyle name="Normal 3 41 3" xfId="2482" xr:uid="{00000000-0005-0000-0000-0000251E0000}"/>
    <cellStyle name="Normal 3 41 3 2" xfId="9039" xr:uid="{00000000-0005-0000-0000-0000261E0000}"/>
    <cellStyle name="Normal 3 41 3 2 2" xfId="9040" xr:uid="{00000000-0005-0000-0000-0000271E0000}"/>
    <cellStyle name="Normal 3 41 3 3" xfId="9041" xr:uid="{00000000-0005-0000-0000-0000281E0000}"/>
    <cellStyle name="Normal 3 41 3 3 2" xfId="9042" xr:uid="{00000000-0005-0000-0000-0000291E0000}"/>
    <cellStyle name="Normal 3 41 3 4" xfId="9043" xr:uid="{00000000-0005-0000-0000-00002A1E0000}"/>
    <cellStyle name="Normal 3 41 3 5" xfId="9044" xr:uid="{00000000-0005-0000-0000-00002B1E0000}"/>
    <cellStyle name="Normal 3 41 4" xfId="2483" xr:uid="{00000000-0005-0000-0000-00002C1E0000}"/>
    <cellStyle name="Normal 3 41 4 2" xfId="9045" xr:uid="{00000000-0005-0000-0000-00002D1E0000}"/>
    <cellStyle name="Normal 3 41 4 2 2" xfId="9046" xr:uid="{00000000-0005-0000-0000-00002E1E0000}"/>
    <cellStyle name="Normal 3 41 4 3" xfId="9047" xr:uid="{00000000-0005-0000-0000-00002F1E0000}"/>
    <cellStyle name="Normal 3 41 4 3 2" xfId="9048" xr:uid="{00000000-0005-0000-0000-0000301E0000}"/>
    <cellStyle name="Normal 3 41 4 4" xfId="9049" xr:uid="{00000000-0005-0000-0000-0000311E0000}"/>
    <cellStyle name="Normal 3 41 4 5" xfId="9050" xr:uid="{00000000-0005-0000-0000-0000321E0000}"/>
    <cellStyle name="Normal 3 41 5" xfId="2484" xr:uid="{00000000-0005-0000-0000-0000331E0000}"/>
    <cellStyle name="Normal 3 41 5 2" xfId="9051" xr:uid="{00000000-0005-0000-0000-0000341E0000}"/>
    <cellStyle name="Normal 3 41 5 2 2" xfId="9052" xr:uid="{00000000-0005-0000-0000-0000351E0000}"/>
    <cellStyle name="Normal 3 41 5 3" xfId="9053" xr:uid="{00000000-0005-0000-0000-0000361E0000}"/>
    <cellStyle name="Normal 3 41 5 3 2" xfId="9054" xr:uid="{00000000-0005-0000-0000-0000371E0000}"/>
    <cellStyle name="Normal 3 41 5 4" xfId="9055" xr:uid="{00000000-0005-0000-0000-0000381E0000}"/>
    <cellStyle name="Normal 3 41 5 5" xfId="9056" xr:uid="{00000000-0005-0000-0000-0000391E0000}"/>
    <cellStyle name="Normal 3 41 6" xfId="2485" xr:uid="{00000000-0005-0000-0000-00003A1E0000}"/>
    <cellStyle name="Normal 3 41 6 2" xfId="9057" xr:uid="{00000000-0005-0000-0000-00003B1E0000}"/>
    <cellStyle name="Normal 3 41 6 2 2" xfId="9058" xr:uid="{00000000-0005-0000-0000-00003C1E0000}"/>
    <cellStyle name="Normal 3 41 6 3" xfId="9059" xr:uid="{00000000-0005-0000-0000-00003D1E0000}"/>
    <cellStyle name="Normal 3 41 6 3 2" xfId="9060" xr:uid="{00000000-0005-0000-0000-00003E1E0000}"/>
    <cellStyle name="Normal 3 41 6 4" xfId="9061" xr:uid="{00000000-0005-0000-0000-00003F1E0000}"/>
    <cellStyle name="Normal 3 41 6 5" xfId="9062" xr:uid="{00000000-0005-0000-0000-0000401E0000}"/>
    <cellStyle name="Normal 3 41 7" xfId="2486" xr:uid="{00000000-0005-0000-0000-0000411E0000}"/>
    <cellStyle name="Normal 3 41 7 2" xfId="9063" xr:uid="{00000000-0005-0000-0000-0000421E0000}"/>
    <cellStyle name="Normal 3 41 7 2 2" xfId="9064" xr:uid="{00000000-0005-0000-0000-0000431E0000}"/>
    <cellStyle name="Normal 3 41 7 3" xfId="9065" xr:uid="{00000000-0005-0000-0000-0000441E0000}"/>
    <cellStyle name="Normal 3 41 7 3 2" xfId="9066" xr:uid="{00000000-0005-0000-0000-0000451E0000}"/>
    <cellStyle name="Normal 3 41 7 4" xfId="9067" xr:uid="{00000000-0005-0000-0000-0000461E0000}"/>
    <cellStyle name="Normal 3 41 7 5" xfId="9068" xr:uid="{00000000-0005-0000-0000-0000471E0000}"/>
    <cellStyle name="Normal 3 41 8" xfId="2487" xr:uid="{00000000-0005-0000-0000-0000481E0000}"/>
    <cellStyle name="Normal 3 41 8 2" xfId="9069" xr:uid="{00000000-0005-0000-0000-0000491E0000}"/>
    <cellStyle name="Normal 3 41 8 2 2" xfId="9070" xr:uid="{00000000-0005-0000-0000-00004A1E0000}"/>
    <cellStyle name="Normal 3 41 8 3" xfId="9071" xr:uid="{00000000-0005-0000-0000-00004B1E0000}"/>
    <cellStyle name="Normal 3 41 8 3 2" xfId="9072" xr:uid="{00000000-0005-0000-0000-00004C1E0000}"/>
    <cellStyle name="Normal 3 41 8 4" xfId="9073" xr:uid="{00000000-0005-0000-0000-00004D1E0000}"/>
    <cellStyle name="Normal 3 41 8 5" xfId="9074" xr:uid="{00000000-0005-0000-0000-00004E1E0000}"/>
    <cellStyle name="Normal 3 41 9" xfId="2488" xr:uid="{00000000-0005-0000-0000-00004F1E0000}"/>
    <cellStyle name="Normal 3 41 9 2" xfId="9075" xr:uid="{00000000-0005-0000-0000-0000501E0000}"/>
    <cellStyle name="Normal 3 41 9 2 2" xfId="9076" xr:uid="{00000000-0005-0000-0000-0000511E0000}"/>
    <cellStyle name="Normal 3 41 9 3" xfId="9077" xr:uid="{00000000-0005-0000-0000-0000521E0000}"/>
    <cellStyle name="Normal 3 41 9 3 2" xfId="9078" xr:uid="{00000000-0005-0000-0000-0000531E0000}"/>
    <cellStyle name="Normal 3 41 9 4" xfId="9079" xr:uid="{00000000-0005-0000-0000-0000541E0000}"/>
    <cellStyle name="Normal 3 41 9 5" xfId="9080" xr:uid="{00000000-0005-0000-0000-0000551E0000}"/>
    <cellStyle name="Normal 3 42" xfId="2489" xr:uid="{00000000-0005-0000-0000-0000561E0000}"/>
    <cellStyle name="Normal 3 42 10" xfId="2490" xr:uid="{00000000-0005-0000-0000-0000571E0000}"/>
    <cellStyle name="Normal 3 42 10 2" xfId="9081" xr:uid="{00000000-0005-0000-0000-0000581E0000}"/>
    <cellStyle name="Normal 3 42 10 2 2" xfId="9082" xr:uid="{00000000-0005-0000-0000-0000591E0000}"/>
    <cellStyle name="Normal 3 42 10 3" xfId="9083" xr:uid="{00000000-0005-0000-0000-00005A1E0000}"/>
    <cellStyle name="Normal 3 42 10 3 2" xfId="9084" xr:uid="{00000000-0005-0000-0000-00005B1E0000}"/>
    <cellStyle name="Normal 3 42 10 4" xfId="9085" xr:uid="{00000000-0005-0000-0000-00005C1E0000}"/>
    <cellStyle name="Normal 3 42 10 5" xfId="9086" xr:uid="{00000000-0005-0000-0000-00005D1E0000}"/>
    <cellStyle name="Normal 3 42 11" xfId="2491" xr:uid="{00000000-0005-0000-0000-00005E1E0000}"/>
    <cellStyle name="Normal 3 42 11 2" xfId="9087" xr:uid="{00000000-0005-0000-0000-00005F1E0000}"/>
    <cellStyle name="Normal 3 42 11 2 2" xfId="9088" xr:uid="{00000000-0005-0000-0000-0000601E0000}"/>
    <cellStyle name="Normal 3 42 11 3" xfId="9089" xr:uid="{00000000-0005-0000-0000-0000611E0000}"/>
    <cellStyle name="Normal 3 42 11 3 2" xfId="9090" xr:uid="{00000000-0005-0000-0000-0000621E0000}"/>
    <cellStyle name="Normal 3 42 11 4" xfId="9091" xr:uid="{00000000-0005-0000-0000-0000631E0000}"/>
    <cellStyle name="Normal 3 42 11 5" xfId="9092" xr:uid="{00000000-0005-0000-0000-0000641E0000}"/>
    <cellStyle name="Normal 3 42 12" xfId="2492" xr:uid="{00000000-0005-0000-0000-0000651E0000}"/>
    <cellStyle name="Normal 3 42 12 2" xfId="9093" xr:uid="{00000000-0005-0000-0000-0000661E0000}"/>
    <cellStyle name="Normal 3 42 12 2 2" xfId="9094" xr:uid="{00000000-0005-0000-0000-0000671E0000}"/>
    <cellStyle name="Normal 3 42 12 3" xfId="9095" xr:uid="{00000000-0005-0000-0000-0000681E0000}"/>
    <cellStyle name="Normal 3 42 12 3 2" xfId="9096" xr:uid="{00000000-0005-0000-0000-0000691E0000}"/>
    <cellStyle name="Normal 3 42 12 4" xfId="9097" xr:uid="{00000000-0005-0000-0000-00006A1E0000}"/>
    <cellStyle name="Normal 3 42 12 5" xfId="9098" xr:uid="{00000000-0005-0000-0000-00006B1E0000}"/>
    <cellStyle name="Normal 3 42 13" xfId="2493" xr:uid="{00000000-0005-0000-0000-00006C1E0000}"/>
    <cellStyle name="Normal 3 42 13 2" xfId="9099" xr:uid="{00000000-0005-0000-0000-00006D1E0000}"/>
    <cellStyle name="Normal 3 42 13 2 2" xfId="9100" xr:uid="{00000000-0005-0000-0000-00006E1E0000}"/>
    <cellStyle name="Normal 3 42 13 3" xfId="9101" xr:uid="{00000000-0005-0000-0000-00006F1E0000}"/>
    <cellStyle name="Normal 3 42 13 3 2" xfId="9102" xr:uid="{00000000-0005-0000-0000-0000701E0000}"/>
    <cellStyle name="Normal 3 42 13 4" xfId="9103" xr:uid="{00000000-0005-0000-0000-0000711E0000}"/>
    <cellStyle name="Normal 3 42 13 5" xfId="9104" xr:uid="{00000000-0005-0000-0000-0000721E0000}"/>
    <cellStyle name="Normal 3 42 14" xfId="9105" xr:uid="{00000000-0005-0000-0000-0000731E0000}"/>
    <cellStyle name="Normal 3 42 14 2" xfId="9106" xr:uid="{00000000-0005-0000-0000-0000741E0000}"/>
    <cellStyle name="Normal 3 42 15" xfId="9107" xr:uid="{00000000-0005-0000-0000-0000751E0000}"/>
    <cellStyle name="Normal 3 42 15 2" xfId="9108" xr:uid="{00000000-0005-0000-0000-0000761E0000}"/>
    <cellStyle name="Normal 3 42 16" xfId="9109" xr:uid="{00000000-0005-0000-0000-0000771E0000}"/>
    <cellStyle name="Normal 3 42 17" xfId="9110" xr:uid="{00000000-0005-0000-0000-0000781E0000}"/>
    <cellStyle name="Normal 3 42 2" xfId="2494" xr:uid="{00000000-0005-0000-0000-0000791E0000}"/>
    <cellStyle name="Normal 3 42 2 10" xfId="2495" xr:uid="{00000000-0005-0000-0000-00007A1E0000}"/>
    <cellStyle name="Normal 3 42 2 10 2" xfId="9111" xr:uid="{00000000-0005-0000-0000-00007B1E0000}"/>
    <cellStyle name="Normal 3 42 2 10 2 2" xfId="9112" xr:uid="{00000000-0005-0000-0000-00007C1E0000}"/>
    <cellStyle name="Normal 3 42 2 10 3" xfId="9113" xr:uid="{00000000-0005-0000-0000-00007D1E0000}"/>
    <cellStyle name="Normal 3 42 2 10 3 2" xfId="9114" xr:uid="{00000000-0005-0000-0000-00007E1E0000}"/>
    <cellStyle name="Normal 3 42 2 10 4" xfId="9115" xr:uid="{00000000-0005-0000-0000-00007F1E0000}"/>
    <cellStyle name="Normal 3 42 2 10 5" xfId="9116" xr:uid="{00000000-0005-0000-0000-0000801E0000}"/>
    <cellStyle name="Normal 3 42 2 11" xfId="2496" xr:uid="{00000000-0005-0000-0000-0000811E0000}"/>
    <cellStyle name="Normal 3 42 2 11 2" xfId="9117" xr:uid="{00000000-0005-0000-0000-0000821E0000}"/>
    <cellStyle name="Normal 3 42 2 11 2 2" xfId="9118" xr:uid="{00000000-0005-0000-0000-0000831E0000}"/>
    <cellStyle name="Normal 3 42 2 11 3" xfId="9119" xr:uid="{00000000-0005-0000-0000-0000841E0000}"/>
    <cellStyle name="Normal 3 42 2 11 3 2" xfId="9120" xr:uid="{00000000-0005-0000-0000-0000851E0000}"/>
    <cellStyle name="Normal 3 42 2 11 4" xfId="9121" xr:uid="{00000000-0005-0000-0000-0000861E0000}"/>
    <cellStyle name="Normal 3 42 2 11 5" xfId="9122" xr:uid="{00000000-0005-0000-0000-0000871E0000}"/>
    <cellStyle name="Normal 3 42 2 12" xfId="2497" xr:uid="{00000000-0005-0000-0000-0000881E0000}"/>
    <cellStyle name="Normal 3 42 2 12 2" xfId="9123" xr:uid="{00000000-0005-0000-0000-0000891E0000}"/>
    <cellStyle name="Normal 3 42 2 12 2 2" xfId="9124" xr:uid="{00000000-0005-0000-0000-00008A1E0000}"/>
    <cellStyle name="Normal 3 42 2 12 3" xfId="9125" xr:uid="{00000000-0005-0000-0000-00008B1E0000}"/>
    <cellStyle name="Normal 3 42 2 12 3 2" xfId="9126" xr:uid="{00000000-0005-0000-0000-00008C1E0000}"/>
    <cellStyle name="Normal 3 42 2 12 4" xfId="9127" xr:uid="{00000000-0005-0000-0000-00008D1E0000}"/>
    <cellStyle name="Normal 3 42 2 12 5" xfId="9128" xr:uid="{00000000-0005-0000-0000-00008E1E0000}"/>
    <cellStyle name="Normal 3 42 2 13" xfId="9129" xr:uid="{00000000-0005-0000-0000-00008F1E0000}"/>
    <cellStyle name="Normal 3 42 2 13 2" xfId="9130" xr:uid="{00000000-0005-0000-0000-0000901E0000}"/>
    <cellStyle name="Normal 3 42 2 14" xfId="9131" xr:uid="{00000000-0005-0000-0000-0000911E0000}"/>
    <cellStyle name="Normal 3 42 2 14 2" xfId="9132" xr:uid="{00000000-0005-0000-0000-0000921E0000}"/>
    <cellStyle name="Normal 3 42 2 15" xfId="9133" xr:uid="{00000000-0005-0000-0000-0000931E0000}"/>
    <cellStyle name="Normal 3 42 2 16" xfId="9134" xr:uid="{00000000-0005-0000-0000-0000941E0000}"/>
    <cellStyle name="Normal 3 42 2 2" xfId="2498" xr:uid="{00000000-0005-0000-0000-0000951E0000}"/>
    <cellStyle name="Normal 3 42 2 2 2" xfId="9135" xr:uid="{00000000-0005-0000-0000-0000961E0000}"/>
    <cellStyle name="Normal 3 42 2 2 2 2" xfId="9136" xr:uid="{00000000-0005-0000-0000-0000971E0000}"/>
    <cellStyle name="Normal 3 42 2 2 3" xfId="9137" xr:uid="{00000000-0005-0000-0000-0000981E0000}"/>
    <cellStyle name="Normal 3 42 2 2 3 2" xfId="9138" xr:uid="{00000000-0005-0000-0000-0000991E0000}"/>
    <cellStyle name="Normal 3 42 2 2 4" xfId="9139" xr:uid="{00000000-0005-0000-0000-00009A1E0000}"/>
    <cellStyle name="Normal 3 42 2 2 5" xfId="9140" xr:uid="{00000000-0005-0000-0000-00009B1E0000}"/>
    <cellStyle name="Normal 3 42 2 3" xfId="2499" xr:uid="{00000000-0005-0000-0000-00009C1E0000}"/>
    <cellStyle name="Normal 3 42 2 3 2" xfId="9141" xr:uid="{00000000-0005-0000-0000-00009D1E0000}"/>
    <cellStyle name="Normal 3 42 2 3 2 2" xfId="9142" xr:uid="{00000000-0005-0000-0000-00009E1E0000}"/>
    <cellStyle name="Normal 3 42 2 3 3" xfId="9143" xr:uid="{00000000-0005-0000-0000-00009F1E0000}"/>
    <cellStyle name="Normal 3 42 2 3 3 2" xfId="9144" xr:uid="{00000000-0005-0000-0000-0000A01E0000}"/>
    <cellStyle name="Normal 3 42 2 3 4" xfId="9145" xr:uid="{00000000-0005-0000-0000-0000A11E0000}"/>
    <cellStyle name="Normal 3 42 2 3 5" xfId="9146" xr:uid="{00000000-0005-0000-0000-0000A21E0000}"/>
    <cellStyle name="Normal 3 42 2 4" xfId="2500" xr:uid="{00000000-0005-0000-0000-0000A31E0000}"/>
    <cellStyle name="Normal 3 42 2 4 2" xfId="9147" xr:uid="{00000000-0005-0000-0000-0000A41E0000}"/>
    <cellStyle name="Normal 3 42 2 4 2 2" xfId="9148" xr:uid="{00000000-0005-0000-0000-0000A51E0000}"/>
    <cellStyle name="Normal 3 42 2 4 3" xfId="9149" xr:uid="{00000000-0005-0000-0000-0000A61E0000}"/>
    <cellStyle name="Normal 3 42 2 4 3 2" xfId="9150" xr:uid="{00000000-0005-0000-0000-0000A71E0000}"/>
    <cellStyle name="Normal 3 42 2 4 4" xfId="9151" xr:uid="{00000000-0005-0000-0000-0000A81E0000}"/>
    <cellStyle name="Normal 3 42 2 4 5" xfId="9152" xr:uid="{00000000-0005-0000-0000-0000A91E0000}"/>
    <cellStyle name="Normal 3 42 2 5" xfId="2501" xr:uid="{00000000-0005-0000-0000-0000AA1E0000}"/>
    <cellStyle name="Normal 3 42 2 5 2" xfId="9153" xr:uid="{00000000-0005-0000-0000-0000AB1E0000}"/>
    <cellStyle name="Normal 3 42 2 5 2 2" xfId="9154" xr:uid="{00000000-0005-0000-0000-0000AC1E0000}"/>
    <cellStyle name="Normal 3 42 2 5 3" xfId="9155" xr:uid="{00000000-0005-0000-0000-0000AD1E0000}"/>
    <cellStyle name="Normal 3 42 2 5 3 2" xfId="9156" xr:uid="{00000000-0005-0000-0000-0000AE1E0000}"/>
    <cellStyle name="Normal 3 42 2 5 4" xfId="9157" xr:uid="{00000000-0005-0000-0000-0000AF1E0000}"/>
    <cellStyle name="Normal 3 42 2 5 5" xfId="9158" xr:uid="{00000000-0005-0000-0000-0000B01E0000}"/>
    <cellStyle name="Normal 3 42 2 6" xfId="2502" xr:uid="{00000000-0005-0000-0000-0000B11E0000}"/>
    <cellStyle name="Normal 3 42 2 6 2" xfId="9159" xr:uid="{00000000-0005-0000-0000-0000B21E0000}"/>
    <cellStyle name="Normal 3 42 2 6 2 2" xfId="9160" xr:uid="{00000000-0005-0000-0000-0000B31E0000}"/>
    <cellStyle name="Normal 3 42 2 6 3" xfId="9161" xr:uid="{00000000-0005-0000-0000-0000B41E0000}"/>
    <cellStyle name="Normal 3 42 2 6 3 2" xfId="9162" xr:uid="{00000000-0005-0000-0000-0000B51E0000}"/>
    <cellStyle name="Normal 3 42 2 6 4" xfId="9163" xr:uid="{00000000-0005-0000-0000-0000B61E0000}"/>
    <cellStyle name="Normal 3 42 2 6 5" xfId="9164" xr:uid="{00000000-0005-0000-0000-0000B71E0000}"/>
    <cellStyle name="Normal 3 42 2 7" xfId="2503" xr:uid="{00000000-0005-0000-0000-0000B81E0000}"/>
    <cellStyle name="Normal 3 42 2 7 2" xfId="9165" xr:uid="{00000000-0005-0000-0000-0000B91E0000}"/>
    <cellStyle name="Normal 3 42 2 7 2 2" xfId="9166" xr:uid="{00000000-0005-0000-0000-0000BA1E0000}"/>
    <cellStyle name="Normal 3 42 2 7 3" xfId="9167" xr:uid="{00000000-0005-0000-0000-0000BB1E0000}"/>
    <cellStyle name="Normal 3 42 2 7 3 2" xfId="9168" xr:uid="{00000000-0005-0000-0000-0000BC1E0000}"/>
    <cellStyle name="Normal 3 42 2 7 4" xfId="9169" xr:uid="{00000000-0005-0000-0000-0000BD1E0000}"/>
    <cellStyle name="Normal 3 42 2 7 5" xfId="9170" xr:uid="{00000000-0005-0000-0000-0000BE1E0000}"/>
    <cellStyle name="Normal 3 42 2 8" xfId="2504" xr:uid="{00000000-0005-0000-0000-0000BF1E0000}"/>
    <cellStyle name="Normal 3 42 2 8 2" xfId="9171" xr:uid="{00000000-0005-0000-0000-0000C01E0000}"/>
    <cellStyle name="Normal 3 42 2 8 2 2" xfId="9172" xr:uid="{00000000-0005-0000-0000-0000C11E0000}"/>
    <cellStyle name="Normal 3 42 2 8 3" xfId="9173" xr:uid="{00000000-0005-0000-0000-0000C21E0000}"/>
    <cellStyle name="Normal 3 42 2 8 3 2" xfId="9174" xr:uid="{00000000-0005-0000-0000-0000C31E0000}"/>
    <cellStyle name="Normal 3 42 2 8 4" xfId="9175" xr:uid="{00000000-0005-0000-0000-0000C41E0000}"/>
    <cellStyle name="Normal 3 42 2 8 5" xfId="9176" xr:uid="{00000000-0005-0000-0000-0000C51E0000}"/>
    <cellStyle name="Normal 3 42 2 9" xfId="2505" xr:uid="{00000000-0005-0000-0000-0000C61E0000}"/>
    <cellStyle name="Normal 3 42 2 9 2" xfId="9177" xr:uid="{00000000-0005-0000-0000-0000C71E0000}"/>
    <cellStyle name="Normal 3 42 2 9 2 2" xfId="9178" xr:uid="{00000000-0005-0000-0000-0000C81E0000}"/>
    <cellStyle name="Normal 3 42 2 9 3" xfId="9179" xr:uid="{00000000-0005-0000-0000-0000C91E0000}"/>
    <cellStyle name="Normal 3 42 2 9 3 2" xfId="9180" xr:uid="{00000000-0005-0000-0000-0000CA1E0000}"/>
    <cellStyle name="Normal 3 42 2 9 4" xfId="9181" xr:uid="{00000000-0005-0000-0000-0000CB1E0000}"/>
    <cellStyle name="Normal 3 42 2 9 5" xfId="9182" xr:uid="{00000000-0005-0000-0000-0000CC1E0000}"/>
    <cellStyle name="Normal 3 42 3" xfId="2506" xr:uid="{00000000-0005-0000-0000-0000CD1E0000}"/>
    <cellStyle name="Normal 3 42 3 2" xfId="9183" xr:uid="{00000000-0005-0000-0000-0000CE1E0000}"/>
    <cellStyle name="Normal 3 42 3 2 2" xfId="9184" xr:uid="{00000000-0005-0000-0000-0000CF1E0000}"/>
    <cellStyle name="Normal 3 42 3 3" xfId="9185" xr:uid="{00000000-0005-0000-0000-0000D01E0000}"/>
    <cellStyle name="Normal 3 42 3 3 2" xfId="9186" xr:uid="{00000000-0005-0000-0000-0000D11E0000}"/>
    <cellStyle name="Normal 3 42 3 4" xfId="9187" xr:uid="{00000000-0005-0000-0000-0000D21E0000}"/>
    <cellStyle name="Normal 3 42 3 5" xfId="9188" xr:uid="{00000000-0005-0000-0000-0000D31E0000}"/>
    <cellStyle name="Normal 3 42 4" xfId="2507" xr:uid="{00000000-0005-0000-0000-0000D41E0000}"/>
    <cellStyle name="Normal 3 42 4 2" xfId="9189" xr:uid="{00000000-0005-0000-0000-0000D51E0000}"/>
    <cellStyle name="Normal 3 42 4 2 2" xfId="9190" xr:uid="{00000000-0005-0000-0000-0000D61E0000}"/>
    <cellStyle name="Normal 3 42 4 3" xfId="9191" xr:uid="{00000000-0005-0000-0000-0000D71E0000}"/>
    <cellStyle name="Normal 3 42 4 3 2" xfId="9192" xr:uid="{00000000-0005-0000-0000-0000D81E0000}"/>
    <cellStyle name="Normal 3 42 4 4" xfId="9193" xr:uid="{00000000-0005-0000-0000-0000D91E0000}"/>
    <cellStyle name="Normal 3 42 4 5" xfId="9194" xr:uid="{00000000-0005-0000-0000-0000DA1E0000}"/>
    <cellStyle name="Normal 3 42 5" xfId="2508" xr:uid="{00000000-0005-0000-0000-0000DB1E0000}"/>
    <cellStyle name="Normal 3 42 5 2" xfId="9195" xr:uid="{00000000-0005-0000-0000-0000DC1E0000}"/>
    <cellStyle name="Normal 3 42 5 2 2" xfId="9196" xr:uid="{00000000-0005-0000-0000-0000DD1E0000}"/>
    <cellStyle name="Normal 3 42 5 3" xfId="9197" xr:uid="{00000000-0005-0000-0000-0000DE1E0000}"/>
    <cellStyle name="Normal 3 42 5 3 2" xfId="9198" xr:uid="{00000000-0005-0000-0000-0000DF1E0000}"/>
    <cellStyle name="Normal 3 42 5 4" xfId="9199" xr:uid="{00000000-0005-0000-0000-0000E01E0000}"/>
    <cellStyle name="Normal 3 42 5 5" xfId="9200" xr:uid="{00000000-0005-0000-0000-0000E11E0000}"/>
    <cellStyle name="Normal 3 42 6" xfId="2509" xr:uid="{00000000-0005-0000-0000-0000E21E0000}"/>
    <cellStyle name="Normal 3 42 6 2" xfId="9201" xr:uid="{00000000-0005-0000-0000-0000E31E0000}"/>
    <cellStyle name="Normal 3 42 6 2 2" xfId="9202" xr:uid="{00000000-0005-0000-0000-0000E41E0000}"/>
    <cellStyle name="Normal 3 42 6 3" xfId="9203" xr:uid="{00000000-0005-0000-0000-0000E51E0000}"/>
    <cellStyle name="Normal 3 42 6 3 2" xfId="9204" xr:uid="{00000000-0005-0000-0000-0000E61E0000}"/>
    <cellStyle name="Normal 3 42 6 4" xfId="9205" xr:uid="{00000000-0005-0000-0000-0000E71E0000}"/>
    <cellStyle name="Normal 3 42 6 5" xfId="9206" xr:uid="{00000000-0005-0000-0000-0000E81E0000}"/>
    <cellStyle name="Normal 3 42 7" xfId="2510" xr:uid="{00000000-0005-0000-0000-0000E91E0000}"/>
    <cellStyle name="Normal 3 42 7 2" xfId="9207" xr:uid="{00000000-0005-0000-0000-0000EA1E0000}"/>
    <cellStyle name="Normal 3 42 7 2 2" xfId="9208" xr:uid="{00000000-0005-0000-0000-0000EB1E0000}"/>
    <cellStyle name="Normal 3 42 7 3" xfId="9209" xr:uid="{00000000-0005-0000-0000-0000EC1E0000}"/>
    <cellStyle name="Normal 3 42 7 3 2" xfId="9210" xr:uid="{00000000-0005-0000-0000-0000ED1E0000}"/>
    <cellStyle name="Normal 3 42 7 4" xfId="9211" xr:uid="{00000000-0005-0000-0000-0000EE1E0000}"/>
    <cellStyle name="Normal 3 42 7 5" xfId="9212" xr:uid="{00000000-0005-0000-0000-0000EF1E0000}"/>
    <cellStyle name="Normal 3 42 8" xfId="2511" xr:uid="{00000000-0005-0000-0000-0000F01E0000}"/>
    <cellStyle name="Normal 3 42 8 2" xfId="9213" xr:uid="{00000000-0005-0000-0000-0000F11E0000}"/>
    <cellStyle name="Normal 3 42 8 2 2" xfId="9214" xr:uid="{00000000-0005-0000-0000-0000F21E0000}"/>
    <cellStyle name="Normal 3 42 8 3" xfId="9215" xr:uid="{00000000-0005-0000-0000-0000F31E0000}"/>
    <cellStyle name="Normal 3 42 8 3 2" xfId="9216" xr:uid="{00000000-0005-0000-0000-0000F41E0000}"/>
    <cellStyle name="Normal 3 42 8 4" xfId="9217" xr:uid="{00000000-0005-0000-0000-0000F51E0000}"/>
    <cellStyle name="Normal 3 42 8 5" xfId="9218" xr:uid="{00000000-0005-0000-0000-0000F61E0000}"/>
    <cellStyle name="Normal 3 42 9" xfId="2512" xr:uid="{00000000-0005-0000-0000-0000F71E0000}"/>
    <cellStyle name="Normal 3 42 9 2" xfId="9219" xr:uid="{00000000-0005-0000-0000-0000F81E0000}"/>
    <cellStyle name="Normal 3 42 9 2 2" xfId="9220" xr:uid="{00000000-0005-0000-0000-0000F91E0000}"/>
    <cellStyle name="Normal 3 42 9 3" xfId="9221" xr:uid="{00000000-0005-0000-0000-0000FA1E0000}"/>
    <cellStyle name="Normal 3 42 9 3 2" xfId="9222" xr:uid="{00000000-0005-0000-0000-0000FB1E0000}"/>
    <cellStyle name="Normal 3 42 9 4" xfId="9223" xr:uid="{00000000-0005-0000-0000-0000FC1E0000}"/>
    <cellStyle name="Normal 3 42 9 5" xfId="9224" xr:uid="{00000000-0005-0000-0000-0000FD1E0000}"/>
    <cellStyle name="Normal 3 43" xfId="2513" xr:uid="{00000000-0005-0000-0000-0000FE1E0000}"/>
    <cellStyle name="Normal 3 43 10" xfId="2514" xr:uid="{00000000-0005-0000-0000-0000FF1E0000}"/>
    <cellStyle name="Normal 3 43 10 2" xfId="9225" xr:uid="{00000000-0005-0000-0000-0000001F0000}"/>
    <cellStyle name="Normal 3 43 10 2 2" xfId="9226" xr:uid="{00000000-0005-0000-0000-0000011F0000}"/>
    <cellStyle name="Normal 3 43 10 3" xfId="9227" xr:uid="{00000000-0005-0000-0000-0000021F0000}"/>
    <cellStyle name="Normal 3 43 10 3 2" xfId="9228" xr:uid="{00000000-0005-0000-0000-0000031F0000}"/>
    <cellStyle name="Normal 3 43 10 4" xfId="9229" xr:uid="{00000000-0005-0000-0000-0000041F0000}"/>
    <cellStyle name="Normal 3 43 10 5" xfId="9230" xr:uid="{00000000-0005-0000-0000-0000051F0000}"/>
    <cellStyle name="Normal 3 43 11" xfId="2515" xr:uid="{00000000-0005-0000-0000-0000061F0000}"/>
    <cellStyle name="Normal 3 43 11 2" xfId="9231" xr:uid="{00000000-0005-0000-0000-0000071F0000}"/>
    <cellStyle name="Normal 3 43 11 2 2" xfId="9232" xr:uid="{00000000-0005-0000-0000-0000081F0000}"/>
    <cellStyle name="Normal 3 43 11 3" xfId="9233" xr:uid="{00000000-0005-0000-0000-0000091F0000}"/>
    <cellStyle name="Normal 3 43 11 3 2" xfId="9234" xr:uid="{00000000-0005-0000-0000-00000A1F0000}"/>
    <cellStyle name="Normal 3 43 11 4" xfId="9235" xr:uid="{00000000-0005-0000-0000-00000B1F0000}"/>
    <cellStyle name="Normal 3 43 11 5" xfId="9236" xr:uid="{00000000-0005-0000-0000-00000C1F0000}"/>
    <cellStyle name="Normal 3 43 12" xfId="2516" xr:uid="{00000000-0005-0000-0000-00000D1F0000}"/>
    <cellStyle name="Normal 3 43 12 2" xfId="9237" xr:uid="{00000000-0005-0000-0000-00000E1F0000}"/>
    <cellStyle name="Normal 3 43 12 2 2" xfId="9238" xr:uid="{00000000-0005-0000-0000-00000F1F0000}"/>
    <cellStyle name="Normal 3 43 12 3" xfId="9239" xr:uid="{00000000-0005-0000-0000-0000101F0000}"/>
    <cellStyle name="Normal 3 43 12 3 2" xfId="9240" xr:uid="{00000000-0005-0000-0000-0000111F0000}"/>
    <cellStyle name="Normal 3 43 12 4" xfId="9241" xr:uid="{00000000-0005-0000-0000-0000121F0000}"/>
    <cellStyle name="Normal 3 43 12 5" xfId="9242" xr:uid="{00000000-0005-0000-0000-0000131F0000}"/>
    <cellStyle name="Normal 3 43 13" xfId="2517" xr:uid="{00000000-0005-0000-0000-0000141F0000}"/>
    <cellStyle name="Normal 3 43 13 2" xfId="9243" xr:uid="{00000000-0005-0000-0000-0000151F0000}"/>
    <cellStyle name="Normal 3 43 13 2 2" xfId="9244" xr:uid="{00000000-0005-0000-0000-0000161F0000}"/>
    <cellStyle name="Normal 3 43 13 3" xfId="9245" xr:uid="{00000000-0005-0000-0000-0000171F0000}"/>
    <cellStyle name="Normal 3 43 13 3 2" xfId="9246" xr:uid="{00000000-0005-0000-0000-0000181F0000}"/>
    <cellStyle name="Normal 3 43 13 4" xfId="9247" xr:uid="{00000000-0005-0000-0000-0000191F0000}"/>
    <cellStyle name="Normal 3 43 13 5" xfId="9248" xr:uid="{00000000-0005-0000-0000-00001A1F0000}"/>
    <cellStyle name="Normal 3 43 14" xfId="9249" xr:uid="{00000000-0005-0000-0000-00001B1F0000}"/>
    <cellStyle name="Normal 3 43 14 2" xfId="9250" xr:uid="{00000000-0005-0000-0000-00001C1F0000}"/>
    <cellStyle name="Normal 3 43 15" xfId="9251" xr:uid="{00000000-0005-0000-0000-00001D1F0000}"/>
    <cellStyle name="Normal 3 43 15 2" xfId="9252" xr:uid="{00000000-0005-0000-0000-00001E1F0000}"/>
    <cellStyle name="Normal 3 43 16" xfId="9253" xr:uid="{00000000-0005-0000-0000-00001F1F0000}"/>
    <cellStyle name="Normal 3 43 17" xfId="9254" xr:uid="{00000000-0005-0000-0000-0000201F0000}"/>
    <cellStyle name="Normal 3 43 2" xfId="2518" xr:uid="{00000000-0005-0000-0000-0000211F0000}"/>
    <cellStyle name="Normal 3 43 2 10" xfId="2519" xr:uid="{00000000-0005-0000-0000-0000221F0000}"/>
    <cellStyle name="Normal 3 43 2 10 2" xfId="9255" xr:uid="{00000000-0005-0000-0000-0000231F0000}"/>
    <cellStyle name="Normal 3 43 2 10 2 2" xfId="9256" xr:uid="{00000000-0005-0000-0000-0000241F0000}"/>
    <cellStyle name="Normal 3 43 2 10 3" xfId="9257" xr:uid="{00000000-0005-0000-0000-0000251F0000}"/>
    <cellStyle name="Normal 3 43 2 10 3 2" xfId="9258" xr:uid="{00000000-0005-0000-0000-0000261F0000}"/>
    <cellStyle name="Normal 3 43 2 10 4" xfId="9259" xr:uid="{00000000-0005-0000-0000-0000271F0000}"/>
    <cellStyle name="Normal 3 43 2 10 5" xfId="9260" xr:uid="{00000000-0005-0000-0000-0000281F0000}"/>
    <cellStyle name="Normal 3 43 2 11" xfId="2520" xr:uid="{00000000-0005-0000-0000-0000291F0000}"/>
    <cellStyle name="Normal 3 43 2 11 2" xfId="9261" xr:uid="{00000000-0005-0000-0000-00002A1F0000}"/>
    <cellStyle name="Normal 3 43 2 11 2 2" xfId="9262" xr:uid="{00000000-0005-0000-0000-00002B1F0000}"/>
    <cellStyle name="Normal 3 43 2 11 3" xfId="9263" xr:uid="{00000000-0005-0000-0000-00002C1F0000}"/>
    <cellStyle name="Normal 3 43 2 11 3 2" xfId="9264" xr:uid="{00000000-0005-0000-0000-00002D1F0000}"/>
    <cellStyle name="Normal 3 43 2 11 4" xfId="9265" xr:uid="{00000000-0005-0000-0000-00002E1F0000}"/>
    <cellStyle name="Normal 3 43 2 11 5" xfId="9266" xr:uid="{00000000-0005-0000-0000-00002F1F0000}"/>
    <cellStyle name="Normal 3 43 2 12" xfId="2521" xr:uid="{00000000-0005-0000-0000-0000301F0000}"/>
    <cellStyle name="Normal 3 43 2 12 2" xfId="9267" xr:uid="{00000000-0005-0000-0000-0000311F0000}"/>
    <cellStyle name="Normal 3 43 2 12 2 2" xfId="9268" xr:uid="{00000000-0005-0000-0000-0000321F0000}"/>
    <cellStyle name="Normal 3 43 2 12 3" xfId="9269" xr:uid="{00000000-0005-0000-0000-0000331F0000}"/>
    <cellStyle name="Normal 3 43 2 12 3 2" xfId="9270" xr:uid="{00000000-0005-0000-0000-0000341F0000}"/>
    <cellStyle name="Normal 3 43 2 12 4" xfId="9271" xr:uid="{00000000-0005-0000-0000-0000351F0000}"/>
    <cellStyle name="Normal 3 43 2 12 5" xfId="9272" xr:uid="{00000000-0005-0000-0000-0000361F0000}"/>
    <cellStyle name="Normal 3 43 2 13" xfId="9273" xr:uid="{00000000-0005-0000-0000-0000371F0000}"/>
    <cellStyle name="Normal 3 43 2 13 2" xfId="9274" xr:uid="{00000000-0005-0000-0000-0000381F0000}"/>
    <cellStyle name="Normal 3 43 2 14" xfId="9275" xr:uid="{00000000-0005-0000-0000-0000391F0000}"/>
    <cellStyle name="Normal 3 43 2 14 2" xfId="9276" xr:uid="{00000000-0005-0000-0000-00003A1F0000}"/>
    <cellStyle name="Normal 3 43 2 15" xfId="9277" xr:uid="{00000000-0005-0000-0000-00003B1F0000}"/>
    <cellStyle name="Normal 3 43 2 16" xfId="9278" xr:uid="{00000000-0005-0000-0000-00003C1F0000}"/>
    <cellStyle name="Normal 3 43 2 2" xfId="2522" xr:uid="{00000000-0005-0000-0000-00003D1F0000}"/>
    <cellStyle name="Normal 3 43 2 2 2" xfId="9279" xr:uid="{00000000-0005-0000-0000-00003E1F0000}"/>
    <cellStyle name="Normal 3 43 2 2 2 2" xfId="9280" xr:uid="{00000000-0005-0000-0000-00003F1F0000}"/>
    <cellStyle name="Normal 3 43 2 2 3" xfId="9281" xr:uid="{00000000-0005-0000-0000-0000401F0000}"/>
    <cellStyle name="Normal 3 43 2 2 3 2" xfId="9282" xr:uid="{00000000-0005-0000-0000-0000411F0000}"/>
    <cellStyle name="Normal 3 43 2 2 4" xfId="9283" xr:uid="{00000000-0005-0000-0000-0000421F0000}"/>
    <cellStyle name="Normal 3 43 2 2 5" xfId="9284" xr:uid="{00000000-0005-0000-0000-0000431F0000}"/>
    <cellStyle name="Normal 3 43 2 3" xfId="2523" xr:uid="{00000000-0005-0000-0000-0000441F0000}"/>
    <cellStyle name="Normal 3 43 2 3 2" xfId="9285" xr:uid="{00000000-0005-0000-0000-0000451F0000}"/>
    <cellStyle name="Normal 3 43 2 3 2 2" xfId="9286" xr:uid="{00000000-0005-0000-0000-0000461F0000}"/>
    <cellStyle name="Normal 3 43 2 3 3" xfId="9287" xr:uid="{00000000-0005-0000-0000-0000471F0000}"/>
    <cellStyle name="Normal 3 43 2 3 3 2" xfId="9288" xr:uid="{00000000-0005-0000-0000-0000481F0000}"/>
    <cellStyle name="Normal 3 43 2 3 4" xfId="9289" xr:uid="{00000000-0005-0000-0000-0000491F0000}"/>
    <cellStyle name="Normal 3 43 2 3 5" xfId="9290" xr:uid="{00000000-0005-0000-0000-00004A1F0000}"/>
    <cellStyle name="Normal 3 43 2 4" xfId="2524" xr:uid="{00000000-0005-0000-0000-00004B1F0000}"/>
    <cellStyle name="Normal 3 43 2 4 2" xfId="9291" xr:uid="{00000000-0005-0000-0000-00004C1F0000}"/>
    <cellStyle name="Normal 3 43 2 4 2 2" xfId="9292" xr:uid="{00000000-0005-0000-0000-00004D1F0000}"/>
    <cellStyle name="Normal 3 43 2 4 3" xfId="9293" xr:uid="{00000000-0005-0000-0000-00004E1F0000}"/>
    <cellStyle name="Normal 3 43 2 4 3 2" xfId="9294" xr:uid="{00000000-0005-0000-0000-00004F1F0000}"/>
    <cellStyle name="Normal 3 43 2 4 4" xfId="9295" xr:uid="{00000000-0005-0000-0000-0000501F0000}"/>
    <cellStyle name="Normal 3 43 2 4 5" xfId="9296" xr:uid="{00000000-0005-0000-0000-0000511F0000}"/>
    <cellStyle name="Normal 3 43 2 5" xfId="2525" xr:uid="{00000000-0005-0000-0000-0000521F0000}"/>
    <cellStyle name="Normal 3 43 2 5 2" xfId="9297" xr:uid="{00000000-0005-0000-0000-0000531F0000}"/>
    <cellStyle name="Normal 3 43 2 5 2 2" xfId="9298" xr:uid="{00000000-0005-0000-0000-0000541F0000}"/>
    <cellStyle name="Normal 3 43 2 5 3" xfId="9299" xr:uid="{00000000-0005-0000-0000-0000551F0000}"/>
    <cellStyle name="Normal 3 43 2 5 3 2" xfId="9300" xr:uid="{00000000-0005-0000-0000-0000561F0000}"/>
    <cellStyle name="Normal 3 43 2 5 4" xfId="9301" xr:uid="{00000000-0005-0000-0000-0000571F0000}"/>
    <cellStyle name="Normal 3 43 2 5 5" xfId="9302" xr:uid="{00000000-0005-0000-0000-0000581F0000}"/>
    <cellStyle name="Normal 3 43 2 6" xfId="2526" xr:uid="{00000000-0005-0000-0000-0000591F0000}"/>
    <cellStyle name="Normal 3 43 2 6 2" xfId="9303" xr:uid="{00000000-0005-0000-0000-00005A1F0000}"/>
    <cellStyle name="Normal 3 43 2 6 2 2" xfId="9304" xr:uid="{00000000-0005-0000-0000-00005B1F0000}"/>
    <cellStyle name="Normal 3 43 2 6 3" xfId="9305" xr:uid="{00000000-0005-0000-0000-00005C1F0000}"/>
    <cellStyle name="Normal 3 43 2 6 3 2" xfId="9306" xr:uid="{00000000-0005-0000-0000-00005D1F0000}"/>
    <cellStyle name="Normal 3 43 2 6 4" xfId="9307" xr:uid="{00000000-0005-0000-0000-00005E1F0000}"/>
    <cellStyle name="Normal 3 43 2 6 5" xfId="9308" xr:uid="{00000000-0005-0000-0000-00005F1F0000}"/>
    <cellStyle name="Normal 3 43 2 7" xfId="2527" xr:uid="{00000000-0005-0000-0000-0000601F0000}"/>
    <cellStyle name="Normal 3 43 2 7 2" xfId="9309" xr:uid="{00000000-0005-0000-0000-0000611F0000}"/>
    <cellStyle name="Normal 3 43 2 7 2 2" xfId="9310" xr:uid="{00000000-0005-0000-0000-0000621F0000}"/>
    <cellStyle name="Normal 3 43 2 7 3" xfId="9311" xr:uid="{00000000-0005-0000-0000-0000631F0000}"/>
    <cellStyle name="Normal 3 43 2 7 3 2" xfId="9312" xr:uid="{00000000-0005-0000-0000-0000641F0000}"/>
    <cellStyle name="Normal 3 43 2 7 4" xfId="9313" xr:uid="{00000000-0005-0000-0000-0000651F0000}"/>
    <cellStyle name="Normal 3 43 2 7 5" xfId="9314" xr:uid="{00000000-0005-0000-0000-0000661F0000}"/>
    <cellStyle name="Normal 3 43 2 8" xfId="2528" xr:uid="{00000000-0005-0000-0000-0000671F0000}"/>
    <cellStyle name="Normal 3 43 2 8 2" xfId="9315" xr:uid="{00000000-0005-0000-0000-0000681F0000}"/>
    <cellStyle name="Normal 3 43 2 8 2 2" xfId="9316" xr:uid="{00000000-0005-0000-0000-0000691F0000}"/>
    <cellStyle name="Normal 3 43 2 8 3" xfId="9317" xr:uid="{00000000-0005-0000-0000-00006A1F0000}"/>
    <cellStyle name="Normal 3 43 2 8 3 2" xfId="9318" xr:uid="{00000000-0005-0000-0000-00006B1F0000}"/>
    <cellStyle name="Normal 3 43 2 8 4" xfId="9319" xr:uid="{00000000-0005-0000-0000-00006C1F0000}"/>
    <cellStyle name="Normal 3 43 2 8 5" xfId="9320" xr:uid="{00000000-0005-0000-0000-00006D1F0000}"/>
    <cellStyle name="Normal 3 43 2 9" xfId="2529" xr:uid="{00000000-0005-0000-0000-00006E1F0000}"/>
    <cellStyle name="Normal 3 43 2 9 2" xfId="9321" xr:uid="{00000000-0005-0000-0000-00006F1F0000}"/>
    <cellStyle name="Normal 3 43 2 9 2 2" xfId="9322" xr:uid="{00000000-0005-0000-0000-0000701F0000}"/>
    <cellStyle name="Normal 3 43 2 9 3" xfId="9323" xr:uid="{00000000-0005-0000-0000-0000711F0000}"/>
    <cellStyle name="Normal 3 43 2 9 3 2" xfId="9324" xr:uid="{00000000-0005-0000-0000-0000721F0000}"/>
    <cellStyle name="Normal 3 43 2 9 4" xfId="9325" xr:uid="{00000000-0005-0000-0000-0000731F0000}"/>
    <cellStyle name="Normal 3 43 2 9 5" xfId="9326" xr:uid="{00000000-0005-0000-0000-0000741F0000}"/>
    <cellStyle name="Normal 3 43 3" xfId="2530" xr:uid="{00000000-0005-0000-0000-0000751F0000}"/>
    <cellStyle name="Normal 3 43 3 2" xfId="9327" xr:uid="{00000000-0005-0000-0000-0000761F0000}"/>
    <cellStyle name="Normal 3 43 3 2 2" xfId="9328" xr:uid="{00000000-0005-0000-0000-0000771F0000}"/>
    <cellStyle name="Normal 3 43 3 3" xfId="9329" xr:uid="{00000000-0005-0000-0000-0000781F0000}"/>
    <cellStyle name="Normal 3 43 3 3 2" xfId="9330" xr:uid="{00000000-0005-0000-0000-0000791F0000}"/>
    <cellStyle name="Normal 3 43 3 4" xfId="9331" xr:uid="{00000000-0005-0000-0000-00007A1F0000}"/>
    <cellStyle name="Normal 3 43 3 5" xfId="9332" xr:uid="{00000000-0005-0000-0000-00007B1F0000}"/>
    <cellStyle name="Normal 3 43 4" xfId="2531" xr:uid="{00000000-0005-0000-0000-00007C1F0000}"/>
    <cellStyle name="Normal 3 43 4 2" xfId="9333" xr:uid="{00000000-0005-0000-0000-00007D1F0000}"/>
    <cellStyle name="Normal 3 43 4 2 2" xfId="9334" xr:uid="{00000000-0005-0000-0000-00007E1F0000}"/>
    <cellStyle name="Normal 3 43 4 3" xfId="9335" xr:uid="{00000000-0005-0000-0000-00007F1F0000}"/>
    <cellStyle name="Normal 3 43 4 3 2" xfId="9336" xr:uid="{00000000-0005-0000-0000-0000801F0000}"/>
    <cellStyle name="Normal 3 43 4 4" xfId="9337" xr:uid="{00000000-0005-0000-0000-0000811F0000}"/>
    <cellStyle name="Normal 3 43 4 5" xfId="9338" xr:uid="{00000000-0005-0000-0000-0000821F0000}"/>
    <cellStyle name="Normal 3 43 5" xfId="2532" xr:uid="{00000000-0005-0000-0000-0000831F0000}"/>
    <cellStyle name="Normal 3 43 5 2" xfId="9339" xr:uid="{00000000-0005-0000-0000-0000841F0000}"/>
    <cellStyle name="Normal 3 43 5 2 2" xfId="9340" xr:uid="{00000000-0005-0000-0000-0000851F0000}"/>
    <cellStyle name="Normal 3 43 5 3" xfId="9341" xr:uid="{00000000-0005-0000-0000-0000861F0000}"/>
    <cellStyle name="Normal 3 43 5 3 2" xfId="9342" xr:uid="{00000000-0005-0000-0000-0000871F0000}"/>
    <cellStyle name="Normal 3 43 5 4" xfId="9343" xr:uid="{00000000-0005-0000-0000-0000881F0000}"/>
    <cellStyle name="Normal 3 43 5 5" xfId="9344" xr:uid="{00000000-0005-0000-0000-0000891F0000}"/>
    <cellStyle name="Normal 3 43 6" xfId="2533" xr:uid="{00000000-0005-0000-0000-00008A1F0000}"/>
    <cellStyle name="Normal 3 43 6 2" xfId="9345" xr:uid="{00000000-0005-0000-0000-00008B1F0000}"/>
    <cellStyle name="Normal 3 43 6 2 2" xfId="9346" xr:uid="{00000000-0005-0000-0000-00008C1F0000}"/>
    <cellStyle name="Normal 3 43 6 3" xfId="9347" xr:uid="{00000000-0005-0000-0000-00008D1F0000}"/>
    <cellStyle name="Normal 3 43 6 3 2" xfId="9348" xr:uid="{00000000-0005-0000-0000-00008E1F0000}"/>
    <cellStyle name="Normal 3 43 6 4" xfId="9349" xr:uid="{00000000-0005-0000-0000-00008F1F0000}"/>
    <cellStyle name="Normal 3 43 6 5" xfId="9350" xr:uid="{00000000-0005-0000-0000-0000901F0000}"/>
    <cellStyle name="Normal 3 43 7" xfId="2534" xr:uid="{00000000-0005-0000-0000-0000911F0000}"/>
    <cellStyle name="Normal 3 43 7 2" xfId="9351" xr:uid="{00000000-0005-0000-0000-0000921F0000}"/>
    <cellStyle name="Normal 3 43 7 2 2" xfId="9352" xr:uid="{00000000-0005-0000-0000-0000931F0000}"/>
    <cellStyle name="Normal 3 43 7 3" xfId="9353" xr:uid="{00000000-0005-0000-0000-0000941F0000}"/>
    <cellStyle name="Normal 3 43 7 3 2" xfId="9354" xr:uid="{00000000-0005-0000-0000-0000951F0000}"/>
    <cellStyle name="Normal 3 43 7 4" xfId="9355" xr:uid="{00000000-0005-0000-0000-0000961F0000}"/>
    <cellStyle name="Normal 3 43 7 5" xfId="9356" xr:uid="{00000000-0005-0000-0000-0000971F0000}"/>
    <cellStyle name="Normal 3 43 8" xfId="2535" xr:uid="{00000000-0005-0000-0000-0000981F0000}"/>
    <cellStyle name="Normal 3 43 8 2" xfId="9357" xr:uid="{00000000-0005-0000-0000-0000991F0000}"/>
    <cellStyle name="Normal 3 43 8 2 2" xfId="9358" xr:uid="{00000000-0005-0000-0000-00009A1F0000}"/>
    <cellStyle name="Normal 3 43 8 3" xfId="9359" xr:uid="{00000000-0005-0000-0000-00009B1F0000}"/>
    <cellStyle name="Normal 3 43 8 3 2" xfId="9360" xr:uid="{00000000-0005-0000-0000-00009C1F0000}"/>
    <cellStyle name="Normal 3 43 8 4" xfId="9361" xr:uid="{00000000-0005-0000-0000-00009D1F0000}"/>
    <cellStyle name="Normal 3 43 8 5" xfId="9362" xr:uid="{00000000-0005-0000-0000-00009E1F0000}"/>
    <cellStyle name="Normal 3 43 9" xfId="2536" xr:uid="{00000000-0005-0000-0000-00009F1F0000}"/>
    <cellStyle name="Normal 3 43 9 2" xfId="9363" xr:uid="{00000000-0005-0000-0000-0000A01F0000}"/>
    <cellStyle name="Normal 3 43 9 2 2" xfId="9364" xr:uid="{00000000-0005-0000-0000-0000A11F0000}"/>
    <cellStyle name="Normal 3 43 9 3" xfId="9365" xr:uid="{00000000-0005-0000-0000-0000A21F0000}"/>
    <cellStyle name="Normal 3 43 9 3 2" xfId="9366" xr:uid="{00000000-0005-0000-0000-0000A31F0000}"/>
    <cellStyle name="Normal 3 43 9 4" xfId="9367" xr:uid="{00000000-0005-0000-0000-0000A41F0000}"/>
    <cellStyle name="Normal 3 43 9 5" xfId="9368" xr:uid="{00000000-0005-0000-0000-0000A51F0000}"/>
    <cellStyle name="Normal 3 44" xfId="2537" xr:uid="{00000000-0005-0000-0000-0000A61F0000}"/>
    <cellStyle name="Normal 3 44 10" xfId="2538" xr:uid="{00000000-0005-0000-0000-0000A71F0000}"/>
    <cellStyle name="Normal 3 44 10 2" xfId="9369" xr:uid="{00000000-0005-0000-0000-0000A81F0000}"/>
    <cellStyle name="Normal 3 44 10 2 2" xfId="9370" xr:uid="{00000000-0005-0000-0000-0000A91F0000}"/>
    <cellStyle name="Normal 3 44 10 3" xfId="9371" xr:uid="{00000000-0005-0000-0000-0000AA1F0000}"/>
    <cellStyle name="Normal 3 44 10 3 2" xfId="9372" xr:uid="{00000000-0005-0000-0000-0000AB1F0000}"/>
    <cellStyle name="Normal 3 44 10 4" xfId="9373" xr:uid="{00000000-0005-0000-0000-0000AC1F0000}"/>
    <cellStyle name="Normal 3 44 10 5" xfId="9374" xr:uid="{00000000-0005-0000-0000-0000AD1F0000}"/>
    <cellStyle name="Normal 3 44 11" xfId="2539" xr:uid="{00000000-0005-0000-0000-0000AE1F0000}"/>
    <cellStyle name="Normal 3 44 11 2" xfId="9375" xr:uid="{00000000-0005-0000-0000-0000AF1F0000}"/>
    <cellStyle name="Normal 3 44 11 2 2" xfId="9376" xr:uid="{00000000-0005-0000-0000-0000B01F0000}"/>
    <cellStyle name="Normal 3 44 11 3" xfId="9377" xr:uid="{00000000-0005-0000-0000-0000B11F0000}"/>
    <cellStyle name="Normal 3 44 11 3 2" xfId="9378" xr:uid="{00000000-0005-0000-0000-0000B21F0000}"/>
    <cellStyle name="Normal 3 44 11 4" xfId="9379" xr:uid="{00000000-0005-0000-0000-0000B31F0000}"/>
    <cellStyle name="Normal 3 44 11 5" xfId="9380" xr:uid="{00000000-0005-0000-0000-0000B41F0000}"/>
    <cellStyle name="Normal 3 44 12" xfId="2540" xr:uid="{00000000-0005-0000-0000-0000B51F0000}"/>
    <cellStyle name="Normal 3 44 12 2" xfId="9381" xr:uid="{00000000-0005-0000-0000-0000B61F0000}"/>
    <cellStyle name="Normal 3 44 12 2 2" xfId="9382" xr:uid="{00000000-0005-0000-0000-0000B71F0000}"/>
    <cellStyle name="Normal 3 44 12 3" xfId="9383" xr:uid="{00000000-0005-0000-0000-0000B81F0000}"/>
    <cellStyle name="Normal 3 44 12 3 2" xfId="9384" xr:uid="{00000000-0005-0000-0000-0000B91F0000}"/>
    <cellStyle name="Normal 3 44 12 4" xfId="9385" xr:uid="{00000000-0005-0000-0000-0000BA1F0000}"/>
    <cellStyle name="Normal 3 44 12 5" xfId="9386" xr:uid="{00000000-0005-0000-0000-0000BB1F0000}"/>
    <cellStyle name="Normal 3 44 13" xfId="2541" xr:uid="{00000000-0005-0000-0000-0000BC1F0000}"/>
    <cellStyle name="Normal 3 44 13 2" xfId="9387" xr:uid="{00000000-0005-0000-0000-0000BD1F0000}"/>
    <cellStyle name="Normal 3 44 13 2 2" xfId="9388" xr:uid="{00000000-0005-0000-0000-0000BE1F0000}"/>
    <cellStyle name="Normal 3 44 13 3" xfId="9389" xr:uid="{00000000-0005-0000-0000-0000BF1F0000}"/>
    <cellStyle name="Normal 3 44 13 3 2" xfId="9390" xr:uid="{00000000-0005-0000-0000-0000C01F0000}"/>
    <cellStyle name="Normal 3 44 13 4" xfId="9391" xr:uid="{00000000-0005-0000-0000-0000C11F0000}"/>
    <cellStyle name="Normal 3 44 13 5" xfId="9392" xr:uid="{00000000-0005-0000-0000-0000C21F0000}"/>
    <cellStyle name="Normal 3 44 14" xfId="9393" xr:uid="{00000000-0005-0000-0000-0000C31F0000}"/>
    <cellStyle name="Normal 3 44 14 2" xfId="9394" xr:uid="{00000000-0005-0000-0000-0000C41F0000}"/>
    <cellStyle name="Normal 3 44 15" xfId="9395" xr:uid="{00000000-0005-0000-0000-0000C51F0000}"/>
    <cellStyle name="Normal 3 44 15 2" xfId="9396" xr:uid="{00000000-0005-0000-0000-0000C61F0000}"/>
    <cellStyle name="Normal 3 44 16" xfId="9397" xr:uid="{00000000-0005-0000-0000-0000C71F0000}"/>
    <cellStyle name="Normal 3 44 17" xfId="9398" xr:uid="{00000000-0005-0000-0000-0000C81F0000}"/>
    <cellStyle name="Normal 3 44 2" xfId="2542" xr:uid="{00000000-0005-0000-0000-0000C91F0000}"/>
    <cellStyle name="Normal 3 44 2 10" xfId="2543" xr:uid="{00000000-0005-0000-0000-0000CA1F0000}"/>
    <cellStyle name="Normal 3 44 2 10 2" xfId="9399" xr:uid="{00000000-0005-0000-0000-0000CB1F0000}"/>
    <cellStyle name="Normal 3 44 2 10 2 2" xfId="9400" xr:uid="{00000000-0005-0000-0000-0000CC1F0000}"/>
    <cellStyle name="Normal 3 44 2 10 3" xfId="9401" xr:uid="{00000000-0005-0000-0000-0000CD1F0000}"/>
    <cellStyle name="Normal 3 44 2 10 3 2" xfId="9402" xr:uid="{00000000-0005-0000-0000-0000CE1F0000}"/>
    <cellStyle name="Normal 3 44 2 10 4" xfId="9403" xr:uid="{00000000-0005-0000-0000-0000CF1F0000}"/>
    <cellStyle name="Normal 3 44 2 10 5" xfId="9404" xr:uid="{00000000-0005-0000-0000-0000D01F0000}"/>
    <cellStyle name="Normal 3 44 2 11" xfId="2544" xr:uid="{00000000-0005-0000-0000-0000D11F0000}"/>
    <cellStyle name="Normal 3 44 2 11 2" xfId="9405" xr:uid="{00000000-0005-0000-0000-0000D21F0000}"/>
    <cellStyle name="Normal 3 44 2 11 2 2" xfId="9406" xr:uid="{00000000-0005-0000-0000-0000D31F0000}"/>
    <cellStyle name="Normal 3 44 2 11 3" xfId="9407" xr:uid="{00000000-0005-0000-0000-0000D41F0000}"/>
    <cellStyle name="Normal 3 44 2 11 3 2" xfId="9408" xr:uid="{00000000-0005-0000-0000-0000D51F0000}"/>
    <cellStyle name="Normal 3 44 2 11 4" xfId="9409" xr:uid="{00000000-0005-0000-0000-0000D61F0000}"/>
    <cellStyle name="Normal 3 44 2 11 5" xfId="9410" xr:uid="{00000000-0005-0000-0000-0000D71F0000}"/>
    <cellStyle name="Normal 3 44 2 12" xfId="2545" xr:uid="{00000000-0005-0000-0000-0000D81F0000}"/>
    <cellStyle name="Normal 3 44 2 12 2" xfId="9411" xr:uid="{00000000-0005-0000-0000-0000D91F0000}"/>
    <cellStyle name="Normal 3 44 2 12 2 2" xfId="9412" xr:uid="{00000000-0005-0000-0000-0000DA1F0000}"/>
    <cellStyle name="Normal 3 44 2 12 3" xfId="9413" xr:uid="{00000000-0005-0000-0000-0000DB1F0000}"/>
    <cellStyle name="Normal 3 44 2 12 3 2" xfId="9414" xr:uid="{00000000-0005-0000-0000-0000DC1F0000}"/>
    <cellStyle name="Normal 3 44 2 12 4" xfId="9415" xr:uid="{00000000-0005-0000-0000-0000DD1F0000}"/>
    <cellStyle name="Normal 3 44 2 12 5" xfId="9416" xr:uid="{00000000-0005-0000-0000-0000DE1F0000}"/>
    <cellStyle name="Normal 3 44 2 13" xfId="9417" xr:uid="{00000000-0005-0000-0000-0000DF1F0000}"/>
    <cellStyle name="Normal 3 44 2 13 2" xfId="9418" xr:uid="{00000000-0005-0000-0000-0000E01F0000}"/>
    <cellStyle name="Normal 3 44 2 14" xfId="9419" xr:uid="{00000000-0005-0000-0000-0000E11F0000}"/>
    <cellStyle name="Normal 3 44 2 14 2" xfId="9420" xr:uid="{00000000-0005-0000-0000-0000E21F0000}"/>
    <cellStyle name="Normal 3 44 2 15" xfId="9421" xr:uid="{00000000-0005-0000-0000-0000E31F0000}"/>
    <cellStyle name="Normal 3 44 2 16" xfId="9422" xr:uid="{00000000-0005-0000-0000-0000E41F0000}"/>
    <cellStyle name="Normal 3 44 2 2" xfId="2546" xr:uid="{00000000-0005-0000-0000-0000E51F0000}"/>
    <cellStyle name="Normal 3 44 2 2 2" xfId="9423" xr:uid="{00000000-0005-0000-0000-0000E61F0000}"/>
    <cellStyle name="Normal 3 44 2 2 2 2" xfId="9424" xr:uid="{00000000-0005-0000-0000-0000E71F0000}"/>
    <cellStyle name="Normal 3 44 2 2 3" xfId="9425" xr:uid="{00000000-0005-0000-0000-0000E81F0000}"/>
    <cellStyle name="Normal 3 44 2 2 3 2" xfId="9426" xr:uid="{00000000-0005-0000-0000-0000E91F0000}"/>
    <cellStyle name="Normal 3 44 2 2 4" xfId="9427" xr:uid="{00000000-0005-0000-0000-0000EA1F0000}"/>
    <cellStyle name="Normal 3 44 2 2 5" xfId="9428" xr:uid="{00000000-0005-0000-0000-0000EB1F0000}"/>
    <cellStyle name="Normal 3 44 2 3" xfId="2547" xr:uid="{00000000-0005-0000-0000-0000EC1F0000}"/>
    <cellStyle name="Normal 3 44 2 3 2" xfId="9429" xr:uid="{00000000-0005-0000-0000-0000ED1F0000}"/>
    <cellStyle name="Normal 3 44 2 3 2 2" xfId="9430" xr:uid="{00000000-0005-0000-0000-0000EE1F0000}"/>
    <cellStyle name="Normal 3 44 2 3 3" xfId="9431" xr:uid="{00000000-0005-0000-0000-0000EF1F0000}"/>
    <cellStyle name="Normal 3 44 2 3 3 2" xfId="9432" xr:uid="{00000000-0005-0000-0000-0000F01F0000}"/>
    <cellStyle name="Normal 3 44 2 3 4" xfId="9433" xr:uid="{00000000-0005-0000-0000-0000F11F0000}"/>
    <cellStyle name="Normal 3 44 2 3 5" xfId="9434" xr:uid="{00000000-0005-0000-0000-0000F21F0000}"/>
    <cellStyle name="Normal 3 44 2 4" xfId="2548" xr:uid="{00000000-0005-0000-0000-0000F31F0000}"/>
    <cellStyle name="Normal 3 44 2 4 2" xfId="9435" xr:uid="{00000000-0005-0000-0000-0000F41F0000}"/>
    <cellStyle name="Normal 3 44 2 4 2 2" xfId="9436" xr:uid="{00000000-0005-0000-0000-0000F51F0000}"/>
    <cellStyle name="Normal 3 44 2 4 3" xfId="9437" xr:uid="{00000000-0005-0000-0000-0000F61F0000}"/>
    <cellStyle name="Normal 3 44 2 4 3 2" xfId="9438" xr:uid="{00000000-0005-0000-0000-0000F71F0000}"/>
    <cellStyle name="Normal 3 44 2 4 4" xfId="9439" xr:uid="{00000000-0005-0000-0000-0000F81F0000}"/>
    <cellStyle name="Normal 3 44 2 4 5" xfId="9440" xr:uid="{00000000-0005-0000-0000-0000F91F0000}"/>
    <cellStyle name="Normal 3 44 2 5" xfId="2549" xr:uid="{00000000-0005-0000-0000-0000FA1F0000}"/>
    <cellStyle name="Normal 3 44 2 5 2" xfId="9441" xr:uid="{00000000-0005-0000-0000-0000FB1F0000}"/>
    <cellStyle name="Normal 3 44 2 5 2 2" xfId="9442" xr:uid="{00000000-0005-0000-0000-0000FC1F0000}"/>
    <cellStyle name="Normal 3 44 2 5 3" xfId="9443" xr:uid="{00000000-0005-0000-0000-0000FD1F0000}"/>
    <cellStyle name="Normal 3 44 2 5 3 2" xfId="9444" xr:uid="{00000000-0005-0000-0000-0000FE1F0000}"/>
    <cellStyle name="Normal 3 44 2 5 4" xfId="9445" xr:uid="{00000000-0005-0000-0000-0000FF1F0000}"/>
    <cellStyle name="Normal 3 44 2 5 5" xfId="9446" xr:uid="{00000000-0005-0000-0000-000000200000}"/>
    <cellStyle name="Normal 3 44 2 6" xfId="2550" xr:uid="{00000000-0005-0000-0000-000001200000}"/>
    <cellStyle name="Normal 3 44 2 6 2" xfId="9447" xr:uid="{00000000-0005-0000-0000-000002200000}"/>
    <cellStyle name="Normal 3 44 2 6 2 2" xfId="9448" xr:uid="{00000000-0005-0000-0000-000003200000}"/>
    <cellStyle name="Normal 3 44 2 6 3" xfId="9449" xr:uid="{00000000-0005-0000-0000-000004200000}"/>
    <cellStyle name="Normal 3 44 2 6 3 2" xfId="9450" xr:uid="{00000000-0005-0000-0000-000005200000}"/>
    <cellStyle name="Normal 3 44 2 6 4" xfId="9451" xr:uid="{00000000-0005-0000-0000-000006200000}"/>
    <cellStyle name="Normal 3 44 2 6 5" xfId="9452" xr:uid="{00000000-0005-0000-0000-000007200000}"/>
    <cellStyle name="Normal 3 44 2 7" xfId="2551" xr:uid="{00000000-0005-0000-0000-000008200000}"/>
    <cellStyle name="Normal 3 44 2 7 2" xfId="9453" xr:uid="{00000000-0005-0000-0000-000009200000}"/>
    <cellStyle name="Normal 3 44 2 7 2 2" xfId="9454" xr:uid="{00000000-0005-0000-0000-00000A200000}"/>
    <cellStyle name="Normal 3 44 2 7 3" xfId="9455" xr:uid="{00000000-0005-0000-0000-00000B200000}"/>
    <cellStyle name="Normal 3 44 2 7 3 2" xfId="9456" xr:uid="{00000000-0005-0000-0000-00000C200000}"/>
    <cellStyle name="Normal 3 44 2 7 4" xfId="9457" xr:uid="{00000000-0005-0000-0000-00000D200000}"/>
    <cellStyle name="Normal 3 44 2 7 5" xfId="9458" xr:uid="{00000000-0005-0000-0000-00000E200000}"/>
    <cellStyle name="Normal 3 44 2 8" xfId="2552" xr:uid="{00000000-0005-0000-0000-00000F200000}"/>
    <cellStyle name="Normal 3 44 2 8 2" xfId="9459" xr:uid="{00000000-0005-0000-0000-000010200000}"/>
    <cellStyle name="Normal 3 44 2 8 2 2" xfId="9460" xr:uid="{00000000-0005-0000-0000-000011200000}"/>
    <cellStyle name="Normal 3 44 2 8 3" xfId="9461" xr:uid="{00000000-0005-0000-0000-000012200000}"/>
    <cellStyle name="Normal 3 44 2 8 3 2" xfId="9462" xr:uid="{00000000-0005-0000-0000-000013200000}"/>
    <cellStyle name="Normal 3 44 2 8 4" xfId="9463" xr:uid="{00000000-0005-0000-0000-000014200000}"/>
    <cellStyle name="Normal 3 44 2 8 5" xfId="9464" xr:uid="{00000000-0005-0000-0000-000015200000}"/>
    <cellStyle name="Normal 3 44 2 9" xfId="2553" xr:uid="{00000000-0005-0000-0000-000016200000}"/>
    <cellStyle name="Normal 3 44 2 9 2" xfId="9465" xr:uid="{00000000-0005-0000-0000-000017200000}"/>
    <cellStyle name="Normal 3 44 2 9 2 2" xfId="9466" xr:uid="{00000000-0005-0000-0000-000018200000}"/>
    <cellStyle name="Normal 3 44 2 9 3" xfId="9467" xr:uid="{00000000-0005-0000-0000-000019200000}"/>
    <cellStyle name="Normal 3 44 2 9 3 2" xfId="9468" xr:uid="{00000000-0005-0000-0000-00001A200000}"/>
    <cellStyle name="Normal 3 44 2 9 4" xfId="9469" xr:uid="{00000000-0005-0000-0000-00001B200000}"/>
    <cellStyle name="Normal 3 44 2 9 5" xfId="9470" xr:uid="{00000000-0005-0000-0000-00001C200000}"/>
    <cellStyle name="Normal 3 44 3" xfId="2554" xr:uid="{00000000-0005-0000-0000-00001D200000}"/>
    <cellStyle name="Normal 3 44 3 2" xfId="9471" xr:uid="{00000000-0005-0000-0000-00001E200000}"/>
    <cellStyle name="Normal 3 44 3 2 2" xfId="9472" xr:uid="{00000000-0005-0000-0000-00001F200000}"/>
    <cellStyle name="Normal 3 44 3 3" xfId="9473" xr:uid="{00000000-0005-0000-0000-000020200000}"/>
    <cellStyle name="Normal 3 44 3 3 2" xfId="9474" xr:uid="{00000000-0005-0000-0000-000021200000}"/>
    <cellStyle name="Normal 3 44 3 4" xfId="9475" xr:uid="{00000000-0005-0000-0000-000022200000}"/>
    <cellStyle name="Normal 3 44 3 5" xfId="9476" xr:uid="{00000000-0005-0000-0000-000023200000}"/>
    <cellStyle name="Normal 3 44 4" xfId="2555" xr:uid="{00000000-0005-0000-0000-000024200000}"/>
    <cellStyle name="Normal 3 44 4 2" xfId="9477" xr:uid="{00000000-0005-0000-0000-000025200000}"/>
    <cellStyle name="Normal 3 44 4 2 2" xfId="9478" xr:uid="{00000000-0005-0000-0000-000026200000}"/>
    <cellStyle name="Normal 3 44 4 3" xfId="9479" xr:uid="{00000000-0005-0000-0000-000027200000}"/>
    <cellStyle name="Normal 3 44 4 3 2" xfId="9480" xr:uid="{00000000-0005-0000-0000-000028200000}"/>
    <cellStyle name="Normal 3 44 4 4" xfId="9481" xr:uid="{00000000-0005-0000-0000-000029200000}"/>
    <cellStyle name="Normal 3 44 4 5" xfId="9482" xr:uid="{00000000-0005-0000-0000-00002A200000}"/>
    <cellStyle name="Normal 3 44 5" xfId="2556" xr:uid="{00000000-0005-0000-0000-00002B200000}"/>
    <cellStyle name="Normal 3 44 5 2" xfId="9483" xr:uid="{00000000-0005-0000-0000-00002C200000}"/>
    <cellStyle name="Normal 3 44 5 2 2" xfId="9484" xr:uid="{00000000-0005-0000-0000-00002D200000}"/>
    <cellStyle name="Normal 3 44 5 3" xfId="9485" xr:uid="{00000000-0005-0000-0000-00002E200000}"/>
    <cellStyle name="Normal 3 44 5 3 2" xfId="9486" xr:uid="{00000000-0005-0000-0000-00002F200000}"/>
    <cellStyle name="Normal 3 44 5 4" xfId="9487" xr:uid="{00000000-0005-0000-0000-000030200000}"/>
    <cellStyle name="Normal 3 44 5 5" xfId="9488" xr:uid="{00000000-0005-0000-0000-000031200000}"/>
    <cellStyle name="Normal 3 44 6" xfId="2557" xr:uid="{00000000-0005-0000-0000-000032200000}"/>
    <cellStyle name="Normal 3 44 6 2" xfId="9489" xr:uid="{00000000-0005-0000-0000-000033200000}"/>
    <cellStyle name="Normal 3 44 6 2 2" xfId="9490" xr:uid="{00000000-0005-0000-0000-000034200000}"/>
    <cellStyle name="Normal 3 44 6 3" xfId="9491" xr:uid="{00000000-0005-0000-0000-000035200000}"/>
    <cellStyle name="Normal 3 44 6 3 2" xfId="9492" xr:uid="{00000000-0005-0000-0000-000036200000}"/>
    <cellStyle name="Normal 3 44 6 4" xfId="9493" xr:uid="{00000000-0005-0000-0000-000037200000}"/>
    <cellStyle name="Normal 3 44 6 5" xfId="9494" xr:uid="{00000000-0005-0000-0000-000038200000}"/>
    <cellStyle name="Normal 3 44 7" xfId="2558" xr:uid="{00000000-0005-0000-0000-000039200000}"/>
    <cellStyle name="Normal 3 44 7 2" xfId="9495" xr:uid="{00000000-0005-0000-0000-00003A200000}"/>
    <cellStyle name="Normal 3 44 7 2 2" xfId="9496" xr:uid="{00000000-0005-0000-0000-00003B200000}"/>
    <cellStyle name="Normal 3 44 7 3" xfId="9497" xr:uid="{00000000-0005-0000-0000-00003C200000}"/>
    <cellStyle name="Normal 3 44 7 3 2" xfId="9498" xr:uid="{00000000-0005-0000-0000-00003D200000}"/>
    <cellStyle name="Normal 3 44 7 4" xfId="9499" xr:uid="{00000000-0005-0000-0000-00003E200000}"/>
    <cellStyle name="Normal 3 44 7 5" xfId="9500" xr:uid="{00000000-0005-0000-0000-00003F200000}"/>
    <cellStyle name="Normal 3 44 8" xfId="2559" xr:uid="{00000000-0005-0000-0000-000040200000}"/>
    <cellStyle name="Normal 3 44 8 2" xfId="9501" xr:uid="{00000000-0005-0000-0000-000041200000}"/>
    <cellStyle name="Normal 3 44 8 2 2" xfId="9502" xr:uid="{00000000-0005-0000-0000-000042200000}"/>
    <cellStyle name="Normal 3 44 8 3" xfId="9503" xr:uid="{00000000-0005-0000-0000-000043200000}"/>
    <cellStyle name="Normal 3 44 8 3 2" xfId="9504" xr:uid="{00000000-0005-0000-0000-000044200000}"/>
    <cellStyle name="Normal 3 44 8 4" xfId="9505" xr:uid="{00000000-0005-0000-0000-000045200000}"/>
    <cellStyle name="Normal 3 44 8 5" xfId="9506" xr:uid="{00000000-0005-0000-0000-000046200000}"/>
    <cellStyle name="Normal 3 44 9" xfId="2560" xr:uid="{00000000-0005-0000-0000-000047200000}"/>
    <cellStyle name="Normal 3 44 9 2" xfId="9507" xr:uid="{00000000-0005-0000-0000-000048200000}"/>
    <cellStyle name="Normal 3 44 9 2 2" xfId="9508" xr:uid="{00000000-0005-0000-0000-000049200000}"/>
    <cellStyle name="Normal 3 44 9 3" xfId="9509" xr:uid="{00000000-0005-0000-0000-00004A200000}"/>
    <cellStyle name="Normal 3 44 9 3 2" xfId="9510" xr:uid="{00000000-0005-0000-0000-00004B200000}"/>
    <cellStyle name="Normal 3 44 9 4" xfId="9511" xr:uid="{00000000-0005-0000-0000-00004C200000}"/>
    <cellStyle name="Normal 3 44 9 5" xfId="9512" xr:uid="{00000000-0005-0000-0000-00004D200000}"/>
    <cellStyle name="Normal 3 45" xfId="2561" xr:uid="{00000000-0005-0000-0000-00004E200000}"/>
    <cellStyle name="Normal 3 45 10" xfId="2562" xr:uid="{00000000-0005-0000-0000-00004F200000}"/>
    <cellStyle name="Normal 3 45 10 2" xfId="9513" xr:uid="{00000000-0005-0000-0000-000050200000}"/>
    <cellStyle name="Normal 3 45 10 2 2" xfId="9514" xr:uid="{00000000-0005-0000-0000-000051200000}"/>
    <cellStyle name="Normal 3 45 10 3" xfId="9515" xr:uid="{00000000-0005-0000-0000-000052200000}"/>
    <cellStyle name="Normal 3 45 10 3 2" xfId="9516" xr:uid="{00000000-0005-0000-0000-000053200000}"/>
    <cellStyle name="Normal 3 45 10 4" xfId="9517" xr:uid="{00000000-0005-0000-0000-000054200000}"/>
    <cellStyle name="Normal 3 45 10 5" xfId="9518" xr:uid="{00000000-0005-0000-0000-000055200000}"/>
    <cellStyle name="Normal 3 45 11" xfId="2563" xr:uid="{00000000-0005-0000-0000-000056200000}"/>
    <cellStyle name="Normal 3 45 11 2" xfId="9519" xr:uid="{00000000-0005-0000-0000-000057200000}"/>
    <cellStyle name="Normal 3 45 11 2 2" xfId="9520" xr:uid="{00000000-0005-0000-0000-000058200000}"/>
    <cellStyle name="Normal 3 45 11 3" xfId="9521" xr:uid="{00000000-0005-0000-0000-000059200000}"/>
    <cellStyle name="Normal 3 45 11 3 2" xfId="9522" xr:uid="{00000000-0005-0000-0000-00005A200000}"/>
    <cellStyle name="Normal 3 45 11 4" xfId="9523" xr:uid="{00000000-0005-0000-0000-00005B200000}"/>
    <cellStyle name="Normal 3 45 11 5" xfId="9524" xr:uid="{00000000-0005-0000-0000-00005C200000}"/>
    <cellStyle name="Normal 3 45 12" xfId="2564" xr:uid="{00000000-0005-0000-0000-00005D200000}"/>
    <cellStyle name="Normal 3 45 12 2" xfId="9525" xr:uid="{00000000-0005-0000-0000-00005E200000}"/>
    <cellStyle name="Normal 3 45 12 2 2" xfId="9526" xr:uid="{00000000-0005-0000-0000-00005F200000}"/>
    <cellStyle name="Normal 3 45 12 3" xfId="9527" xr:uid="{00000000-0005-0000-0000-000060200000}"/>
    <cellStyle name="Normal 3 45 12 3 2" xfId="9528" xr:uid="{00000000-0005-0000-0000-000061200000}"/>
    <cellStyle name="Normal 3 45 12 4" xfId="9529" xr:uid="{00000000-0005-0000-0000-000062200000}"/>
    <cellStyle name="Normal 3 45 12 5" xfId="9530" xr:uid="{00000000-0005-0000-0000-000063200000}"/>
    <cellStyle name="Normal 3 45 13" xfId="2565" xr:uid="{00000000-0005-0000-0000-000064200000}"/>
    <cellStyle name="Normal 3 45 13 2" xfId="9531" xr:uid="{00000000-0005-0000-0000-000065200000}"/>
    <cellStyle name="Normal 3 45 13 2 2" xfId="9532" xr:uid="{00000000-0005-0000-0000-000066200000}"/>
    <cellStyle name="Normal 3 45 13 3" xfId="9533" xr:uid="{00000000-0005-0000-0000-000067200000}"/>
    <cellStyle name="Normal 3 45 13 3 2" xfId="9534" xr:uid="{00000000-0005-0000-0000-000068200000}"/>
    <cellStyle name="Normal 3 45 13 4" xfId="9535" xr:uid="{00000000-0005-0000-0000-000069200000}"/>
    <cellStyle name="Normal 3 45 13 5" xfId="9536" xr:uid="{00000000-0005-0000-0000-00006A200000}"/>
    <cellStyle name="Normal 3 45 14" xfId="9537" xr:uid="{00000000-0005-0000-0000-00006B200000}"/>
    <cellStyle name="Normal 3 45 14 2" xfId="9538" xr:uid="{00000000-0005-0000-0000-00006C200000}"/>
    <cellStyle name="Normal 3 45 15" xfId="9539" xr:uid="{00000000-0005-0000-0000-00006D200000}"/>
    <cellStyle name="Normal 3 45 15 2" xfId="9540" xr:uid="{00000000-0005-0000-0000-00006E200000}"/>
    <cellStyle name="Normal 3 45 16" xfId="9541" xr:uid="{00000000-0005-0000-0000-00006F200000}"/>
    <cellStyle name="Normal 3 45 17" xfId="9542" xr:uid="{00000000-0005-0000-0000-000070200000}"/>
    <cellStyle name="Normal 3 45 2" xfId="2566" xr:uid="{00000000-0005-0000-0000-000071200000}"/>
    <cellStyle name="Normal 3 45 2 10" xfId="2567" xr:uid="{00000000-0005-0000-0000-000072200000}"/>
    <cellStyle name="Normal 3 45 2 10 2" xfId="9543" xr:uid="{00000000-0005-0000-0000-000073200000}"/>
    <cellStyle name="Normal 3 45 2 10 2 2" xfId="9544" xr:uid="{00000000-0005-0000-0000-000074200000}"/>
    <cellStyle name="Normal 3 45 2 10 3" xfId="9545" xr:uid="{00000000-0005-0000-0000-000075200000}"/>
    <cellStyle name="Normal 3 45 2 10 3 2" xfId="9546" xr:uid="{00000000-0005-0000-0000-000076200000}"/>
    <cellStyle name="Normal 3 45 2 10 4" xfId="9547" xr:uid="{00000000-0005-0000-0000-000077200000}"/>
    <cellStyle name="Normal 3 45 2 10 5" xfId="9548" xr:uid="{00000000-0005-0000-0000-000078200000}"/>
    <cellStyle name="Normal 3 45 2 11" xfId="2568" xr:uid="{00000000-0005-0000-0000-000079200000}"/>
    <cellStyle name="Normal 3 45 2 11 2" xfId="9549" xr:uid="{00000000-0005-0000-0000-00007A200000}"/>
    <cellStyle name="Normal 3 45 2 11 2 2" xfId="9550" xr:uid="{00000000-0005-0000-0000-00007B200000}"/>
    <cellStyle name="Normal 3 45 2 11 3" xfId="9551" xr:uid="{00000000-0005-0000-0000-00007C200000}"/>
    <cellStyle name="Normal 3 45 2 11 3 2" xfId="9552" xr:uid="{00000000-0005-0000-0000-00007D200000}"/>
    <cellStyle name="Normal 3 45 2 11 4" xfId="9553" xr:uid="{00000000-0005-0000-0000-00007E200000}"/>
    <cellStyle name="Normal 3 45 2 11 5" xfId="9554" xr:uid="{00000000-0005-0000-0000-00007F200000}"/>
    <cellStyle name="Normal 3 45 2 12" xfId="2569" xr:uid="{00000000-0005-0000-0000-000080200000}"/>
    <cellStyle name="Normal 3 45 2 12 2" xfId="9555" xr:uid="{00000000-0005-0000-0000-000081200000}"/>
    <cellStyle name="Normal 3 45 2 12 2 2" xfId="9556" xr:uid="{00000000-0005-0000-0000-000082200000}"/>
    <cellStyle name="Normal 3 45 2 12 3" xfId="9557" xr:uid="{00000000-0005-0000-0000-000083200000}"/>
    <cellStyle name="Normal 3 45 2 12 3 2" xfId="9558" xr:uid="{00000000-0005-0000-0000-000084200000}"/>
    <cellStyle name="Normal 3 45 2 12 4" xfId="9559" xr:uid="{00000000-0005-0000-0000-000085200000}"/>
    <cellStyle name="Normal 3 45 2 12 5" xfId="9560" xr:uid="{00000000-0005-0000-0000-000086200000}"/>
    <cellStyle name="Normal 3 45 2 13" xfId="9561" xr:uid="{00000000-0005-0000-0000-000087200000}"/>
    <cellStyle name="Normal 3 45 2 13 2" xfId="9562" xr:uid="{00000000-0005-0000-0000-000088200000}"/>
    <cellStyle name="Normal 3 45 2 14" xfId="9563" xr:uid="{00000000-0005-0000-0000-000089200000}"/>
    <cellStyle name="Normal 3 45 2 14 2" xfId="9564" xr:uid="{00000000-0005-0000-0000-00008A200000}"/>
    <cellStyle name="Normal 3 45 2 15" xfId="9565" xr:uid="{00000000-0005-0000-0000-00008B200000}"/>
    <cellStyle name="Normal 3 45 2 16" xfId="9566" xr:uid="{00000000-0005-0000-0000-00008C200000}"/>
    <cellStyle name="Normal 3 45 2 2" xfId="2570" xr:uid="{00000000-0005-0000-0000-00008D200000}"/>
    <cellStyle name="Normal 3 45 2 2 2" xfId="9567" xr:uid="{00000000-0005-0000-0000-00008E200000}"/>
    <cellStyle name="Normal 3 45 2 2 2 2" xfId="9568" xr:uid="{00000000-0005-0000-0000-00008F200000}"/>
    <cellStyle name="Normal 3 45 2 2 3" xfId="9569" xr:uid="{00000000-0005-0000-0000-000090200000}"/>
    <cellStyle name="Normal 3 45 2 2 3 2" xfId="9570" xr:uid="{00000000-0005-0000-0000-000091200000}"/>
    <cellStyle name="Normal 3 45 2 2 4" xfId="9571" xr:uid="{00000000-0005-0000-0000-000092200000}"/>
    <cellStyle name="Normal 3 45 2 2 5" xfId="9572" xr:uid="{00000000-0005-0000-0000-000093200000}"/>
    <cellStyle name="Normal 3 45 2 3" xfId="2571" xr:uid="{00000000-0005-0000-0000-000094200000}"/>
    <cellStyle name="Normal 3 45 2 3 2" xfId="9573" xr:uid="{00000000-0005-0000-0000-000095200000}"/>
    <cellStyle name="Normal 3 45 2 3 2 2" xfId="9574" xr:uid="{00000000-0005-0000-0000-000096200000}"/>
    <cellStyle name="Normal 3 45 2 3 3" xfId="9575" xr:uid="{00000000-0005-0000-0000-000097200000}"/>
    <cellStyle name="Normal 3 45 2 3 3 2" xfId="9576" xr:uid="{00000000-0005-0000-0000-000098200000}"/>
    <cellStyle name="Normal 3 45 2 3 4" xfId="9577" xr:uid="{00000000-0005-0000-0000-000099200000}"/>
    <cellStyle name="Normal 3 45 2 3 5" xfId="9578" xr:uid="{00000000-0005-0000-0000-00009A200000}"/>
    <cellStyle name="Normal 3 45 2 4" xfId="2572" xr:uid="{00000000-0005-0000-0000-00009B200000}"/>
    <cellStyle name="Normal 3 45 2 4 2" xfId="9579" xr:uid="{00000000-0005-0000-0000-00009C200000}"/>
    <cellStyle name="Normal 3 45 2 4 2 2" xfId="9580" xr:uid="{00000000-0005-0000-0000-00009D200000}"/>
    <cellStyle name="Normal 3 45 2 4 3" xfId="9581" xr:uid="{00000000-0005-0000-0000-00009E200000}"/>
    <cellStyle name="Normal 3 45 2 4 3 2" xfId="9582" xr:uid="{00000000-0005-0000-0000-00009F200000}"/>
    <cellStyle name="Normal 3 45 2 4 4" xfId="9583" xr:uid="{00000000-0005-0000-0000-0000A0200000}"/>
    <cellStyle name="Normal 3 45 2 4 5" xfId="9584" xr:uid="{00000000-0005-0000-0000-0000A1200000}"/>
    <cellStyle name="Normal 3 45 2 5" xfId="2573" xr:uid="{00000000-0005-0000-0000-0000A2200000}"/>
    <cellStyle name="Normal 3 45 2 5 2" xfId="9585" xr:uid="{00000000-0005-0000-0000-0000A3200000}"/>
    <cellStyle name="Normal 3 45 2 5 2 2" xfId="9586" xr:uid="{00000000-0005-0000-0000-0000A4200000}"/>
    <cellStyle name="Normal 3 45 2 5 3" xfId="9587" xr:uid="{00000000-0005-0000-0000-0000A5200000}"/>
    <cellStyle name="Normal 3 45 2 5 3 2" xfId="9588" xr:uid="{00000000-0005-0000-0000-0000A6200000}"/>
    <cellStyle name="Normal 3 45 2 5 4" xfId="9589" xr:uid="{00000000-0005-0000-0000-0000A7200000}"/>
    <cellStyle name="Normal 3 45 2 5 5" xfId="9590" xr:uid="{00000000-0005-0000-0000-0000A8200000}"/>
    <cellStyle name="Normal 3 45 2 6" xfId="2574" xr:uid="{00000000-0005-0000-0000-0000A9200000}"/>
    <cellStyle name="Normal 3 45 2 6 2" xfId="9591" xr:uid="{00000000-0005-0000-0000-0000AA200000}"/>
    <cellStyle name="Normal 3 45 2 6 2 2" xfId="9592" xr:uid="{00000000-0005-0000-0000-0000AB200000}"/>
    <cellStyle name="Normal 3 45 2 6 3" xfId="9593" xr:uid="{00000000-0005-0000-0000-0000AC200000}"/>
    <cellStyle name="Normal 3 45 2 6 3 2" xfId="9594" xr:uid="{00000000-0005-0000-0000-0000AD200000}"/>
    <cellStyle name="Normal 3 45 2 6 4" xfId="9595" xr:uid="{00000000-0005-0000-0000-0000AE200000}"/>
    <cellStyle name="Normal 3 45 2 6 5" xfId="9596" xr:uid="{00000000-0005-0000-0000-0000AF200000}"/>
    <cellStyle name="Normal 3 45 2 7" xfId="2575" xr:uid="{00000000-0005-0000-0000-0000B0200000}"/>
    <cellStyle name="Normal 3 45 2 7 2" xfId="9597" xr:uid="{00000000-0005-0000-0000-0000B1200000}"/>
    <cellStyle name="Normal 3 45 2 7 2 2" xfId="9598" xr:uid="{00000000-0005-0000-0000-0000B2200000}"/>
    <cellStyle name="Normal 3 45 2 7 3" xfId="9599" xr:uid="{00000000-0005-0000-0000-0000B3200000}"/>
    <cellStyle name="Normal 3 45 2 7 3 2" xfId="9600" xr:uid="{00000000-0005-0000-0000-0000B4200000}"/>
    <cellStyle name="Normal 3 45 2 7 4" xfId="9601" xr:uid="{00000000-0005-0000-0000-0000B5200000}"/>
    <cellStyle name="Normal 3 45 2 7 5" xfId="9602" xr:uid="{00000000-0005-0000-0000-0000B6200000}"/>
    <cellStyle name="Normal 3 45 2 8" xfId="2576" xr:uid="{00000000-0005-0000-0000-0000B7200000}"/>
    <cellStyle name="Normal 3 45 2 8 2" xfId="9603" xr:uid="{00000000-0005-0000-0000-0000B8200000}"/>
    <cellStyle name="Normal 3 45 2 8 2 2" xfId="9604" xr:uid="{00000000-0005-0000-0000-0000B9200000}"/>
    <cellStyle name="Normal 3 45 2 8 3" xfId="9605" xr:uid="{00000000-0005-0000-0000-0000BA200000}"/>
    <cellStyle name="Normal 3 45 2 8 3 2" xfId="9606" xr:uid="{00000000-0005-0000-0000-0000BB200000}"/>
    <cellStyle name="Normal 3 45 2 8 4" xfId="9607" xr:uid="{00000000-0005-0000-0000-0000BC200000}"/>
    <cellStyle name="Normal 3 45 2 8 5" xfId="9608" xr:uid="{00000000-0005-0000-0000-0000BD200000}"/>
    <cellStyle name="Normal 3 45 2 9" xfId="2577" xr:uid="{00000000-0005-0000-0000-0000BE200000}"/>
    <cellStyle name="Normal 3 45 2 9 2" xfId="9609" xr:uid="{00000000-0005-0000-0000-0000BF200000}"/>
    <cellStyle name="Normal 3 45 2 9 2 2" xfId="9610" xr:uid="{00000000-0005-0000-0000-0000C0200000}"/>
    <cellStyle name="Normal 3 45 2 9 3" xfId="9611" xr:uid="{00000000-0005-0000-0000-0000C1200000}"/>
    <cellStyle name="Normal 3 45 2 9 3 2" xfId="9612" xr:uid="{00000000-0005-0000-0000-0000C2200000}"/>
    <cellStyle name="Normal 3 45 2 9 4" xfId="9613" xr:uid="{00000000-0005-0000-0000-0000C3200000}"/>
    <cellStyle name="Normal 3 45 2 9 5" xfId="9614" xr:uid="{00000000-0005-0000-0000-0000C4200000}"/>
    <cellStyle name="Normal 3 45 3" xfId="2578" xr:uid="{00000000-0005-0000-0000-0000C5200000}"/>
    <cellStyle name="Normal 3 45 3 2" xfId="9615" xr:uid="{00000000-0005-0000-0000-0000C6200000}"/>
    <cellStyle name="Normal 3 45 3 2 2" xfId="9616" xr:uid="{00000000-0005-0000-0000-0000C7200000}"/>
    <cellStyle name="Normal 3 45 3 3" xfId="9617" xr:uid="{00000000-0005-0000-0000-0000C8200000}"/>
    <cellStyle name="Normal 3 45 3 3 2" xfId="9618" xr:uid="{00000000-0005-0000-0000-0000C9200000}"/>
    <cellStyle name="Normal 3 45 3 4" xfId="9619" xr:uid="{00000000-0005-0000-0000-0000CA200000}"/>
    <cellStyle name="Normal 3 45 3 5" xfId="9620" xr:uid="{00000000-0005-0000-0000-0000CB200000}"/>
    <cellStyle name="Normal 3 45 4" xfId="2579" xr:uid="{00000000-0005-0000-0000-0000CC200000}"/>
    <cellStyle name="Normal 3 45 4 2" xfId="9621" xr:uid="{00000000-0005-0000-0000-0000CD200000}"/>
    <cellStyle name="Normal 3 45 4 2 2" xfId="9622" xr:uid="{00000000-0005-0000-0000-0000CE200000}"/>
    <cellStyle name="Normal 3 45 4 3" xfId="9623" xr:uid="{00000000-0005-0000-0000-0000CF200000}"/>
    <cellStyle name="Normal 3 45 4 3 2" xfId="9624" xr:uid="{00000000-0005-0000-0000-0000D0200000}"/>
    <cellStyle name="Normal 3 45 4 4" xfId="9625" xr:uid="{00000000-0005-0000-0000-0000D1200000}"/>
    <cellStyle name="Normal 3 45 4 5" xfId="9626" xr:uid="{00000000-0005-0000-0000-0000D2200000}"/>
    <cellStyle name="Normal 3 45 5" xfId="2580" xr:uid="{00000000-0005-0000-0000-0000D3200000}"/>
    <cellStyle name="Normal 3 45 5 2" xfId="9627" xr:uid="{00000000-0005-0000-0000-0000D4200000}"/>
    <cellStyle name="Normal 3 45 5 2 2" xfId="9628" xr:uid="{00000000-0005-0000-0000-0000D5200000}"/>
    <cellStyle name="Normal 3 45 5 3" xfId="9629" xr:uid="{00000000-0005-0000-0000-0000D6200000}"/>
    <cellStyle name="Normal 3 45 5 3 2" xfId="9630" xr:uid="{00000000-0005-0000-0000-0000D7200000}"/>
    <cellStyle name="Normal 3 45 5 4" xfId="9631" xr:uid="{00000000-0005-0000-0000-0000D8200000}"/>
    <cellStyle name="Normal 3 45 5 5" xfId="9632" xr:uid="{00000000-0005-0000-0000-0000D9200000}"/>
    <cellStyle name="Normal 3 45 6" xfId="2581" xr:uid="{00000000-0005-0000-0000-0000DA200000}"/>
    <cellStyle name="Normal 3 45 6 2" xfId="9633" xr:uid="{00000000-0005-0000-0000-0000DB200000}"/>
    <cellStyle name="Normal 3 45 6 2 2" xfId="9634" xr:uid="{00000000-0005-0000-0000-0000DC200000}"/>
    <cellStyle name="Normal 3 45 6 3" xfId="9635" xr:uid="{00000000-0005-0000-0000-0000DD200000}"/>
    <cellStyle name="Normal 3 45 6 3 2" xfId="9636" xr:uid="{00000000-0005-0000-0000-0000DE200000}"/>
    <cellStyle name="Normal 3 45 6 4" xfId="9637" xr:uid="{00000000-0005-0000-0000-0000DF200000}"/>
    <cellStyle name="Normal 3 45 6 5" xfId="9638" xr:uid="{00000000-0005-0000-0000-0000E0200000}"/>
    <cellStyle name="Normal 3 45 7" xfId="2582" xr:uid="{00000000-0005-0000-0000-0000E1200000}"/>
    <cellStyle name="Normal 3 45 7 2" xfId="9639" xr:uid="{00000000-0005-0000-0000-0000E2200000}"/>
    <cellStyle name="Normal 3 45 7 2 2" xfId="9640" xr:uid="{00000000-0005-0000-0000-0000E3200000}"/>
    <cellStyle name="Normal 3 45 7 3" xfId="9641" xr:uid="{00000000-0005-0000-0000-0000E4200000}"/>
    <cellStyle name="Normal 3 45 7 3 2" xfId="9642" xr:uid="{00000000-0005-0000-0000-0000E5200000}"/>
    <cellStyle name="Normal 3 45 7 4" xfId="9643" xr:uid="{00000000-0005-0000-0000-0000E6200000}"/>
    <cellStyle name="Normal 3 45 7 5" xfId="9644" xr:uid="{00000000-0005-0000-0000-0000E7200000}"/>
    <cellStyle name="Normal 3 45 8" xfId="2583" xr:uid="{00000000-0005-0000-0000-0000E8200000}"/>
    <cellStyle name="Normal 3 45 8 2" xfId="9645" xr:uid="{00000000-0005-0000-0000-0000E9200000}"/>
    <cellStyle name="Normal 3 45 8 2 2" xfId="9646" xr:uid="{00000000-0005-0000-0000-0000EA200000}"/>
    <cellStyle name="Normal 3 45 8 3" xfId="9647" xr:uid="{00000000-0005-0000-0000-0000EB200000}"/>
    <cellStyle name="Normal 3 45 8 3 2" xfId="9648" xr:uid="{00000000-0005-0000-0000-0000EC200000}"/>
    <cellStyle name="Normal 3 45 8 4" xfId="9649" xr:uid="{00000000-0005-0000-0000-0000ED200000}"/>
    <cellStyle name="Normal 3 45 8 5" xfId="9650" xr:uid="{00000000-0005-0000-0000-0000EE200000}"/>
    <cellStyle name="Normal 3 45 9" xfId="2584" xr:uid="{00000000-0005-0000-0000-0000EF200000}"/>
    <cellStyle name="Normal 3 45 9 2" xfId="9651" xr:uid="{00000000-0005-0000-0000-0000F0200000}"/>
    <cellStyle name="Normal 3 45 9 2 2" xfId="9652" xr:uid="{00000000-0005-0000-0000-0000F1200000}"/>
    <cellStyle name="Normal 3 45 9 3" xfId="9653" xr:uid="{00000000-0005-0000-0000-0000F2200000}"/>
    <cellStyle name="Normal 3 45 9 3 2" xfId="9654" xr:uid="{00000000-0005-0000-0000-0000F3200000}"/>
    <cellStyle name="Normal 3 45 9 4" xfId="9655" xr:uid="{00000000-0005-0000-0000-0000F4200000}"/>
    <cellStyle name="Normal 3 45 9 5" xfId="9656" xr:uid="{00000000-0005-0000-0000-0000F5200000}"/>
    <cellStyle name="Normal 3 46" xfId="2585" xr:uid="{00000000-0005-0000-0000-0000F6200000}"/>
    <cellStyle name="Normal 3 46 10" xfId="2586" xr:uid="{00000000-0005-0000-0000-0000F7200000}"/>
    <cellStyle name="Normal 3 46 10 2" xfId="9657" xr:uid="{00000000-0005-0000-0000-0000F8200000}"/>
    <cellStyle name="Normal 3 46 10 2 2" xfId="9658" xr:uid="{00000000-0005-0000-0000-0000F9200000}"/>
    <cellStyle name="Normal 3 46 10 3" xfId="9659" xr:uid="{00000000-0005-0000-0000-0000FA200000}"/>
    <cellStyle name="Normal 3 46 10 3 2" xfId="9660" xr:uid="{00000000-0005-0000-0000-0000FB200000}"/>
    <cellStyle name="Normal 3 46 10 4" xfId="9661" xr:uid="{00000000-0005-0000-0000-0000FC200000}"/>
    <cellStyle name="Normal 3 46 10 5" xfId="9662" xr:uid="{00000000-0005-0000-0000-0000FD200000}"/>
    <cellStyle name="Normal 3 46 11" xfId="2587" xr:uid="{00000000-0005-0000-0000-0000FE200000}"/>
    <cellStyle name="Normal 3 46 11 2" xfId="9663" xr:uid="{00000000-0005-0000-0000-0000FF200000}"/>
    <cellStyle name="Normal 3 46 11 2 2" xfId="9664" xr:uid="{00000000-0005-0000-0000-000000210000}"/>
    <cellStyle name="Normal 3 46 11 3" xfId="9665" xr:uid="{00000000-0005-0000-0000-000001210000}"/>
    <cellStyle name="Normal 3 46 11 3 2" xfId="9666" xr:uid="{00000000-0005-0000-0000-000002210000}"/>
    <cellStyle name="Normal 3 46 11 4" xfId="9667" xr:uid="{00000000-0005-0000-0000-000003210000}"/>
    <cellStyle name="Normal 3 46 11 5" xfId="9668" xr:uid="{00000000-0005-0000-0000-000004210000}"/>
    <cellStyle name="Normal 3 46 12" xfId="2588" xr:uid="{00000000-0005-0000-0000-000005210000}"/>
    <cellStyle name="Normal 3 46 12 2" xfId="9669" xr:uid="{00000000-0005-0000-0000-000006210000}"/>
    <cellStyle name="Normal 3 46 12 2 2" xfId="9670" xr:uid="{00000000-0005-0000-0000-000007210000}"/>
    <cellStyle name="Normal 3 46 12 3" xfId="9671" xr:uid="{00000000-0005-0000-0000-000008210000}"/>
    <cellStyle name="Normal 3 46 12 3 2" xfId="9672" xr:uid="{00000000-0005-0000-0000-000009210000}"/>
    <cellStyle name="Normal 3 46 12 4" xfId="9673" xr:uid="{00000000-0005-0000-0000-00000A210000}"/>
    <cellStyle name="Normal 3 46 12 5" xfId="9674" xr:uid="{00000000-0005-0000-0000-00000B210000}"/>
    <cellStyle name="Normal 3 46 13" xfId="2589" xr:uid="{00000000-0005-0000-0000-00000C210000}"/>
    <cellStyle name="Normal 3 46 13 2" xfId="9675" xr:uid="{00000000-0005-0000-0000-00000D210000}"/>
    <cellStyle name="Normal 3 46 13 2 2" xfId="9676" xr:uid="{00000000-0005-0000-0000-00000E210000}"/>
    <cellStyle name="Normal 3 46 13 3" xfId="9677" xr:uid="{00000000-0005-0000-0000-00000F210000}"/>
    <cellStyle name="Normal 3 46 13 3 2" xfId="9678" xr:uid="{00000000-0005-0000-0000-000010210000}"/>
    <cellStyle name="Normal 3 46 13 4" xfId="9679" xr:uid="{00000000-0005-0000-0000-000011210000}"/>
    <cellStyle name="Normal 3 46 13 5" xfId="9680" xr:uid="{00000000-0005-0000-0000-000012210000}"/>
    <cellStyle name="Normal 3 46 14" xfId="9681" xr:uid="{00000000-0005-0000-0000-000013210000}"/>
    <cellStyle name="Normal 3 46 14 2" xfId="9682" xr:uid="{00000000-0005-0000-0000-000014210000}"/>
    <cellStyle name="Normal 3 46 15" xfId="9683" xr:uid="{00000000-0005-0000-0000-000015210000}"/>
    <cellStyle name="Normal 3 46 15 2" xfId="9684" xr:uid="{00000000-0005-0000-0000-000016210000}"/>
    <cellStyle name="Normal 3 46 16" xfId="9685" xr:uid="{00000000-0005-0000-0000-000017210000}"/>
    <cellStyle name="Normal 3 46 17" xfId="9686" xr:uid="{00000000-0005-0000-0000-000018210000}"/>
    <cellStyle name="Normal 3 46 2" xfId="2590" xr:uid="{00000000-0005-0000-0000-000019210000}"/>
    <cellStyle name="Normal 3 46 2 10" xfId="2591" xr:uid="{00000000-0005-0000-0000-00001A210000}"/>
    <cellStyle name="Normal 3 46 2 10 2" xfId="9687" xr:uid="{00000000-0005-0000-0000-00001B210000}"/>
    <cellStyle name="Normal 3 46 2 10 2 2" xfId="9688" xr:uid="{00000000-0005-0000-0000-00001C210000}"/>
    <cellStyle name="Normal 3 46 2 10 3" xfId="9689" xr:uid="{00000000-0005-0000-0000-00001D210000}"/>
    <cellStyle name="Normal 3 46 2 10 3 2" xfId="9690" xr:uid="{00000000-0005-0000-0000-00001E210000}"/>
    <cellStyle name="Normal 3 46 2 10 4" xfId="9691" xr:uid="{00000000-0005-0000-0000-00001F210000}"/>
    <cellStyle name="Normal 3 46 2 10 5" xfId="9692" xr:uid="{00000000-0005-0000-0000-000020210000}"/>
    <cellStyle name="Normal 3 46 2 11" xfId="2592" xr:uid="{00000000-0005-0000-0000-000021210000}"/>
    <cellStyle name="Normal 3 46 2 11 2" xfId="9693" xr:uid="{00000000-0005-0000-0000-000022210000}"/>
    <cellStyle name="Normal 3 46 2 11 2 2" xfId="9694" xr:uid="{00000000-0005-0000-0000-000023210000}"/>
    <cellStyle name="Normal 3 46 2 11 3" xfId="9695" xr:uid="{00000000-0005-0000-0000-000024210000}"/>
    <cellStyle name="Normal 3 46 2 11 3 2" xfId="9696" xr:uid="{00000000-0005-0000-0000-000025210000}"/>
    <cellStyle name="Normal 3 46 2 11 4" xfId="9697" xr:uid="{00000000-0005-0000-0000-000026210000}"/>
    <cellStyle name="Normal 3 46 2 11 5" xfId="9698" xr:uid="{00000000-0005-0000-0000-000027210000}"/>
    <cellStyle name="Normal 3 46 2 12" xfId="2593" xr:uid="{00000000-0005-0000-0000-000028210000}"/>
    <cellStyle name="Normal 3 46 2 12 2" xfId="9699" xr:uid="{00000000-0005-0000-0000-000029210000}"/>
    <cellStyle name="Normal 3 46 2 12 2 2" xfId="9700" xr:uid="{00000000-0005-0000-0000-00002A210000}"/>
    <cellStyle name="Normal 3 46 2 12 3" xfId="9701" xr:uid="{00000000-0005-0000-0000-00002B210000}"/>
    <cellStyle name="Normal 3 46 2 12 3 2" xfId="9702" xr:uid="{00000000-0005-0000-0000-00002C210000}"/>
    <cellStyle name="Normal 3 46 2 12 4" xfId="9703" xr:uid="{00000000-0005-0000-0000-00002D210000}"/>
    <cellStyle name="Normal 3 46 2 12 5" xfId="9704" xr:uid="{00000000-0005-0000-0000-00002E210000}"/>
    <cellStyle name="Normal 3 46 2 13" xfId="9705" xr:uid="{00000000-0005-0000-0000-00002F210000}"/>
    <cellStyle name="Normal 3 46 2 13 2" xfId="9706" xr:uid="{00000000-0005-0000-0000-000030210000}"/>
    <cellStyle name="Normal 3 46 2 14" xfId="9707" xr:uid="{00000000-0005-0000-0000-000031210000}"/>
    <cellStyle name="Normal 3 46 2 14 2" xfId="9708" xr:uid="{00000000-0005-0000-0000-000032210000}"/>
    <cellStyle name="Normal 3 46 2 15" xfId="9709" xr:uid="{00000000-0005-0000-0000-000033210000}"/>
    <cellStyle name="Normal 3 46 2 16" xfId="9710" xr:uid="{00000000-0005-0000-0000-000034210000}"/>
    <cellStyle name="Normal 3 46 2 2" xfId="2594" xr:uid="{00000000-0005-0000-0000-000035210000}"/>
    <cellStyle name="Normal 3 46 2 2 2" xfId="9711" xr:uid="{00000000-0005-0000-0000-000036210000}"/>
    <cellStyle name="Normal 3 46 2 2 2 2" xfId="9712" xr:uid="{00000000-0005-0000-0000-000037210000}"/>
    <cellStyle name="Normal 3 46 2 2 3" xfId="9713" xr:uid="{00000000-0005-0000-0000-000038210000}"/>
    <cellStyle name="Normal 3 46 2 2 3 2" xfId="9714" xr:uid="{00000000-0005-0000-0000-000039210000}"/>
    <cellStyle name="Normal 3 46 2 2 4" xfId="9715" xr:uid="{00000000-0005-0000-0000-00003A210000}"/>
    <cellStyle name="Normal 3 46 2 2 5" xfId="9716" xr:uid="{00000000-0005-0000-0000-00003B210000}"/>
    <cellStyle name="Normal 3 46 2 3" xfId="2595" xr:uid="{00000000-0005-0000-0000-00003C210000}"/>
    <cellStyle name="Normal 3 46 2 3 2" xfId="9717" xr:uid="{00000000-0005-0000-0000-00003D210000}"/>
    <cellStyle name="Normal 3 46 2 3 2 2" xfId="9718" xr:uid="{00000000-0005-0000-0000-00003E210000}"/>
    <cellStyle name="Normal 3 46 2 3 3" xfId="9719" xr:uid="{00000000-0005-0000-0000-00003F210000}"/>
    <cellStyle name="Normal 3 46 2 3 3 2" xfId="9720" xr:uid="{00000000-0005-0000-0000-000040210000}"/>
    <cellStyle name="Normal 3 46 2 3 4" xfId="9721" xr:uid="{00000000-0005-0000-0000-000041210000}"/>
    <cellStyle name="Normal 3 46 2 3 5" xfId="9722" xr:uid="{00000000-0005-0000-0000-000042210000}"/>
    <cellStyle name="Normal 3 46 2 4" xfId="2596" xr:uid="{00000000-0005-0000-0000-000043210000}"/>
    <cellStyle name="Normal 3 46 2 4 2" xfId="9723" xr:uid="{00000000-0005-0000-0000-000044210000}"/>
    <cellStyle name="Normal 3 46 2 4 2 2" xfId="9724" xr:uid="{00000000-0005-0000-0000-000045210000}"/>
    <cellStyle name="Normal 3 46 2 4 3" xfId="9725" xr:uid="{00000000-0005-0000-0000-000046210000}"/>
    <cellStyle name="Normal 3 46 2 4 3 2" xfId="9726" xr:uid="{00000000-0005-0000-0000-000047210000}"/>
    <cellStyle name="Normal 3 46 2 4 4" xfId="9727" xr:uid="{00000000-0005-0000-0000-000048210000}"/>
    <cellStyle name="Normal 3 46 2 4 5" xfId="9728" xr:uid="{00000000-0005-0000-0000-000049210000}"/>
    <cellStyle name="Normal 3 46 2 5" xfId="2597" xr:uid="{00000000-0005-0000-0000-00004A210000}"/>
    <cellStyle name="Normal 3 46 2 5 2" xfId="9729" xr:uid="{00000000-0005-0000-0000-00004B210000}"/>
    <cellStyle name="Normal 3 46 2 5 2 2" xfId="9730" xr:uid="{00000000-0005-0000-0000-00004C210000}"/>
    <cellStyle name="Normal 3 46 2 5 3" xfId="9731" xr:uid="{00000000-0005-0000-0000-00004D210000}"/>
    <cellStyle name="Normal 3 46 2 5 3 2" xfId="9732" xr:uid="{00000000-0005-0000-0000-00004E210000}"/>
    <cellStyle name="Normal 3 46 2 5 4" xfId="9733" xr:uid="{00000000-0005-0000-0000-00004F210000}"/>
    <cellStyle name="Normal 3 46 2 5 5" xfId="9734" xr:uid="{00000000-0005-0000-0000-000050210000}"/>
    <cellStyle name="Normal 3 46 2 6" xfId="2598" xr:uid="{00000000-0005-0000-0000-000051210000}"/>
    <cellStyle name="Normal 3 46 2 6 2" xfId="9735" xr:uid="{00000000-0005-0000-0000-000052210000}"/>
    <cellStyle name="Normal 3 46 2 6 2 2" xfId="9736" xr:uid="{00000000-0005-0000-0000-000053210000}"/>
    <cellStyle name="Normal 3 46 2 6 3" xfId="9737" xr:uid="{00000000-0005-0000-0000-000054210000}"/>
    <cellStyle name="Normal 3 46 2 6 3 2" xfId="9738" xr:uid="{00000000-0005-0000-0000-000055210000}"/>
    <cellStyle name="Normal 3 46 2 6 4" xfId="9739" xr:uid="{00000000-0005-0000-0000-000056210000}"/>
    <cellStyle name="Normal 3 46 2 6 5" xfId="9740" xr:uid="{00000000-0005-0000-0000-000057210000}"/>
    <cellStyle name="Normal 3 46 2 7" xfId="2599" xr:uid="{00000000-0005-0000-0000-000058210000}"/>
    <cellStyle name="Normal 3 46 2 7 2" xfId="9741" xr:uid="{00000000-0005-0000-0000-000059210000}"/>
    <cellStyle name="Normal 3 46 2 7 2 2" xfId="9742" xr:uid="{00000000-0005-0000-0000-00005A210000}"/>
    <cellStyle name="Normal 3 46 2 7 3" xfId="9743" xr:uid="{00000000-0005-0000-0000-00005B210000}"/>
    <cellStyle name="Normal 3 46 2 7 3 2" xfId="9744" xr:uid="{00000000-0005-0000-0000-00005C210000}"/>
    <cellStyle name="Normal 3 46 2 7 4" xfId="9745" xr:uid="{00000000-0005-0000-0000-00005D210000}"/>
    <cellStyle name="Normal 3 46 2 7 5" xfId="9746" xr:uid="{00000000-0005-0000-0000-00005E210000}"/>
    <cellStyle name="Normal 3 46 2 8" xfId="2600" xr:uid="{00000000-0005-0000-0000-00005F210000}"/>
    <cellStyle name="Normal 3 46 2 8 2" xfId="9747" xr:uid="{00000000-0005-0000-0000-000060210000}"/>
    <cellStyle name="Normal 3 46 2 8 2 2" xfId="9748" xr:uid="{00000000-0005-0000-0000-000061210000}"/>
    <cellStyle name="Normal 3 46 2 8 3" xfId="9749" xr:uid="{00000000-0005-0000-0000-000062210000}"/>
    <cellStyle name="Normal 3 46 2 8 3 2" xfId="9750" xr:uid="{00000000-0005-0000-0000-000063210000}"/>
    <cellStyle name="Normal 3 46 2 8 4" xfId="9751" xr:uid="{00000000-0005-0000-0000-000064210000}"/>
    <cellStyle name="Normal 3 46 2 8 5" xfId="9752" xr:uid="{00000000-0005-0000-0000-000065210000}"/>
    <cellStyle name="Normal 3 46 2 9" xfId="2601" xr:uid="{00000000-0005-0000-0000-000066210000}"/>
    <cellStyle name="Normal 3 46 2 9 2" xfId="9753" xr:uid="{00000000-0005-0000-0000-000067210000}"/>
    <cellStyle name="Normal 3 46 2 9 2 2" xfId="9754" xr:uid="{00000000-0005-0000-0000-000068210000}"/>
    <cellStyle name="Normal 3 46 2 9 3" xfId="9755" xr:uid="{00000000-0005-0000-0000-000069210000}"/>
    <cellStyle name="Normal 3 46 2 9 3 2" xfId="9756" xr:uid="{00000000-0005-0000-0000-00006A210000}"/>
    <cellStyle name="Normal 3 46 2 9 4" xfId="9757" xr:uid="{00000000-0005-0000-0000-00006B210000}"/>
    <cellStyle name="Normal 3 46 2 9 5" xfId="9758" xr:uid="{00000000-0005-0000-0000-00006C210000}"/>
    <cellStyle name="Normal 3 46 3" xfId="2602" xr:uid="{00000000-0005-0000-0000-00006D210000}"/>
    <cellStyle name="Normal 3 46 3 2" xfId="9759" xr:uid="{00000000-0005-0000-0000-00006E210000}"/>
    <cellStyle name="Normal 3 46 3 2 2" xfId="9760" xr:uid="{00000000-0005-0000-0000-00006F210000}"/>
    <cellStyle name="Normal 3 46 3 3" xfId="9761" xr:uid="{00000000-0005-0000-0000-000070210000}"/>
    <cellStyle name="Normal 3 46 3 3 2" xfId="9762" xr:uid="{00000000-0005-0000-0000-000071210000}"/>
    <cellStyle name="Normal 3 46 3 4" xfId="9763" xr:uid="{00000000-0005-0000-0000-000072210000}"/>
    <cellStyle name="Normal 3 46 3 5" xfId="9764" xr:uid="{00000000-0005-0000-0000-000073210000}"/>
    <cellStyle name="Normal 3 46 4" xfId="2603" xr:uid="{00000000-0005-0000-0000-000074210000}"/>
    <cellStyle name="Normal 3 46 4 2" xfId="9765" xr:uid="{00000000-0005-0000-0000-000075210000}"/>
    <cellStyle name="Normal 3 46 4 2 2" xfId="9766" xr:uid="{00000000-0005-0000-0000-000076210000}"/>
    <cellStyle name="Normal 3 46 4 3" xfId="9767" xr:uid="{00000000-0005-0000-0000-000077210000}"/>
    <cellStyle name="Normal 3 46 4 3 2" xfId="9768" xr:uid="{00000000-0005-0000-0000-000078210000}"/>
    <cellStyle name="Normal 3 46 4 4" xfId="9769" xr:uid="{00000000-0005-0000-0000-000079210000}"/>
    <cellStyle name="Normal 3 46 4 5" xfId="9770" xr:uid="{00000000-0005-0000-0000-00007A210000}"/>
    <cellStyle name="Normal 3 46 5" xfId="2604" xr:uid="{00000000-0005-0000-0000-00007B210000}"/>
    <cellStyle name="Normal 3 46 5 2" xfId="9771" xr:uid="{00000000-0005-0000-0000-00007C210000}"/>
    <cellStyle name="Normal 3 46 5 2 2" xfId="9772" xr:uid="{00000000-0005-0000-0000-00007D210000}"/>
    <cellStyle name="Normal 3 46 5 3" xfId="9773" xr:uid="{00000000-0005-0000-0000-00007E210000}"/>
    <cellStyle name="Normal 3 46 5 3 2" xfId="9774" xr:uid="{00000000-0005-0000-0000-00007F210000}"/>
    <cellStyle name="Normal 3 46 5 4" xfId="9775" xr:uid="{00000000-0005-0000-0000-000080210000}"/>
    <cellStyle name="Normal 3 46 5 5" xfId="9776" xr:uid="{00000000-0005-0000-0000-000081210000}"/>
    <cellStyle name="Normal 3 46 6" xfId="2605" xr:uid="{00000000-0005-0000-0000-000082210000}"/>
    <cellStyle name="Normal 3 46 6 2" xfId="9777" xr:uid="{00000000-0005-0000-0000-000083210000}"/>
    <cellStyle name="Normal 3 46 6 2 2" xfId="9778" xr:uid="{00000000-0005-0000-0000-000084210000}"/>
    <cellStyle name="Normal 3 46 6 3" xfId="9779" xr:uid="{00000000-0005-0000-0000-000085210000}"/>
    <cellStyle name="Normal 3 46 6 3 2" xfId="9780" xr:uid="{00000000-0005-0000-0000-000086210000}"/>
    <cellStyle name="Normal 3 46 6 4" xfId="9781" xr:uid="{00000000-0005-0000-0000-000087210000}"/>
    <cellStyle name="Normal 3 46 6 5" xfId="9782" xr:uid="{00000000-0005-0000-0000-000088210000}"/>
    <cellStyle name="Normal 3 46 7" xfId="2606" xr:uid="{00000000-0005-0000-0000-000089210000}"/>
    <cellStyle name="Normal 3 46 7 2" xfId="9783" xr:uid="{00000000-0005-0000-0000-00008A210000}"/>
    <cellStyle name="Normal 3 46 7 2 2" xfId="9784" xr:uid="{00000000-0005-0000-0000-00008B210000}"/>
    <cellStyle name="Normal 3 46 7 3" xfId="9785" xr:uid="{00000000-0005-0000-0000-00008C210000}"/>
    <cellStyle name="Normal 3 46 7 3 2" xfId="9786" xr:uid="{00000000-0005-0000-0000-00008D210000}"/>
    <cellStyle name="Normal 3 46 7 4" xfId="9787" xr:uid="{00000000-0005-0000-0000-00008E210000}"/>
    <cellStyle name="Normal 3 46 7 5" xfId="9788" xr:uid="{00000000-0005-0000-0000-00008F210000}"/>
    <cellStyle name="Normal 3 46 8" xfId="2607" xr:uid="{00000000-0005-0000-0000-000090210000}"/>
    <cellStyle name="Normal 3 46 8 2" xfId="9789" xr:uid="{00000000-0005-0000-0000-000091210000}"/>
    <cellStyle name="Normal 3 46 8 2 2" xfId="9790" xr:uid="{00000000-0005-0000-0000-000092210000}"/>
    <cellStyle name="Normal 3 46 8 3" xfId="9791" xr:uid="{00000000-0005-0000-0000-000093210000}"/>
    <cellStyle name="Normal 3 46 8 3 2" xfId="9792" xr:uid="{00000000-0005-0000-0000-000094210000}"/>
    <cellStyle name="Normal 3 46 8 4" xfId="9793" xr:uid="{00000000-0005-0000-0000-000095210000}"/>
    <cellStyle name="Normal 3 46 8 5" xfId="9794" xr:uid="{00000000-0005-0000-0000-000096210000}"/>
    <cellStyle name="Normal 3 46 9" xfId="2608" xr:uid="{00000000-0005-0000-0000-000097210000}"/>
    <cellStyle name="Normal 3 46 9 2" xfId="9795" xr:uid="{00000000-0005-0000-0000-000098210000}"/>
    <cellStyle name="Normal 3 46 9 2 2" xfId="9796" xr:uid="{00000000-0005-0000-0000-000099210000}"/>
    <cellStyle name="Normal 3 46 9 3" xfId="9797" xr:uid="{00000000-0005-0000-0000-00009A210000}"/>
    <cellStyle name="Normal 3 46 9 3 2" xfId="9798" xr:uid="{00000000-0005-0000-0000-00009B210000}"/>
    <cellStyle name="Normal 3 46 9 4" xfId="9799" xr:uid="{00000000-0005-0000-0000-00009C210000}"/>
    <cellStyle name="Normal 3 46 9 5" xfId="9800" xr:uid="{00000000-0005-0000-0000-00009D210000}"/>
    <cellStyle name="Normal 3 47" xfId="2609" xr:uid="{00000000-0005-0000-0000-00009E210000}"/>
    <cellStyle name="Normal 3 47 10" xfId="2610" xr:uid="{00000000-0005-0000-0000-00009F210000}"/>
    <cellStyle name="Normal 3 47 10 2" xfId="9801" xr:uid="{00000000-0005-0000-0000-0000A0210000}"/>
    <cellStyle name="Normal 3 47 10 2 2" xfId="9802" xr:uid="{00000000-0005-0000-0000-0000A1210000}"/>
    <cellStyle name="Normal 3 47 10 3" xfId="9803" xr:uid="{00000000-0005-0000-0000-0000A2210000}"/>
    <cellStyle name="Normal 3 47 10 3 2" xfId="9804" xr:uid="{00000000-0005-0000-0000-0000A3210000}"/>
    <cellStyle name="Normal 3 47 10 4" xfId="9805" xr:uid="{00000000-0005-0000-0000-0000A4210000}"/>
    <cellStyle name="Normal 3 47 10 5" xfId="9806" xr:uid="{00000000-0005-0000-0000-0000A5210000}"/>
    <cellStyle name="Normal 3 47 11" xfId="2611" xr:uid="{00000000-0005-0000-0000-0000A6210000}"/>
    <cellStyle name="Normal 3 47 11 2" xfId="9807" xr:uid="{00000000-0005-0000-0000-0000A7210000}"/>
    <cellStyle name="Normal 3 47 11 2 2" xfId="9808" xr:uid="{00000000-0005-0000-0000-0000A8210000}"/>
    <cellStyle name="Normal 3 47 11 3" xfId="9809" xr:uid="{00000000-0005-0000-0000-0000A9210000}"/>
    <cellStyle name="Normal 3 47 11 3 2" xfId="9810" xr:uid="{00000000-0005-0000-0000-0000AA210000}"/>
    <cellStyle name="Normal 3 47 11 4" xfId="9811" xr:uid="{00000000-0005-0000-0000-0000AB210000}"/>
    <cellStyle name="Normal 3 47 11 5" xfId="9812" xr:uid="{00000000-0005-0000-0000-0000AC210000}"/>
    <cellStyle name="Normal 3 47 12" xfId="2612" xr:uid="{00000000-0005-0000-0000-0000AD210000}"/>
    <cellStyle name="Normal 3 47 12 2" xfId="9813" xr:uid="{00000000-0005-0000-0000-0000AE210000}"/>
    <cellStyle name="Normal 3 47 12 2 2" xfId="9814" xr:uid="{00000000-0005-0000-0000-0000AF210000}"/>
    <cellStyle name="Normal 3 47 12 3" xfId="9815" xr:uid="{00000000-0005-0000-0000-0000B0210000}"/>
    <cellStyle name="Normal 3 47 12 3 2" xfId="9816" xr:uid="{00000000-0005-0000-0000-0000B1210000}"/>
    <cellStyle name="Normal 3 47 12 4" xfId="9817" xr:uid="{00000000-0005-0000-0000-0000B2210000}"/>
    <cellStyle name="Normal 3 47 12 5" xfId="9818" xr:uid="{00000000-0005-0000-0000-0000B3210000}"/>
    <cellStyle name="Normal 3 47 13" xfId="2613" xr:uid="{00000000-0005-0000-0000-0000B4210000}"/>
    <cellStyle name="Normal 3 47 13 2" xfId="9819" xr:uid="{00000000-0005-0000-0000-0000B5210000}"/>
    <cellStyle name="Normal 3 47 13 2 2" xfId="9820" xr:uid="{00000000-0005-0000-0000-0000B6210000}"/>
    <cellStyle name="Normal 3 47 13 3" xfId="9821" xr:uid="{00000000-0005-0000-0000-0000B7210000}"/>
    <cellStyle name="Normal 3 47 13 3 2" xfId="9822" xr:uid="{00000000-0005-0000-0000-0000B8210000}"/>
    <cellStyle name="Normal 3 47 13 4" xfId="9823" xr:uid="{00000000-0005-0000-0000-0000B9210000}"/>
    <cellStyle name="Normal 3 47 13 5" xfId="9824" xr:uid="{00000000-0005-0000-0000-0000BA210000}"/>
    <cellStyle name="Normal 3 47 14" xfId="9825" xr:uid="{00000000-0005-0000-0000-0000BB210000}"/>
    <cellStyle name="Normal 3 47 14 2" xfId="9826" xr:uid="{00000000-0005-0000-0000-0000BC210000}"/>
    <cellStyle name="Normal 3 47 15" xfId="9827" xr:uid="{00000000-0005-0000-0000-0000BD210000}"/>
    <cellStyle name="Normal 3 47 15 2" xfId="9828" xr:uid="{00000000-0005-0000-0000-0000BE210000}"/>
    <cellStyle name="Normal 3 47 16" xfId="9829" xr:uid="{00000000-0005-0000-0000-0000BF210000}"/>
    <cellStyle name="Normal 3 47 17" xfId="9830" xr:uid="{00000000-0005-0000-0000-0000C0210000}"/>
    <cellStyle name="Normal 3 47 2" xfId="2614" xr:uid="{00000000-0005-0000-0000-0000C1210000}"/>
    <cellStyle name="Normal 3 47 2 10" xfId="2615" xr:uid="{00000000-0005-0000-0000-0000C2210000}"/>
    <cellStyle name="Normal 3 47 2 10 2" xfId="9831" xr:uid="{00000000-0005-0000-0000-0000C3210000}"/>
    <cellStyle name="Normal 3 47 2 10 2 2" xfId="9832" xr:uid="{00000000-0005-0000-0000-0000C4210000}"/>
    <cellStyle name="Normal 3 47 2 10 3" xfId="9833" xr:uid="{00000000-0005-0000-0000-0000C5210000}"/>
    <cellStyle name="Normal 3 47 2 10 3 2" xfId="9834" xr:uid="{00000000-0005-0000-0000-0000C6210000}"/>
    <cellStyle name="Normal 3 47 2 10 4" xfId="9835" xr:uid="{00000000-0005-0000-0000-0000C7210000}"/>
    <cellStyle name="Normal 3 47 2 10 5" xfId="9836" xr:uid="{00000000-0005-0000-0000-0000C8210000}"/>
    <cellStyle name="Normal 3 47 2 11" xfId="2616" xr:uid="{00000000-0005-0000-0000-0000C9210000}"/>
    <cellStyle name="Normal 3 47 2 11 2" xfId="9837" xr:uid="{00000000-0005-0000-0000-0000CA210000}"/>
    <cellStyle name="Normal 3 47 2 11 2 2" xfId="9838" xr:uid="{00000000-0005-0000-0000-0000CB210000}"/>
    <cellStyle name="Normal 3 47 2 11 3" xfId="9839" xr:uid="{00000000-0005-0000-0000-0000CC210000}"/>
    <cellStyle name="Normal 3 47 2 11 3 2" xfId="9840" xr:uid="{00000000-0005-0000-0000-0000CD210000}"/>
    <cellStyle name="Normal 3 47 2 11 4" xfId="9841" xr:uid="{00000000-0005-0000-0000-0000CE210000}"/>
    <cellStyle name="Normal 3 47 2 11 5" xfId="9842" xr:uid="{00000000-0005-0000-0000-0000CF210000}"/>
    <cellStyle name="Normal 3 47 2 12" xfId="2617" xr:uid="{00000000-0005-0000-0000-0000D0210000}"/>
    <cellStyle name="Normal 3 47 2 12 2" xfId="9843" xr:uid="{00000000-0005-0000-0000-0000D1210000}"/>
    <cellStyle name="Normal 3 47 2 12 2 2" xfId="9844" xr:uid="{00000000-0005-0000-0000-0000D2210000}"/>
    <cellStyle name="Normal 3 47 2 12 3" xfId="9845" xr:uid="{00000000-0005-0000-0000-0000D3210000}"/>
    <cellStyle name="Normal 3 47 2 12 3 2" xfId="9846" xr:uid="{00000000-0005-0000-0000-0000D4210000}"/>
    <cellStyle name="Normal 3 47 2 12 4" xfId="9847" xr:uid="{00000000-0005-0000-0000-0000D5210000}"/>
    <cellStyle name="Normal 3 47 2 12 5" xfId="9848" xr:uid="{00000000-0005-0000-0000-0000D6210000}"/>
    <cellStyle name="Normal 3 47 2 13" xfId="9849" xr:uid="{00000000-0005-0000-0000-0000D7210000}"/>
    <cellStyle name="Normal 3 47 2 13 2" xfId="9850" xr:uid="{00000000-0005-0000-0000-0000D8210000}"/>
    <cellStyle name="Normal 3 47 2 14" xfId="9851" xr:uid="{00000000-0005-0000-0000-0000D9210000}"/>
    <cellStyle name="Normal 3 47 2 14 2" xfId="9852" xr:uid="{00000000-0005-0000-0000-0000DA210000}"/>
    <cellStyle name="Normal 3 47 2 15" xfId="9853" xr:uid="{00000000-0005-0000-0000-0000DB210000}"/>
    <cellStyle name="Normal 3 47 2 16" xfId="9854" xr:uid="{00000000-0005-0000-0000-0000DC210000}"/>
    <cellStyle name="Normal 3 47 2 2" xfId="2618" xr:uid="{00000000-0005-0000-0000-0000DD210000}"/>
    <cellStyle name="Normal 3 47 2 2 2" xfId="9855" xr:uid="{00000000-0005-0000-0000-0000DE210000}"/>
    <cellStyle name="Normal 3 47 2 2 2 2" xfId="9856" xr:uid="{00000000-0005-0000-0000-0000DF210000}"/>
    <cellStyle name="Normal 3 47 2 2 3" xfId="9857" xr:uid="{00000000-0005-0000-0000-0000E0210000}"/>
    <cellStyle name="Normal 3 47 2 2 3 2" xfId="9858" xr:uid="{00000000-0005-0000-0000-0000E1210000}"/>
    <cellStyle name="Normal 3 47 2 2 4" xfId="9859" xr:uid="{00000000-0005-0000-0000-0000E2210000}"/>
    <cellStyle name="Normal 3 47 2 2 5" xfId="9860" xr:uid="{00000000-0005-0000-0000-0000E3210000}"/>
    <cellStyle name="Normal 3 47 2 3" xfId="2619" xr:uid="{00000000-0005-0000-0000-0000E4210000}"/>
    <cellStyle name="Normal 3 47 2 3 2" xfId="9861" xr:uid="{00000000-0005-0000-0000-0000E5210000}"/>
    <cellStyle name="Normal 3 47 2 3 2 2" xfId="9862" xr:uid="{00000000-0005-0000-0000-0000E6210000}"/>
    <cellStyle name="Normal 3 47 2 3 3" xfId="9863" xr:uid="{00000000-0005-0000-0000-0000E7210000}"/>
    <cellStyle name="Normal 3 47 2 3 3 2" xfId="9864" xr:uid="{00000000-0005-0000-0000-0000E8210000}"/>
    <cellStyle name="Normal 3 47 2 3 4" xfId="9865" xr:uid="{00000000-0005-0000-0000-0000E9210000}"/>
    <cellStyle name="Normal 3 47 2 3 5" xfId="9866" xr:uid="{00000000-0005-0000-0000-0000EA210000}"/>
    <cellStyle name="Normal 3 47 2 4" xfId="2620" xr:uid="{00000000-0005-0000-0000-0000EB210000}"/>
    <cellStyle name="Normal 3 47 2 4 2" xfId="9867" xr:uid="{00000000-0005-0000-0000-0000EC210000}"/>
    <cellStyle name="Normal 3 47 2 4 2 2" xfId="9868" xr:uid="{00000000-0005-0000-0000-0000ED210000}"/>
    <cellStyle name="Normal 3 47 2 4 3" xfId="9869" xr:uid="{00000000-0005-0000-0000-0000EE210000}"/>
    <cellStyle name="Normal 3 47 2 4 3 2" xfId="9870" xr:uid="{00000000-0005-0000-0000-0000EF210000}"/>
    <cellStyle name="Normal 3 47 2 4 4" xfId="9871" xr:uid="{00000000-0005-0000-0000-0000F0210000}"/>
    <cellStyle name="Normal 3 47 2 4 5" xfId="9872" xr:uid="{00000000-0005-0000-0000-0000F1210000}"/>
    <cellStyle name="Normal 3 47 2 5" xfId="2621" xr:uid="{00000000-0005-0000-0000-0000F2210000}"/>
    <cellStyle name="Normal 3 47 2 5 2" xfId="9873" xr:uid="{00000000-0005-0000-0000-0000F3210000}"/>
    <cellStyle name="Normal 3 47 2 5 2 2" xfId="9874" xr:uid="{00000000-0005-0000-0000-0000F4210000}"/>
    <cellStyle name="Normal 3 47 2 5 3" xfId="9875" xr:uid="{00000000-0005-0000-0000-0000F5210000}"/>
    <cellStyle name="Normal 3 47 2 5 3 2" xfId="9876" xr:uid="{00000000-0005-0000-0000-0000F6210000}"/>
    <cellStyle name="Normal 3 47 2 5 4" xfId="9877" xr:uid="{00000000-0005-0000-0000-0000F7210000}"/>
    <cellStyle name="Normal 3 47 2 5 5" xfId="9878" xr:uid="{00000000-0005-0000-0000-0000F8210000}"/>
    <cellStyle name="Normal 3 47 2 6" xfId="2622" xr:uid="{00000000-0005-0000-0000-0000F9210000}"/>
    <cellStyle name="Normal 3 47 2 6 2" xfId="9879" xr:uid="{00000000-0005-0000-0000-0000FA210000}"/>
    <cellStyle name="Normal 3 47 2 6 2 2" xfId="9880" xr:uid="{00000000-0005-0000-0000-0000FB210000}"/>
    <cellStyle name="Normal 3 47 2 6 3" xfId="9881" xr:uid="{00000000-0005-0000-0000-0000FC210000}"/>
    <cellStyle name="Normal 3 47 2 6 3 2" xfId="9882" xr:uid="{00000000-0005-0000-0000-0000FD210000}"/>
    <cellStyle name="Normal 3 47 2 6 4" xfId="9883" xr:uid="{00000000-0005-0000-0000-0000FE210000}"/>
    <cellStyle name="Normal 3 47 2 6 5" xfId="9884" xr:uid="{00000000-0005-0000-0000-0000FF210000}"/>
    <cellStyle name="Normal 3 47 2 7" xfId="2623" xr:uid="{00000000-0005-0000-0000-000000220000}"/>
    <cellStyle name="Normal 3 47 2 7 2" xfId="9885" xr:uid="{00000000-0005-0000-0000-000001220000}"/>
    <cellStyle name="Normal 3 47 2 7 2 2" xfId="9886" xr:uid="{00000000-0005-0000-0000-000002220000}"/>
    <cellStyle name="Normal 3 47 2 7 3" xfId="9887" xr:uid="{00000000-0005-0000-0000-000003220000}"/>
    <cellStyle name="Normal 3 47 2 7 3 2" xfId="9888" xr:uid="{00000000-0005-0000-0000-000004220000}"/>
    <cellStyle name="Normal 3 47 2 7 4" xfId="9889" xr:uid="{00000000-0005-0000-0000-000005220000}"/>
    <cellStyle name="Normal 3 47 2 7 5" xfId="9890" xr:uid="{00000000-0005-0000-0000-000006220000}"/>
    <cellStyle name="Normal 3 47 2 8" xfId="2624" xr:uid="{00000000-0005-0000-0000-000007220000}"/>
    <cellStyle name="Normal 3 47 2 8 2" xfId="9891" xr:uid="{00000000-0005-0000-0000-000008220000}"/>
    <cellStyle name="Normal 3 47 2 8 2 2" xfId="9892" xr:uid="{00000000-0005-0000-0000-000009220000}"/>
    <cellStyle name="Normal 3 47 2 8 3" xfId="9893" xr:uid="{00000000-0005-0000-0000-00000A220000}"/>
    <cellStyle name="Normal 3 47 2 8 3 2" xfId="9894" xr:uid="{00000000-0005-0000-0000-00000B220000}"/>
    <cellStyle name="Normal 3 47 2 8 4" xfId="9895" xr:uid="{00000000-0005-0000-0000-00000C220000}"/>
    <cellStyle name="Normal 3 47 2 8 5" xfId="9896" xr:uid="{00000000-0005-0000-0000-00000D220000}"/>
    <cellStyle name="Normal 3 47 2 9" xfId="2625" xr:uid="{00000000-0005-0000-0000-00000E220000}"/>
    <cellStyle name="Normal 3 47 2 9 2" xfId="9897" xr:uid="{00000000-0005-0000-0000-00000F220000}"/>
    <cellStyle name="Normal 3 47 2 9 2 2" xfId="9898" xr:uid="{00000000-0005-0000-0000-000010220000}"/>
    <cellStyle name="Normal 3 47 2 9 3" xfId="9899" xr:uid="{00000000-0005-0000-0000-000011220000}"/>
    <cellStyle name="Normal 3 47 2 9 3 2" xfId="9900" xr:uid="{00000000-0005-0000-0000-000012220000}"/>
    <cellStyle name="Normal 3 47 2 9 4" xfId="9901" xr:uid="{00000000-0005-0000-0000-000013220000}"/>
    <cellStyle name="Normal 3 47 2 9 5" xfId="9902" xr:uid="{00000000-0005-0000-0000-000014220000}"/>
    <cellStyle name="Normal 3 47 3" xfId="2626" xr:uid="{00000000-0005-0000-0000-000015220000}"/>
    <cellStyle name="Normal 3 47 3 2" xfId="9903" xr:uid="{00000000-0005-0000-0000-000016220000}"/>
    <cellStyle name="Normal 3 47 3 2 2" xfId="9904" xr:uid="{00000000-0005-0000-0000-000017220000}"/>
    <cellStyle name="Normal 3 47 3 3" xfId="9905" xr:uid="{00000000-0005-0000-0000-000018220000}"/>
    <cellStyle name="Normal 3 47 3 3 2" xfId="9906" xr:uid="{00000000-0005-0000-0000-000019220000}"/>
    <cellStyle name="Normal 3 47 3 4" xfId="9907" xr:uid="{00000000-0005-0000-0000-00001A220000}"/>
    <cellStyle name="Normal 3 47 3 5" xfId="9908" xr:uid="{00000000-0005-0000-0000-00001B220000}"/>
    <cellStyle name="Normal 3 47 4" xfId="2627" xr:uid="{00000000-0005-0000-0000-00001C220000}"/>
    <cellStyle name="Normal 3 47 4 2" xfId="9909" xr:uid="{00000000-0005-0000-0000-00001D220000}"/>
    <cellStyle name="Normal 3 47 4 2 2" xfId="9910" xr:uid="{00000000-0005-0000-0000-00001E220000}"/>
    <cellStyle name="Normal 3 47 4 3" xfId="9911" xr:uid="{00000000-0005-0000-0000-00001F220000}"/>
    <cellStyle name="Normal 3 47 4 3 2" xfId="9912" xr:uid="{00000000-0005-0000-0000-000020220000}"/>
    <cellStyle name="Normal 3 47 4 4" xfId="9913" xr:uid="{00000000-0005-0000-0000-000021220000}"/>
    <cellStyle name="Normal 3 47 4 5" xfId="9914" xr:uid="{00000000-0005-0000-0000-000022220000}"/>
    <cellStyle name="Normal 3 47 5" xfId="2628" xr:uid="{00000000-0005-0000-0000-000023220000}"/>
    <cellStyle name="Normal 3 47 5 2" xfId="9915" xr:uid="{00000000-0005-0000-0000-000024220000}"/>
    <cellStyle name="Normal 3 47 5 2 2" xfId="9916" xr:uid="{00000000-0005-0000-0000-000025220000}"/>
    <cellStyle name="Normal 3 47 5 3" xfId="9917" xr:uid="{00000000-0005-0000-0000-000026220000}"/>
    <cellStyle name="Normal 3 47 5 3 2" xfId="9918" xr:uid="{00000000-0005-0000-0000-000027220000}"/>
    <cellStyle name="Normal 3 47 5 4" xfId="9919" xr:uid="{00000000-0005-0000-0000-000028220000}"/>
    <cellStyle name="Normal 3 47 5 5" xfId="9920" xr:uid="{00000000-0005-0000-0000-000029220000}"/>
    <cellStyle name="Normal 3 47 6" xfId="2629" xr:uid="{00000000-0005-0000-0000-00002A220000}"/>
    <cellStyle name="Normal 3 47 6 2" xfId="9921" xr:uid="{00000000-0005-0000-0000-00002B220000}"/>
    <cellStyle name="Normal 3 47 6 2 2" xfId="9922" xr:uid="{00000000-0005-0000-0000-00002C220000}"/>
    <cellStyle name="Normal 3 47 6 3" xfId="9923" xr:uid="{00000000-0005-0000-0000-00002D220000}"/>
    <cellStyle name="Normal 3 47 6 3 2" xfId="9924" xr:uid="{00000000-0005-0000-0000-00002E220000}"/>
    <cellStyle name="Normal 3 47 6 4" xfId="9925" xr:uid="{00000000-0005-0000-0000-00002F220000}"/>
    <cellStyle name="Normal 3 47 6 5" xfId="9926" xr:uid="{00000000-0005-0000-0000-000030220000}"/>
    <cellStyle name="Normal 3 47 7" xfId="2630" xr:uid="{00000000-0005-0000-0000-000031220000}"/>
    <cellStyle name="Normal 3 47 7 2" xfId="9927" xr:uid="{00000000-0005-0000-0000-000032220000}"/>
    <cellStyle name="Normal 3 47 7 2 2" xfId="9928" xr:uid="{00000000-0005-0000-0000-000033220000}"/>
    <cellStyle name="Normal 3 47 7 3" xfId="9929" xr:uid="{00000000-0005-0000-0000-000034220000}"/>
    <cellStyle name="Normal 3 47 7 3 2" xfId="9930" xr:uid="{00000000-0005-0000-0000-000035220000}"/>
    <cellStyle name="Normal 3 47 7 4" xfId="9931" xr:uid="{00000000-0005-0000-0000-000036220000}"/>
    <cellStyle name="Normal 3 47 7 5" xfId="9932" xr:uid="{00000000-0005-0000-0000-000037220000}"/>
    <cellStyle name="Normal 3 47 8" xfId="2631" xr:uid="{00000000-0005-0000-0000-000038220000}"/>
    <cellStyle name="Normal 3 47 8 2" xfId="9933" xr:uid="{00000000-0005-0000-0000-000039220000}"/>
    <cellStyle name="Normal 3 47 8 2 2" xfId="9934" xr:uid="{00000000-0005-0000-0000-00003A220000}"/>
    <cellStyle name="Normal 3 47 8 3" xfId="9935" xr:uid="{00000000-0005-0000-0000-00003B220000}"/>
    <cellStyle name="Normal 3 47 8 3 2" xfId="9936" xr:uid="{00000000-0005-0000-0000-00003C220000}"/>
    <cellStyle name="Normal 3 47 8 4" xfId="9937" xr:uid="{00000000-0005-0000-0000-00003D220000}"/>
    <cellStyle name="Normal 3 47 8 5" xfId="9938" xr:uid="{00000000-0005-0000-0000-00003E220000}"/>
    <cellStyle name="Normal 3 47 9" xfId="2632" xr:uid="{00000000-0005-0000-0000-00003F220000}"/>
    <cellStyle name="Normal 3 47 9 2" xfId="9939" xr:uid="{00000000-0005-0000-0000-000040220000}"/>
    <cellStyle name="Normal 3 47 9 2 2" xfId="9940" xr:uid="{00000000-0005-0000-0000-000041220000}"/>
    <cellStyle name="Normal 3 47 9 3" xfId="9941" xr:uid="{00000000-0005-0000-0000-000042220000}"/>
    <cellStyle name="Normal 3 47 9 3 2" xfId="9942" xr:uid="{00000000-0005-0000-0000-000043220000}"/>
    <cellStyle name="Normal 3 47 9 4" xfId="9943" xr:uid="{00000000-0005-0000-0000-000044220000}"/>
    <cellStyle name="Normal 3 47 9 5" xfId="9944" xr:uid="{00000000-0005-0000-0000-000045220000}"/>
    <cellStyle name="Normal 3 48" xfId="2633" xr:uid="{00000000-0005-0000-0000-000046220000}"/>
    <cellStyle name="Normal 3 48 10" xfId="2634" xr:uid="{00000000-0005-0000-0000-000047220000}"/>
    <cellStyle name="Normal 3 48 10 2" xfId="9945" xr:uid="{00000000-0005-0000-0000-000048220000}"/>
    <cellStyle name="Normal 3 48 10 2 2" xfId="9946" xr:uid="{00000000-0005-0000-0000-000049220000}"/>
    <cellStyle name="Normal 3 48 10 3" xfId="9947" xr:uid="{00000000-0005-0000-0000-00004A220000}"/>
    <cellStyle name="Normal 3 48 10 3 2" xfId="9948" xr:uid="{00000000-0005-0000-0000-00004B220000}"/>
    <cellStyle name="Normal 3 48 10 4" xfId="9949" xr:uid="{00000000-0005-0000-0000-00004C220000}"/>
    <cellStyle name="Normal 3 48 10 5" xfId="9950" xr:uid="{00000000-0005-0000-0000-00004D220000}"/>
    <cellStyle name="Normal 3 48 11" xfId="2635" xr:uid="{00000000-0005-0000-0000-00004E220000}"/>
    <cellStyle name="Normal 3 48 11 2" xfId="9951" xr:uid="{00000000-0005-0000-0000-00004F220000}"/>
    <cellStyle name="Normal 3 48 11 2 2" xfId="9952" xr:uid="{00000000-0005-0000-0000-000050220000}"/>
    <cellStyle name="Normal 3 48 11 3" xfId="9953" xr:uid="{00000000-0005-0000-0000-000051220000}"/>
    <cellStyle name="Normal 3 48 11 3 2" xfId="9954" xr:uid="{00000000-0005-0000-0000-000052220000}"/>
    <cellStyle name="Normal 3 48 11 4" xfId="9955" xr:uid="{00000000-0005-0000-0000-000053220000}"/>
    <cellStyle name="Normal 3 48 11 5" xfId="9956" xr:uid="{00000000-0005-0000-0000-000054220000}"/>
    <cellStyle name="Normal 3 48 12" xfId="2636" xr:uid="{00000000-0005-0000-0000-000055220000}"/>
    <cellStyle name="Normal 3 48 12 2" xfId="9957" xr:uid="{00000000-0005-0000-0000-000056220000}"/>
    <cellStyle name="Normal 3 48 12 2 2" xfId="9958" xr:uid="{00000000-0005-0000-0000-000057220000}"/>
    <cellStyle name="Normal 3 48 12 3" xfId="9959" xr:uid="{00000000-0005-0000-0000-000058220000}"/>
    <cellStyle name="Normal 3 48 12 3 2" xfId="9960" xr:uid="{00000000-0005-0000-0000-000059220000}"/>
    <cellStyle name="Normal 3 48 12 4" xfId="9961" xr:uid="{00000000-0005-0000-0000-00005A220000}"/>
    <cellStyle name="Normal 3 48 12 5" xfId="9962" xr:uid="{00000000-0005-0000-0000-00005B220000}"/>
    <cellStyle name="Normal 3 48 13" xfId="2637" xr:uid="{00000000-0005-0000-0000-00005C220000}"/>
    <cellStyle name="Normal 3 48 13 2" xfId="9963" xr:uid="{00000000-0005-0000-0000-00005D220000}"/>
    <cellStyle name="Normal 3 48 13 2 2" xfId="9964" xr:uid="{00000000-0005-0000-0000-00005E220000}"/>
    <cellStyle name="Normal 3 48 13 3" xfId="9965" xr:uid="{00000000-0005-0000-0000-00005F220000}"/>
    <cellStyle name="Normal 3 48 13 3 2" xfId="9966" xr:uid="{00000000-0005-0000-0000-000060220000}"/>
    <cellStyle name="Normal 3 48 13 4" xfId="9967" xr:uid="{00000000-0005-0000-0000-000061220000}"/>
    <cellStyle name="Normal 3 48 13 5" xfId="9968" xr:uid="{00000000-0005-0000-0000-000062220000}"/>
    <cellStyle name="Normal 3 48 14" xfId="9969" xr:uid="{00000000-0005-0000-0000-000063220000}"/>
    <cellStyle name="Normal 3 48 14 2" xfId="9970" xr:uid="{00000000-0005-0000-0000-000064220000}"/>
    <cellStyle name="Normal 3 48 15" xfId="9971" xr:uid="{00000000-0005-0000-0000-000065220000}"/>
    <cellStyle name="Normal 3 48 15 2" xfId="9972" xr:uid="{00000000-0005-0000-0000-000066220000}"/>
    <cellStyle name="Normal 3 48 16" xfId="9973" xr:uid="{00000000-0005-0000-0000-000067220000}"/>
    <cellStyle name="Normal 3 48 17" xfId="9974" xr:uid="{00000000-0005-0000-0000-000068220000}"/>
    <cellStyle name="Normal 3 48 2" xfId="2638" xr:uid="{00000000-0005-0000-0000-000069220000}"/>
    <cellStyle name="Normal 3 48 2 10" xfId="2639" xr:uid="{00000000-0005-0000-0000-00006A220000}"/>
    <cellStyle name="Normal 3 48 2 10 2" xfId="9975" xr:uid="{00000000-0005-0000-0000-00006B220000}"/>
    <cellStyle name="Normal 3 48 2 10 2 2" xfId="9976" xr:uid="{00000000-0005-0000-0000-00006C220000}"/>
    <cellStyle name="Normal 3 48 2 10 3" xfId="9977" xr:uid="{00000000-0005-0000-0000-00006D220000}"/>
    <cellStyle name="Normal 3 48 2 10 3 2" xfId="9978" xr:uid="{00000000-0005-0000-0000-00006E220000}"/>
    <cellStyle name="Normal 3 48 2 10 4" xfId="9979" xr:uid="{00000000-0005-0000-0000-00006F220000}"/>
    <cellStyle name="Normal 3 48 2 10 5" xfId="9980" xr:uid="{00000000-0005-0000-0000-000070220000}"/>
    <cellStyle name="Normal 3 48 2 11" xfId="2640" xr:uid="{00000000-0005-0000-0000-000071220000}"/>
    <cellStyle name="Normal 3 48 2 11 2" xfId="9981" xr:uid="{00000000-0005-0000-0000-000072220000}"/>
    <cellStyle name="Normal 3 48 2 11 2 2" xfId="9982" xr:uid="{00000000-0005-0000-0000-000073220000}"/>
    <cellStyle name="Normal 3 48 2 11 3" xfId="9983" xr:uid="{00000000-0005-0000-0000-000074220000}"/>
    <cellStyle name="Normal 3 48 2 11 3 2" xfId="9984" xr:uid="{00000000-0005-0000-0000-000075220000}"/>
    <cellStyle name="Normal 3 48 2 11 4" xfId="9985" xr:uid="{00000000-0005-0000-0000-000076220000}"/>
    <cellStyle name="Normal 3 48 2 11 5" xfId="9986" xr:uid="{00000000-0005-0000-0000-000077220000}"/>
    <cellStyle name="Normal 3 48 2 12" xfId="2641" xr:uid="{00000000-0005-0000-0000-000078220000}"/>
    <cellStyle name="Normal 3 48 2 12 2" xfId="9987" xr:uid="{00000000-0005-0000-0000-000079220000}"/>
    <cellStyle name="Normal 3 48 2 12 2 2" xfId="9988" xr:uid="{00000000-0005-0000-0000-00007A220000}"/>
    <cellStyle name="Normal 3 48 2 12 3" xfId="9989" xr:uid="{00000000-0005-0000-0000-00007B220000}"/>
    <cellStyle name="Normal 3 48 2 12 3 2" xfId="9990" xr:uid="{00000000-0005-0000-0000-00007C220000}"/>
    <cellStyle name="Normal 3 48 2 12 4" xfId="9991" xr:uid="{00000000-0005-0000-0000-00007D220000}"/>
    <cellStyle name="Normal 3 48 2 12 5" xfId="9992" xr:uid="{00000000-0005-0000-0000-00007E220000}"/>
    <cellStyle name="Normal 3 48 2 13" xfId="9993" xr:uid="{00000000-0005-0000-0000-00007F220000}"/>
    <cellStyle name="Normal 3 48 2 13 2" xfId="9994" xr:uid="{00000000-0005-0000-0000-000080220000}"/>
    <cellStyle name="Normal 3 48 2 14" xfId="9995" xr:uid="{00000000-0005-0000-0000-000081220000}"/>
    <cellStyle name="Normal 3 48 2 14 2" xfId="9996" xr:uid="{00000000-0005-0000-0000-000082220000}"/>
    <cellStyle name="Normal 3 48 2 15" xfId="9997" xr:uid="{00000000-0005-0000-0000-000083220000}"/>
    <cellStyle name="Normal 3 48 2 16" xfId="9998" xr:uid="{00000000-0005-0000-0000-000084220000}"/>
    <cellStyle name="Normal 3 48 2 2" xfId="2642" xr:uid="{00000000-0005-0000-0000-000085220000}"/>
    <cellStyle name="Normal 3 48 2 2 2" xfId="9999" xr:uid="{00000000-0005-0000-0000-000086220000}"/>
    <cellStyle name="Normal 3 48 2 2 2 2" xfId="10000" xr:uid="{00000000-0005-0000-0000-000087220000}"/>
    <cellStyle name="Normal 3 48 2 2 3" xfId="10001" xr:uid="{00000000-0005-0000-0000-000088220000}"/>
    <cellStyle name="Normal 3 48 2 2 3 2" xfId="10002" xr:uid="{00000000-0005-0000-0000-000089220000}"/>
    <cellStyle name="Normal 3 48 2 2 4" xfId="10003" xr:uid="{00000000-0005-0000-0000-00008A220000}"/>
    <cellStyle name="Normal 3 48 2 2 5" xfId="10004" xr:uid="{00000000-0005-0000-0000-00008B220000}"/>
    <cellStyle name="Normal 3 48 2 3" xfId="2643" xr:uid="{00000000-0005-0000-0000-00008C220000}"/>
    <cellStyle name="Normal 3 48 2 3 2" xfId="10005" xr:uid="{00000000-0005-0000-0000-00008D220000}"/>
    <cellStyle name="Normal 3 48 2 3 2 2" xfId="10006" xr:uid="{00000000-0005-0000-0000-00008E220000}"/>
    <cellStyle name="Normal 3 48 2 3 3" xfId="10007" xr:uid="{00000000-0005-0000-0000-00008F220000}"/>
    <cellStyle name="Normal 3 48 2 3 3 2" xfId="10008" xr:uid="{00000000-0005-0000-0000-000090220000}"/>
    <cellStyle name="Normal 3 48 2 3 4" xfId="10009" xr:uid="{00000000-0005-0000-0000-000091220000}"/>
    <cellStyle name="Normal 3 48 2 3 5" xfId="10010" xr:uid="{00000000-0005-0000-0000-000092220000}"/>
    <cellStyle name="Normal 3 48 2 4" xfId="2644" xr:uid="{00000000-0005-0000-0000-000093220000}"/>
    <cellStyle name="Normal 3 48 2 4 2" xfId="10011" xr:uid="{00000000-0005-0000-0000-000094220000}"/>
    <cellStyle name="Normal 3 48 2 4 2 2" xfId="10012" xr:uid="{00000000-0005-0000-0000-000095220000}"/>
    <cellStyle name="Normal 3 48 2 4 3" xfId="10013" xr:uid="{00000000-0005-0000-0000-000096220000}"/>
    <cellStyle name="Normal 3 48 2 4 3 2" xfId="10014" xr:uid="{00000000-0005-0000-0000-000097220000}"/>
    <cellStyle name="Normal 3 48 2 4 4" xfId="10015" xr:uid="{00000000-0005-0000-0000-000098220000}"/>
    <cellStyle name="Normal 3 48 2 4 5" xfId="10016" xr:uid="{00000000-0005-0000-0000-000099220000}"/>
    <cellStyle name="Normal 3 48 2 5" xfId="2645" xr:uid="{00000000-0005-0000-0000-00009A220000}"/>
    <cellStyle name="Normal 3 48 2 5 2" xfId="10017" xr:uid="{00000000-0005-0000-0000-00009B220000}"/>
    <cellStyle name="Normal 3 48 2 5 2 2" xfId="10018" xr:uid="{00000000-0005-0000-0000-00009C220000}"/>
    <cellStyle name="Normal 3 48 2 5 3" xfId="10019" xr:uid="{00000000-0005-0000-0000-00009D220000}"/>
    <cellStyle name="Normal 3 48 2 5 3 2" xfId="10020" xr:uid="{00000000-0005-0000-0000-00009E220000}"/>
    <cellStyle name="Normal 3 48 2 5 4" xfId="10021" xr:uid="{00000000-0005-0000-0000-00009F220000}"/>
    <cellStyle name="Normal 3 48 2 5 5" xfId="10022" xr:uid="{00000000-0005-0000-0000-0000A0220000}"/>
    <cellStyle name="Normal 3 48 2 6" xfId="2646" xr:uid="{00000000-0005-0000-0000-0000A1220000}"/>
    <cellStyle name="Normal 3 48 2 6 2" xfId="10023" xr:uid="{00000000-0005-0000-0000-0000A2220000}"/>
    <cellStyle name="Normal 3 48 2 6 2 2" xfId="10024" xr:uid="{00000000-0005-0000-0000-0000A3220000}"/>
    <cellStyle name="Normal 3 48 2 6 3" xfId="10025" xr:uid="{00000000-0005-0000-0000-0000A4220000}"/>
    <cellStyle name="Normal 3 48 2 6 3 2" xfId="10026" xr:uid="{00000000-0005-0000-0000-0000A5220000}"/>
    <cellStyle name="Normal 3 48 2 6 4" xfId="10027" xr:uid="{00000000-0005-0000-0000-0000A6220000}"/>
    <cellStyle name="Normal 3 48 2 6 5" xfId="10028" xr:uid="{00000000-0005-0000-0000-0000A7220000}"/>
    <cellStyle name="Normal 3 48 2 7" xfId="2647" xr:uid="{00000000-0005-0000-0000-0000A8220000}"/>
    <cellStyle name="Normal 3 48 2 7 2" xfId="10029" xr:uid="{00000000-0005-0000-0000-0000A9220000}"/>
    <cellStyle name="Normal 3 48 2 7 2 2" xfId="10030" xr:uid="{00000000-0005-0000-0000-0000AA220000}"/>
    <cellStyle name="Normal 3 48 2 7 3" xfId="10031" xr:uid="{00000000-0005-0000-0000-0000AB220000}"/>
    <cellStyle name="Normal 3 48 2 7 3 2" xfId="10032" xr:uid="{00000000-0005-0000-0000-0000AC220000}"/>
    <cellStyle name="Normal 3 48 2 7 4" xfId="10033" xr:uid="{00000000-0005-0000-0000-0000AD220000}"/>
    <cellStyle name="Normal 3 48 2 7 5" xfId="10034" xr:uid="{00000000-0005-0000-0000-0000AE220000}"/>
    <cellStyle name="Normal 3 48 2 8" xfId="2648" xr:uid="{00000000-0005-0000-0000-0000AF220000}"/>
    <cellStyle name="Normal 3 48 2 8 2" xfId="10035" xr:uid="{00000000-0005-0000-0000-0000B0220000}"/>
    <cellStyle name="Normal 3 48 2 8 2 2" xfId="10036" xr:uid="{00000000-0005-0000-0000-0000B1220000}"/>
    <cellStyle name="Normal 3 48 2 8 3" xfId="10037" xr:uid="{00000000-0005-0000-0000-0000B2220000}"/>
    <cellStyle name="Normal 3 48 2 8 3 2" xfId="10038" xr:uid="{00000000-0005-0000-0000-0000B3220000}"/>
    <cellStyle name="Normal 3 48 2 8 4" xfId="10039" xr:uid="{00000000-0005-0000-0000-0000B4220000}"/>
    <cellStyle name="Normal 3 48 2 8 5" xfId="10040" xr:uid="{00000000-0005-0000-0000-0000B5220000}"/>
    <cellStyle name="Normal 3 48 2 9" xfId="2649" xr:uid="{00000000-0005-0000-0000-0000B6220000}"/>
    <cellStyle name="Normal 3 48 2 9 2" xfId="10041" xr:uid="{00000000-0005-0000-0000-0000B7220000}"/>
    <cellStyle name="Normal 3 48 2 9 2 2" xfId="10042" xr:uid="{00000000-0005-0000-0000-0000B8220000}"/>
    <cellStyle name="Normal 3 48 2 9 3" xfId="10043" xr:uid="{00000000-0005-0000-0000-0000B9220000}"/>
    <cellStyle name="Normal 3 48 2 9 3 2" xfId="10044" xr:uid="{00000000-0005-0000-0000-0000BA220000}"/>
    <cellStyle name="Normal 3 48 2 9 4" xfId="10045" xr:uid="{00000000-0005-0000-0000-0000BB220000}"/>
    <cellStyle name="Normal 3 48 2 9 5" xfId="10046" xr:uid="{00000000-0005-0000-0000-0000BC220000}"/>
    <cellStyle name="Normal 3 48 3" xfId="2650" xr:uid="{00000000-0005-0000-0000-0000BD220000}"/>
    <cellStyle name="Normal 3 48 3 2" xfId="10047" xr:uid="{00000000-0005-0000-0000-0000BE220000}"/>
    <cellStyle name="Normal 3 48 3 2 2" xfId="10048" xr:uid="{00000000-0005-0000-0000-0000BF220000}"/>
    <cellStyle name="Normal 3 48 3 3" xfId="10049" xr:uid="{00000000-0005-0000-0000-0000C0220000}"/>
    <cellStyle name="Normal 3 48 3 3 2" xfId="10050" xr:uid="{00000000-0005-0000-0000-0000C1220000}"/>
    <cellStyle name="Normal 3 48 3 4" xfId="10051" xr:uid="{00000000-0005-0000-0000-0000C2220000}"/>
    <cellStyle name="Normal 3 48 3 5" xfId="10052" xr:uid="{00000000-0005-0000-0000-0000C3220000}"/>
    <cellStyle name="Normal 3 48 4" xfId="2651" xr:uid="{00000000-0005-0000-0000-0000C4220000}"/>
    <cellStyle name="Normal 3 48 4 2" xfId="10053" xr:uid="{00000000-0005-0000-0000-0000C5220000}"/>
    <cellStyle name="Normal 3 48 4 2 2" xfId="10054" xr:uid="{00000000-0005-0000-0000-0000C6220000}"/>
    <cellStyle name="Normal 3 48 4 3" xfId="10055" xr:uid="{00000000-0005-0000-0000-0000C7220000}"/>
    <cellStyle name="Normal 3 48 4 3 2" xfId="10056" xr:uid="{00000000-0005-0000-0000-0000C8220000}"/>
    <cellStyle name="Normal 3 48 4 4" xfId="10057" xr:uid="{00000000-0005-0000-0000-0000C9220000}"/>
    <cellStyle name="Normal 3 48 4 5" xfId="10058" xr:uid="{00000000-0005-0000-0000-0000CA220000}"/>
    <cellStyle name="Normal 3 48 5" xfId="2652" xr:uid="{00000000-0005-0000-0000-0000CB220000}"/>
    <cellStyle name="Normal 3 48 5 2" xfId="10059" xr:uid="{00000000-0005-0000-0000-0000CC220000}"/>
    <cellStyle name="Normal 3 48 5 2 2" xfId="10060" xr:uid="{00000000-0005-0000-0000-0000CD220000}"/>
    <cellStyle name="Normal 3 48 5 3" xfId="10061" xr:uid="{00000000-0005-0000-0000-0000CE220000}"/>
    <cellStyle name="Normal 3 48 5 3 2" xfId="10062" xr:uid="{00000000-0005-0000-0000-0000CF220000}"/>
    <cellStyle name="Normal 3 48 5 4" xfId="10063" xr:uid="{00000000-0005-0000-0000-0000D0220000}"/>
    <cellStyle name="Normal 3 48 5 5" xfId="10064" xr:uid="{00000000-0005-0000-0000-0000D1220000}"/>
    <cellStyle name="Normal 3 48 6" xfId="2653" xr:uid="{00000000-0005-0000-0000-0000D2220000}"/>
    <cellStyle name="Normal 3 48 6 2" xfId="10065" xr:uid="{00000000-0005-0000-0000-0000D3220000}"/>
    <cellStyle name="Normal 3 48 6 2 2" xfId="10066" xr:uid="{00000000-0005-0000-0000-0000D4220000}"/>
    <cellStyle name="Normal 3 48 6 3" xfId="10067" xr:uid="{00000000-0005-0000-0000-0000D5220000}"/>
    <cellStyle name="Normal 3 48 6 3 2" xfId="10068" xr:uid="{00000000-0005-0000-0000-0000D6220000}"/>
    <cellStyle name="Normal 3 48 6 4" xfId="10069" xr:uid="{00000000-0005-0000-0000-0000D7220000}"/>
    <cellStyle name="Normal 3 48 6 5" xfId="10070" xr:uid="{00000000-0005-0000-0000-0000D8220000}"/>
    <cellStyle name="Normal 3 48 7" xfId="2654" xr:uid="{00000000-0005-0000-0000-0000D9220000}"/>
    <cellStyle name="Normal 3 48 7 2" xfId="10071" xr:uid="{00000000-0005-0000-0000-0000DA220000}"/>
    <cellStyle name="Normal 3 48 7 2 2" xfId="10072" xr:uid="{00000000-0005-0000-0000-0000DB220000}"/>
    <cellStyle name="Normal 3 48 7 3" xfId="10073" xr:uid="{00000000-0005-0000-0000-0000DC220000}"/>
    <cellStyle name="Normal 3 48 7 3 2" xfId="10074" xr:uid="{00000000-0005-0000-0000-0000DD220000}"/>
    <cellStyle name="Normal 3 48 7 4" xfId="10075" xr:uid="{00000000-0005-0000-0000-0000DE220000}"/>
    <cellStyle name="Normal 3 48 7 5" xfId="10076" xr:uid="{00000000-0005-0000-0000-0000DF220000}"/>
    <cellStyle name="Normal 3 48 8" xfId="2655" xr:uid="{00000000-0005-0000-0000-0000E0220000}"/>
    <cellStyle name="Normal 3 48 8 2" xfId="10077" xr:uid="{00000000-0005-0000-0000-0000E1220000}"/>
    <cellStyle name="Normal 3 48 8 2 2" xfId="10078" xr:uid="{00000000-0005-0000-0000-0000E2220000}"/>
    <cellStyle name="Normal 3 48 8 3" xfId="10079" xr:uid="{00000000-0005-0000-0000-0000E3220000}"/>
    <cellStyle name="Normal 3 48 8 3 2" xfId="10080" xr:uid="{00000000-0005-0000-0000-0000E4220000}"/>
    <cellStyle name="Normal 3 48 8 4" xfId="10081" xr:uid="{00000000-0005-0000-0000-0000E5220000}"/>
    <cellStyle name="Normal 3 48 8 5" xfId="10082" xr:uid="{00000000-0005-0000-0000-0000E6220000}"/>
    <cellStyle name="Normal 3 48 9" xfId="2656" xr:uid="{00000000-0005-0000-0000-0000E7220000}"/>
    <cellStyle name="Normal 3 48 9 2" xfId="10083" xr:uid="{00000000-0005-0000-0000-0000E8220000}"/>
    <cellStyle name="Normal 3 48 9 2 2" xfId="10084" xr:uid="{00000000-0005-0000-0000-0000E9220000}"/>
    <cellStyle name="Normal 3 48 9 3" xfId="10085" xr:uid="{00000000-0005-0000-0000-0000EA220000}"/>
    <cellStyle name="Normal 3 48 9 3 2" xfId="10086" xr:uid="{00000000-0005-0000-0000-0000EB220000}"/>
    <cellStyle name="Normal 3 48 9 4" xfId="10087" xr:uid="{00000000-0005-0000-0000-0000EC220000}"/>
    <cellStyle name="Normal 3 48 9 5" xfId="10088" xr:uid="{00000000-0005-0000-0000-0000ED220000}"/>
    <cellStyle name="Normal 3 49" xfId="2657" xr:uid="{00000000-0005-0000-0000-0000EE220000}"/>
    <cellStyle name="Normal 3 49 10" xfId="2658" xr:uid="{00000000-0005-0000-0000-0000EF220000}"/>
    <cellStyle name="Normal 3 49 10 2" xfId="10089" xr:uid="{00000000-0005-0000-0000-0000F0220000}"/>
    <cellStyle name="Normal 3 49 10 2 2" xfId="10090" xr:uid="{00000000-0005-0000-0000-0000F1220000}"/>
    <cellStyle name="Normal 3 49 10 3" xfId="10091" xr:uid="{00000000-0005-0000-0000-0000F2220000}"/>
    <cellStyle name="Normal 3 49 10 3 2" xfId="10092" xr:uid="{00000000-0005-0000-0000-0000F3220000}"/>
    <cellStyle name="Normal 3 49 10 4" xfId="10093" xr:uid="{00000000-0005-0000-0000-0000F4220000}"/>
    <cellStyle name="Normal 3 49 10 5" xfId="10094" xr:uid="{00000000-0005-0000-0000-0000F5220000}"/>
    <cellStyle name="Normal 3 49 11" xfId="2659" xr:uid="{00000000-0005-0000-0000-0000F6220000}"/>
    <cellStyle name="Normal 3 49 11 2" xfId="10095" xr:uid="{00000000-0005-0000-0000-0000F7220000}"/>
    <cellStyle name="Normal 3 49 11 2 2" xfId="10096" xr:uid="{00000000-0005-0000-0000-0000F8220000}"/>
    <cellStyle name="Normal 3 49 11 3" xfId="10097" xr:uid="{00000000-0005-0000-0000-0000F9220000}"/>
    <cellStyle name="Normal 3 49 11 3 2" xfId="10098" xr:uid="{00000000-0005-0000-0000-0000FA220000}"/>
    <cellStyle name="Normal 3 49 11 4" xfId="10099" xr:uid="{00000000-0005-0000-0000-0000FB220000}"/>
    <cellStyle name="Normal 3 49 11 5" xfId="10100" xr:uid="{00000000-0005-0000-0000-0000FC220000}"/>
    <cellStyle name="Normal 3 49 12" xfId="2660" xr:uid="{00000000-0005-0000-0000-0000FD220000}"/>
    <cellStyle name="Normal 3 49 12 2" xfId="10101" xr:uid="{00000000-0005-0000-0000-0000FE220000}"/>
    <cellStyle name="Normal 3 49 12 2 2" xfId="10102" xr:uid="{00000000-0005-0000-0000-0000FF220000}"/>
    <cellStyle name="Normal 3 49 12 3" xfId="10103" xr:uid="{00000000-0005-0000-0000-000000230000}"/>
    <cellStyle name="Normal 3 49 12 3 2" xfId="10104" xr:uid="{00000000-0005-0000-0000-000001230000}"/>
    <cellStyle name="Normal 3 49 12 4" xfId="10105" xr:uid="{00000000-0005-0000-0000-000002230000}"/>
    <cellStyle name="Normal 3 49 12 5" xfId="10106" xr:uid="{00000000-0005-0000-0000-000003230000}"/>
    <cellStyle name="Normal 3 49 13" xfId="2661" xr:uid="{00000000-0005-0000-0000-000004230000}"/>
    <cellStyle name="Normal 3 49 13 2" xfId="10107" xr:uid="{00000000-0005-0000-0000-000005230000}"/>
    <cellStyle name="Normal 3 49 13 2 2" xfId="10108" xr:uid="{00000000-0005-0000-0000-000006230000}"/>
    <cellStyle name="Normal 3 49 13 3" xfId="10109" xr:uid="{00000000-0005-0000-0000-000007230000}"/>
    <cellStyle name="Normal 3 49 13 3 2" xfId="10110" xr:uid="{00000000-0005-0000-0000-000008230000}"/>
    <cellStyle name="Normal 3 49 13 4" xfId="10111" xr:uid="{00000000-0005-0000-0000-000009230000}"/>
    <cellStyle name="Normal 3 49 13 5" xfId="10112" xr:uid="{00000000-0005-0000-0000-00000A230000}"/>
    <cellStyle name="Normal 3 49 14" xfId="10113" xr:uid="{00000000-0005-0000-0000-00000B230000}"/>
    <cellStyle name="Normal 3 49 14 2" xfId="10114" xr:uid="{00000000-0005-0000-0000-00000C230000}"/>
    <cellStyle name="Normal 3 49 15" xfId="10115" xr:uid="{00000000-0005-0000-0000-00000D230000}"/>
    <cellStyle name="Normal 3 49 15 2" xfId="10116" xr:uid="{00000000-0005-0000-0000-00000E230000}"/>
    <cellStyle name="Normal 3 49 16" xfId="10117" xr:uid="{00000000-0005-0000-0000-00000F230000}"/>
    <cellStyle name="Normal 3 49 17" xfId="10118" xr:uid="{00000000-0005-0000-0000-000010230000}"/>
    <cellStyle name="Normal 3 49 2" xfId="2662" xr:uid="{00000000-0005-0000-0000-000011230000}"/>
    <cellStyle name="Normal 3 49 2 10" xfId="2663" xr:uid="{00000000-0005-0000-0000-000012230000}"/>
    <cellStyle name="Normal 3 49 2 10 2" xfId="10119" xr:uid="{00000000-0005-0000-0000-000013230000}"/>
    <cellStyle name="Normal 3 49 2 10 2 2" xfId="10120" xr:uid="{00000000-0005-0000-0000-000014230000}"/>
    <cellStyle name="Normal 3 49 2 10 3" xfId="10121" xr:uid="{00000000-0005-0000-0000-000015230000}"/>
    <cellStyle name="Normal 3 49 2 10 3 2" xfId="10122" xr:uid="{00000000-0005-0000-0000-000016230000}"/>
    <cellStyle name="Normal 3 49 2 10 4" xfId="10123" xr:uid="{00000000-0005-0000-0000-000017230000}"/>
    <cellStyle name="Normal 3 49 2 10 5" xfId="10124" xr:uid="{00000000-0005-0000-0000-000018230000}"/>
    <cellStyle name="Normal 3 49 2 11" xfId="2664" xr:uid="{00000000-0005-0000-0000-000019230000}"/>
    <cellStyle name="Normal 3 49 2 11 2" xfId="10125" xr:uid="{00000000-0005-0000-0000-00001A230000}"/>
    <cellStyle name="Normal 3 49 2 11 2 2" xfId="10126" xr:uid="{00000000-0005-0000-0000-00001B230000}"/>
    <cellStyle name="Normal 3 49 2 11 3" xfId="10127" xr:uid="{00000000-0005-0000-0000-00001C230000}"/>
    <cellStyle name="Normal 3 49 2 11 3 2" xfId="10128" xr:uid="{00000000-0005-0000-0000-00001D230000}"/>
    <cellStyle name="Normal 3 49 2 11 4" xfId="10129" xr:uid="{00000000-0005-0000-0000-00001E230000}"/>
    <cellStyle name="Normal 3 49 2 11 5" xfId="10130" xr:uid="{00000000-0005-0000-0000-00001F230000}"/>
    <cellStyle name="Normal 3 49 2 12" xfId="2665" xr:uid="{00000000-0005-0000-0000-000020230000}"/>
    <cellStyle name="Normal 3 49 2 12 2" xfId="10131" xr:uid="{00000000-0005-0000-0000-000021230000}"/>
    <cellStyle name="Normal 3 49 2 12 2 2" xfId="10132" xr:uid="{00000000-0005-0000-0000-000022230000}"/>
    <cellStyle name="Normal 3 49 2 12 3" xfId="10133" xr:uid="{00000000-0005-0000-0000-000023230000}"/>
    <cellStyle name="Normal 3 49 2 12 3 2" xfId="10134" xr:uid="{00000000-0005-0000-0000-000024230000}"/>
    <cellStyle name="Normal 3 49 2 12 4" xfId="10135" xr:uid="{00000000-0005-0000-0000-000025230000}"/>
    <cellStyle name="Normal 3 49 2 12 5" xfId="10136" xr:uid="{00000000-0005-0000-0000-000026230000}"/>
    <cellStyle name="Normal 3 49 2 13" xfId="10137" xr:uid="{00000000-0005-0000-0000-000027230000}"/>
    <cellStyle name="Normal 3 49 2 13 2" xfId="10138" xr:uid="{00000000-0005-0000-0000-000028230000}"/>
    <cellStyle name="Normal 3 49 2 14" xfId="10139" xr:uid="{00000000-0005-0000-0000-000029230000}"/>
    <cellStyle name="Normal 3 49 2 14 2" xfId="10140" xr:uid="{00000000-0005-0000-0000-00002A230000}"/>
    <cellStyle name="Normal 3 49 2 15" xfId="10141" xr:uid="{00000000-0005-0000-0000-00002B230000}"/>
    <cellStyle name="Normal 3 49 2 16" xfId="10142" xr:uid="{00000000-0005-0000-0000-00002C230000}"/>
    <cellStyle name="Normal 3 49 2 2" xfId="2666" xr:uid="{00000000-0005-0000-0000-00002D230000}"/>
    <cellStyle name="Normal 3 49 2 2 2" xfId="10143" xr:uid="{00000000-0005-0000-0000-00002E230000}"/>
    <cellStyle name="Normal 3 49 2 2 2 2" xfId="10144" xr:uid="{00000000-0005-0000-0000-00002F230000}"/>
    <cellStyle name="Normal 3 49 2 2 3" xfId="10145" xr:uid="{00000000-0005-0000-0000-000030230000}"/>
    <cellStyle name="Normal 3 49 2 2 3 2" xfId="10146" xr:uid="{00000000-0005-0000-0000-000031230000}"/>
    <cellStyle name="Normal 3 49 2 2 4" xfId="10147" xr:uid="{00000000-0005-0000-0000-000032230000}"/>
    <cellStyle name="Normal 3 49 2 2 5" xfId="10148" xr:uid="{00000000-0005-0000-0000-000033230000}"/>
    <cellStyle name="Normal 3 49 2 3" xfId="2667" xr:uid="{00000000-0005-0000-0000-000034230000}"/>
    <cellStyle name="Normal 3 49 2 3 2" xfId="10149" xr:uid="{00000000-0005-0000-0000-000035230000}"/>
    <cellStyle name="Normal 3 49 2 3 2 2" xfId="10150" xr:uid="{00000000-0005-0000-0000-000036230000}"/>
    <cellStyle name="Normal 3 49 2 3 3" xfId="10151" xr:uid="{00000000-0005-0000-0000-000037230000}"/>
    <cellStyle name="Normal 3 49 2 3 3 2" xfId="10152" xr:uid="{00000000-0005-0000-0000-000038230000}"/>
    <cellStyle name="Normal 3 49 2 3 4" xfId="10153" xr:uid="{00000000-0005-0000-0000-000039230000}"/>
    <cellStyle name="Normal 3 49 2 3 5" xfId="10154" xr:uid="{00000000-0005-0000-0000-00003A230000}"/>
    <cellStyle name="Normal 3 49 2 4" xfId="2668" xr:uid="{00000000-0005-0000-0000-00003B230000}"/>
    <cellStyle name="Normal 3 49 2 4 2" xfId="10155" xr:uid="{00000000-0005-0000-0000-00003C230000}"/>
    <cellStyle name="Normal 3 49 2 4 2 2" xfId="10156" xr:uid="{00000000-0005-0000-0000-00003D230000}"/>
    <cellStyle name="Normal 3 49 2 4 3" xfId="10157" xr:uid="{00000000-0005-0000-0000-00003E230000}"/>
    <cellStyle name="Normal 3 49 2 4 3 2" xfId="10158" xr:uid="{00000000-0005-0000-0000-00003F230000}"/>
    <cellStyle name="Normal 3 49 2 4 4" xfId="10159" xr:uid="{00000000-0005-0000-0000-000040230000}"/>
    <cellStyle name="Normal 3 49 2 4 5" xfId="10160" xr:uid="{00000000-0005-0000-0000-000041230000}"/>
    <cellStyle name="Normal 3 49 2 5" xfId="2669" xr:uid="{00000000-0005-0000-0000-000042230000}"/>
    <cellStyle name="Normal 3 49 2 5 2" xfId="10161" xr:uid="{00000000-0005-0000-0000-000043230000}"/>
    <cellStyle name="Normal 3 49 2 5 2 2" xfId="10162" xr:uid="{00000000-0005-0000-0000-000044230000}"/>
    <cellStyle name="Normal 3 49 2 5 3" xfId="10163" xr:uid="{00000000-0005-0000-0000-000045230000}"/>
    <cellStyle name="Normal 3 49 2 5 3 2" xfId="10164" xr:uid="{00000000-0005-0000-0000-000046230000}"/>
    <cellStyle name="Normal 3 49 2 5 4" xfId="10165" xr:uid="{00000000-0005-0000-0000-000047230000}"/>
    <cellStyle name="Normal 3 49 2 5 5" xfId="10166" xr:uid="{00000000-0005-0000-0000-000048230000}"/>
    <cellStyle name="Normal 3 49 2 6" xfId="2670" xr:uid="{00000000-0005-0000-0000-000049230000}"/>
    <cellStyle name="Normal 3 49 2 6 2" xfId="10167" xr:uid="{00000000-0005-0000-0000-00004A230000}"/>
    <cellStyle name="Normal 3 49 2 6 2 2" xfId="10168" xr:uid="{00000000-0005-0000-0000-00004B230000}"/>
    <cellStyle name="Normal 3 49 2 6 3" xfId="10169" xr:uid="{00000000-0005-0000-0000-00004C230000}"/>
    <cellStyle name="Normal 3 49 2 6 3 2" xfId="10170" xr:uid="{00000000-0005-0000-0000-00004D230000}"/>
    <cellStyle name="Normal 3 49 2 6 4" xfId="10171" xr:uid="{00000000-0005-0000-0000-00004E230000}"/>
    <cellStyle name="Normal 3 49 2 6 5" xfId="10172" xr:uid="{00000000-0005-0000-0000-00004F230000}"/>
    <cellStyle name="Normal 3 49 2 7" xfId="2671" xr:uid="{00000000-0005-0000-0000-000050230000}"/>
    <cellStyle name="Normal 3 49 2 7 2" xfId="10173" xr:uid="{00000000-0005-0000-0000-000051230000}"/>
    <cellStyle name="Normal 3 49 2 7 2 2" xfId="10174" xr:uid="{00000000-0005-0000-0000-000052230000}"/>
    <cellStyle name="Normal 3 49 2 7 3" xfId="10175" xr:uid="{00000000-0005-0000-0000-000053230000}"/>
    <cellStyle name="Normal 3 49 2 7 3 2" xfId="10176" xr:uid="{00000000-0005-0000-0000-000054230000}"/>
    <cellStyle name="Normal 3 49 2 7 4" xfId="10177" xr:uid="{00000000-0005-0000-0000-000055230000}"/>
    <cellStyle name="Normal 3 49 2 7 5" xfId="10178" xr:uid="{00000000-0005-0000-0000-000056230000}"/>
    <cellStyle name="Normal 3 49 2 8" xfId="2672" xr:uid="{00000000-0005-0000-0000-000057230000}"/>
    <cellStyle name="Normal 3 49 2 8 2" xfId="10179" xr:uid="{00000000-0005-0000-0000-000058230000}"/>
    <cellStyle name="Normal 3 49 2 8 2 2" xfId="10180" xr:uid="{00000000-0005-0000-0000-000059230000}"/>
    <cellStyle name="Normal 3 49 2 8 3" xfId="10181" xr:uid="{00000000-0005-0000-0000-00005A230000}"/>
    <cellStyle name="Normal 3 49 2 8 3 2" xfId="10182" xr:uid="{00000000-0005-0000-0000-00005B230000}"/>
    <cellStyle name="Normal 3 49 2 8 4" xfId="10183" xr:uid="{00000000-0005-0000-0000-00005C230000}"/>
    <cellStyle name="Normal 3 49 2 8 5" xfId="10184" xr:uid="{00000000-0005-0000-0000-00005D230000}"/>
    <cellStyle name="Normal 3 49 2 9" xfId="2673" xr:uid="{00000000-0005-0000-0000-00005E230000}"/>
    <cellStyle name="Normal 3 49 2 9 2" xfId="10185" xr:uid="{00000000-0005-0000-0000-00005F230000}"/>
    <cellStyle name="Normal 3 49 2 9 2 2" xfId="10186" xr:uid="{00000000-0005-0000-0000-000060230000}"/>
    <cellStyle name="Normal 3 49 2 9 3" xfId="10187" xr:uid="{00000000-0005-0000-0000-000061230000}"/>
    <cellStyle name="Normal 3 49 2 9 3 2" xfId="10188" xr:uid="{00000000-0005-0000-0000-000062230000}"/>
    <cellStyle name="Normal 3 49 2 9 4" xfId="10189" xr:uid="{00000000-0005-0000-0000-000063230000}"/>
    <cellStyle name="Normal 3 49 2 9 5" xfId="10190" xr:uid="{00000000-0005-0000-0000-000064230000}"/>
    <cellStyle name="Normal 3 49 3" xfId="2674" xr:uid="{00000000-0005-0000-0000-000065230000}"/>
    <cellStyle name="Normal 3 49 3 2" xfId="10191" xr:uid="{00000000-0005-0000-0000-000066230000}"/>
    <cellStyle name="Normal 3 49 3 2 2" xfId="10192" xr:uid="{00000000-0005-0000-0000-000067230000}"/>
    <cellStyle name="Normal 3 49 3 3" xfId="10193" xr:uid="{00000000-0005-0000-0000-000068230000}"/>
    <cellStyle name="Normal 3 49 3 3 2" xfId="10194" xr:uid="{00000000-0005-0000-0000-000069230000}"/>
    <cellStyle name="Normal 3 49 3 4" xfId="10195" xr:uid="{00000000-0005-0000-0000-00006A230000}"/>
    <cellStyle name="Normal 3 49 3 5" xfId="10196" xr:uid="{00000000-0005-0000-0000-00006B230000}"/>
    <cellStyle name="Normal 3 49 4" xfId="2675" xr:uid="{00000000-0005-0000-0000-00006C230000}"/>
    <cellStyle name="Normal 3 49 4 2" xfId="10197" xr:uid="{00000000-0005-0000-0000-00006D230000}"/>
    <cellStyle name="Normal 3 49 4 2 2" xfId="10198" xr:uid="{00000000-0005-0000-0000-00006E230000}"/>
    <cellStyle name="Normal 3 49 4 3" xfId="10199" xr:uid="{00000000-0005-0000-0000-00006F230000}"/>
    <cellStyle name="Normal 3 49 4 3 2" xfId="10200" xr:uid="{00000000-0005-0000-0000-000070230000}"/>
    <cellStyle name="Normal 3 49 4 4" xfId="10201" xr:uid="{00000000-0005-0000-0000-000071230000}"/>
    <cellStyle name="Normal 3 49 4 5" xfId="10202" xr:uid="{00000000-0005-0000-0000-000072230000}"/>
    <cellStyle name="Normal 3 49 5" xfId="2676" xr:uid="{00000000-0005-0000-0000-000073230000}"/>
    <cellStyle name="Normal 3 49 5 2" xfId="10203" xr:uid="{00000000-0005-0000-0000-000074230000}"/>
    <cellStyle name="Normal 3 49 5 2 2" xfId="10204" xr:uid="{00000000-0005-0000-0000-000075230000}"/>
    <cellStyle name="Normal 3 49 5 3" xfId="10205" xr:uid="{00000000-0005-0000-0000-000076230000}"/>
    <cellStyle name="Normal 3 49 5 3 2" xfId="10206" xr:uid="{00000000-0005-0000-0000-000077230000}"/>
    <cellStyle name="Normal 3 49 5 4" xfId="10207" xr:uid="{00000000-0005-0000-0000-000078230000}"/>
    <cellStyle name="Normal 3 49 5 5" xfId="10208" xr:uid="{00000000-0005-0000-0000-000079230000}"/>
    <cellStyle name="Normal 3 49 6" xfId="2677" xr:uid="{00000000-0005-0000-0000-00007A230000}"/>
    <cellStyle name="Normal 3 49 6 2" xfId="10209" xr:uid="{00000000-0005-0000-0000-00007B230000}"/>
    <cellStyle name="Normal 3 49 6 2 2" xfId="10210" xr:uid="{00000000-0005-0000-0000-00007C230000}"/>
    <cellStyle name="Normal 3 49 6 3" xfId="10211" xr:uid="{00000000-0005-0000-0000-00007D230000}"/>
    <cellStyle name="Normal 3 49 6 3 2" xfId="10212" xr:uid="{00000000-0005-0000-0000-00007E230000}"/>
    <cellStyle name="Normal 3 49 6 4" xfId="10213" xr:uid="{00000000-0005-0000-0000-00007F230000}"/>
    <cellStyle name="Normal 3 49 6 5" xfId="10214" xr:uid="{00000000-0005-0000-0000-000080230000}"/>
    <cellStyle name="Normal 3 49 7" xfId="2678" xr:uid="{00000000-0005-0000-0000-000081230000}"/>
    <cellStyle name="Normal 3 49 7 2" xfId="10215" xr:uid="{00000000-0005-0000-0000-000082230000}"/>
    <cellStyle name="Normal 3 49 7 2 2" xfId="10216" xr:uid="{00000000-0005-0000-0000-000083230000}"/>
    <cellStyle name="Normal 3 49 7 3" xfId="10217" xr:uid="{00000000-0005-0000-0000-000084230000}"/>
    <cellStyle name="Normal 3 49 7 3 2" xfId="10218" xr:uid="{00000000-0005-0000-0000-000085230000}"/>
    <cellStyle name="Normal 3 49 7 4" xfId="10219" xr:uid="{00000000-0005-0000-0000-000086230000}"/>
    <cellStyle name="Normal 3 49 7 5" xfId="10220" xr:uid="{00000000-0005-0000-0000-000087230000}"/>
    <cellStyle name="Normal 3 49 8" xfId="2679" xr:uid="{00000000-0005-0000-0000-000088230000}"/>
    <cellStyle name="Normal 3 49 8 2" xfId="10221" xr:uid="{00000000-0005-0000-0000-000089230000}"/>
    <cellStyle name="Normal 3 49 8 2 2" xfId="10222" xr:uid="{00000000-0005-0000-0000-00008A230000}"/>
    <cellStyle name="Normal 3 49 8 3" xfId="10223" xr:uid="{00000000-0005-0000-0000-00008B230000}"/>
    <cellStyle name="Normal 3 49 8 3 2" xfId="10224" xr:uid="{00000000-0005-0000-0000-00008C230000}"/>
    <cellStyle name="Normal 3 49 8 4" xfId="10225" xr:uid="{00000000-0005-0000-0000-00008D230000}"/>
    <cellStyle name="Normal 3 49 8 5" xfId="10226" xr:uid="{00000000-0005-0000-0000-00008E230000}"/>
    <cellStyle name="Normal 3 49 9" xfId="2680" xr:uid="{00000000-0005-0000-0000-00008F230000}"/>
    <cellStyle name="Normal 3 49 9 2" xfId="10227" xr:uid="{00000000-0005-0000-0000-000090230000}"/>
    <cellStyle name="Normal 3 49 9 2 2" xfId="10228" xr:uid="{00000000-0005-0000-0000-000091230000}"/>
    <cellStyle name="Normal 3 49 9 3" xfId="10229" xr:uid="{00000000-0005-0000-0000-000092230000}"/>
    <cellStyle name="Normal 3 49 9 3 2" xfId="10230" xr:uid="{00000000-0005-0000-0000-000093230000}"/>
    <cellStyle name="Normal 3 49 9 4" xfId="10231" xr:uid="{00000000-0005-0000-0000-000094230000}"/>
    <cellStyle name="Normal 3 49 9 5" xfId="10232" xr:uid="{00000000-0005-0000-0000-000095230000}"/>
    <cellStyle name="Normal 3 5" xfId="40" xr:uid="{00000000-0005-0000-0000-000096230000}"/>
    <cellStyle name="Normal 3 5 10" xfId="2681" xr:uid="{00000000-0005-0000-0000-000097230000}"/>
    <cellStyle name="Normal 3 5 10 2" xfId="10233" xr:uid="{00000000-0005-0000-0000-000098230000}"/>
    <cellStyle name="Normal 3 5 10 2 2" xfId="10234" xr:uid="{00000000-0005-0000-0000-000099230000}"/>
    <cellStyle name="Normal 3 5 10 3" xfId="10235" xr:uid="{00000000-0005-0000-0000-00009A230000}"/>
    <cellStyle name="Normal 3 5 10 3 2" xfId="10236" xr:uid="{00000000-0005-0000-0000-00009B230000}"/>
    <cellStyle name="Normal 3 5 10 4" xfId="10237" xr:uid="{00000000-0005-0000-0000-00009C230000}"/>
    <cellStyle name="Normal 3 5 10 5" xfId="10238" xr:uid="{00000000-0005-0000-0000-00009D230000}"/>
    <cellStyle name="Normal 3 5 11" xfId="2682" xr:uid="{00000000-0005-0000-0000-00009E230000}"/>
    <cellStyle name="Normal 3 5 11 2" xfId="10239" xr:uid="{00000000-0005-0000-0000-00009F230000}"/>
    <cellStyle name="Normal 3 5 11 2 2" xfId="10240" xr:uid="{00000000-0005-0000-0000-0000A0230000}"/>
    <cellStyle name="Normal 3 5 11 3" xfId="10241" xr:uid="{00000000-0005-0000-0000-0000A1230000}"/>
    <cellStyle name="Normal 3 5 11 3 2" xfId="10242" xr:uid="{00000000-0005-0000-0000-0000A2230000}"/>
    <cellStyle name="Normal 3 5 11 4" xfId="10243" xr:uid="{00000000-0005-0000-0000-0000A3230000}"/>
    <cellStyle name="Normal 3 5 11 5" xfId="10244" xr:uid="{00000000-0005-0000-0000-0000A4230000}"/>
    <cellStyle name="Normal 3 5 12" xfId="2683" xr:uid="{00000000-0005-0000-0000-0000A5230000}"/>
    <cellStyle name="Normal 3 5 12 2" xfId="10245" xr:uid="{00000000-0005-0000-0000-0000A6230000}"/>
    <cellStyle name="Normal 3 5 12 2 2" xfId="10246" xr:uid="{00000000-0005-0000-0000-0000A7230000}"/>
    <cellStyle name="Normal 3 5 12 3" xfId="10247" xr:uid="{00000000-0005-0000-0000-0000A8230000}"/>
    <cellStyle name="Normal 3 5 12 3 2" xfId="10248" xr:uid="{00000000-0005-0000-0000-0000A9230000}"/>
    <cellStyle name="Normal 3 5 12 4" xfId="10249" xr:uid="{00000000-0005-0000-0000-0000AA230000}"/>
    <cellStyle name="Normal 3 5 12 5" xfId="10250" xr:uid="{00000000-0005-0000-0000-0000AB230000}"/>
    <cellStyle name="Normal 3 5 13" xfId="2684" xr:uid="{00000000-0005-0000-0000-0000AC230000}"/>
    <cellStyle name="Normal 3 5 13 2" xfId="10251" xr:uid="{00000000-0005-0000-0000-0000AD230000}"/>
    <cellStyle name="Normal 3 5 13 2 2" xfId="10252" xr:uid="{00000000-0005-0000-0000-0000AE230000}"/>
    <cellStyle name="Normal 3 5 13 3" xfId="10253" xr:uid="{00000000-0005-0000-0000-0000AF230000}"/>
    <cellStyle name="Normal 3 5 13 3 2" xfId="10254" xr:uid="{00000000-0005-0000-0000-0000B0230000}"/>
    <cellStyle name="Normal 3 5 13 4" xfId="10255" xr:uid="{00000000-0005-0000-0000-0000B1230000}"/>
    <cellStyle name="Normal 3 5 13 5" xfId="10256" xr:uid="{00000000-0005-0000-0000-0000B2230000}"/>
    <cellStyle name="Normal 3 5 14" xfId="10257" xr:uid="{00000000-0005-0000-0000-0000B3230000}"/>
    <cellStyle name="Normal 3 5 14 2" xfId="10258" xr:uid="{00000000-0005-0000-0000-0000B4230000}"/>
    <cellStyle name="Normal 3 5 15" xfId="10259" xr:uid="{00000000-0005-0000-0000-0000B5230000}"/>
    <cellStyle name="Normal 3 5 15 2" xfId="10260" xr:uid="{00000000-0005-0000-0000-0000B6230000}"/>
    <cellStyle name="Normal 3 5 16" xfId="10261" xr:uid="{00000000-0005-0000-0000-0000B7230000}"/>
    <cellStyle name="Normal 3 5 17" xfId="10262" xr:uid="{00000000-0005-0000-0000-0000B8230000}"/>
    <cellStyle name="Normal 3 5 2" xfId="2685" xr:uid="{00000000-0005-0000-0000-0000B9230000}"/>
    <cellStyle name="Normal 3 5 2 10" xfId="2686" xr:uid="{00000000-0005-0000-0000-0000BA230000}"/>
    <cellStyle name="Normal 3 5 2 10 2" xfId="10263" xr:uid="{00000000-0005-0000-0000-0000BB230000}"/>
    <cellStyle name="Normal 3 5 2 10 2 2" xfId="10264" xr:uid="{00000000-0005-0000-0000-0000BC230000}"/>
    <cellStyle name="Normal 3 5 2 10 3" xfId="10265" xr:uid="{00000000-0005-0000-0000-0000BD230000}"/>
    <cellStyle name="Normal 3 5 2 10 3 2" xfId="10266" xr:uid="{00000000-0005-0000-0000-0000BE230000}"/>
    <cellStyle name="Normal 3 5 2 10 4" xfId="10267" xr:uid="{00000000-0005-0000-0000-0000BF230000}"/>
    <cellStyle name="Normal 3 5 2 10 5" xfId="10268" xr:uid="{00000000-0005-0000-0000-0000C0230000}"/>
    <cellStyle name="Normal 3 5 2 11" xfId="2687" xr:uid="{00000000-0005-0000-0000-0000C1230000}"/>
    <cellStyle name="Normal 3 5 2 11 2" xfId="10269" xr:uid="{00000000-0005-0000-0000-0000C2230000}"/>
    <cellStyle name="Normal 3 5 2 11 2 2" xfId="10270" xr:uid="{00000000-0005-0000-0000-0000C3230000}"/>
    <cellStyle name="Normal 3 5 2 11 3" xfId="10271" xr:uid="{00000000-0005-0000-0000-0000C4230000}"/>
    <cellStyle name="Normal 3 5 2 11 3 2" xfId="10272" xr:uid="{00000000-0005-0000-0000-0000C5230000}"/>
    <cellStyle name="Normal 3 5 2 11 4" xfId="10273" xr:uid="{00000000-0005-0000-0000-0000C6230000}"/>
    <cellStyle name="Normal 3 5 2 11 5" xfId="10274" xr:uid="{00000000-0005-0000-0000-0000C7230000}"/>
    <cellStyle name="Normal 3 5 2 12" xfId="2688" xr:uid="{00000000-0005-0000-0000-0000C8230000}"/>
    <cellStyle name="Normal 3 5 2 12 2" xfId="10275" xr:uid="{00000000-0005-0000-0000-0000C9230000}"/>
    <cellStyle name="Normal 3 5 2 12 2 2" xfId="10276" xr:uid="{00000000-0005-0000-0000-0000CA230000}"/>
    <cellStyle name="Normal 3 5 2 12 3" xfId="10277" xr:uid="{00000000-0005-0000-0000-0000CB230000}"/>
    <cellStyle name="Normal 3 5 2 12 3 2" xfId="10278" xr:uid="{00000000-0005-0000-0000-0000CC230000}"/>
    <cellStyle name="Normal 3 5 2 12 4" xfId="10279" xr:uid="{00000000-0005-0000-0000-0000CD230000}"/>
    <cellStyle name="Normal 3 5 2 12 5" xfId="10280" xr:uid="{00000000-0005-0000-0000-0000CE230000}"/>
    <cellStyle name="Normal 3 5 2 13" xfId="3799" xr:uid="{00000000-0005-0000-0000-0000CF230000}"/>
    <cellStyle name="Normal 3 5 2 13 2" xfId="10281" xr:uid="{00000000-0005-0000-0000-0000D0230000}"/>
    <cellStyle name="Normal 3 5 2 13 2 2" xfId="10282" xr:uid="{00000000-0005-0000-0000-0000D1230000}"/>
    <cellStyle name="Normal 3 5 2 13 3" xfId="10283" xr:uid="{00000000-0005-0000-0000-0000D2230000}"/>
    <cellStyle name="Normal 3 5 2 13 4" xfId="10284" xr:uid="{00000000-0005-0000-0000-0000D3230000}"/>
    <cellStyle name="Normal 3 5 2 14" xfId="10285" xr:uid="{00000000-0005-0000-0000-0000D4230000}"/>
    <cellStyle name="Normal 3 5 2 14 2" xfId="10286" xr:uid="{00000000-0005-0000-0000-0000D5230000}"/>
    <cellStyle name="Normal 3 5 2 15" xfId="10287" xr:uid="{00000000-0005-0000-0000-0000D6230000}"/>
    <cellStyle name="Normal 3 5 2 16" xfId="10288" xr:uid="{00000000-0005-0000-0000-0000D7230000}"/>
    <cellStyle name="Normal 3 5 2 2" xfId="2689" xr:uid="{00000000-0005-0000-0000-0000D8230000}"/>
    <cellStyle name="Normal 3 5 2 2 2" xfId="10289" xr:uid="{00000000-0005-0000-0000-0000D9230000}"/>
    <cellStyle name="Normal 3 5 2 2 2 2" xfId="10290" xr:uid="{00000000-0005-0000-0000-0000DA230000}"/>
    <cellStyle name="Normal 3 5 2 2 3" xfId="10291" xr:uid="{00000000-0005-0000-0000-0000DB230000}"/>
    <cellStyle name="Normal 3 5 2 2 3 2" xfId="10292" xr:uid="{00000000-0005-0000-0000-0000DC230000}"/>
    <cellStyle name="Normal 3 5 2 2 4" xfId="10293" xr:uid="{00000000-0005-0000-0000-0000DD230000}"/>
    <cellStyle name="Normal 3 5 2 2 5" xfId="10294" xr:uid="{00000000-0005-0000-0000-0000DE230000}"/>
    <cellStyle name="Normal 3 5 2 3" xfId="2690" xr:uid="{00000000-0005-0000-0000-0000DF230000}"/>
    <cellStyle name="Normal 3 5 2 3 2" xfId="10295" xr:uid="{00000000-0005-0000-0000-0000E0230000}"/>
    <cellStyle name="Normal 3 5 2 3 2 2" xfId="10296" xr:uid="{00000000-0005-0000-0000-0000E1230000}"/>
    <cellStyle name="Normal 3 5 2 3 3" xfId="10297" xr:uid="{00000000-0005-0000-0000-0000E2230000}"/>
    <cellStyle name="Normal 3 5 2 3 3 2" xfId="10298" xr:uid="{00000000-0005-0000-0000-0000E3230000}"/>
    <cellStyle name="Normal 3 5 2 3 4" xfId="10299" xr:uid="{00000000-0005-0000-0000-0000E4230000}"/>
    <cellStyle name="Normal 3 5 2 3 5" xfId="10300" xr:uid="{00000000-0005-0000-0000-0000E5230000}"/>
    <cellStyle name="Normal 3 5 2 4" xfId="2691" xr:uid="{00000000-0005-0000-0000-0000E6230000}"/>
    <cellStyle name="Normal 3 5 2 4 2" xfId="10301" xr:uid="{00000000-0005-0000-0000-0000E7230000}"/>
    <cellStyle name="Normal 3 5 2 4 2 2" xfId="10302" xr:uid="{00000000-0005-0000-0000-0000E8230000}"/>
    <cellStyle name="Normal 3 5 2 4 3" xfId="10303" xr:uid="{00000000-0005-0000-0000-0000E9230000}"/>
    <cellStyle name="Normal 3 5 2 4 3 2" xfId="10304" xr:uid="{00000000-0005-0000-0000-0000EA230000}"/>
    <cellStyle name="Normal 3 5 2 4 4" xfId="10305" xr:uid="{00000000-0005-0000-0000-0000EB230000}"/>
    <cellStyle name="Normal 3 5 2 4 5" xfId="10306" xr:uid="{00000000-0005-0000-0000-0000EC230000}"/>
    <cellStyle name="Normal 3 5 2 5" xfId="2692" xr:uid="{00000000-0005-0000-0000-0000ED230000}"/>
    <cellStyle name="Normal 3 5 2 5 2" xfId="10307" xr:uid="{00000000-0005-0000-0000-0000EE230000}"/>
    <cellStyle name="Normal 3 5 2 5 2 2" xfId="10308" xr:uid="{00000000-0005-0000-0000-0000EF230000}"/>
    <cellStyle name="Normal 3 5 2 5 3" xfId="10309" xr:uid="{00000000-0005-0000-0000-0000F0230000}"/>
    <cellStyle name="Normal 3 5 2 5 3 2" xfId="10310" xr:uid="{00000000-0005-0000-0000-0000F1230000}"/>
    <cellStyle name="Normal 3 5 2 5 4" xfId="10311" xr:uid="{00000000-0005-0000-0000-0000F2230000}"/>
    <cellStyle name="Normal 3 5 2 5 5" xfId="10312" xr:uid="{00000000-0005-0000-0000-0000F3230000}"/>
    <cellStyle name="Normal 3 5 2 6" xfId="2693" xr:uid="{00000000-0005-0000-0000-0000F4230000}"/>
    <cellStyle name="Normal 3 5 2 6 2" xfId="10313" xr:uid="{00000000-0005-0000-0000-0000F5230000}"/>
    <cellStyle name="Normal 3 5 2 6 2 2" xfId="10314" xr:uid="{00000000-0005-0000-0000-0000F6230000}"/>
    <cellStyle name="Normal 3 5 2 6 3" xfId="10315" xr:uid="{00000000-0005-0000-0000-0000F7230000}"/>
    <cellStyle name="Normal 3 5 2 6 3 2" xfId="10316" xr:uid="{00000000-0005-0000-0000-0000F8230000}"/>
    <cellStyle name="Normal 3 5 2 6 4" xfId="10317" xr:uid="{00000000-0005-0000-0000-0000F9230000}"/>
    <cellStyle name="Normal 3 5 2 6 5" xfId="10318" xr:uid="{00000000-0005-0000-0000-0000FA230000}"/>
    <cellStyle name="Normal 3 5 2 7" xfId="2694" xr:uid="{00000000-0005-0000-0000-0000FB230000}"/>
    <cellStyle name="Normal 3 5 2 7 2" xfId="10319" xr:uid="{00000000-0005-0000-0000-0000FC230000}"/>
    <cellStyle name="Normal 3 5 2 7 2 2" xfId="10320" xr:uid="{00000000-0005-0000-0000-0000FD230000}"/>
    <cellStyle name="Normal 3 5 2 7 3" xfId="10321" xr:uid="{00000000-0005-0000-0000-0000FE230000}"/>
    <cellStyle name="Normal 3 5 2 7 3 2" xfId="10322" xr:uid="{00000000-0005-0000-0000-0000FF230000}"/>
    <cellStyle name="Normal 3 5 2 7 4" xfId="10323" xr:uid="{00000000-0005-0000-0000-000000240000}"/>
    <cellStyle name="Normal 3 5 2 7 5" xfId="10324" xr:uid="{00000000-0005-0000-0000-000001240000}"/>
    <cellStyle name="Normal 3 5 2 8" xfId="2695" xr:uid="{00000000-0005-0000-0000-000002240000}"/>
    <cellStyle name="Normal 3 5 2 8 2" xfId="10325" xr:uid="{00000000-0005-0000-0000-000003240000}"/>
    <cellStyle name="Normal 3 5 2 8 2 2" xfId="10326" xr:uid="{00000000-0005-0000-0000-000004240000}"/>
    <cellStyle name="Normal 3 5 2 8 3" xfId="10327" xr:uid="{00000000-0005-0000-0000-000005240000}"/>
    <cellStyle name="Normal 3 5 2 8 3 2" xfId="10328" xr:uid="{00000000-0005-0000-0000-000006240000}"/>
    <cellStyle name="Normal 3 5 2 8 4" xfId="10329" xr:uid="{00000000-0005-0000-0000-000007240000}"/>
    <cellStyle name="Normal 3 5 2 8 5" xfId="10330" xr:uid="{00000000-0005-0000-0000-000008240000}"/>
    <cellStyle name="Normal 3 5 2 9" xfId="2696" xr:uid="{00000000-0005-0000-0000-000009240000}"/>
    <cellStyle name="Normal 3 5 2 9 2" xfId="10331" xr:uid="{00000000-0005-0000-0000-00000A240000}"/>
    <cellStyle name="Normal 3 5 2 9 2 2" xfId="10332" xr:uid="{00000000-0005-0000-0000-00000B240000}"/>
    <cellStyle name="Normal 3 5 2 9 3" xfId="10333" xr:uid="{00000000-0005-0000-0000-00000C240000}"/>
    <cellStyle name="Normal 3 5 2 9 3 2" xfId="10334" xr:uid="{00000000-0005-0000-0000-00000D240000}"/>
    <cellStyle name="Normal 3 5 2 9 4" xfId="10335" xr:uid="{00000000-0005-0000-0000-00000E240000}"/>
    <cellStyle name="Normal 3 5 2 9 5" xfId="10336" xr:uid="{00000000-0005-0000-0000-00000F240000}"/>
    <cellStyle name="Normal 3 5 3" xfId="2697" xr:uid="{00000000-0005-0000-0000-000010240000}"/>
    <cellStyle name="Normal 3 5 3 2" xfId="10337" xr:uid="{00000000-0005-0000-0000-000011240000}"/>
    <cellStyle name="Normal 3 5 3 2 2" xfId="10338" xr:uid="{00000000-0005-0000-0000-000012240000}"/>
    <cellStyle name="Normal 3 5 3 3" xfId="10339" xr:uid="{00000000-0005-0000-0000-000013240000}"/>
    <cellStyle name="Normal 3 5 3 3 2" xfId="10340" xr:uid="{00000000-0005-0000-0000-000014240000}"/>
    <cellStyle name="Normal 3 5 3 4" xfId="10341" xr:uid="{00000000-0005-0000-0000-000015240000}"/>
    <cellStyle name="Normal 3 5 3 5" xfId="10342" xr:uid="{00000000-0005-0000-0000-000016240000}"/>
    <cellStyle name="Normal 3 5 4" xfId="2698" xr:uid="{00000000-0005-0000-0000-000017240000}"/>
    <cellStyle name="Normal 3 5 4 2" xfId="10343" xr:uid="{00000000-0005-0000-0000-000018240000}"/>
    <cellStyle name="Normal 3 5 4 2 2" xfId="10344" xr:uid="{00000000-0005-0000-0000-000019240000}"/>
    <cellStyle name="Normal 3 5 4 3" xfId="10345" xr:uid="{00000000-0005-0000-0000-00001A240000}"/>
    <cellStyle name="Normal 3 5 4 3 2" xfId="10346" xr:uid="{00000000-0005-0000-0000-00001B240000}"/>
    <cellStyle name="Normal 3 5 4 4" xfId="10347" xr:uid="{00000000-0005-0000-0000-00001C240000}"/>
    <cellStyle name="Normal 3 5 4 5" xfId="10348" xr:uid="{00000000-0005-0000-0000-00001D240000}"/>
    <cellStyle name="Normal 3 5 5" xfId="2699" xr:uid="{00000000-0005-0000-0000-00001E240000}"/>
    <cellStyle name="Normal 3 5 5 2" xfId="10349" xr:uid="{00000000-0005-0000-0000-00001F240000}"/>
    <cellStyle name="Normal 3 5 5 2 2" xfId="10350" xr:uid="{00000000-0005-0000-0000-000020240000}"/>
    <cellStyle name="Normal 3 5 5 3" xfId="10351" xr:uid="{00000000-0005-0000-0000-000021240000}"/>
    <cellStyle name="Normal 3 5 5 3 2" xfId="10352" xr:uid="{00000000-0005-0000-0000-000022240000}"/>
    <cellStyle name="Normal 3 5 5 4" xfId="10353" xr:uid="{00000000-0005-0000-0000-000023240000}"/>
    <cellStyle name="Normal 3 5 5 5" xfId="10354" xr:uid="{00000000-0005-0000-0000-000024240000}"/>
    <cellStyle name="Normal 3 5 6" xfId="2700" xr:uid="{00000000-0005-0000-0000-000025240000}"/>
    <cellStyle name="Normal 3 5 6 2" xfId="10355" xr:uid="{00000000-0005-0000-0000-000026240000}"/>
    <cellStyle name="Normal 3 5 6 2 2" xfId="10356" xr:uid="{00000000-0005-0000-0000-000027240000}"/>
    <cellStyle name="Normal 3 5 6 3" xfId="10357" xr:uid="{00000000-0005-0000-0000-000028240000}"/>
    <cellStyle name="Normal 3 5 6 3 2" xfId="10358" xr:uid="{00000000-0005-0000-0000-000029240000}"/>
    <cellStyle name="Normal 3 5 6 4" xfId="10359" xr:uid="{00000000-0005-0000-0000-00002A240000}"/>
    <cellStyle name="Normal 3 5 6 5" xfId="10360" xr:uid="{00000000-0005-0000-0000-00002B240000}"/>
    <cellStyle name="Normal 3 5 7" xfId="2701" xr:uid="{00000000-0005-0000-0000-00002C240000}"/>
    <cellStyle name="Normal 3 5 7 2" xfId="10361" xr:uid="{00000000-0005-0000-0000-00002D240000}"/>
    <cellStyle name="Normal 3 5 7 2 2" xfId="10362" xr:uid="{00000000-0005-0000-0000-00002E240000}"/>
    <cellStyle name="Normal 3 5 7 3" xfId="10363" xr:uid="{00000000-0005-0000-0000-00002F240000}"/>
    <cellStyle name="Normal 3 5 7 3 2" xfId="10364" xr:uid="{00000000-0005-0000-0000-000030240000}"/>
    <cellStyle name="Normal 3 5 7 4" xfId="10365" xr:uid="{00000000-0005-0000-0000-000031240000}"/>
    <cellStyle name="Normal 3 5 7 5" xfId="10366" xr:uid="{00000000-0005-0000-0000-000032240000}"/>
    <cellStyle name="Normal 3 5 8" xfId="2702" xr:uid="{00000000-0005-0000-0000-000033240000}"/>
    <cellStyle name="Normal 3 5 8 2" xfId="10367" xr:uid="{00000000-0005-0000-0000-000034240000}"/>
    <cellStyle name="Normal 3 5 8 2 2" xfId="10368" xr:uid="{00000000-0005-0000-0000-000035240000}"/>
    <cellStyle name="Normal 3 5 8 3" xfId="10369" xr:uid="{00000000-0005-0000-0000-000036240000}"/>
    <cellStyle name="Normal 3 5 8 3 2" xfId="10370" xr:uid="{00000000-0005-0000-0000-000037240000}"/>
    <cellStyle name="Normal 3 5 8 4" xfId="10371" xr:uid="{00000000-0005-0000-0000-000038240000}"/>
    <cellStyle name="Normal 3 5 8 5" xfId="10372" xr:uid="{00000000-0005-0000-0000-000039240000}"/>
    <cellStyle name="Normal 3 5 9" xfId="2703" xr:uid="{00000000-0005-0000-0000-00003A240000}"/>
    <cellStyle name="Normal 3 5 9 2" xfId="10373" xr:uid="{00000000-0005-0000-0000-00003B240000}"/>
    <cellStyle name="Normal 3 5 9 2 2" xfId="10374" xr:uid="{00000000-0005-0000-0000-00003C240000}"/>
    <cellStyle name="Normal 3 5 9 3" xfId="10375" xr:uid="{00000000-0005-0000-0000-00003D240000}"/>
    <cellStyle name="Normal 3 5 9 3 2" xfId="10376" xr:uid="{00000000-0005-0000-0000-00003E240000}"/>
    <cellStyle name="Normal 3 5 9 4" xfId="10377" xr:uid="{00000000-0005-0000-0000-00003F240000}"/>
    <cellStyle name="Normal 3 5 9 5" xfId="10378" xr:uid="{00000000-0005-0000-0000-000040240000}"/>
    <cellStyle name="Normal 3 50" xfId="2704" xr:uid="{00000000-0005-0000-0000-000041240000}"/>
    <cellStyle name="Normal 3 50 10" xfId="2705" xr:uid="{00000000-0005-0000-0000-000042240000}"/>
    <cellStyle name="Normal 3 50 10 2" xfId="10379" xr:uid="{00000000-0005-0000-0000-000043240000}"/>
    <cellStyle name="Normal 3 50 10 2 2" xfId="10380" xr:uid="{00000000-0005-0000-0000-000044240000}"/>
    <cellStyle name="Normal 3 50 10 3" xfId="10381" xr:uid="{00000000-0005-0000-0000-000045240000}"/>
    <cellStyle name="Normal 3 50 10 3 2" xfId="10382" xr:uid="{00000000-0005-0000-0000-000046240000}"/>
    <cellStyle name="Normal 3 50 10 4" xfId="10383" xr:uid="{00000000-0005-0000-0000-000047240000}"/>
    <cellStyle name="Normal 3 50 10 5" xfId="10384" xr:uid="{00000000-0005-0000-0000-000048240000}"/>
    <cellStyle name="Normal 3 50 11" xfId="2706" xr:uid="{00000000-0005-0000-0000-000049240000}"/>
    <cellStyle name="Normal 3 50 11 2" xfId="10385" xr:uid="{00000000-0005-0000-0000-00004A240000}"/>
    <cellStyle name="Normal 3 50 11 2 2" xfId="10386" xr:uid="{00000000-0005-0000-0000-00004B240000}"/>
    <cellStyle name="Normal 3 50 11 3" xfId="10387" xr:uid="{00000000-0005-0000-0000-00004C240000}"/>
    <cellStyle name="Normal 3 50 11 3 2" xfId="10388" xr:uid="{00000000-0005-0000-0000-00004D240000}"/>
    <cellStyle name="Normal 3 50 11 4" xfId="10389" xr:uid="{00000000-0005-0000-0000-00004E240000}"/>
    <cellStyle name="Normal 3 50 11 5" xfId="10390" xr:uid="{00000000-0005-0000-0000-00004F240000}"/>
    <cellStyle name="Normal 3 50 12" xfId="2707" xr:uid="{00000000-0005-0000-0000-000050240000}"/>
    <cellStyle name="Normal 3 50 12 2" xfId="10391" xr:uid="{00000000-0005-0000-0000-000051240000}"/>
    <cellStyle name="Normal 3 50 12 2 2" xfId="10392" xr:uid="{00000000-0005-0000-0000-000052240000}"/>
    <cellStyle name="Normal 3 50 12 3" xfId="10393" xr:uid="{00000000-0005-0000-0000-000053240000}"/>
    <cellStyle name="Normal 3 50 12 3 2" xfId="10394" xr:uid="{00000000-0005-0000-0000-000054240000}"/>
    <cellStyle name="Normal 3 50 12 4" xfId="10395" xr:uid="{00000000-0005-0000-0000-000055240000}"/>
    <cellStyle name="Normal 3 50 12 5" xfId="10396" xr:uid="{00000000-0005-0000-0000-000056240000}"/>
    <cellStyle name="Normal 3 50 13" xfId="2708" xr:uid="{00000000-0005-0000-0000-000057240000}"/>
    <cellStyle name="Normal 3 50 13 2" xfId="10397" xr:uid="{00000000-0005-0000-0000-000058240000}"/>
    <cellStyle name="Normal 3 50 13 2 2" xfId="10398" xr:uid="{00000000-0005-0000-0000-000059240000}"/>
    <cellStyle name="Normal 3 50 13 3" xfId="10399" xr:uid="{00000000-0005-0000-0000-00005A240000}"/>
    <cellStyle name="Normal 3 50 13 3 2" xfId="10400" xr:uid="{00000000-0005-0000-0000-00005B240000}"/>
    <cellStyle name="Normal 3 50 13 4" xfId="10401" xr:uid="{00000000-0005-0000-0000-00005C240000}"/>
    <cellStyle name="Normal 3 50 13 5" xfId="10402" xr:uid="{00000000-0005-0000-0000-00005D240000}"/>
    <cellStyle name="Normal 3 50 14" xfId="10403" xr:uid="{00000000-0005-0000-0000-00005E240000}"/>
    <cellStyle name="Normal 3 50 14 2" xfId="10404" xr:uid="{00000000-0005-0000-0000-00005F240000}"/>
    <cellStyle name="Normal 3 50 15" xfId="10405" xr:uid="{00000000-0005-0000-0000-000060240000}"/>
    <cellStyle name="Normal 3 50 15 2" xfId="10406" xr:uid="{00000000-0005-0000-0000-000061240000}"/>
    <cellStyle name="Normal 3 50 16" xfId="10407" xr:uid="{00000000-0005-0000-0000-000062240000}"/>
    <cellStyle name="Normal 3 50 17" xfId="10408" xr:uid="{00000000-0005-0000-0000-000063240000}"/>
    <cellStyle name="Normal 3 50 2" xfId="2709" xr:uid="{00000000-0005-0000-0000-000064240000}"/>
    <cellStyle name="Normal 3 50 2 10" xfId="2710" xr:uid="{00000000-0005-0000-0000-000065240000}"/>
    <cellStyle name="Normal 3 50 2 10 2" xfId="10409" xr:uid="{00000000-0005-0000-0000-000066240000}"/>
    <cellStyle name="Normal 3 50 2 10 2 2" xfId="10410" xr:uid="{00000000-0005-0000-0000-000067240000}"/>
    <cellStyle name="Normal 3 50 2 10 3" xfId="10411" xr:uid="{00000000-0005-0000-0000-000068240000}"/>
    <cellStyle name="Normal 3 50 2 10 3 2" xfId="10412" xr:uid="{00000000-0005-0000-0000-000069240000}"/>
    <cellStyle name="Normal 3 50 2 10 4" xfId="10413" xr:uid="{00000000-0005-0000-0000-00006A240000}"/>
    <cellStyle name="Normal 3 50 2 10 5" xfId="10414" xr:uid="{00000000-0005-0000-0000-00006B240000}"/>
    <cellStyle name="Normal 3 50 2 11" xfId="2711" xr:uid="{00000000-0005-0000-0000-00006C240000}"/>
    <cellStyle name="Normal 3 50 2 11 2" xfId="10415" xr:uid="{00000000-0005-0000-0000-00006D240000}"/>
    <cellStyle name="Normal 3 50 2 11 2 2" xfId="10416" xr:uid="{00000000-0005-0000-0000-00006E240000}"/>
    <cellStyle name="Normal 3 50 2 11 3" xfId="10417" xr:uid="{00000000-0005-0000-0000-00006F240000}"/>
    <cellStyle name="Normal 3 50 2 11 3 2" xfId="10418" xr:uid="{00000000-0005-0000-0000-000070240000}"/>
    <cellStyle name="Normal 3 50 2 11 4" xfId="10419" xr:uid="{00000000-0005-0000-0000-000071240000}"/>
    <cellStyle name="Normal 3 50 2 11 5" xfId="10420" xr:uid="{00000000-0005-0000-0000-000072240000}"/>
    <cellStyle name="Normal 3 50 2 12" xfId="2712" xr:uid="{00000000-0005-0000-0000-000073240000}"/>
    <cellStyle name="Normal 3 50 2 12 2" xfId="10421" xr:uid="{00000000-0005-0000-0000-000074240000}"/>
    <cellStyle name="Normal 3 50 2 12 2 2" xfId="10422" xr:uid="{00000000-0005-0000-0000-000075240000}"/>
    <cellStyle name="Normal 3 50 2 12 3" xfId="10423" xr:uid="{00000000-0005-0000-0000-000076240000}"/>
    <cellStyle name="Normal 3 50 2 12 3 2" xfId="10424" xr:uid="{00000000-0005-0000-0000-000077240000}"/>
    <cellStyle name="Normal 3 50 2 12 4" xfId="10425" xr:uid="{00000000-0005-0000-0000-000078240000}"/>
    <cellStyle name="Normal 3 50 2 12 5" xfId="10426" xr:uid="{00000000-0005-0000-0000-000079240000}"/>
    <cellStyle name="Normal 3 50 2 13" xfId="10427" xr:uid="{00000000-0005-0000-0000-00007A240000}"/>
    <cellStyle name="Normal 3 50 2 13 2" xfId="10428" xr:uid="{00000000-0005-0000-0000-00007B240000}"/>
    <cellStyle name="Normal 3 50 2 14" xfId="10429" xr:uid="{00000000-0005-0000-0000-00007C240000}"/>
    <cellStyle name="Normal 3 50 2 14 2" xfId="10430" xr:uid="{00000000-0005-0000-0000-00007D240000}"/>
    <cellStyle name="Normal 3 50 2 15" xfId="10431" xr:uid="{00000000-0005-0000-0000-00007E240000}"/>
    <cellStyle name="Normal 3 50 2 16" xfId="10432" xr:uid="{00000000-0005-0000-0000-00007F240000}"/>
    <cellStyle name="Normal 3 50 2 2" xfId="2713" xr:uid="{00000000-0005-0000-0000-000080240000}"/>
    <cellStyle name="Normal 3 50 2 2 2" xfId="10433" xr:uid="{00000000-0005-0000-0000-000081240000}"/>
    <cellStyle name="Normal 3 50 2 2 2 2" xfId="10434" xr:uid="{00000000-0005-0000-0000-000082240000}"/>
    <cellStyle name="Normal 3 50 2 2 3" xfId="10435" xr:uid="{00000000-0005-0000-0000-000083240000}"/>
    <cellStyle name="Normal 3 50 2 2 3 2" xfId="10436" xr:uid="{00000000-0005-0000-0000-000084240000}"/>
    <cellStyle name="Normal 3 50 2 2 4" xfId="10437" xr:uid="{00000000-0005-0000-0000-000085240000}"/>
    <cellStyle name="Normal 3 50 2 2 5" xfId="10438" xr:uid="{00000000-0005-0000-0000-000086240000}"/>
    <cellStyle name="Normal 3 50 2 3" xfId="2714" xr:uid="{00000000-0005-0000-0000-000087240000}"/>
    <cellStyle name="Normal 3 50 2 3 2" xfId="10439" xr:uid="{00000000-0005-0000-0000-000088240000}"/>
    <cellStyle name="Normal 3 50 2 3 2 2" xfId="10440" xr:uid="{00000000-0005-0000-0000-000089240000}"/>
    <cellStyle name="Normal 3 50 2 3 3" xfId="10441" xr:uid="{00000000-0005-0000-0000-00008A240000}"/>
    <cellStyle name="Normal 3 50 2 3 3 2" xfId="10442" xr:uid="{00000000-0005-0000-0000-00008B240000}"/>
    <cellStyle name="Normal 3 50 2 3 4" xfId="10443" xr:uid="{00000000-0005-0000-0000-00008C240000}"/>
    <cellStyle name="Normal 3 50 2 3 5" xfId="10444" xr:uid="{00000000-0005-0000-0000-00008D240000}"/>
    <cellStyle name="Normal 3 50 2 4" xfId="2715" xr:uid="{00000000-0005-0000-0000-00008E240000}"/>
    <cellStyle name="Normal 3 50 2 4 2" xfId="10445" xr:uid="{00000000-0005-0000-0000-00008F240000}"/>
    <cellStyle name="Normal 3 50 2 4 2 2" xfId="10446" xr:uid="{00000000-0005-0000-0000-000090240000}"/>
    <cellStyle name="Normal 3 50 2 4 3" xfId="10447" xr:uid="{00000000-0005-0000-0000-000091240000}"/>
    <cellStyle name="Normal 3 50 2 4 3 2" xfId="10448" xr:uid="{00000000-0005-0000-0000-000092240000}"/>
    <cellStyle name="Normal 3 50 2 4 4" xfId="10449" xr:uid="{00000000-0005-0000-0000-000093240000}"/>
    <cellStyle name="Normal 3 50 2 4 5" xfId="10450" xr:uid="{00000000-0005-0000-0000-000094240000}"/>
    <cellStyle name="Normal 3 50 2 5" xfId="2716" xr:uid="{00000000-0005-0000-0000-000095240000}"/>
    <cellStyle name="Normal 3 50 2 5 2" xfId="10451" xr:uid="{00000000-0005-0000-0000-000096240000}"/>
    <cellStyle name="Normal 3 50 2 5 2 2" xfId="10452" xr:uid="{00000000-0005-0000-0000-000097240000}"/>
    <cellStyle name="Normal 3 50 2 5 3" xfId="10453" xr:uid="{00000000-0005-0000-0000-000098240000}"/>
    <cellStyle name="Normal 3 50 2 5 3 2" xfId="10454" xr:uid="{00000000-0005-0000-0000-000099240000}"/>
    <cellStyle name="Normal 3 50 2 5 4" xfId="10455" xr:uid="{00000000-0005-0000-0000-00009A240000}"/>
    <cellStyle name="Normal 3 50 2 5 5" xfId="10456" xr:uid="{00000000-0005-0000-0000-00009B240000}"/>
    <cellStyle name="Normal 3 50 2 6" xfId="2717" xr:uid="{00000000-0005-0000-0000-00009C240000}"/>
    <cellStyle name="Normal 3 50 2 6 2" xfId="10457" xr:uid="{00000000-0005-0000-0000-00009D240000}"/>
    <cellStyle name="Normal 3 50 2 6 2 2" xfId="10458" xr:uid="{00000000-0005-0000-0000-00009E240000}"/>
    <cellStyle name="Normal 3 50 2 6 3" xfId="10459" xr:uid="{00000000-0005-0000-0000-00009F240000}"/>
    <cellStyle name="Normal 3 50 2 6 3 2" xfId="10460" xr:uid="{00000000-0005-0000-0000-0000A0240000}"/>
    <cellStyle name="Normal 3 50 2 6 4" xfId="10461" xr:uid="{00000000-0005-0000-0000-0000A1240000}"/>
    <cellStyle name="Normal 3 50 2 6 5" xfId="10462" xr:uid="{00000000-0005-0000-0000-0000A2240000}"/>
    <cellStyle name="Normal 3 50 2 7" xfId="2718" xr:uid="{00000000-0005-0000-0000-0000A3240000}"/>
    <cellStyle name="Normal 3 50 2 7 2" xfId="10463" xr:uid="{00000000-0005-0000-0000-0000A4240000}"/>
    <cellStyle name="Normal 3 50 2 7 2 2" xfId="10464" xr:uid="{00000000-0005-0000-0000-0000A5240000}"/>
    <cellStyle name="Normal 3 50 2 7 3" xfId="10465" xr:uid="{00000000-0005-0000-0000-0000A6240000}"/>
    <cellStyle name="Normal 3 50 2 7 3 2" xfId="10466" xr:uid="{00000000-0005-0000-0000-0000A7240000}"/>
    <cellStyle name="Normal 3 50 2 7 4" xfId="10467" xr:uid="{00000000-0005-0000-0000-0000A8240000}"/>
    <cellStyle name="Normal 3 50 2 7 5" xfId="10468" xr:uid="{00000000-0005-0000-0000-0000A9240000}"/>
    <cellStyle name="Normal 3 50 2 8" xfId="2719" xr:uid="{00000000-0005-0000-0000-0000AA240000}"/>
    <cellStyle name="Normal 3 50 2 8 2" xfId="10469" xr:uid="{00000000-0005-0000-0000-0000AB240000}"/>
    <cellStyle name="Normal 3 50 2 8 2 2" xfId="10470" xr:uid="{00000000-0005-0000-0000-0000AC240000}"/>
    <cellStyle name="Normal 3 50 2 8 3" xfId="10471" xr:uid="{00000000-0005-0000-0000-0000AD240000}"/>
    <cellStyle name="Normal 3 50 2 8 3 2" xfId="10472" xr:uid="{00000000-0005-0000-0000-0000AE240000}"/>
    <cellStyle name="Normal 3 50 2 8 4" xfId="10473" xr:uid="{00000000-0005-0000-0000-0000AF240000}"/>
    <cellStyle name="Normal 3 50 2 8 5" xfId="10474" xr:uid="{00000000-0005-0000-0000-0000B0240000}"/>
    <cellStyle name="Normal 3 50 2 9" xfId="2720" xr:uid="{00000000-0005-0000-0000-0000B1240000}"/>
    <cellStyle name="Normal 3 50 2 9 2" xfId="10475" xr:uid="{00000000-0005-0000-0000-0000B2240000}"/>
    <cellStyle name="Normal 3 50 2 9 2 2" xfId="10476" xr:uid="{00000000-0005-0000-0000-0000B3240000}"/>
    <cellStyle name="Normal 3 50 2 9 3" xfId="10477" xr:uid="{00000000-0005-0000-0000-0000B4240000}"/>
    <cellStyle name="Normal 3 50 2 9 3 2" xfId="10478" xr:uid="{00000000-0005-0000-0000-0000B5240000}"/>
    <cellStyle name="Normal 3 50 2 9 4" xfId="10479" xr:uid="{00000000-0005-0000-0000-0000B6240000}"/>
    <cellStyle name="Normal 3 50 2 9 5" xfId="10480" xr:uid="{00000000-0005-0000-0000-0000B7240000}"/>
    <cellStyle name="Normal 3 50 3" xfId="2721" xr:uid="{00000000-0005-0000-0000-0000B8240000}"/>
    <cellStyle name="Normal 3 50 3 2" xfId="10481" xr:uid="{00000000-0005-0000-0000-0000B9240000}"/>
    <cellStyle name="Normal 3 50 3 2 2" xfId="10482" xr:uid="{00000000-0005-0000-0000-0000BA240000}"/>
    <cellStyle name="Normal 3 50 3 3" xfId="10483" xr:uid="{00000000-0005-0000-0000-0000BB240000}"/>
    <cellStyle name="Normal 3 50 3 3 2" xfId="10484" xr:uid="{00000000-0005-0000-0000-0000BC240000}"/>
    <cellStyle name="Normal 3 50 3 4" xfId="10485" xr:uid="{00000000-0005-0000-0000-0000BD240000}"/>
    <cellStyle name="Normal 3 50 3 5" xfId="10486" xr:uid="{00000000-0005-0000-0000-0000BE240000}"/>
    <cellStyle name="Normal 3 50 4" xfId="2722" xr:uid="{00000000-0005-0000-0000-0000BF240000}"/>
    <cellStyle name="Normal 3 50 4 2" xfId="10487" xr:uid="{00000000-0005-0000-0000-0000C0240000}"/>
    <cellStyle name="Normal 3 50 4 2 2" xfId="10488" xr:uid="{00000000-0005-0000-0000-0000C1240000}"/>
    <cellStyle name="Normal 3 50 4 3" xfId="10489" xr:uid="{00000000-0005-0000-0000-0000C2240000}"/>
    <cellStyle name="Normal 3 50 4 3 2" xfId="10490" xr:uid="{00000000-0005-0000-0000-0000C3240000}"/>
    <cellStyle name="Normal 3 50 4 4" xfId="10491" xr:uid="{00000000-0005-0000-0000-0000C4240000}"/>
    <cellStyle name="Normal 3 50 4 5" xfId="10492" xr:uid="{00000000-0005-0000-0000-0000C5240000}"/>
    <cellStyle name="Normal 3 50 5" xfId="2723" xr:uid="{00000000-0005-0000-0000-0000C6240000}"/>
    <cellStyle name="Normal 3 50 5 2" xfId="10493" xr:uid="{00000000-0005-0000-0000-0000C7240000}"/>
    <cellStyle name="Normal 3 50 5 2 2" xfId="10494" xr:uid="{00000000-0005-0000-0000-0000C8240000}"/>
    <cellStyle name="Normal 3 50 5 3" xfId="10495" xr:uid="{00000000-0005-0000-0000-0000C9240000}"/>
    <cellStyle name="Normal 3 50 5 3 2" xfId="10496" xr:uid="{00000000-0005-0000-0000-0000CA240000}"/>
    <cellStyle name="Normal 3 50 5 4" xfId="10497" xr:uid="{00000000-0005-0000-0000-0000CB240000}"/>
    <cellStyle name="Normal 3 50 5 5" xfId="10498" xr:uid="{00000000-0005-0000-0000-0000CC240000}"/>
    <cellStyle name="Normal 3 50 6" xfId="2724" xr:uid="{00000000-0005-0000-0000-0000CD240000}"/>
    <cellStyle name="Normal 3 50 6 2" xfId="10499" xr:uid="{00000000-0005-0000-0000-0000CE240000}"/>
    <cellStyle name="Normal 3 50 6 2 2" xfId="10500" xr:uid="{00000000-0005-0000-0000-0000CF240000}"/>
    <cellStyle name="Normal 3 50 6 3" xfId="10501" xr:uid="{00000000-0005-0000-0000-0000D0240000}"/>
    <cellStyle name="Normal 3 50 6 3 2" xfId="10502" xr:uid="{00000000-0005-0000-0000-0000D1240000}"/>
    <cellStyle name="Normal 3 50 6 4" xfId="10503" xr:uid="{00000000-0005-0000-0000-0000D2240000}"/>
    <cellStyle name="Normal 3 50 6 5" xfId="10504" xr:uid="{00000000-0005-0000-0000-0000D3240000}"/>
    <cellStyle name="Normal 3 50 7" xfId="2725" xr:uid="{00000000-0005-0000-0000-0000D4240000}"/>
    <cellStyle name="Normal 3 50 7 2" xfId="10505" xr:uid="{00000000-0005-0000-0000-0000D5240000}"/>
    <cellStyle name="Normal 3 50 7 2 2" xfId="10506" xr:uid="{00000000-0005-0000-0000-0000D6240000}"/>
    <cellStyle name="Normal 3 50 7 3" xfId="10507" xr:uid="{00000000-0005-0000-0000-0000D7240000}"/>
    <cellStyle name="Normal 3 50 7 3 2" xfId="10508" xr:uid="{00000000-0005-0000-0000-0000D8240000}"/>
    <cellStyle name="Normal 3 50 7 4" xfId="10509" xr:uid="{00000000-0005-0000-0000-0000D9240000}"/>
    <cellStyle name="Normal 3 50 7 5" xfId="10510" xr:uid="{00000000-0005-0000-0000-0000DA240000}"/>
    <cellStyle name="Normal 3 50 8" xfId="2726" xr:uid="{00000000-0005-0000-0000-0000DB240000}"/>
    <cellStyle name="Normal 3 50 8 2" xfId="10511" xr:uid="{00000000-0005-0000-0000-0000DC240000}"/>
    <cellStyle name="Normal 3 50 8 2 2" xfId="10512" xr:uid="{00000000-0005-0000-0000-0000DD240000}"/>
    <cellStyle name="Normal 3 50 8 3" xfId="10513" xr:uid="{00000000-0005-0000-0000-0000DE240000}"/>
    <cellStyle name="Normal 3 50 8 3 2" xfId="10514" xr:uid="{00000000-0005-0000-0000-0000DF240000}"/>
    <cellStyle name="Normal 3 50 8 4" xfId="10515" xr:uid="{00000000-0005-0000-0000-0000E0240000}"/>
    <cellStyle name="Normal 3 50 8 5" xfId="10516" xr:uid="{00000000-0005-0000-0000-0000E1240000}"/>
    <cellStyle name="Normal 3 50 9" xfId="2727" xr:uid="{00000000-0005-0000-0000-0000E2240000}"/>
    <cellStyle name="Normal 3 50 9 2" xfId="10517" xr:uid="{00000000-0005-0000-0000-0000E3240000}"/>
    <cellStyle name="Normal 3 50 9 2 2" xfId="10518" xr:uid="{00000000-0005-0000-0000-0000E4240000}"/>
    <cellStyle name="Normal 3 50 9 3" xfId="10519" xr:uid="{00000000-0005-0000-0000-0000E5240000}"/>
    <cellStyle name="Normal 3 50 9 3 2" xfId="10520" xr:uid="{00000000-0005-0000-0000-0000E6240000}"/>
    <cellStyle name="Normal 3 50 9 4" xfId="10521" xr:uid="{00000000-0005-0000-0000-0000E7240000}"/>
    <cellStyle name="Normal 3 50 9 5" xfId="10522" xr:uid="{00000000-0005-0000-0000-0000E8240000}"/>
    <cellStyle name="Normal 3 51" xfId="2728" xr:uid="{00000000-0005-0000-0000-0000E9240000}"/>
    <cellStyle name="Normal 3 51 10" xfId="2729" xr:uid="{00000000-0005-0000-0000-0000EA240000}"/>
    <cellStyle name="Normal 3 51 10 2" xfId="10523" xr:uid="{00000000-0005-0000-0000-0000EB240000}"/>
    <cellStyle name="Normal 3 51 10 2 2" xfId="10524" xr:uid="{00000000-0005-0000-0000-0000EC240000}"/>
    <cellStyle name="Normal 3 51 10 3" xfId="10525" xr:uid="{00000000-0005-0000-0000-0000ED240000}"/>
    <cellStyle name="Normal 3 51 10 3 2" xfId="10526" xr:uid="{00000000-0005-0000-0000-0000EE240000}"/>
    <cellStyle name="Normal 3 51 10 4" xfId="10527" xr:uid="{00000000-0005-0000-0000-0000EF240000}"/>
    <cellStyle name="Normal 3 51 10 5" xfId="10528" xr:uid="{00000000-0005-0000-0000-0000F0240000}"/>
    <cellStyle name="Normal 3 51 11" xfId="2730" xr:uid="{00000000-0005-0000-0000-0000F1240000}"/>
    <cellStyle name="Normal 3 51 11 2" xfId="10529" xr:uid="{00000000-0005-0000-0000-0000F2240000}"/>
    <cellStyle name="Normal 3 51 11 2 2" xfId="10530" xr:uid="{00000000-0005-0000-0000-0000F3240000}"/>
    <cellStyle name="Normal 3 51 11 3" xfId="10531" xr:uid="{00000000-0005-0000-0000-0000F4240000}"/>
    <cellStyle name="Normal 3 51 11 3 2" xfId="10532" xr:uid="{00000000-0005-0000-0000-0000F5240000}"/>
    <cellStyle name="Normal 3 51 11 4" xfId="10533" xr:uid="{00000000-0005-0000-0000-0000F6240000}"/>
    <cellStyle name="Normal 3 51 11 5" xfId="10534" xr:uid="{00000000-0005-0000-0000-0000F7240000}"/>
    <cellStyle name="Normal 3 51 12" xfId="2731" xr:uid="{00000000-0005-0000-0000-0000F8240000}"/>
    <cellStyle name="Normal 3 51 12 2" xfId="10535" xr:uid="{00000000-0005-0000-0000-0000F9240000}"/>
    <cellStyle name="Normal 3 51 12 2 2" xfId="10536" xr:uid="{00000000-0005-0000-0000-0000FA240000}"/>
    <cellStyle name="Normal 3 51 12 3" xfId="10537" xr:uid="{00000000-0005-0000-0000-0000FB240000}"/>
    <cellStyle name="Normal 3 51 12 3 2" xfId="10538" xr:uid="{00000000-0005-0000-0000-0000FC240000}"/>
    <cellStyle name="Normal 3 51 12 4" xfId="10539" xr:uid="{00000000-0005-0000-0000-0000FD240000}"/>
    <cellStyle name="Normal 3 51 12 5" xfId="10540" xr:uid="{00000000-0005-0000-0000-0000FE240000}"/>
    <cellStyle name="Normal 3 51 13" xfId="2732" xr:uid="{00000000-0005-0000-0000-0000FF240000}"/>
    <cellStyle name="Normal 3 51 13 2" xfId="10541" xr:uid="{00000000-0005-0000-0000-000000250000}"/>
    <cellStyle name="Normal 3 51 13 2 2" xfId="10542" xr:uid="{00000000-0005-0000-0000-000001250000}"/>
    <cellStyle name="Normal 3 51 13 3" xfId="10543" xr:uid="{00000000-0005-0000-0000-000002250000}"/>
    <cellStyle name="Normal 3 51 13 3 2" xfId="10544" xr:uid="{00000000-0005-0000-0000-000003250000}"/>
    <cellStyle name="Normal 3 51 13 4" xfId="10545" xr:uid="{00000000-0005-0000-0000-000004250000}"/>
    <cellStyle name="Normal 3 51 13 5" xfId="10546" xr:uid="{00000000-0005-0000-0000-000005250000}"/>
    <cellStyle name="Normal 3 51 14" xfId="10547" xr:uid="{00000000-0005-0000-0000-000006250000}"/>
    <cellStyle name="Normal 3 51 14 2" xfId="10548" xr:uid="{00000000-0005-0000-0000-000007250000}"/>
    <cellStyle name="Normal 3 51 15" xfId="10549" xr:uid="{00000000-0005-0000-0000-000008250000}"/>
    <cellStyle name="Normal 3 51 15 2" xfId="10550" xr:uid="{00000000-0005-0000-0000-000009250000}"/>
    <cellStyle name="Normal 3 51 16" xfId="10551" xr:uid="{00000000-0005-0000-0000-00000A250000}"/>
    <cellStyle name="Normal 3 51 17" xfId="10552" xr:uid="{00000000-0005-0000-0000-00000B250000}"/>
    <cellStyle name="Normal 3 51 2" xfId="2733" xr:uid="{00000000-0005-0000-0000-00000C250000}"/>
    <cellStyle name="Normal 3 51 2 10" xfId="2734" xr:uid="{00000000-0005-0000-0000-00000D250000}"/>
    <cellStyle name="Normal 3 51 2 10 2" xfId="10553" xr:uid="{00000000-0005-0000-0000-00000E250000}"/>
    <cellStyle name="Normal 3 51 2 10 2 2" xfId="10554" xr:uid="{00000000-0005-0000-0000-00000F250000}"/>
    <cellStyle name="Normal 3 51 2 10 3" xfId="10555" xr:uid="{00000000-0005-0000-0000-000010250000}"/>
    <cellStyle name="Normal 3 51 2 10 3 2" xfId="10556" xr:uid="{00000000-0005-0000-0000-000011250000}"/>
    <cellStyle name="Normal 3 51 2 10 4" xfId="10557" xr:uid="{00000000-0005-0000-0000-000012250000}"/>
    <cellStyle name="Normal 3 51 2 10 5" xfId="10558" xr:uid="{00000000-0005-0000-0000-000013250000}"/>
    <cellStyle name="Normal 3 51 2 11" xfId="2735" xr:uid="{00000000-0005-0000-0000-000014250000}"/>
    <cellStyle name="Normal 3 51 2 11 2" xfId="10559" xr:uid="{00000000-0005-0000-0000-000015250000}"/>
    <cellStyle name="Normal 3 51 2 11 2 2" xfId="10560" xr:uid="{00000000-0005-0000-0000-000016250000}"/>
    <cellStyle name="Normal 3 51 2 11 3" xfId="10561" xr:uid="{00000000-0005-0000-0000-000017250000}"/>
    <cellStyle name="Normal 3 51 2 11 3 2" xfId="10562" xr:uid="{00000000-0005-0000-0000-000018250000}"/>
    <cellStyle name="Normal 3 51 2 11 4" xfId="10563" xr:uid="{00000000-0005-0000-0000-000019250000}"/>
    <cellStyle name="Normal 3 51 2 11 5" xfId="10564" xr:uid="{00000000-0005-0000-0000-00001A250000}"/>
    <cellStyle name="Normal 3 51 2 12" xfId="2736" xr:uid="{00000000-0005-0000-0000-00001B250000}"/>
    <cellStyle name="Normal 3 51 2 12 2" xfId="10565" xr:uid="{00000000-0005-0000-0000-00001C250000}"/>
    <cellStyle name="Normal 3 51 2 12 2 2" xfId="10566" xr:uid="{00000000-0005-0000-0000-00001D250000}"/>
    <cellStyle name="Normal 3 51 2 12 3" xfId="10567" xr:uid="{00000000-0005-0000-0000-00001E250000}"/>
    <cellStyle name="Normal 3 51 2 12 3 2" xfId="10568" xr:uid="{00000000-0005-0000-0000-00001F250000}"/>
    <cellStyle name="Normal 3 51 2 12 4" xfId="10569" xr:uid="{00000000-0005-0000-0000-000020250000}"/>
    <cellStyle name="Normal 3 51 2 12 5" xfId="10570" xr:uid="{00000000-0005-0000-0000-000021250000}"/>
    <cellStyle name="Normal 3 51 2 13" xfId="10571" xr:uid="{00000000-0005-0000-0000-000022250000}"/>
    <cellStyle name="Normal 3 51 2 13 2" xfId="10572" xr:uid="{00000000-0005-0000-0000-000023250000}"/>
    <cellStyle name="Normal 3 51 2 14" xfId="10573" xr:uid="{00000000-0005-0000-0000-000024250000}"/>
    <cellStyle name="Normal 3 51 2 14 2" xfId="10574" xr:uid="{00000000-0005-0000-0000-000025250000}"/>
    <cellStyle name="Normal 3 51 2 15" xfId="10575" xr:uid="{00000000-0005-0000-0000-000026250000}"/>
    <cellStyle name="Normal 3 51 2 16" xfId="10576" xr:uid="{00000000-0005-0000-0000-000027250000}"/>
    <cellStyle name="Normal 3 51 2 2" xfId="2737" xr:uid="{00000000-0005-0000-0000-000028250000}"/>
    <cellStyle name="Normal 3 51 2 2 2" xfId="10577" xr:uid="{00000000-0005-0000-0000-000029250000}"/>
    <cellStyle name="Normal 3 51 2 2 2 2" xfId="10578" xr:uid="{00000000-0005-0000-0000-00002A250000}"/>
    <cellStyle name="Normal 3 51 2 2 3" xfId="10579" xr:uid="{00000000-0005-0000-0000-00002B250000}"/>
    <cellStyle name="Normal 3 51 2 2 3 2" xfId="10580" xr:uid="{00000000-0005-0000-0000-00002C250000}"/>
    <cellStyle name="Normal 3 51 2 2 4" xfId="10581" xr:uid="{00000000-0005-0000-0000-00002D250000}"/>
    <cellStyle name="Normal 3 51 2 2 5" xfId="10582" xr:uid="{00000000-0005-0000-0000-00002E250000}"/>
    <cellStyle name="Normal 3 51 2 3" xfId="2738" xr:uid="{00000000-0005-0000-0000-00002F250000}"/>
    <cellStyle name="Normal 3 51 2 3 2" xfId="10583" xr:uid="{00000000-0005-0000-0000-000030250000}"/>
    <cellStyle name="Normal 3 51 2 3 2 2" xfId="10584" xr:uid="{00000000-0005-0000-0000-000031250000}"/>
    <cellStyle name="Normal 3 51 2 3 3" xfId="10585" xr:uid="{00000000-0005-0000-0000-000032250000}"/>
    <cellStyle name="Normal 3 51 2 3 3 2" xfId="10586" xr:uid="{00000000-0005-0000-0000-000033250000}"/>
    <cellStyle name="Normal 3 51 2 3 4" xfId="10587" xr:uid="{00000000-0005-0000-0000-000034250000}"/>
    <cellStyle name="Normal 3 51 2 3 5" xfId="10588" xr:uid="{00000000-0005-0000-0000-000035250000}"/>
    <cellStyle name="Normal 3 51 2 4" xfId="2739" xr:uid="{00000000-0005-0000-0000-000036250000}"/>
    <cellStyle name="Normal 3 51 2 4 2" xfId="10589" xr:uid="{00000000-0005-0000-0000-000037250000}"/>
    <cellStyle name="Normal 3 51 2 4 2 2" xfId="10590" xr:uid="{00000000-0005-0000-0000-000038250000}"/>
    <cellStyle name="Normal 3 51 2 4 3" xfId="10591" xr:uid="{00000000-0005-0000-0000-000039250000}"/>
    <cellStyle name="Normal 3 51 2 4 3 2" xfId="10592" xr:uid="{00000000-0005-0000-0000-00003A250000}"/>
    <cellStyle name="Normal 3 51 2 4 4" xfId="10593" xr:uid="{00000000-0005-0000-0000-00003B250000}"/>
    <cellStyle name="Normal 3 51 2 4 5" xfId="10594" xr:uid="{00000000-0005-0000-0000-00003C250000}"/>
    <cellStyle name="Normal 3 51 2 5" xfId="2740" xr:uid="{00000000-0005-0000-0000-00003D250000}"/>
    <cellStyle name="Normal 3 51 2 5 2" xfId="10595" xr:uid="{00000000-0005-0000-0000-00003E250000}"/>
    <cellStyle name="Normal 3 51 2 5 2 2" xfId="10596" xr:uid="{00000000-0005-0000-0000-00003F250000}"/>
    <cellStyle name="Normal 3 51 2 5 3" xfId="10597" xr:uid="{00000000-0005-0000-0000-000040250000}"/>
    <cellStyle name="Normal 3 51 2 5 3 2" xfId="10598" xr:uid="{00000000-0005-0000-0000-000041250000}"/>
    <cellStyle name="Normal 3 51 2 5 4" xfId="10599" xr:uid="{00000000-0005-0000-0000-000042250000}"/>
    <cellStyle name="Normal 3 51 2 5 5" xfId="10600" xr:uid="{00000000-0005-0000-0000-000043250000}"/>
    <cellStyle name="Normal 3 51 2 6" xfId="2741" xr:uid="{00000000-0005-0000-0000-000044250000}"/>
    <cellStyle name="Normal 3 51 2 6 2" xfId="10601" xr:uid="{00000000-0005-0000-0000-000045250000}"/>
    <cellStyle name="Normal 3 51 2 6 2 2" xfId="10602" xr:uid="{00000000-0005-0000-0000-000046250000}"/>
    <cellStyle name="Normal 3 51 2 6 3" xfId="10603" xr:uid="{00000000-0005-0000-0000-000047250000}"/>
    <cellStyle name="Normal 3 51 2 6 3 2" xfId="10604" xr:uid="{00000000-0005-0000-0000-000048250000}"/>
    <cellStyle name="Normal 3 51 2 6 4" xfId="10605" xr:uid="{00000000-0005-0000-0000-000049250000}"/>
    <cellStyle name="Normal 3 51 2 6 5" xfId="10606" xr:uid="{00000000-0005-0000-0000-00004A250000}"/>
    <cellStyle name="Normal 3 51 2 7" xfId="2742" xr:uid="{00000000-0005-0000-0000-00004B250000}"/>
    <cellStyle name="Normal 3 51 2 7 2" xfId="10607" xr:uid="{00000000-0005-0000-0000-00004C250000}"/>
    <cellStyle name="Normal 3 51 2 7 2 2" xfId="10608" xr:uid="{00000000-0005-0000-0000-00004D250000}"/>
    <cellStyle name="Normal 3 51 2 7 3" xfId="10609" xr:uid="{00000000-0005-0000-0000-00004E250000}"/>
    <cellStyle name="Normal 3 51 2 7 3 2" xfId="10610" xr:uid="{00000000-0005-0000-0000-00004F250000}"/>
    <cellStyle name="Normal 3 51 2 7 4" xfId="10611" xr:uid="{00000000-0005-0000-0000-000050250000}"/>
    <cellStyle name="Normal 3 51 2 7 5" xfId="10612" xr:uid="{00000000-0005-0000-0000-000051250000}"/>
    <cellStyle name="Normal 3 51 2 8" xfId="2743" xr:uid="{00000000-0005-0000-0000-000052250000}"/>
    <cellStyle name="Normal 3 51 2 8 2" xfId="10613" xr:uid="{00000000-0005-0000-0000-000053250000}"/>
    <cellStyle name="Normal 3 51 2 8 2 2" xfId="10614" xr:uid="{00000000-0005-0000-0000-000054250000}"/>
    <cellStyle name="Normal 3 51 2 8 3" xfId="10615" xr:uid="{00000000-0005-0000-0000-000055250000}"/>
    <cellStyle name="Normal 3 51 2 8 3 2" xfId="10616" xr:uid="{00000000-0005-0000-0000-000056250000}"/>
    <cellStyle name="Normal 3 51 2 8 4" xfId="10617" xr:uid="{00000000-0005-0000-0000-000057250000}"/>
    <cellStyle name="Normal 3 51 2 8 5" xfId="10618" xr:uid="{00000000-0005-0000-0000-000058250000}"/>
    <cellStyle name="Normal 3 51 2 9" xfId="2744" xr:uid="{00000000-0005-0000-0000-000059250000}"/>
    <cellStyle name="Normal 3 51 2 9 2" xfId="10619" xr:uid="{00000000-0005-0000-0000-00005A250000}"/>
    <cellStyle name="Normal 3 51 2 9 2 2" xfId="10620" xr:uid="{00000000-0005-0000-0000-00005B250000}"/>
    <cellStyle name="Normal 3 51 2 9 3" xfId="10621" xr:uid="{00000000-0005-0000-0000-00005C250000}"/>
    <cellStyle name="Normal 3 51 2 9 3 2" xfId="10622" xr:uid="{00000000-0005-0000-0000-00005D250000}"/>
    <cellStyle name="Normal 3 51 2 9 4" xfId="10623" xr:uid="{00000000-0005-0000-0000-00005E250000}"/>
    <cellStyle name="Normal 3 51 2 9 5" xfId="10624" xr:uid="{00000000-0005-0000-0000-00005F250000}"/>
    <cellStyle name="Normal 3 51 3" xfId="2745" xr:uid="{00000000-0005-0000-0000-000060250000}"/>
    <cellStyle name="Normal 3 51 3 2" xfId="10625" xr:uid="{00000000-0005-0000-0000-000061250000}"/>
    <cellStyle name="Normal 3 51 3 2 2" xfId="10626" xr:uid="{00000000-0005-0000-0000-000062250000}"/>
    <cellStyle name="Normal 3 51 3 3" xfId="10627" xr:uid="{00000000-0005-0000-0000-000063250000}"/>
    <cellStyle name="Normal 3 51 3 3 2" xfId="10628" xr:uid="{00000000-0005-0000-0000-000064250000}"/>
    <cellStyle name="Normal 3 51 3 4" xfId="10629" xr:uid="{00000000-0005-0000-0000-000065250000}"/>
    <cellStyle name="Normal 3 51 3 5" xfId="10630" xr:uid="{00000000-0005-0000-0000-000066250000}"/>
    <cellStyle name="Normal 3 51 4" xfId="2746" xr:uid="{00000000-0005-0000-0000-000067250000}"/>
    <cellStyle name="Normal 3 51 4 2" xfId="10631" xr:uid="{00000000-0005-0000-0000-000068250000}"/>
    <cellStyle name="Normal 3 51 4 2 2" xfId="10632" xr:uid="{00000000-0005-0000-0000-000069250000}"/>
    <cellStyle name="Normal 3 51 4 3" xfId="10633" xr:uid="{00000000-0005-0000-0000-00006A250000}"/>
    <cellStyle name="Normal 3 51 4 3 2" xfId="10634" xr:uid="{00000000-0005-0000-0000-00006B250000}"/>
    <cellStyle name="Normal 3 51 4 4" xfId="10635" xr:uid="{00000000-0005-0000-0000-00006C250000}"/>
    <cellStyle name="Normal 3 51 4 5" xfId="10636" xr:uid="{00000000-0005-0000-0000-00006D250000}"/>
    <cellStyle name="Normal 3 51 5" xfId="2747" xr:uid="{00000000-0005-0000-0000-00006E250000}"/>
    <cellStyle name="Normal 3 51 5 2" xfId="10637" xr:uid="{00000000-0005-0000-0000-00006F250000}"/>
    <cellStyle name="Normal 3 51 5 2 2" xfId="10638" xr:uid="{00000000-0005-0000-0000-000070250000}"/>
    <cellStyle name="Normal 3 51 5 3" xfId="10639" xr:uid="{00000000-0005-0000-0000-000071250000}"/>
    <cellStyle name="Normal 3 51 5 3 2" xfId="10640" xr:uid="{00000000-0005-0000-0000-000072250000}"/>
    <cellStyle name="Normal 3 51 5 4" xfId="10641" xr:uid="{00000000-0005-0000-0000-000073250000}"/>
    <cellStyle name="Normal 3 51 5 5" xfId="10642" xr:uid="{00000000-0005-0000-0000-000074250000}"/>
    <cellStyle name="Normal 3 51 6" xfId="2748" xr:uid="{00000000-0005-0000-0000-000075250000}"/>
    <cellStyle name="Normal 3 51 6 2" xfId="10643" xr:uid="{00000000-0005-0000-0000-000076250000}"/>
    <cellStyle name="Normal 3 51 6 2 2" xfId="10644" xr:uid="{00000000-0005-0000-0000-000077250000}"/>
    <cellStyle name="Normal 3 51 6 3" xfId="10645" xr:uid="{00000000-0005-0000-0000-000078250000}"/>
    <cellStyle name="Normal 3 51 6 3 2" xfId="10646" xr:uid="{00000000-0005-0000-0000-000079250000}"/>
    <cellStyle name="Normal 3 51 6 4" xfId="10647" xr:uid="{00000000-0005-0000-0000-00007A250000}"/>
    <cellStyle name="Normal 3 51 6 5" xfId="10648" xr:uid="{00000000-0005-0000-0000-00007B250000}"/>
    <cellStyle name="Normal 3 51 7" xfId="2749" xr:uid="{00000000-0005-0000-0000-00007C250000}"/>
    <cellStyle name="Normal 3 51 7 2" xfId="10649" xr:uid="{00000000-0005-0000-0000-00007D250000}"/>
    <cellStyle name="Normal 3 51 7 2 2" xfId="10650" xr:uid="{00000000-0005-0000-0000-00007E250000}"/>
    <cellStyle name="Normal 3 51 7 3" xfId="10651" xr:uid="{00000000-0005-0000-0000-00007F250000}"/>
    <cellStyle name="Normal 3 51 7 3 2" xfId="10652" xr:uid="{00000000-0005-0000-0000-000080250000}"/>
    <cellStyle name="Normal 3 51 7 4" xfId="10653" xr:uid="{00000000-0005-0000-0000-000081250000}"/>
    <cellStyle name="Normal 3 51 7 5" xfId="10654" xr:uid="{00000000-0005-0000-0000-000082250000}"/>
    <cellStyle name="Normal 3 51 8" xfId="2750" xr:uid="{00000000-0005-0000-0000-000083250000}"/>
    <cellStyle name="Normal 3 51 8 2" xfId="10655" xr:uid="{00000000-0005-0000-0000-000084250000}"/>
    <cellStyle name="Normal 3 51 8 2 2" xfId="10656" xr:uid="{00000000-0005-0000-0000-000085250000}"/>
    <cellStyle name="Normal 3 51 8 3" xfId="10657" xr:uid="{00000000-0005-0000-0000-000086250000}"/>
    <cellStyle name="Normal 3 51 8 3 2" xfId="10658" xr:uid="{00000000-0005-0000-0000-000087250000}"/>
    <cellStyle name="Normal 3 51 8 4" xfId="10659" xr:uid="{00000000-0005-0000-0000-000088250000}"/>
    <cellStyle name="Normal 3 51 8 5" xfId="10660" xr:uid="{00000000-0005-0000-0000-000089250000}"/>
    <cellStyle name="Normal 3 51 9" xfId="2751" xr:uid="{00000000-0005-0000-0000-00008A250000}"/>
    <cellStyle name="Normal 3 51 9 2" xfId="10661" xr:uid="{00000000-0005-0000-0000-00008B250000}"/>
    <cellStyle name="Normal 3 51 9 2 2" xfId="10662" xr:uid="{00000000-0005-0000-0000-00008C250000}"/>
    <cellStyle name="Normal 3 51 9 3" xfId="10663" xr:uid="{00000000-0005-0000-0000-00008D250000}"/>
    <cellStyle name="Normal 3 51 9 3 2" xfId="10664" xr:uid="{00000000-0005-0000-0000-00008E250000}"/>
    <cellStyle name="Normal 3 51 9 4" xfId="10665" xr:uid="{00000000-0005-0000-0000-00008F250000}"/>
    <cellStyle name="Normal 3 51 9 5" xfId="10666" xr:uid="{00000000-0005-0000-0000-000090250000}"/>
    <cellStyle name="Normal 3 52" xfId="2752" xr:uid="{00000000-0005-0000-0000-000091250000}"/>
    <cellStyle name="Normal 3 52 10" xfId="2753" xr:uid="{00000000-0005-0000-0000-000092250000}"/>
    <cellStyle name="Normal 3 52 10 2" xfId="10667" xr:uid="{00000000-0005-0000-0000-000093250000}"/>
    <cellStyle name="Normal 3 52 10 2 2" xfId="10668" xr:uid="{00000000-0005-0000-0000-000094250000}"/>
    <cellStyle name="Normal 3 52 10 3" xfId="10669" xr:uid="{00000000-0005-0000-0000-000095250000}"/>
    <cellStyle name="Normal 3 52 10 3 2" xfId="10670" xr:uid="{00000000-0005-0000-0000-000096250000}"/>
    <cellStyle name="Normal 3 52 10 4" xfId="10671" xr:uid="{00000000-0005-0000-0000-000097250000}"/>
    <cellStyle name="Normal 3 52 10 5" xfId="10672" xr:uid="{00000000-0005-0000-0000-000098250000}"/>
    <cellStyle name="Normal 3 52 11" xfId="2754" xr:uid="{00000000-0005-0000-0000-000099250000}"/>
    <cellStyle name="Normal 3 52 11 2" xfId="10673" xr:uid="{00000000-0005-0000-0000-00009A250000}"/>
    <cellStyle name="Normal 3 52 11 2 2" xfId="10674" xr:uid="{00000000-0005-0000-0000-00009B250000}"/>
    <cellStyle name="Normal 3 52 11 3" xfId="10675" xr:uid="{00000000-0005-0000-0000-00009C250000}"/>
    <cellStyle name="Normal 3 52 11 3 2" xfId="10676" xr:uid="{00000000-0005-0000-0000-00009D250000}"/>
    <cellStyle name="Normal 3 52 11 4" xfId="10677" xr:uid="{00000000-0005-0000-0000-00009E250000}"/>
    <cellStyle name="Normal 3 52 11 5" xfId="10678" xr:uid="{00000000-0005-0000-0000-00009F250000}"/>
    <cellStyle name="Normal 3 52 12" xfId="2755" xr:uid="{00000000-0005-0000-0000-0000A0250000}"/>
    <cellStyle name="Normal 3 52 12 2" xfId="10679" xr:uid="{00000000-0005-0000-0000-0000A1250000}"/>
    <cellStyle name="Normal 3 52 12 2 2" xfId="10680" xr:uid="{00000000-0005-0000-0000-0000A2250000}"/>
    <cellStyle name="Normal 3 52 12 3" xfId="10681" xr:uid="{00000000-0005-0000-0000-0000A3250000}"/>
    <cellStyle name="Normal 3 52 12 3 2" xfId="10682" xr:uid="{00000000-0005-0000-0000-0000A4250000}"/>
    <cellStyle name="Normal 3 52 12 4" xfId="10683" xr:uid="{00000000-0005-0000-0000-0000A5250000}"/>
    <cellStyle name="Normal 3 52 12 5" xfId="10684" xr:uid="{00000000-0005-0000-0000-0000A6250000}"/>
    <cellStyle name="Normal 3 52 13" xfId="2756" xr:uid="{00000000-0005-0000-0000-0000A7250000}"/>
    <cellStyle name="Normal 3 52 13 2" xfId="10685" xr:uid="{00000000-0005-0000-0000-0000A8250000}"/>
    <cellStyle name="Normal 3 52 13 2 2" xfId="10686" xr:uid="{00000000-0005-0000-0000-0000A9250000}"/>
    <cellStyle name="Normal 3 52 13 3" xfId="10687" xr:uid="{00000000-0005-0000-0000-0000AA250000}"/>
    <cellStyle name="Normal 3 52 13 3 2" xfId="10688" xr:uid="{00000000-0005-0000-0000-0000AB250000}"/>
    <cellStyle name="Normal 3 52 13 4" xfId="10689" xr:uid="{00000000-0005-0000-0000-0000AC250000}"/>
    <cellStyle name="Normal 3 52 13 5" xfId="10690" xr:uid="{00000000-0005-0000-0000-0000AD250000}"/>
    <cellStyle name="Normal 3 52 14" xfId="10691" xr:uid="{00000000-0005-0000-0000-0000AE250000}"/>
    <cellStyle name="Normal 3 52 14 2" xfId="10692" xr:uid="{00000000-0005-0000-0000-0000AF250000}"/>
    <cellStyle name="Normal 3 52 15" xfId="10693" xr:uid="{00000000-0005-0000-0000-0000B0250000}"/>
    <cellStyle name="Normal 3 52 15 2" xfId="10694" xr:uid="{00000000-0005-0000-0000-0000B1250000}"/>
    <cellStyle name="Normal 3 52 16" xfId="10695" xr:uid="{00000000-0005-0000-0000-0000B2250000}"/>
    <cellStyle name="Normal 3 52 17" xfId="10696" xr:uid="{00000000-0005-0000-0000-0000B3250000}"/>
    <cellStyle name="Normal 3 52 2" xfId="2757" xr:uid="{00000000-0005-0000-0000-0000B4250000}"/>
    <cellStyle name="Normal 3 52 2 10" xfId="2758" xr:uid="{00000000-0005-0000-0000-0000B5250000}"/>
    <cellStyle name="Normal 3 52 2 10 2" xfId="10697" xr:uid="{00000000-0005-0000-0000-0000B6250000}"/>
    <cellStyle name="Normal 3 52 2 10 2 2" xfId="10698" xr:uid="{00000000-0005-0000-0000-0000B7250000}"/>
    <cellStyle name="Normal 3 52 2 10 3" xfId="10699" xr:uid="{00000000-0005-0000-0000-0000B8250000}"/>
    <cellStyle name="Normal 3 52 2 10 3 2" xfId="10700" xr:uid="{00000000-0005-0000-0000-0000B9250000}"/>
    <cellStyle name="Normal 3 52 2 10 4" xfId="10701" xr:uid="{00000000-0005-0000-0000-0000BA250000}"/>
    <cellStyle name="Normal 3 52 2 10 5" xfId="10702" xr:uid="{00000000-0005-0000-0000-0000BB250000}"/>
    <cellStyle name="Normal 3 52 2 11" xfId="2759" xr:uid="{00000000-0005-0000-0000-0000BC250000}"/>
    <cellStyle name="Normal 3 52 2 11 2" xfId="10703" xr:uid="{00000000-0005-0000-0000-0000BD250000}"/>
    <cellStyle name="Normal 3 52 2 11 2 2" xfId="10704" xr:uid="{00000000-0005-0000-0000-0000BE250000}"/>
    <cellStyle name="Normal 3 52 2 11 3" xfId="10705" xr:uid="{00000000-0005-0000-0000-0000BF250000}"/>
    <cellStyle name="Normal 3 52 2 11 3 2" xfId="10706" xr:uid="{00000000-0005-0000-0000-0000C0250000}"/>
    <cellStyle name="Normal 3 52 2 11 4" xfId="10707" xr:uid="{00000000-0005-0000-0000-0000C1250000}"/>
    <cellStyle name="Normal 3 52 2 11 5" xfId="10708" xr:uid="{00000000-0005-0000-0000-0000C2250000}"/>
    <cellStyle name="Normal 3 52 2 12" xfId="2760" xr:uid="{00000000-0005-0000-0000-0000C3250000}"/>
    <cellStyle name="Normal 3 52 2 12 2" xfId="10709" xr:uid="{00000000-0005-0000-0000-0000C4250000}"/>
    <cellStyle name="Normal 3 52 2 12 2 2" xfId="10710" xr:uid="{00000000-0005-0000-0000-0000C5250000}"/>
    <cellStyle name="Normal 3 52 2 12 3" xfId="10711" xr:uid="{00000000-0005-0000-0000-0000C6250000}"/>
    <cellStyle name="Normal 3 52 2 12 3 2" xfId="10712" xr:uid="{00000000-0005-0000-0000-0000C7250000}"/>
    <cellStyle name="Normal 3 52 2 12 4" xfId="10713" xr:uid="{00000000-0005-0000-0000-0000C8250000}"/>
    <cellStyle name="Normal 3 52 2 12 5" xfId="10714" xr:uid="{00000000-0005-0000-0000-0000C9250000}"/>
    <cellStyle name="Normal 3 52 2 13" xfId="10715" xr:uid="{00000000-0005-0000-0000-0000CA250000}"/>
    <cellStyle name="Normal 3 52 2 13 2" xfId="10716" xr:uid="{00000000-0005-0000-0000-0000CB250000}"/>
    <cellStyle name="Normal 3 52 2 14" xfId="10717" xr:uid="{00000000-0005-0000-0000-0000CC250000}"/>
    <cellStyle name="Normal 3 52 2 14 2" xfId="10718" xr:uid="{00000000-0005-0000-0000-0000CD250000}"/>
    <cellStyle name="Normal 3 52 2 15" xfId="10719" xr:uid="{00000000-0005-0000-0000-0000CE250000}"/>
    <cellStyle name="Normal 3 52 2 16" xfId="10720" xr:uid="{00000000-0005-0000-0000-0000CF250000}"/>
    <cellStyle name="Normal 3 52 2 2" xfId="2761" xr:uid="{00000000-0005-0000-0000-0000D0250000}"/>
    <cellStyle name="Normal 3 52 2 2 2" xfId="10721" xr:uid="{00000000-0005-0000-0000-0000D1250000}"/>
    <cellStyle name="Normal 3 52 2 2 2 2" xfId="10722" xr:uid="{00000000-0005-0000-0000-0000D2250000}"/>
    <cellStyle name="Normal 3 52 2 2 3" xfId="10723" xr:uid="{00000000-0005-0000-0000-0000D3250000}"/>
    <cellStyle name="Normal 3 52 2 2 3 2" xfId="10724" xr:uid="{00000000-0005-0000-0000-0000D4250000}"/>
    <cellStyle name="Normal 3 52 2 2 4" xfId="10725" xr:uid="{00000000-0005-0000-0000-0000D5250000}"/>
    <cellStyle name="Normal 3 52 2 2 5" xfId="10726" xr:uid="{00000000-0005-0000-0000-0000D6250000}"/>
    <cellStyle name="Normal 3 52 2 3" xfId="2762" xr:uid="{00000000-0005-0000-0000-0000D7250000}"/>
    <cellStyle name="Normal 3 52 2 3 2" xfId="10727" xr:uid="{00000000-0005-0000-0000-0000D8250000}"/>
    <cellStyle name="Normal 3 52 2 3 2 2" xfId="10728" xr:uid="{00000000-0005-0000-0000-0000D9250000}"/>
    <cellStyle name="Normal 3 52 2 3 3" xfId="10729" xr:uid="{00000000-0005-0000-0000-0000DA250000}"/>
    <cellStyle name="Normal 3 52 2 3 3 2" xfId="10730" xr:uid="{00000000-0005-0000-0000-0000DB250000}"/>
    <cellStyle name="Normal 3 52 2 3 4" xfId="10731" xr:uid="{00000000-0005-0000-0000-0000DC250000}"/>
    <cellStyle name="Normal 3 52 2 3 5" xfId="10732" xr:uid="{00000000-0005-0000-0000-0000DD250000}"/>
    <cellStyle name="Normal 3 52 2 4" xfId="2763" xr:uid="{00000000-0005-0000-0000-0000DE250000}"/>
    <cellStyle name="Normal 3 52 2 4 2" xfId="10733" xr:uid="{00000000-0005-0000-0000-0000DF250000}"/>
    <cellStyle name="Normal 3 52 2 4 2 2" xfId="10734" xr:uid="{00000000-0005-0000-0000-0000E0250000}"/>
    <cellStyle name="Normal 3 52 2 4 3" xfId="10735" xr:uid="{00000000-0005-0000-0000-0000E1250000}"/>
    <cellStyle name="Normal 3 52 2 4 3 2" xfId="10736" xr:uid="{00000000-0005-0000-0000-0000E2250000}"/>
    <cellStyle name="Normal 3 52 2 4 4" xfId="10737" xr:uid="{00000000-0005-0000-0000-0000E3250000}"/>
    <cellStyle name="Normal 3 52 2 4 5" xfId="10738" xr:uid="{00000000-0005-0000-0000-0000E4250000}"/>
    <cellStyle name="Normal 3 52 2 5" xfId="2764" xr:uid="{00000000-0005-0000-0000-0000E5250000}"/>
    <cellStyle name="Normal 3 52 2 5 2" xfId="10739" xr:uid="{00000000-0005-0000-0000-0000E6250000}"/>
    <cellStyle name="Normal 3 52 2 5 2 2" xfId="10740" xr:uid="{00000000-0005-0000-0000-0000E7250000}"/>
    <cellStyle name="Normal 3 52 2 5 3" xfId="10741" xr:uid="{00000000-0005-0000-0000-0000E8250000}"/>
    <cellStyle name="Normal 3 52 2 5 3 2" xfId="10742" xr:uid="{00000000-0005-0000-0000-0000E9250000}"/>
    <cellStyle name="Normal 3 52 2 5 4" xfId="10743" xr:uid="{00000000-0005-0000-0000-0000EA250000}"/>
    <cellStyle name="Normal 3 52 2 5 5" xfId="10744" xr:uid="{00000000-0005-0000-0000-0000EB250000}"/>
    <cellStyle name="Normal 3 52 2 6" xfId="2765" xr:uid="{00000000-0005-0000-0000-0000EC250000}"/>
    <cellStyle name="Normal 3 52 2 6 2" xfId="10745" xr:uid="{00000000-0005-0000-0000-0000ED250000}"/>
    <cellStyle name="Normal 3 52 2 6 2 2" xfId="10746" xr:uid="{00000000-0005-0000-0000-0000EE250000}"/>
    <cellStyle name="Normal 3 52 2 6 3" xfId="10747" xr:uid="{00000000-0005-0000-0000-0000EF250000}"/>
    <cellStyle name="Normal 3 52 2 6 3 2" xfId="10748" xr:uid="{00000000-0005-0000-0000-0000F0250000}"/>
    <cellStyle name="Normal 3 52 2 6 4" xfId="10749" xr:uid="{00000000-0005-0000-0000-0000F1250000}"/>
    <cellStyle name="Normal 3 52 2 6 5" xfId="10750" xr:uid="{00000000-0005-0000-0000-0000F2250000}"/>
    <cellStyle name="Normal 3 52 2 7" xfId="2766" xr:uid="{00000000-0005-0000-0000-0000F3250000}"/>
    <cellStyle name="Normal 3 52 2 7 2" xfId="10751" xr:uid="{00000000-0005-0000-0000-0000F4250000}"/>
    <cellStyle name="Normal 3 52 2 7 2 2" xfId="10752" xr:uid="{00000000-0005-0000-0000-0000F5250000}"/>
    <cellStyle name="Normal 3 52 2 7 3" xfId="10753" xr:uid="{00000000-0005-0000-0000-0000F6250000}"/>
    <cellStyle name="Normal 3 52 2 7 3 2" xfId="10754" xr:uid="{00000000-0005-0000-0000-0000F7250000}"/>
    <cellStyle name="Normal 3 52 2 7 4" xfId="10755" xr:uid="{00000000-0005-0000-0000-0000F8250000}"/>
    <cellStyle name="Normal 3 52 2 7 5" xfId="10756" xr:uid="{00000000-0005-0000-0000-0000F9250000}"/>
    <cellStyle name="Normal 3 52 2 8" xfId="2767" xr:uid="{00000000-0005-0000-0000-0000FA250000}"/>
    <cellStyle name="Normal 3 52 2 8 2" xfId="10757" xr:uid="{00000000-0005-0000-0000-0000FB250000}"/>
    <cellStyle name="Normal 3 52 2 8 2 2" xfId="10758" xr:uid="{00000000-0005-0000-0000-0000FC250000}"/>
    <cellStyle name="Normal 3 52 2 8 3" xfId="10759" xr:uid="{00000000-0005-0000-0000-0000FD250000}"/>
    <cellStyle name="Normal 3 52 2 8 3 2" xfId="10760" xr:uid="{00000000-0005-0000-0000-0000FE250000}"/>
    <cellStyle name="Normal 3 52 2 8 4" xfId="10761" xr:uid="{00000000-0005-0000-0000-0000FF250000}"/>
    <cellStyle name="Normal 3 52 2 8 5" xfId="10762" xr:uid="{00000000-0005-0000-0000-000000260000}"/>
    <cellStyle name="Normal 3 52 2 9" xfId="2768" xr:uid="{00000000-0005-0000-0000-000001260000}"/>
    <cellStyle name="Normal 3 52 2 9 2" xfId="10763" xr:uid="{00000000-0005-0000-0000-000002260000}"/>
    <cellStyle name="Normal 3 52 2 9 2 2" xfId="10764" xr:uid="{00000000-0005-0000-0000-000003260000}"/>
    <cellStyle name="Normal 3 52 2 9 3" xfId="10765" xr:uid="{00000000-0005-0000-0000-000004260000}"/>
    <cellStyle name="Normal 3 52 2 9 3 2" xfId="10766" xr:uid="{00000000-0005-0000-0000-000005260000}"/>
    <cellStyle name="Normal 3 52 2 9 4" xfId="10767" xr:uid="{00000000-0005-0000-0000-000006260000}"/>
    <cellStyle name="Normal 3 52 2 9 5" xfId="10768" xr:uid="{00000000-0005-0000-0000-000007260000}"/>
    <cellStyle name="Normal 3 52 3" xfId="2769" xr:uid="{00000000-0005-0000-0000-000008260000}"/>
    <cellStyle name="Normal 3 52 3 2" xfId="10769" xr:uid="{00000000-0005-0000-0000-000009260000}"/>
    <cellStyle name="Normal 3 52 3 2 2" xfId="10770" xr:uid="{00000000-0005-0000-0000-00000A260000}"/>
    <cellStyle name="Normal 3 52 3 3" xfId="10771" xr:uid="{00000000-0005-0000-0000-00000B260000}"/>
    <cellStyle name="Normal 3 52 3 3 2" xfId="10772" xr:uid="{00000000-0005-0000-0000-00000C260000}"/>
    <cellStyle name="Normal 3 52 3 4" xfId="10773" xr:uid="{00000000-0005-0000-0000-00000D260000}"/>
    <cellStyle name="Normal 3 52 3 5" xfId="10774" xr:uid="{00000000-0005-0000-0000-00000E260000}"/>
    <cellStyle name="Normal 3 52 4" xfId="2770" xr:uid="{00000000-0005-0000-0000-00000F260000}"/>
    <cellStyle name="Normal 3 52 4 2" xfId="10775" xr:uid="{00000000-0005-0000-0000-000010260000}"/>
    <cellStyle name="Normal 3 52 4 2 2" xfId="10776" xr:uid="{00000000-0005-0000-0000-000011260000}"/>
    <cellStyle name="Normal 3 52 4 3" xfId="10777" xr:uid="{00000000-0005-0000-0000-000012260000}"/>
    <cellStyle name="Normal 3 52 4 3 2" xfId="10778" xr:uid="{00000000-0005-0000-0000-000013260000}"/>
    <cellStyle name="Normal 3 52 4 4" xfId="10779" xr:uid="{00000000-0005-0000-0000-000014260000}"/>
    <cellStyle name="Normal 3 52 4 5" xfId="10780" xr:uid="{00000000-0005-0000-0000-000015260000}"/>
    <cellStyle name="Normal 3 52 5" xfId="2771" xr:uid="{00000000-0005-0000-0000-000016260000}"/>
    <cellStyle name="Normal 3 52 5 2" xfId="10781" xr:uid="{00000000-0005-0000-0000-000017260000}"/>
    <cellStyle name="Normal 3 52 5 2 2" xfId="10782" xr:uid="{00000000-0005-0000-0000-000018260000}"/>
    <cellStyle name="Normal 3 52 5 3" xfId="10783" xr:uid="{00000000-0005-0000-0000-000019260000}"/>
    <cellStyle name="Normal 3 52 5 3 2" xfId="10784" xr:uid="{00000000-0005-0000-0000-00001A260000}"/>
    <cellStyle name="Normal 3 52 5 4" xfId="10785" xr:uid="{00000000-0005-0000-0000-00001B260000}"/>
    <cellStyle name="Normal 3 52 5 5" xfId="10786" xr:uid="{00000000-0005-0000-0000-00001C260000}"/>
    <cellStyle name="Normal 3 52 6" xfId="2772" xr:uid="{00000000-0005-0000-0000-00001D260000}"/>
    <cellStyle name="Normal 3 52 6 2" xfId="10787" xr:uid="{00000000-0005-0000-0000-00001E260000}"/>
    <cellStyle name="Normal 3 52 6 2 2" xfId="10788" xr:uid="{00000000-0005-0000-0000-00001F260000}"/>
    <cellStyle name="Normal 3 52 6 3" xfId="10789" xr:uid="{00000000-0005-0000-0000-000020260000}"/>
    <cellStyle name="Normal 3 52 6 3 2" xfId="10790" xr:uid="{00000000-0005-0000-0000-000021260000}"/>
    <cellStyle name="Normal 3 52 6 4" xfId="10791" xr:uid="{00000000-0005-0000-0000-000022260000}"/>
    <cellStyle name="Normal 3 52 6 5" xfId="10792" xr:uid="{00000000-0005-0000-0000-000023260000}"/>
    <cellStyle name="Normal 3 52 7" xfId="2773" xr:uid="{00000000-0005-0000-0000-000024260000}"/>
    <cellStyle name="Normal 3 52 7 2" xfId="10793" xr:uid="{00000000-0005-0000-0000-000025260000}"/>
    <cellStyle name="Normal 3 52 7 2 2" xfId="10794" xr:uid="{00000000-0005-0000-0000-000026260000}"/>
    <cellStyle name="Normal 3 52 7 3" xfId="10795" xr:uid="{00000000-0005-0000-0000-000027260000}"/>
    <cellStyle name="Normal 3 52 7 3 2" xfId="10796" xr:uid="{00000000-0005-0000-0000-000028260000}"/>
    <cellStyle name="Normal 3 52 7 4" xfId="10797" xr:uid="{00000000-0005-0000-0000-000029260000}"/>
    <cellStyle name="Normal 3 52 7 5" xfId="10798" xr:uid="{00000000-0005-0000-0000-00002A260000}"/>
    <cellStyle name="Normal 3 52 8" xfId="2774" xr:uid="{00000000-0005-0000-0000-00002B260000}"/>
    <cellStyle name="Normal 3 52 8 2" xfId="10799" xr:uid="{00000000-0005-0000-0000-00002C260000}"/>
    <cellStyle name="Normal 3 52 8 2 2" xfId="10800" xr:uid="{00000000-0005-0000-0000-00002D260000}"/>
    <cellStyle name="Normal 3 52 8 3" xfId="10801" xr:uid="{00000000-0005-0000-0000-00002E260000}"/>
    <cellStyle name="Normal 3 52 8 3 2" xfId="10802" xr:uid="{00000000-0005-0000-0000-00002F260000}"/>
    <cellStyle name="Normal 3 52 8 4" xfId="10803" xr:uid="{00000000-0005-0000-0000-000030260000}"/>
    <cellStyle name="Normal 3 52 8 5" xfId="10804" xr:uid="{00000000-0005-0000-0000-000031260000}"/>
    <cellStyle name="Normal 3 52 9" xfId="2775" xr:uid="{00000000-0005-0000-0000-000032260000}"/>
    <cellStyle name="Normal 3 52 9 2" xfId="10805" xr:uid="{00000000-0005-0000-0000-000033260000}"/>
    <cellStyle name="Normal 3 52 9 2 2" xfId="10806" xr:uid="{00000000-0005-0000-0000-000034260000}"/>
    <cellStyle name="Normal 3 52 9 3" xfId="10807" xr:uid="{00000000-0005-0000-0000-000035260000}"/>
    <cellStyle name="Normal 3 52 9 3 2" xfId="10808" xr:uid="{00000000-0005-0000-0000-000036260000}"/>
    <cellStyle name="Normal 3 52 9 4" xfId="10809" xr:uid="{00000000-0005-0000-0000-000037260000}"/>
    <cellStyle name="Normal 3 52 9 5" xfId="10810" xr:uid="{00000000-0005-0000-0000-000038260000}"/>
    <cellStyle name="Normal 3 53" xfId="2776" xr:uid="{00000000-0005-0000-0000-000039260000}"/>
    <cellStyle name="Normal 3 53 10" xfId="2777" xr:uid="{00000000-0005-0000-0000-00003A260000}"/>
    <cellStyle name="Normal 3 53 10 2" xfId="10811" xr:uid="{00000000-0005-0000-0000-00003B260000}"/>
    <cellStyle name="Normal 3 53 10 2 2" xfId="10812" xr:uid="{00000000-0005-0000-0000-00003C260000}"/>
    <cellStyle name="Normal 3 53 10 3" xfId="10813" xr:uid="{00000000-0005-0000-0000-00003D260000}"/>
    <cellStyle name="Normal 3 53 10 3 2" xfId="10814" xr:uid="{00000000-0005-0000-0000-00003E260000}"/>
    <cellStyle name="Normal 3 53 10 4" xfId="10815" xr:uid="{00000000-0005-0000-0000-00003F260000}"/>
    <cellStyle name="Normal 3 53 10 5" xfId="10816" xr:uid="{00000000-0005-0000-0000-000040260000}"/>
    <cellStyle name="Normal 3 53 11" xfId="2778" xr:uid="{00000000-0005-0000-0000-000041260000}"/>
    <cellStyle name="Normal 3 53 11 2" xfId="10817" xr:uid="{00000000-0005-0000-0000-000042260000}"/>
    <cellStyle name="Normal 3 53 11 2 2" xfId="10818" xr:uid="{00000000-0005-0000-0000-000043260000}"/>
    <cellStyle name="Normal 3 53 11 3" xfId="10819" xr:uid="{00000000-0005-0000-0000-000044260000}"/>
    <cellStyle name="Normal 3 53 11 3 2" xfId="10820" xr:uid="{00000000-0005-0000-0000-000045260000}"/>
    <cellStyle name="Normal 3 53 11 4" xfId="10821" xr:uid="{00000000-0005-0000-0000-000046260000}"/>
    <cellStyle name="Normal 3 53 11 5" xfId="10822" xr:uid="{00000000-0005-0000-0000-000047260000}"/>
    <cellStyle name="Normal 3 53 12" xfId="2779" xr:uid="{00000000-0005-0000-0000-000048260000}"/>
    <cellStyle name="Normal 3 53 12 2" xfId="10823" xr:uid="{00000000-0005-0000-0000-000049260000}"/>
    <cellStyle name="Normal 3 53 12 2 2" xfId="10824" xr:uid="{00000000-0005-0000-0000-00004A260000}"/>
    <cellStyle name="Normal 3 53 12 3" xfId="10825" xr:uid="{00000000-0005-0000-0000-00004B260000}"/>
    <cellStyle name="Normal 3 53 12 3 2" xfId="10826" xr:uid="{00000000-0005-0000-0000-00004C260000}"/>
    <cellStyle name="Normal 3 53 12 4" xfId="10827" xr:uid="{00000000-0005-0000-0000-00004D260000}"/>
    <cellStyle name="Normal 3 53 12 5" xfId="10828" xr:uid="{00000000-0005-0000-0000-00004E260000}"/>
    <cellStyle name="Normal 3 53 13" xfId="2780" xr:uid="{00000000-0005-0000-0000-00004F260000}"/>
    <cellStyle name="Normal 3 53 13 2" xfId="10829" xr:uid="{00000000-0005-0000-0000-000050260000}"/>
    <cellStyle name="Normal 3 53 13 2 2" xfId="10830" xr:uid="{00000000-0005-0000-0000-000051260000}"/>
    <cellStyle name="Normal 3 53 13 3" xfId="10831" xr:uid="{00000000-0005-0000-0000-000052260000}"/>
    <cellStyle name="Normal 3 53 13 3 2" xfId="10832" xr:uid="{00000000-0005-0000-0000-000053260000}"/>
    <cellStyle name="Normal 3 53 13 4" xfId="10833" xr:uid="{00000000-0005-0000-0000-000054260000}"/>
    <cellStyle name="Normal 3 53 13 5" xfId="10834" xr:uid="{00000000-0005-0000-0000-000055260000}"/>
    <cellStyle name="Normal 3 53 14" xfId="10835" xr:uid="{00000000-0005-0000-0000-000056260000}"/>
    <cellStyle name="Normal 3 53 14 2" xfId="10836" xr:uid="{00000000-0005-0000-0000-000057260000}"/>
    <cellStyle name="Normal 3 53 15" xfId="10837" xr:uid="{00000000-0005-0000-0000-000058260000}"/>
    <cellStyle name="Normal 3 53 15 2" xfId="10838" xr:uid="{00000000-0005-0000-0000-000059260000}"/>
    <cellStyle name="Normal 3 53 16" xfId="10839" xr:uid="{00000000-0005-0000-0000-00005A260000}"/>
    <cellStyle name="Normal 3 53 17" xfId="10840" xr:uid="{00000000-0005-0000-0000-00005B260000}"/>
    <cellStyle name="Normal 3 53 2" xfId="2781" xr:uid="{00000000-0005-0000-0000-00005C260000}"/>
    <cellStyle name="Normal 3 53 2 10" xfId="2782" xr:uid="{00000000-0005-0000-0000-00005D260000}"/>
    <cellStyle name="Normal 3 53 2 10 2" xfId="10841" xr:uid="{00000000-0005-0000-0000-00005E260000}"/>
    <cellStyle name="Normal 3 53 2 10 2 2" xfId="10842" xr:uid="{00000000-0005-0000-0000-00005F260000}"/>
    <cellStyle name="Normal 3 53 2 10 3" xfId="10843" xr:uid="{00000000-0005-0000-0000-000060260000}"/>
    <cellStyle name="Normal 3 53 2 10 3 2" xfId="10844" xr:uid="{00000000-0005-0000-0000-000061260000}"/>
    <cellStyle name="Normal 3 53 2 10 4" xfId="10845" xr:uid="{00000000-0005-0000-0000-000062260000}"/>
    <cellStyle name="Normal 3 53 2 10 5" xfId="10846" xr:uid="{00000000-0005-0000-0000-000063260000}"/>
    <cellStyle name="Normal 3 53 2 11" xfId="2783" xr:uid="{00000000-0005-0000-0000-000064260000}"/>
    <cellStyle name="Normal 3 53 2 11 2" xfId="10847" xr:uid="{00000000-0005-0000-0000-000065260000}"/>
    <cellStyle name="Normal 3 53 2 11 2 2" xfId="10848" xr:uid="{00000000-0005-0000-0000-000066260000}"/>
    <cellStyle name="Normal 3 53 2 11 3" xfId="10849" xr:uid="{00000000-0005-0000-0000-000067260000}"/>
    <cellStyle name="Normal 3 53 2 11 3 2" xfId="10850" xr:uid="{00000000-0005-0000-0000-000068260000}"/>
    <cellStyle name="Normal 3 53 2 11 4" xfId="10851" xr:uid="{00000000-0005-0000-0000-000069260000}"/>
    <cellStyle name="Normal 3 53 2 11 5" xfId="10852" xr:uid="{00000000-0005-0000-0000-00006A260000}"/>
    <cellStyle name="Normal 3 53 2 12" xfId="2784" xr:uid="{00000000-0005-0000-0000-00006B260000}"/>
    <cellStyle name="Normal 3 53 2 12 2" xfId="10853" xr:uid="{00000000-0005-0000-0000-00006C260000}"/>
    <cellStyle name="Normal 3 53 2 12 2 2" xfId="10854" xr:uid="{00000000-0005-0000-0000-00006D260000}"/>
    <cellStyle name="Normal 3 53 2 12 3" xfId="10855" xr:uid="{00000000-0005-0000-0000-00006E260000}"/>
    <cellStyle name="Normal 3 53 2 12 3 2" xfId="10856" xr:uid="{00000000-0005-0000-0000-00006F260000}"/>
    <cellStyle name="Normal 3 53 2 12 4" xfId="10857" xr:uid="{00000000-0005-0000-0000-000070260000}"/>
    <cellStyle name="Normal 3 53 2 12 5" xfId="10858" xr:uid="{00000000-0005-0000-0000-000071260000}"/>
    <cellStyle name="Normal 3 53 2 13" xfId="10859" xr:uid="{00000000-0005-0000-0000-000072260000}"/>
    <cellStyle name="Normal 3 53 2 13 2" xfId="10860" xr:uid="{00000000-0005-0000-0000-000073260000}"/>
    <cellStyle name="Normal 3 53 2 14" xfId="10861" xr:uid="{00000000-0005-0000-0000-000074260000}"/>
    <cellStyle name="Normal 3 53 2 14 2" xfId="10862" xr:uid="{00000000-0005-0000-0000-000075260000}"/>
    <cellStyle name="Normal 3 53 2 15" xfId="10863" xr:uid="{00000000-0005-0000-0000-000076260000}"/>
    <cellStyle name="Normal 3 53 2 16" xfId="10864" xr:uid="{00000000-0005-0000-0000-000077260000}"/>
    <cellStyle name="Normal 3 53 2 2" xfId="2785" xr:uid="{00000000-0005-0000-0000-000078260000}"/>
    <cellStyle name="Normal 3 53 2 2 2" xfId="10865" xr:uid="{00000000-0005-0000-0000-000079260000}"/>
    <cellStyle name="Normal 3 53 2 2 2 2" xfId="10866" xr:uid="{00000000-0005-0000-0000-00007A260000}"/>
    <cellStyle name="Normal 3 53 2 2 3" xfId="10867" xr:uid="{00000000-0005-0000-0000-00007B260000}"/>
    <cellStyle name="Normal 3 53 2 2 3 2" xfId="10868" xr:uid="{00000000-0005-0000-0000-00007C260000}"/>
    <cellStyle name="Normal 3 53 2 2 4" xfId="10869" xr:uid="{00000000-0005-0000-0000-00007D260000}"/>
    <cellStyle name="Normal 3 53 2 2 5" xfId="10870" xr:uid="{00000000-0005-0000-0000-00007E260000}"/>
    <cellStyle name="Normal 3 53 2 3" xfId="2786" xr:uid="{00000000-0005-0000-0000-00007F260000}"/>
    <cellStyle name="Normal 3 53 2 3 2" xfId="10871" xr:uid="{00000000-0005-0000-0000-000080260000}"/>
    <cellStyle name="Normal 3 53 2 3 2 2" xfId="10872" xr:uid="{00000000-0005-0000-0000-000081260000}"/>
    <cellStyle name="Normal 3 53 2 3 3" xfId="10873" xr:uid="{00000000-0005-0000-0000-000082260000}"/>
    <cellStyle name="Normal 3 53 2 3 3 2" xfId="10874" xr:uid="{00000000-0005-0000-0000-000083260000}"/>
    <cellStyle name="Normal 3 53 2 3 4" xfId="10875" xr:uid="{00000000-0005-0000-0000-000084260000}"/>
    <cellStyle name="Normal 3 53 2 3 5" xfId="10876" xr:uid="{00000000-0005-0000-0000-000085260000}"/>
    <cellStyle name="Normal 3 53 2 4" xfId="2787" xr:uid="{00000000-0005-0000-0000-000086260000}"/>
    <cellStyle name="Normal 3 53 2 4 2" xfId="10877" xr:uid="{00000000-0005-0000-0000-000087260000}"/>
    <cellStyle name="Normal 3 53 2 4 2 2" xfId="10878" xr:uid="{00000000-0005-0000-0000-000088260000}"/>
    <cellStyle name="Normal 3 53 2 4 3" xfId="10879" xr:uid="{00000000-0005-0000-0000-000089260000}"/>
    <cellStyle name="Normal 3 53 2 4 3 2" xfId="10880" xr:uid="{00000000-0005-0000-0000-00008A260000}"/>
    <cellStyle name="Normal 3 53 2 4 4" xfId="10881" xr:uid="{00000000-0005-0000-0000-00008B260000}"/>
    <cellStyle name="Normal 3 53 2 4 5" xfId="10882" xr:uid="{00000000-0005-0000-0000-00008C260000}"/>
    <cellStyle name="Normal 3 53 2 5" xfId="2788" xr:uid="{00000000-0005-0000-0000-00008D260000}"/>
    <cellStyle name="Normal 3 53 2 5 2" xfId="10883" xr:uid="{00000000-0005-0000-0000-00008E260000}"/>
    <cellStyle name="Normal 3 53 2 5 2 2" xfId="10884" xr:uid="{00000000-0005-0000-0000-00008F260000}"/>
    <cellStyle name="Normal 3 53 2 5 3" xfId="10885" xr:uid="{00000000-0005-0000-0000-000090260000}"/>
    <cellStyle name="Normal 3 53 2 5 3 2" xfId="10886" xr:uid="{00000000-0005-0000-0000-000091260000}"/>
    <cellStyle name="Normal 3 53 2 5 4" xfId="10887" xr:uid="{00000000-0005-0000-0000-000092260000}"/>
    <cellStyle name="Normal 3 53 2 5 5" xfId="10888" xr:uid="{00000000-0005-0000-0000-000093260000}"/>
    <cellStyle name="Normal 3 53 2 6" xfId="2789" xr:uid="{00000000-0005-0000-0000-000094260000}"/>
    <cellStyle name="Normal 3 53 2 6 2" xfId="10889" xr:uid="{00000000-0005-0000-0000-000095260000}"/>
    <cellStyle name="Normal 3 53 2 6 2 2" xfId="10890" xr:uid="{00000000-0005-0000-0000-000096260000}"/>
    <cellStyle name="Normal 3 53 2 6 3" xfId="10891" xr:uid="{00000000-0005-0000-0000-000097260000}"/>
    <cellStyle name="Normal 3 53 2 6 3 2" xfId="10892" xr:uid="{00000000-0005-0000-0000-000098260000}"/>
    <cellStyle name="Normal 3 53 2 6 4" xfId="10893" xr:uid="{00000000-0005-0000-0000-000099260000}"/>
    <cellStyle name="Normal 3 53 2 6 5" xfId="10894" xr:uid="{00000000-0005-0000-0000-00009A260000}"/>
    <cellStyle name="Normal 3 53 2 7" xfId="2790" xr:uid="{00000000-0005-0000-0000-00009B260000}"/>
    <cellStyle name="Normal 3 53 2 7 2" xfId="10895" xr:uid="{00000000-0005-0000-0000-00009C260000}"/>
    <cellStyle name="Normal 3 53 2 7 2 2" xfId="10896" xr:uid="{00000000-0005-0000-0000-00009D260000}"/>
    <cellStyle name="Normal 3 53 2 7 3" xfId="10897" xr:uid="{00000000-0005-0000-0000-00009E260000}"/>
    <cellStyle name="Normal 3 53 2 7 3 2" xfId="10898" xr:uid="{00000000-0005-0000-0000-00009F260000}"/>
    <cellStyle name="Normal 3 53 2 7 4" xfId="10899" xr:uid="{00000000-0005-0000-0000-0000A0260000}"/>
    <cellStyle name="Normal 3 53 2 7 5" xfId="10900" xr:uid="{00000000-0005-0000-0000-0000A1260000}"/>
    <cellStyle name="Normal 3 53 2 8" xfId="2791" xr:uid="{00000000-0005-0000-0000-0000A2260000}"/>
    <cellStyle name="Normal 3 53 2 8 2" xfId="10901" xr:uid="{00000000-0005-0000-0000-0000A3260000}"/>
    <cellStyle name="Normal 3 53 2 8 2 2" xfId="10902" xr:uid="{00000000-0005-0000-0000-0000A4260000}"/>
    <cellStyle name="Normal 3 53 2 8 3" xfId="10903" xr:uid="{00000000-0005-0000-0000-0000A5260000}"/>
    <cellStyle name="Normal 3 53 2 8 3 2" xfId="10904" xr:uid="{00000000-0005-0000-0000-0000A6260000}"/>
    <cellStyle name="Normal 3 53 2 8 4" xfId="10905" xr:uid="{00000000-0005-0000-0000-0000A7260000}"/>
    <cellStyle name="Normal 3 53 2 8 5" xfId="10906" xr:uid="{00000000-0005-0000-0000-0000A8260000}"/>
    <cellStyle name="Normal 3 53 2 9" xfId="2792" xr:uid="{00000000-0005-0000-0000-0000A9260000}"/>
    <cellStyle name="Normal 3 53 2 9 2" xfId="10907" xr:uid="{00000000-0005-0000-0000-0000AA260000}"/>
    <cellStyle name="Normal 3 53 2 9 2 2" xfId="10908" xr:uid="{00000000-0005-0000-0000-0000AB260000}"/>
    <cellStyle name="Normal 3 53 2 9 3" xfId="10909" xr:uid="{00000000-0005-0000-0000-0000AC260000}"/>
    <cellStyle name="Normal 3 53 2 9 3 2" xfId="10910" xr:uid="{00000000-0005-0000-0000-0000AD260000}"/>
    <cellStyle name="Normal 3 53 2 9 4" xfId="10911" xr:uid="{00000000-0005-0000-0000-0000AE260000}"/>
    <cellStyle name="Normal 3 53 2 9 5" xfId="10912" xr:uid="{00000000-0005-0000-0000-0000AF260000}"/>
    <cellStyle name="Normal 3 53 3" xfId="2793" xr:uid="{00000000-0005-0000-0000-0000B0260000}"/>
    <cellStyle name="Normal 3 53 3 2" xfId="10913" xr:uid="{00000000-0005-0000-0000-0000B1260000}"/>
    <cellStyle name="Normal 3 53 3 2 2" xfId="10914" xr:uid="{00000000-0005-0000-0000-0000B2260000}"/>
    <cellStyle name="Normal 3 53 3 3" xfId="10915" xr:uid="{00000000-0005-0000-0000-0000B3260000}"/>
    <cellStyle name="Normal 3 53 3 3 2" xfId="10916" xr:uid="{00000000-0005-0000-0000-0000B4260000}"/>
    <cellStyle name="Normal 3 53 3 4" xfId="10917" xr:uid="{00000000-0005-0000-0000-0000B5260000}"/>
    <cellStyle name="Normal 3 53 3 5" xfId="10918" xr:uid="{00000000-0005-0000-0000-0000B6260000}"/>
    <cellStyle name="Normal 3 53 4" xfId="2794" xr:uid="{00000000-0005-0000-0000-0000B7260000}"/>
    <cellStyle name="Normal 3 53 4 2" xfId="10919" xr:uid="{00000000-0005-0000-0000-0000B8260000}"/>
    <cellStyle name="Normal 3 53 4 2 2" xfId="10920" xr:uid="{00000000-0005-0000-0000-0000B9260000}"/>
    <cellStyle name="Normal 3 53 4 3" xfId="10921" xr:uid="{00000000-0005-0000-0000-0000BA260000}"/>
    <cellStyle name="Normal 3 53 4 3 2" xfId="10922" xr:uid="{00000000-0005-0000-0000-0000BB260000}"/>
    <cellStyle name="Normal 3 53 4 4" xfId="10923" xr:uid="{00000000-0005-0000-0000-0000BC260000}"/>
    <cellStyle name="Normal 3 53 4 5" xfId="10924" xr:uid="{00000000-0005-0000-0000-0000BD260000}"/>
    <cellStyle name="Normal 3 53 5" xfId="2795" xr:uid="{00000000-0005-0000-0000-0000BE260000}"/>
    <cellStyle name="Normal 3 53 5 2" xfId="10925" xr:uid="{00000000-0005-0000-0000-0000BF260000}"/>
    <cellStyle name="Normal 3 53 5 2 2" xfId="10926" xr:uid="{00000000-0005-0000-0000-0000C0260000}"/>
    <cellStyle name="Normal 3 53 5 3" xfId="10927" xr:uid="{00000000-0005-0000-0000-0000C1260000}"/>
    <cellStyle name="Normal 3 53 5 3 2" xfId="10928" xr:uid="{00000000-0005-0000-0000-0000C2260000}"/>
    <cellStyle name="Normal 3 53 5 4" xfId="10929" xr:uid="{00000000-0005-0000-0000-0000C3260000}"/>
    <cellStyle name="Normal 3 53 5 5" xfId="10930" xr:uid="{00000000-0005-0000-0000-0000C4260000}"/>
    <cellStyle name="Normal 3 53 6" xfId="2796" xr:uid="{00000000-0005-0000-0000-0000C5260000}"/>
    <cellStyle name="Normal 3 53 6 2" xfId="10931" xr:uid="{00000000-0005-0000-0000-0000C6260000}"/>
    <cellStyle name="Normal 3 53 6 2 2" xfId="10932" xr:uid="{00000000-0005-0000-0000-0000C7260000}"/>
    <cellStyle name="Normal 3 53 6 3" xfId="10933" xr:uid="{00000000-0005-0000-0000-0000C8260000}"/>
    <cellStyle name="Normal 3 53 6 3 2" xfId="10934" xr:uid="{00000000-0005-0000-0000-0000C9260000}"/>
    <cellStyle name="Normal 3 53 6 4" xfId="10935" xr:uid="{00000000-0005-0000-0000-0000CA260000}"/>
    <cellStyle name="Normal 3 53 6 5" xfId="10936" xr:uid="{00000000-0005-0000-0000-0000CB260000}"/>
    <cellStyle name="Normal 3 53 7" xfId="2797" xr:uid="{00000000-0005-0000-0000-0000CC260000}"/>
    <cellStyle name="Normal 3 53 7 2" xfId="10937" xr:uid="{00000000-0005-0000-0000-0000CD260000}"/>
    <cellStyle name="Normal 3 53 7 2 2" xfId="10938" xr:uid="{00000000-0005-0000-0000-0000CE260000}"/>
    <cellStyle name="Normal 3 53 7 3" xfId="10939" xr:uid="{00000000-0005-0000-0000-0000CF260000}"/>
    <cellStyle name="Normal 3 53 7 3 2" xfId="10940" xr:uid="{00000000-0005-0000-0000-0000D0260000}"/>
    <cellStyle name="Normal 3 53 7 4" xfId="10941" xr:uid="{00000000-0005-0000-0000-0000D1260000}"/>
    <cellStyle name="Normal 3 53 7 5" xfId="10942" xr:uid="{00000000-0005-0000-0000-0000D2260000}"/>
    <cellStyle name="Normal 3 53 8" xfId="2798" xr:uid="{00000000-0005-0000-0000-0000D3260000}"/>
    <cellStyle name="Normal 3 53 8 2" xfId="10943" xr:uid="{00000000-0005-0000-0000-0000D4260000}"/>
    <cellStyle name="Normal 3 53 8 2 2" xfId="10944" xr:uid="{00000000-0005-0000-0000-0000D5260000}"/>
    <cellStyle name="Normal 3 53 8 3" xfId="10945" xr:uid="{00000000-0005-0000-0000-0000D6260000}"/>
    <cellStyle name="Normal 3 53 8 3 2" xfId="10946" xr:uid="{00000000-0005-0000-0000-0000D7260000}"/>
    <cellStyle name="Normal 3 53 8 4" xfId="10947" xr:uid="{00000000-0005-0000-0000-0000D8260000}"/>
    <cellStyle name="Normal 3 53 8 5" xfId="10948" xr:uid="{00000000-0005-0000-0000-0000D9260000}"/>
    <cellStyle name="Normal 3 53 9" xfId="2799" xr:uid="{00000000-0005-0000-0000-0000DA260000}"/>
    <cellStyle name="Normal 3 53 9 2" xfId="10949" xr:uid="{00000000-0005-0000-0000-0000DB260000}"/>
    <cellStyle name="Normal 3 53 9 2 2" xfId="10950" xr:uid="{00000000-0005-0000-0000-0000DC260000}"/>
    <cellStyle name="Normal 3 53 9 3" xfId="10951" xr:uid="{00000000-0005-0000-0000-0000DD260000}"/>
    <cellStyle name="Normal 3 53 9 3 2" xfId="10952" xr:uid="{00000000-0005-0000-0000-0000DE260000}"/>
    <cellStyle name="Normal 3 53 9 4" xfId="10953" xr:uid="{00000000-0005-0000-0000-0000DF260000}"/>
    <cellStyle name="Normal 3 53 9 5" xfId="10954" xr:uid="{00000000-0005-0000-0000-0000E0260000}"/>
    <cellStyle name="Normal 3 54" xfId="2800" xr:uid="{00000000-0005-0000-0000-0000E1260000}"/>
    <cellStyle name="Normal 3 54 10" xfId="2801" xr:uid="{00000000-0005-0000-0000-0000E2260000}"/>
    <cellStyle name="Normal 3 54 10 2" xfId="10955" xr:uid="{00000000-0005-0000-0000-0000E3260000}"/>
    <cellStyle name="Normal 3 54 10 2 2" xfId="10956" xr:uid="{00000000-0005-0000-0000-0000E4260000}"/>
    <cellStyle name="Normal 3 54 10 3" xfId="10957" xr:uid="{00000000-0005-0000-0000-0000E5260000}"/>
    <cellStyle name="Normal 3 54 10 3 2" xfId="10958" xr:uid="{00000000-0005-0000-0000-0000E6260000}"/>
    <cellStyle name="Normal 3 54 10 4" xfId="10959" xr:uid="{00000000-0005-0000-0000-0000E7260000}"/>
    <cellStyle name="Normal 3 54 10 5" xfId="10960" xr:uid="{00000000-0005-0000-0000-0000E8260000}"/>
    <cellStyle name="Normal 3 54 11" xfId="2802" xr:uid="{00000000-0005-0000-0000-0000E9260000}"/>
    <cellStyle name="Normal 3 54 11 2" xfId="10961" xr:uid="{00000000-0005-0000-0000-0000EA260000}"/>
    <cellStyle name="Normal 3 54 11 2 2" xfId="10962" xr:uid="{00000000-0005-0000-0000-0000EB260000}"/>
    <cellStyle name="Normal 3 54 11 3" xfId="10963" xr:uid="{00000000-0005-0000-0000-0000EC260000}"/>
    <cellStyle name="Normal 3 54 11 3 2" xfId="10964" xr:uid="{00000000-0005-0000-0000-0000ED260000}"/>
    <cellStyle name="Normal 3 54 11 4" xfId="10965" xr:uid="{00000000-0005-0000-0000-0000EE260000}"/>
    <cellStyle name="Normal 3 54 11 5" xfId="10966" xr:uid="{00000000-0005-0000-0000-0000EF260000}"/>
    <cellStyle name="Normal 3 54 12" xfId="2803" xr:uid="{00000000-0005-0000-0000-0000F0260000}"/>
    <cellStyle name="Normal 3 54 12 2" xfId="10967" xr:uid="{00000000-0005-0000-0000-0000F1260000}"/>
    <cellStyle name="Normal 3 54 12 2 2" xfId="10968" xr:uid="{00000000-0005-0000-0000-0000F2260000}"/>
    <cellStyle name="Normal 3 54 12 3" xfId="10969" xr:uid="{00000000-0005-0000-0000-0000F3260000}"/>
    <cellStyle name="Normal 3 54 12 3 2" xfId="10970" xr:uid="{00000000-0005-0000-0000-0000F4260000}"/>
    <cellStyle name="Normal 3 54 12 4" xfId="10971" xr:uid="{00000000-0005-0000-0000-0000F5260000}"/>
    <cellStyle name="Normal 3 54 12 5" xfId="10972" xr:uid="{00000000-0005-0000-0000-0000F6260000}"/>
    <cellStyle name="Normal 3 54 13" xfId="2804" xr:uid="{00000000-0005-0000-0000-0000F7260000}"/>
    <cellStyle name="Normal 3 54 13 2" xfId="10973" xr:uid="{00000000-0005-0000-0000-0000F8260000}"/>
    <cellStyle name="Normal 3 54 13 2 2" xfId="10974" xr:uid="{00000000-0005-0000-0000-0000F9260000}"/>
    <cellStyle name="Normal 3 54 13 3" xfId="10975" xr:uid="{00000000-0005-0000-0000-0000FA260000}"/>
    <cellStyle name="Normal 3 54 13 3 2" xfId="10976" xr:uid="{00000000-0005-0000-0000-0000FB260000}"/>
    <cellStyle name="Normal 3 54 13 4" xfId="10977" xr:uid="{00000000-0005-0000-0000-0000FC260000}"/>
    <cellStyle name="Normal 3 54 13 5" xfId="10978" xr:uid="{00000000-0005-0000-0000-0000FD260000}"/>
    <cellStyle name="Normal 3 54 14" xfId="10979" xr:uid="{00000000-0005-0000-0000-0000FE260000}"/>
    <cellStyle name="Normal 3 54 14 2" xfId="10980" xr:uid="{00000000-0005-0000-0000-0000FF260000}"/>
    <cellStyle name="Normal 3 54 15" xfId="10981" xr:uid="{00000000-0005-0000-0000-000000270000}"/>
    <cellStyle name="Normal 3 54 15 2" xfId="10982" xr:uid="{00000000-0005-0000-0000-000001270000}"/>
    <cellStyle name="Normal 3 54 16" xfId="10983" xr:uid="{00000000-0005-0000-0000-000002270000}"/>
    <cellStyle name="Normal 3 54 17" xfId="10984" xr:uid="{00000000-0005-0000-0000-000003270000}"/>
    <cellStyle name="Normal 3 54 2" xfId="2805" xr:uid="{00000000-0005-0000-0000-000004270000}"/>
    <cellStyle name="Normal 3 54 2 10" xfId="2806" xr:uid="{00000000-0005-0000-0000-000005270000}"/>
    <cellStyle name="Normal 3 54 2 10 2" xfId="10985" xr:uid="{00000000-0005-0000-0000-000006270000}"/>
    <cellStyle name="Normal 3 54 2 10 2 2" xfId="10986" xr:uid="{00000000-0005-0000-0000-000007270000}"/>
    <cellStyle name="Normal 3 54 2 10 3" xfId="10987" xr:uid="{00000000-0005-0000-0000-000008270000}"/>
    <cellStyle name="Normal 3 54 2 10 3 2" xfId="10988" xr:uid="{00000000-0005-0000-0000-000009270000}"/>
    <cellStyle name="Normal 3 54 2 10 4" xfId="10989" xr:uid="{00000000-0005-0000-0000-00000A270000}"/>
    <cellStyle name="Normal 3 54 2 10 5" xfId="10990" xr:uid="{00000000-0005-0000-0000-00000B270000}"/>
    <cellStyle name="Normal 3 54 2 11" xfId="2807" xr:uid="{00000000-0005-0000-0000-00000C270000}"/>
    <cellStyle name="Normal 3 54 2 11 2" xfId="10991" xr:uid="{00000000-0005-0000-0000-00000D270000}"/>
    <cellStyle name="Normal 3 54 2 11 2 2" xfId="10992" xr:uid="{00000000-0005-0000-0000-00000E270000}"/>
    <cellStyle name="Normal 3 54 2 11 3" xfId="10993" xr:uid="{00000000-0005-0000-0000-00000F270000}"/>
    <cellStyle name="Normal 3 54 2 11 3 2" xfId="10994" xr:uid="{00000000-0005-0000-0000-000010270000}"/>
    <cellStyle name="Normal 3 54 2 11 4" xfId="10995" xr:uid="{00000000-0005-0000-0000-000011270000}"/>
    <cellStyle name="Normal 3 54 2 11 5" xfId="10996" xr:uid="{00000000-0005-0000-0000-000012270000}"/>
    <cellStyle name="Normal 3 54 2 12" xfId="2808" xr:uid="{00000000-0005-0000-0000-000013270000}"/>
    <cellStyle name="Normal 3 54 2 12 2" xfId="10997" xr:uid="{00000000-0005-0000-0000-000014270000}"/>
    <cellStyle name="Normal 3 54 2 12 2 2" xfId="10998" xr:uid="{00000000-0005-0000-0000-000015270000}"/>
    <cellStyle name="Normal 3 54 2 12 3" xfId="10999" xr:uid="{00000000-0005-0000-0000-000016270000}"/>
    <cellStyle name="Normal 3 54 2 12 3 2" xfId="11000" xr:uid="{00000000-0005-0000-0000-000017270000}"/>
    <cellStyle name="Normal 3 54 2 12 4" xfId="11001" xr:uid="{00000000-0005-0000-0000-000018270000}"/>
    <cellStyle name="Normal 3 54 2 12 5" xfId="11002" xr:uid="{00000000-0005-0000-0000-000019270000}"/>
    <cellStyle name="Normal 3 54 2 13" xfId="11003" xr:uid="{00000000-0005-0000-0000-00001A270000}"/>
    <cellStyle name="Normal 3 54 2 13 2" xfId="11004" xr:uid="{00000000-0005-0000-0000-00001B270000}"/>
    <cellStyle name="Normal 3 54 2 14" xfId="11005" xr:uid="{00000000-0005-0000-0000-00001C270000}"/>
    <cellStyle name="Normal 3 54 2 14 2" xfId="11006" xr:uid="{00000000-0005-0000-0000-00001D270000}"/>
    <cellStyle name="Normal 3 54 2 15" xfId="11007" xr:uid="{00000000-0005-0000-0000-00001E270000}"/>
    <cellStyle name="Normal 3 54 2 16" xfId="11008" xr:uid="{00000000-0005-0000-0000-00001F270000}"/>
    <cellStyle name="Normal 3 54 2 2" xfId="2809" xr:uid="{00000000-0005-0000-0000-000020270000}"/>
    <cellStyle name="Normal 3 54 2 2 2" xfId="11009" xr:uid="{00000000-0005-0000-0000-000021270000}"/>
    <cellStyle name="Normal 3 54 2 2 2 2" xfId="11010" xr:uid="{00000000-0005-0000-0000-000022270000}"/>
    <cellStyle name="Normal 3 54 2 2 3" xfId="11011" xr:uid="{00000000-0005-0000-0000-000023270000}"/>
    <cellStyle name="Normal 3 54 2 2 3 2" xfId="11012" xr:uid="{00000000-0005-0000-0000-000024270000}"/>
    <cellStyle name="Normal 3 54 2 2 4" xfId="11013" xr:uid="{00000000-0005-0000-0000-000025270000}"/>
    <cellStyle name="Normal 3 54 2 2 5" xfId="11014" xr:uid="{00000000-0005-0000-0000-000026270000}"/>
    <cellStyle name="Normal 3 54 2 3" xfId="2810" xr:uid="{00000000-0005-0000-0000-000027270000}"/>
    <cellStyle name="Normal 3 54 2 3 2" xfId="11015" xr:uid="{00000000-0005-0000-0000-000028270000}"/>
    <cellStyle name="Normal 3 54 2 3 2 2" xfId="11016" xr:uid="{00000000-0005-0000-0000-000029270000}"/>
    <cellStyle name="Normal 3 54 2 3 3" xfId="11017" xr:uid="{00000000-0005-0000-0000-00002A270000}"/>
    <cellStyle name="Normal 3 54 2 3 3 2" xfId="11018" xr:uid="{00000000-0005-0000-0000-00002B270000}"/>
    <cellStyle name="Normal 3 54 2 3 4" xfId="11019" xr:uid="{00000000-0005-0000-0000-00002C270000}"/>
    <cellStyle name="Normal 3 54 2 3 5" xfId="11020" xr:uid="{00000000-0005-0000-0000-00002D270000}"/>
    <cellStyle name="Normal 3 54 2 4" xfId="2811" xr:uid="{00000000-0005-0000-0000-00002E270000}"/>
    <cellStyle name="Normal 3 54 2 4 2" xfId="11021" xr:uid="{00000000-0005-0000-0000-00002F270000}"/>
    <cellStyle name="Normal 3 54 2 4 2 2" xfId="11022" xr:uid="{00000000-0005-0000-0000-000030270000}"/>
    <cellStyle name="Normal 3 54 2 4 3" xfId="11023" xr:uid="{00000000-0005-0000-0000-000031270000}"/>
    <cellStyle name="Normal 3 54 2 4 3 2" xfId="11024" xr:uid="{00000000-0005-0000-0000-000032270000}"/>
    <cellStyle name="Normal 3 54 2 4 4" xfId="11025" xr:uid="{00000000-0005-0000-0000-000033270000}"/>
    <cellStyle name="Normal 3 54 2 4 5" xfId="11026" xr:uid="{00000000-0005-0000-0000-000034270000}"/>
    <cellStyle name="Normal 3 54 2 5" xfId="2812" xr:uid="{00000000-0005-0000-0000-000035270000}"/>
    <cellStyle name="Normal 3 54 2 5 2" xfId="11027" xr:uid="{00000000-0005-0000-0000-000036270000}"/>
    <cellStyle name="Normal 3 54 2 5 2 2" xfId="11028" xr:uid="{00000000-0005-0000-0000-000037270000}"/>
    <cellStyle name="Normal 3 54 2 5 3" xfId="11029" xr:uid="{00000000-0005-0000-0000-000038270000}"/>
    <cellStyle name="Normal 3 54 2 5 3 2" xfId="11030" xr:uid="{00000000-0005-0000-0000-000039270000}"/>
    <cellStyle name="Normal 3 54 2 5 4" xfId="11031" xr:uid="{00000000-0005-0000-0000-00003A270000}"/>
    <cellStyle name="Normal 3 54 2 5 5" xfId="11032" xr:uid="{00000000-0005-0000-0000-00003B270000}"/>
    <cellStyle name="Normal 3 54 2 6" xfId="2813" xr:uid="{00000000-0005-0000-0000-00003C270000}"/>
    <cellStyle name="Normal 3 54 2 6 2" xfId="11033" xr:uid="{00000000-0005-0000-0000-00003D270000}"/>
    <cellStyle name="Normal 3 54 2 6 2 2" xfId="11034" xr:uid="{00000000-0005-0000-0000-00003E270000}"/>
    <cellStyle name="Normal 3 54 2 6 3" xfId="11035" xr:uid="{00000000-0005-0000-0000-00003F270000}"/>
    <cellStyle name="Normal 3 54 2 6 3 2" xfId="11036" xr:uid="{00000000-0005-0000-0000-000040270000}"/>
    <cellStyle name="Normal 3 54 2 6 4" xfId="11037" xr:uid="{00000000-0005-0000-0000-000041270000}"/>
    <cellStyle name="Normal 3 54 2 6 5" xfId="11038" xr:uid="{00000000-0005-0000-0000-000042270000}"/>
    <cellStyle name="Normal 3 54 2 7" xfId="2814" xr:uid="{00000000-0005-0000-0000-000043270000}"/>
    <cellStyle name="Normal 3 54 2 7 2" xfId="11039" xr:uid="{00000000-0005-0000-0000-000044270000}"/>
    <cellStyle name="Normal 3 54 2 7 2 2" xfId="11040" xr:uid="{00000000-0005-0000-0000-000045270000}"/>
    <cellStyle name="Normal 3 54 2 7 3" xfId="11041" xr:uid="{00000000-0005-0000-0000-000046270000}"/>
    <cellStyle name="Normal 3 54 2 7 3 2" xfId="11042" xr:uid="{00000000-0005-0000-0000-000047270000}"/>
    <cellStyle name="Normal 3 54 2 7 4" xfId="11043" xr:uid="{00000000-0005-0000-0000-000048270000}"/>
    <cellStyle name="Normal 3 54 2 7 5" xfId="11044" xr:uid="{00000000-0005-0000-0000-000049270000}"/>
    <cellStyle name="Normal 3 54 2 8" xfId="2815" xr:uid="{00000000-0005-0000-0000-00004A270000}"/>
    <cellStyle name="Normal 3 54 2 8 2" xfId="11045" xr:uid="{00000000-0005-0000-0000-00004B270000}"/>
    <cellStyle name="Normal 3 54 2 8 2 2" xfId="11046" xr:uid="{00000000-0005-0000-0000-00004C270000}"/>
    <cellStyle name="Normal 3 54 2 8 3" xfId="11047" xr:uid="{00000000-0005-0000-0000-00004D270000}"/>
    <cellStyle name="Normal 3 54 2 8 3 2" xfId="11048" xr:uid="{00000000-0005-0000-0000-00004E270000}"/>
    <cellStyle name="Normal 3 54 2 8 4" xfId="11049" xr:uid="{00000000-0005-0000-0000-00004F270000}"/>
    <cellStyle name="Normal 3 54 2 8 5" xfId="11050" xr:uid="{00000000-0005-0000-0000-000050270000}"/>
    <cellStyle name="Normal 3 54 2 9" xfId="2816" xr:uid="{00000000-0005-0000-0000-000051270000}"/>
    <cellStyle name="Normal 3 54 2 9 2" xfId="11051" xr:uid="{00000000-0005-0000-0000-000052270000}"/>
    <cellStyle name="Normal 3 54 2 9 2 2" xfId="11052" xr:uid="{00000000-0005-0000-0000-000053270000}"/>
    <cellStyle name="Normal 3 54 2 9 3" xfId="11053" xr:uid="{00000000-0005-0000-0000-000054270000}"/>
    <cellStyle name="Normal 3 54 2 9 3 2" xfId="11054" xr:uid="{00000000-0005-0000-0000-000055270000}"/>
    <cellStyle name="Normal 3 54 2 9 4" xfId="11055" xr:uid="{00000000-0005-0000-0000-000056270000}"/>
    <cellStyle name="Normal 3 54 2 9 5" xfId="11056" xr:uid="{00000000-0005-0000-0000-000057270000}"/>
    <cellStyle name="Normal 3 54 3" xfId="2817" xr:uid="{00000000-0005-0000-0000-000058270000}"/>
    <cellStyle name="Normal 3 54 3 2" xfId="11057" xr:uid="{00000000-0005-0000-0000-000059270000}"/>
    <cellStyle name="Normal 3 54 3 2 2" xfId="11058" xr:uid="{00000000-0005-0000-0000-00005A270000}"/>
    <cellStyle name="Normal 3 54 3 3" xfId="11059" xr:uid="{00000000-0005-0000-0000-00005B270000}"/>
    <cellStyle name="Normal 3 54 3 3 2" xfId="11060" xr:uid="{00000000-0005-0000-0000-00005C270000}"/>
    <cellStyle name="Normal 3 54 3 4" xfId="11061" xr:uid="{00000000-0005-0000-0000-00005D270000}"/>
    <cellStyle name="Normal 3 54 3 5" xfId="11062" xr:uid="{00000000-0005-0000-0000-00005E270000}"/>
    <cellStyle name="Normal 3 54 4" xfId="2818" xr:uid="{00000000-0005-0000-0000-00005F270000}"/>
    <cellStyle name="Normal 3 54 4 2" xfId="11063" xr:uid="{00000000-0005-0000-0000-000060270000}"/>
    <cellStyle name="Normal 3 54 4 2 2" xfId="11064" xr:uid="{00000000-0005-0000-0000-000061270000}"/>
    <cellStyle name="Normal 3 54 4 3" xfId="11065" xr:uid="{00000000-0005-0000-0000-000062270000}"/>
    <cellStyle name="Normal 3 54 4 3 2" xfId="11066" xr:uid="{00000000-0005-0000-0000-000063270000}"/>
    <cellStyle name="Normal 3 54 4 4" xfId="11067" xr:uid="{00000000-0005-0000-0000-000064270000}"/>
    <cellStyle name="Normal 3 54 4 5" xfId="11068" xr:uid="{00000000-0005-0000-0000-000065270000}"/>
    <cellStyle name="Normal 3 54 5" xfId="2819" xr:uid="{00000000-0005-0000-0000-000066270000}"/>
    <cellStyle name="Normal 3 54 5 2" xfId="11069" xr:uid="{00000000-0005-0000-0000-000067270000}"/>
    <cellStyle name="Normal 3 54 5 2 2" xfId="11070" xr:uid="{00000000-0005-0000-0000-000068270000}"/>
    <cellStyle name="Normal 3 54 5 3" xfId="11071" xr:uid="{00000000-0005-0000-0000-000069270000}"/>
    <cellStyle name="Normal 3 54 5 3 2" xfId="11072" xr:uid="{00000000-0005-0000-0000-00006A270000}"/>
    <cellStyle name="Normal 3 54 5 4" xfId="11073" xr:uid="{00000000-0005-0000-0000-00006B270000}"/>
    <cellStyle name="Normal 3 54 5 5" xfId="11074" xr:uid="{00000000-0005-0000-0000-00006C270000}"/>
    <cellStyle name="Normal 3 54 6" xfId="2820" xr:uid="{00000000-0005-0000-0000-00006D270000}"/>
    <cellStyle name="Normal 3 54 6 2" xfId="11075" xr:uid="{00000000-0005-0000-0000-00006E270000}"/>
    <cellStyle name="Normal 3 54 6 2 2" xfId="11076" xr:uid="{00000000-0005-0000-0000-00006F270000}"/>
    <cellStyle name="Normal 3 54 6 3" xfId="11077" xr:uid="{00000000-0005-0000-0000-000070270000}"/>
    <cellStyle name="Normal 3 54 6 3 2" xfId="11078" xr:uid="{00000000-0005-0000-0000-000071270000}"/>
    <cellStyle name="Normal 3 54 6 4" xfId="11079" xr:uid="{00000000-0005-0000-0000-000072270000}"/>
    <cellStyle name="Normal 3 54 6 5" xfId="11080" xr:uid="{00000000-0005-0000-0000-000073270000}"/>
    <cellStyle name="Normal 3 54 7" xfId="2821" xr:uid="{00000000-0005-0000-0000-000074270000}"/>
    <cellStyle name="Normal 3 54 7 2" xfId="11081" xr:uid="{00000000-0005-0000-0000-000075270000}"/>
    <cellStyle name="Normal 3 54 7 2 2" xfId="11082" xr:uid="{00000000-0005-0000-0000-000076270000}"/>
    <cellStyle name="Normal 3 54 7 3" xfId="11083" xr:uid="{00000000-0005-0000-0000-000077270000}"/>
    <cellStyle name="Normal 3 54 7 3 2" xfId="11084" xr:uid="{00000000-0005-0000-0000-000078270000}"/>
    <cellStyle name="Normal 3 54 7 4" xfId="11085" xr:uid="{00000000-0005-0000-0000-000079270000}"/>
    <cellStyle name="Normal 3 54 7 5" xfId="11086" xr:uid="{00000000-0005-0000-0000-00007A270000}"/>
    <cellStyle name="Normal 3 54 8" xfId="2822" xr:uid="{00000000-0005-0000-0000-00007B270000}"/>
    <cellStyle name="Normal 3 54 8 2" xfId="11087" xr:uid="{00000000-0005-0000-0000-00007C270000}"/>
    <cellStyle name="Normal 3 54 8 2 2" xfId="11088" xr:uid="{00000000-0005-0000-0000-00007D270000}"/>
    <cellStyle name="Normal 3 54 8 3" xfId="11089" xr:uid="{00000000-0005-0000-0000-00007E270000}"/>
    <cellStyle name="Normal 3 54 8 3 2" xfId="11090" xr:uid="{00000000-0005-0000-0000-00007F270000}"/>
    <cellStyle name="Normal 3 54 8 4" xfId="11091" xr:uid="{00000000-0005-0000-0000-000080270000}"/>
    <cellStyle name="Normal 3 54 8 5" xfId="11092" xr:uid="{00000000-0005-0000-0000-000081270000}"/>
    <cellStyle name="Normal 3 54 9" xfId="2823" xr:uid="{00000000-0005-0000-0000-000082270000}"/>
    <cellStyle name="Normal 3 54 9 2" xfId="11093" xr:uid="{00000000-0005-0000-0000-000083270000}"/>
    <cellStyle name="Normal 3 54 9 2 2" xfId="11094" xr:uid="{00000000-0005-0000-0000-000084270000}"/>
    <cellStyle name="Normal 3 54 9 3" xfId="11095" xr:uid="{00000000-0005-0000-0000-000085270000}"/>
    <cellStyle name="Normal 3 54 9 3 2" xfId="11096" xr:uid="{00000000-0005-0000-0000-000086270000}"/>
    <cellStyle name="Normal 3 54 9 4" xfId="11097" xr:uid="{00000000-0005-0000-0000-000087270000}"/>
    <cellStyle name="Normal 3 54 9 5" xfId="11098" xr:uid="{00000000-0005-0000-0000-000088270000}"/>
    <cellStyle name="Normal 3 55" xfId="2824" xr:uid="{00000000-0005-0000-0000-000089270000}"/>
    <cellStyle name="Normal 3 55 10" xfId="2825" xr:uid="{00000000-0005-0000-0000-00008A270000}"/>
    <cellStyle name="Normal 3 55 10 2" xfId="11099" xr:uid="{00000000-0005-0000-0000-00008B270000}"/>
    <cellStyle name="Normal 3 55 10 2 2" xfId="11100" xr:uid="{00000000-0005-0000-0000-00008C270000}"/>
    <cellStyle name="Normal 3 55 10 3" xfId="11101" xr:uid="{00000000-0005-0000-0000-00008D270000}"/>
    <cellStyle name="Normal 3 55 10 3 2" xfId="11102" xr:uid="{00000000-0005-0000-0000-00008E270000}"/>
    <cellStyle name="Normal 3 55 10 4" xfId="11103" xr:uid="{00000000-0005-0000-0000-00008F270000}"/>
    <cellStyle name="Normal 3 55 10 5" xfId="11104" xr:uid="{00000000-0005-0000-0000-000090270000}"/>
    <cellStyle name="Normal 3 55 11" xfId="2826" xr:uid="{00000000-0005-0000-0000-000091270000}"/>
    <cellStyle name="Normal 3 55 11 2" xfId="11105" xr:uid="{00000000-0005-0000-0000-000092270000}"/>
    <cellStyle name="Normal 3 55 11 2 2" xfId="11106" xr:uid="{00000000-0005-0000-0000-000093270000}"/>
    <cellStyle name="Normal 3 55 11 3" xfId="11107" xr:uid="{00000000-0005-0000-0000-000094270000}"/>
    <cellStyle name="Normal 3 55 11 3 2" xfId="11108" xr:uid="{00000000-0005-0000-0000-000095270000}"/>
    <cellStyle name="Normal 3 55 11 4" xfId="11109" xr:uid="{00000000-0005-0000-0000-000096270000}"/>
    <cellStyle name="Normal 3 55 11 5" xfId="11110" xr:uid="{00000000-0005-0000-0000-000097270000}"/>
    <cellStyle name="Normal 3 55 12" xfId="2827" xr:uid="{00000000-0005-0000-0000-000098270000}"/>
    <cellStyle name="Normal 3 55 12 2" xfId="11111" xr:uid="{00000000-0005-0000-0000-000099270000}"/>
    <cellStyle name="Normal 3 55 12 2 2" xfId="11112" xr:uid="{00000000-0005-0000-0000-00009A270000}"/>
    <cellStyle name="Normal 3 55 12 3" xfId="11113" xr:uid="{00000000-0005-0000-0000-00009B270000}"/>
    <cellStyle name="Normal 3 55 12 3 2" xfId="11114" xr:uid="{00000000-0005-0000-0000-00009C270000}"/>
    <cellStyle name="Normal 3 55 12 4" xfId="11115" xr:uid="{00000000-0005-0000-0000-00009D270000}"/>
    <cellStyle name="Normal 3 55 12 5" xfId="11116" xr:uid="{00000000-0005-0000-0000-00009E270000}"/>
    <cellStyle name="Normal 3 55 13" xfId="2828" xr:uid="{00000000-0005-0000-0000-00009F270000}"/>
    <cellStyle name="Normal 3 55 13 2" xfId="11117" xr:uid="{00000000-0005-0000-0000-0000A0270000}"/>
    <cellStyle name="Normal 3 55 13 2 2" xfId="11118" xr:uid="{00000000-0005-0000-0000-0000A1270000}"/>
    <cellStyle name="Normal 3 55 13 3" xfId="11119" xr:uid="{00000000-0005-0000-0000-0000A2270000}"/>
    <cellStyle name="Normal 3 55 13 3 2" xfId="11120" xr:uid="{00000000-0005-0000-0000-0000A3270000}"/>
    <cellStyle name="Normal 3 55 13 4" xfId="11121" xr:uid="{00000000-0005-0000-0000-0000A4270000}"/>
    <cellStyle name="Normal 3 55 13 5" xfId="11122" xr:uid="{00000000-0005-0000-0000-0000A5270000}"/>
    <cellStyle name="Normal 3 55 14" xfId="11123" xr:uid="{00000000-0005-0000-0000-0000A6270000}"/>
    <cellStyle name="Normal 3 55 14 2" xfId="11124" xr:uid="{00000000-0005-0000-0000-0000A7270000}"/>
    <cellStyle name="Normal 3 55 15" xfId="11125" xr:uid="{00000000-0005-0000-0000-0000A8270000}"/>
    <cellStyle name="Normal 3 55 15 2" xfId="11126" xr:uid="{00000000-0005-0000-0000-0000A9270000}"/>
    <cellStyle name="Normal 3 55 16" xfId="11127" xr:uid="{00000000-0005-0000-0000-0000AA270000}"/>
    <cellStyle name="Normal 3 55 17" xfId="11128" xr:uid="{00000000-0005-0000-0000-0000AB270000}"/>
    <cellStyle name="Normal 3 55 2" xfId="2829" xr:uid="{00000000-0005-0000-0000-0000AC270000}"/>
    <cellStyle name="Normal 3 55 2 10" xfId="2830" xr:uid="{00000000-0005-0000-0000-0000AD270000}"/>
    <cellStyle name="Normal 3 55 2 10 2" xfId="11129" xr:uid="{00000000-0005-0000-0000-0000AE270000}"/>
    <cellStyle name="Normal 3 55 2 10 2 2" xfId="11130" xr:uid="{00000000-0005-0000-0000-0000AF270000}"/>
    <cellStyle name="Normal 3 55 2 10 3" xfId="11131" xr:uid="{00000000-0005-0000-0000-0000B0270000}"/>
    <cellStyle name="Normal 3 55 2 10 3 2" xfId="11132" xr:uid="{00000000-0005-0000-0000-0000B1270000}"/>
    <cellStyle name="Normal 3 55 2 10 4" xfId="11133" xr:uid="{00000000-0005-0000-0000-0000B2270000}"/>
    <cellStyle name="Normal 3 55 2 10 5" xfId="11134" xr:uid="{00000000-0005-0000-0000-0000B3270000}"/>
    <cellStyle name="Normal 3 55 2 11" xfId="2831" xr:uid="{00000000-0005-0000-0000-0000B4270000}"/>
    <cellStyle name="Normal 3 55 2 11 2" xfId="11135" xr:uid="{00000000-0005-0000-0000-0000B5270000}"/>
    <cellStyle name="Normal 3 55 2 11 2 2" xfId="11136" xr:uid="{00000000-0005-0000-0000-0000B6270000}"/>
    <cellStyle name="Normal 3 55 2 11 3" xfId="11137" xr:uid="{00000000-0005-0000-0000-0000B7270000}"/>
    <cellStyle name="Normal 3 55 2 11 3 2" xfId="11138" xr:uid="{00000000-0005-0000-0000-0000B8270000}"/>
    <cellStyle name="Normal 3 55 2 11 4" xfId="11139" xr:uid="{00000000-0005-0000-0000-0000B9270000}"/>
    <cellStyle name="Normal 3 55 2 11 5" xfId="11140" xr:uid="{00000000-0005-0000-0000-0000BA270000}"/>
    <cellStyle name="Normal 3 55 2 12" xfId="2832" xr:uid="{00000000-0005-0000-0000-0000BB270000}"/>
    <cellStyle name="Normal 3 55 2 12 2" xfId="11141" xr:uid="{00000000-0005-0000-0000-0000BC270000}"/>
    <cellStyle name="Normal 3 55 2 12 2 2" xfId="11142" xr:uid="{00000000-0005-0000-0000-0000BD270000}"/>
    <cellStyle name="Normal 3 55 2 12 3" xfId="11143" xr:uid="{00000000-0005-0000-0000-0000BE270000}"/>
    <cellStyle name="Normal 3 55 2 12 3 2" xfId="11144" xr:uid="{00000000-0005-0000-0000-0000BF270000}"/>
    <cellStyle name="Normal 3 55 2 12 4" xfId="11145" xr:uid="{00000000-0005-0000-0000-0000C0270000}"/>
    <cellStyle name="Normal 3 55 2 12 5" xfId="11146" xr:uid="{00000000-0005-0000-0000-0000C1270000}"/>
    <cellStyle name="Normal 3 55 2 13" xfId="11147" xr:uid="{00000000-0005-0000-0000-0000C2270000}"/>
    <cellStyle name="Normal 3 55 2 13 2" xfId="11148" xr:uid="{00000000-0005-0000-0000-0000C3270000}"/>
    <cellStyle name="Normal 3 55 2 14" xfId="11149" xr:uid="{00000000-0005-0000-0000-0000C4270000}"/>
    <cellStyle name="Normal 3 55 2 14 2" xfId="11150" xr:uid="{00000000-0005-0000-0000-0000C5270000}"/>
    <cellStyle name="Normal 3 55 2 15" xfId="11151" xr:uid="{00000000-0005-0000-0000-0000C6270000}"/>
    <cellStyle name="Normal 3 55 2 16" xfId="11152" xr:uid="{00000000-0005-0000-0000-0000C7270000}"/>
    <cellStyle name="Normal 3 55 2 2" xfId="2833" xr:uid="{00000000-0005-0000-0000-0000C8270000}"/>
    <cellStyle name="Normal 3 55 2 2 2" xfId="11153" xr:uid="{00000000-0005-0000-0000-0000C9270000}"/>
    <cellStyle name="Normal 3 55 2 2 2 2" xfId="11154" xr:uid="{00000000-0005-0000-0000-0000CA270000}"/>
    <cellStyle name="Normal 3 55 2 2 3" xfId="11155" xr:uid="{00000000-0005-0000-0000-0000CB270000}"/>
    <cellStyle name="Normal 3 55 2 2 3 2" xfId="11156" xr:uid="{00000000-0005-0000-0000-0000CC270000}"/>
    <cellStyle name="Normal 3 55 2 2 4" xfId="11157" xr:uid="{00000000-0005-0000-0000-0000CD270000}"/>
    <cellStyle name="Normal 3 55 2 2 5" xfId="11158" xr:uid="{00000000-0005-0000-0000-0000CE270000}"/>
    <cellStyle name="Normal 3 55 2 3" xfId="2834" xr:uid="{00000000-0005-0000-0000-0000CF270000}"/>
    <cellStyle name="Normal 3 55 2 3 2" xfId="11159" xr:uid="{00000000-0005-0000-0000-0000D0270000}"/>
    <cellStyle name="Normal 3 55 2 3 2 2" xfId="11160" xr:uid="{00000000-0005-0000-0000-0000D1270000}"/>
    <cellStyle name="Normal 3 55 2 3 3" xfId="11161" xr:uid="{00000000-0005-0000-0000-0000D2270000}"/>
    <cellStyle name="Normal 3 55 2 3 3 2" xfId="11162" xr:uid="{00000000-0005-0000-0000-0000D3270000}"/>
    <cellStyle name="Normal 3 55 2 3 4" xfId="11163" xr:uid="{00000000-0005-0000-0000-0000D4270000}"/>
    <cellStyle name="Normal 3 55 2 3 5" xfId="11164" xr:uid="{00000000-0005-0000-0000-0000D5270000}"/>
    <cellStyle name="Normal 3 55 2 4" xfId="2835" xr:uid="{00000000-0005-0000-0000-0000D6270000}"/>
    <cellStyle name="Normal 3 55 2 4 2" xfId="11165" xr:uid="{00000000-0005-0000-0000-0000D7270000}"/>
    <cellStyle name="Normal 3 55 2 4 2 2" xfId="11166" xr:uid="{00000000-0005-0000-0000-0000D8270000}"/>
    <cellStyle name="Normal 3 55 2 4 3" xfId="11167" xr:uid="{00000000-0005-0000-0000-0000D9270000}"/>
    <cellStyle name="Normal 3 55 2 4 3 2" xfId="11168" xr:uid="{00000000-0005-0000-0000-0000DA270000}"/>
    <cellStyle name="Normal 3 55 2 4 4" xfId="11169" xr:uid="{00000000-0005-0000-0000-0000DB270000}"/>
    <cellStyle name="Normal 3 55 2 4 5" xfId="11170" xr:uid="{00000000-0005-0000-0000-0000DC270000}"/>
    <cellStyle name="Normal 3 55 2 5" xfId="2836" xr:uid="{00000000-0005-0000-0000-0000DD270000}"/>
    <cellStyle name="Normal 3 55 2 5 2" xfId="11171" xr:uid="{00000000-0005-0000-0000-0000DE270000}"/>
    <cellStyle name="Normal 3 55 2 5 2 2" xfId="11172" xr:uid="{00000000-0005-0000-0000-0000DF270000}"/>
    <cellStyle name="Normal 3 55 2 5 3" xfId="11173" xr:uid="{00000000-0005-0000-0000-0000E0270000}"/>
    <cellStyle name="Normal 3 55 2 5 3 2" xfId="11174" xr:uid="{00000000-0005-0000-0000-0000E1270000}"/>
    <cellStyle name="Normal 3 55 2 5 4" xfId="11175" xr:uid="{00000000-0005-0000-0000-0000E2270000}"/>
    <cellStyle name="Normal 3 55 2 5 5" xfId="11176" xr:uid="{00000000-0005-0000-0000-0000E3270000}"/>
    <cellStyle name="Normal 3 55 2 6" xfId="2837" xr:uid="{00000000-0005-0000-0000-0000E4270000}"/>
    <cellStyle name="Normal 3 55 2 6 2" xfId="11177" xr:uid="{00000000-0005-0000-0000-0000E5270000}"/>
    <cellStyle name="Normal 3 55 2 6 2 2" xfId="11178" xr:uid="{00000000-0005-0000-0000-0000E6270000}"/>
    <cellStyle name="Normal 3 55 2 6 3" xfId="11179" xr:uid="{00000000-0005-0000-0000-0000E7270000}"/>
    <cellStyle name="Normal 3 55 2 6 3 2" xfId="11180" xr:uid="{00000000-0005-0000-0000-0000E8270000}"/>
    <cellStyle name="Normal 3 55 2 6 4" xfId="11181" xr:uid="{00000000-0005-0000-0000-0000E9270000}"/>
    <cellStyle name="Normal 3 55 2 6 5" xfId="11182" xr:uid="{00000000-0005-0000-0000-0000EA270000}"/>
    <cellStyle name="Normal 3 55 2 7" xfId="2838" xr:uid="{00000000-0005-0000-0000-0000EB270000}"/>
    <cellStyle name="Normal 3 55 2 7 2" xfId="11183" xr:uid="{00000000-0005-0000-0000-0000EC270000}"/>
    <cellStyle name="Normal 3 55 2 7 2 2" xfId="11184" xr:uid="{00000000-0005-0000-0000-0000ED270000}"/>
    <cellStyle name="Normal 3 55 2 7 3" xfId="11185" xr:uid="{00000000-0005-0000-0000-0000EE270000}"/>
    <cellStyle name="Normal 3 55 2 7 3 2" xfId="11186" xr:uid="{00000000-0005-0000-0000-0000EF270000}"/>
    <cellStyle name="Normal 3 55 2 7 4" xfId="11187" xr:uid="{00000000-0005-0000-0000-0000F0270000}"/>
    <cellStyle name="Normal 3 55 2 7 5" xfId="11188" xr:uid="{00000000-0005-0000-0000-0000F1270000}"/>
    <cellStyle name="Normal 3 55 2 8" xfId="2839" xr:uid="{00000000-0005-0000-0000-0000F2270000}"/>
    <cellStyle name="Normal 3 55 2 8 2" xfId="11189" xr:uid="{00000000-0005-0000-0000-0000F3270000}"/>
    <cellStyle name="Normal 3 55 2 8 2 2" xfId="11190" xr:uid="{00000000-0005-0000-0000-0000F4270000}"/>
    <cellStyle name="Normal 3 55 2 8 3" xfId="11191" xr:uid="{00000000-0005-0000-0000-0000F5270000}"/>
    <cellStyle name="Normal 3 55 2 8 3 2" xfId="11192" xr:uid="{00000000-0005-0000-0000-0000F6270000}"/>
    <cellStyle name="Normal 3 55 2 8 4" xfId="11193" xr:uid="{00000000-0005-0000-0000-0000F7270000}"/>
    <cellStyle name="Normal 3 55 2 8 5" xfId="11194" xr:uid="{00000000-0005-0000-0000-0000F8270000}"/>
    <cellStyle name="Normal 3 55 2 9" xfId="2840" xr:uid="{00000000-0005-0000-0000-0000F9270000}"/>
    <cellStyle name="Normal 3 55 2 9 2" xfId="11195" xr:uid="{00000000-0005-0000-0000-0000FA270000}"/>
    <cellStyle name="Normal 3 55 2 9 2 2" xfId="11196" xr:uid="{00000000-0005-0000-0000-0000FB270000}"/>
    <cellStyle name="Normal 3 55 2 9 3" xfId="11197" xr:uid="{00000000-0005-0000-0000-0000FC270000}"/>
    <cellStyle name="Normal 3 55 2 9 3 2" xfId="11198" xr:uid="{00000000-0005-0000-0000-0000FD270000}"/>
    <cellStyle name="Normal 3 55 2 9 4" xfId="11199" xr:uid="{00000000-0005-0000-0000-0000FE270000}"/>
    <cellStyle name="Normal 3 55 2 9 5" xfId="11200" xr:uid="{00000000-0005-0000-0000-0000FF270000}"/>
    <cellStyle name="Normal 3 55 3" xfId="2841" xr:uid="{00000000-0005-0000-0000-000000280000}"/>
    <cellStyle name="Normal 3 55 3 2" xfId="11201" xr:uid="{00000000-0005-0000-0000-000001280000}"/>
    <cellStyle name="Normal 3 55 3 2 2" xfId="11202" xr:uid="{00000000-0005-0000-0000-000002280000}"/>
    <cellStyle name="Normal 3 55 3 3" xfId="11203" xr:uid="{00000000-0005-0000-0000-000003280000}"/>
    <cellStyle name="Normal 3 55 3 3 2" xfId="11204" xr:uid="{00000000-0005-0000-0000-000004280000}"/>
    <cellStyle name="Normal 3 55 3 4" xfId="11205" xr:uid="{00000000-0005-0000-0000-000005280000}"/>
    <cellStyle name="Normal 3 55 3 5" xfId="11206" xr:uid="{00000000-0005-0000-0000-000006280000}"/>
    <cellStyle name="Normal 3 55 4" xfId="2842" xr:uid="{00000000-0005-0000-0000-000007280000}"/>
    <cellStyle name="Normal 3 55 4 2" xfId="11207" xr:uid="{00000000-0005-0000-0000-000008280000}"/>
    <cellStyle name="Normal 3 55 4 2 2" xfId="11208" xr:uid="{00000000-0005-0000-0000-000009280000}"/>
    <cellStyle name="Normal 3 55 4 3" xfId="11209" xr:uid="{00000000-0005-0000-0000-00000A280000}"/>
    <cellStyle name="Normal 3 55 4 3 2" xfId="11210" xr:uid="{00000000-0005-0000-0000-00000B280000}"/>
    <cellStyle name="Normal 3 55 4 4" xfId="11211" xr:uid="{00000000-0005-0000-0000-00000C280000}"/>
    <cellStyle name="Normal 3 55 4 5" xfId="11212" xr:uid="{00000000-0005-0000-0000-00000D280000}"/>
    <cellStyle name="Normal 3 55 5" xfId="2843" xr:uid="{00000000-0005-0000-0000-00000E280000}"/>
    <cellStyle name="Normal 3 55 5 2" xfId="11213" xr:uid="{00000000-0005-0000-0000-00000F280000}"/>
    <cellStyle name="Normal 3 55 5 2 2" xfId="11214" xr:uid="{00000000-0005-0000-0000-000010280000}"/>
    <cellStyle name="Normal 3 55 5 3" xfId="11215" xr:uid="{00000000-0005-0000-0000-000011280000}"/>
    <cellStyle name="Normal 3 55 5 3 2" xfId="11216" xr:uid="{00000000-0005-0000-0000-000012280000}"/>
    <cellStyle name="Normal 3 55 5 4" xfId="11217" xr:uid="{00000000-0005-0000-0000-000013280000}"/>
    <cellStyle name="Normal 3 55 5 5" xfId="11218" xr:uid="{00000000-0005-0000-0000-000014280000}"/>
    <cellStyle name="Normal 3 55 6" xfId="2844" xr:uid="{00000000-0005-0000-0000-000015280000}"/>
    <cellStyle name="Normal 3 55 6 2" xfId="11219" xr:uid="{00000000-0005-0000-0000-000016280000}"/>
    <cellStyle name="Normal 3 55 6 2 2" xfId="11220" xr:uid="{00000000-0005-0000-0000-000017280000}"/>
    <cellStyle name="Normal 3 55 6 3" xfId="11221" xr:uid="{00000000-0005-0000-0000-000018280000}"/>
    <cellStyle name="Normal 3 55 6 3 2" xfId="11222" xr:uid="{00000000-0005-0000-0000-000019280000}"/>
    <cellStyle name="Normal 3 55 6 4" xfId="11223" xr:uid="{00000000-0005-0000-0000-00001A280000}"/>
    <cellStyle name="Normal 3 55 6 5" xfId="11224" xr:uid="{00000000-0005-0000-0000-00001B280000}"/>
    <cellStyle name="Normal 3 55 7" xfId="2845" xr:uid="{00000000-0005-0000-0000-00001C280000}"/>
    <cellStyle name="Normal 3 55 7 2" xfId="11225" xr:uid="{00000000-0005-0000-0000-00001D280000}"/>
    <cellStyle name="Normal 3 55 7 2 2" xfId="11226" xr:uid="{00000000-0005-0000-0000-00001E280000}"/>
    <cellStyle name="Normal 3 55 7 3" xfId="11227" xr:uid="{00000000-0005-0000-0000-00001F280000}"/>
    <cellStyle name="Normal 3 55 7 3 2" xfId="11228" xr:uid="{00000000-0005-0000-0000-000020280000}"/>
    <cellStyle name="Normal 3 55 7 4" xfId="11229" xr:uid="{00000000-0005-0000-0000-000021280000}"/>
    <cellStyle name="Normal 3 55 7 5" xfId="11230" xr:uid="{00000000-0005-0000-0000-000022280000}"/>
    <cellStyle name="Normal 3 55 8" xfId="2846" xr:uid="{00000000-0005-0000-0000-000023280000}"/>
    <cellStyle name="Normal 3 55 8 2" xfId="11231" xr:uid="{00000000-0005-0000-0000-000024280000}"/>
    <cellStyle name="Normal 3 55 8 2 2" xfId="11232" xr:uid="{00000000-0005-0000-0000-000025280000}"/>
    <cellStyle name="Normal 3 55 8 3" xfId="11233" xr:uid="{00000000-0005-0000-0000-000026280000}"/>
    <cellStyle name="Normal 3 55 8 3 2" xfId="11234" xr:uid="{00000000-0005-0000-0000-000027280000}"/>
    <cellStyle name="Normal 3 55 8 4" xfId="11235" xr:uid="{00000000-0005-0000-0000-000028280000}"/>
    <cellStyle name="Normal 3 55 8 5" xfId="11236" xr:uid="{00000000-0005-0000-0000-000029280000}"/>
    <cellStyle name="Normal 3 55 9" xfId="2847" xr:uid="{00000000-0005-0000-0000-00002A280000}"/>
    <cellStyle name="Normal 3 55 9 2" xfId="11237" xr:uid="{00000000-0005-0000-0000-00002B280000}"/>
    <cellStyle name="Normal 3 55 9 2 2" xfId="11238" xr:uid="{00000000-0005-0000-0000-00002C280000}"/>
    <cellStyle name="Normal 3 55 9 3" xfId="11239" xr:uid="{00000000-0005-0000-0000-00002D280000}"/>
    <cellStyle name="Normal 3 55 9 3 2" xfId="11240" xr:uid="{00000000-0005-0000-0000-00002E280000}"/>
    <cellStyle name="Normal 3 55 9 4" xfId="11241" xr:uid="{00000000-0005-0000-0000-00002F280000}"/>
    <cellStyle name="Normal 3 55 9 5" xfId="11242" xr:uid="{00000000-0005-0000-0000-000030280000}"/>
    <cellStyle name="Normal 3 56" xfId="2848" xr:uid="{00000000-0005-0000-0000-000031280000}"/>
    <cellStyle name="Normal 3 56 10" xfId="2849" xr:uid="{00000000-0005-0000-0000-000032280000}"/>
    <cellStyle name="Normal 3 56 10 2" xfId="11243" xr:uid="{00000000-0005-0000-0000-000033280000}"/>
    <cellStyle name="Normal 3 56 10 2 2" xfId="11244" xr:uid="{00000000-0005-0000-0000-000034280000}"/>
    <cellStyle name="Normal 3 56 10 3" xfId="11245" xr:uid="{00000000-0005-0000-0000-000035280000}"/>
    <cellStyle name="Normal 3 56 10 3 2" xfId="11246" xr:uid="{00000000-0005-0000-0000-000036280000}"/>
    <cellStyle name="Normal 3 56 10 4" xfId="11247" xr:uid="{00000000-0005-0000-0000-000037280000}"/>
    <cellStyle name="Normal 3 56 10 5" xfId="11248" xr:uid="{00000000-0005-0000-0000-000038280000}"/>
    <cellStyle name="Normal 3 56 11" xfId="2850" xr:uid="{00000000-0005-0000-0000-000039280000}"/>
    <cellStyle name="Normal 3 56 11 2" xfId="11249" xr:uid="{00000000-0005-0000-0000-00003A280000}"/>
    <cellStyle name="Normal 3 56 11 2 2" xfId="11250" xr:uid="{00000000-0005-0000-0000-00003B280000}"/>
    <cellStyle name="Normal 3 56 11 3" xfId="11251" xr:uid="{00000000-0005-0000-0000-00003C280000}"/>
    <cellStyle name="Normal 3 56 11 3 2" xfId="11252" xr:uid="{00000000-0005-0000-0000-00003D280000}"/>
    <cellStyle name="Normal 3 56 11 4" xfId="11253" xr:uid="{00000000-0005-0000-0000-00003E280000}"/>
    <cellStyle name="Normal 3 56 11 5" xfId="11254" xr:uid="{00000000-0005-0000-0000-00003F280000}"/>
    <cellStyle name="Normal 3 56 12" xfId="2851" xr:uid="{00000000-0005-0000-0000-000040280000}"/>
    <cellStyle name="Normal 3 56 12 2" xfId="11255" xr:uid="{00000000-0005-0000-0000-000041280000}"/>
    <cellStyle name="Normal 3 56 12 2 2" xfId="11256" xr:uid="{00000000-0005-0000-0000-000042280000}"/>
    <cellStyle name="Normal 3 56 12 3" xfId="11257" xr:uid="{00000000-0005-0000-0000-000043280000}"/>
    <cellStyle name="Normal 3 56 12 3 2" xfId="11258" xr:uid="{00000000-0005-0000-0000-000044280000}"/>
    <cellStyle name="Normal 3 56 12 4" xfId="11259" xr:uid="{00000000-0005-0000-0000-000045280000}"/>
    <cellStyle name="Normal 3 56 12 5" xfId="11260" xr:uid="{00000000-0005-0000-0000-000046280000}"/>
    <cellStyle name="Normal 3 56 13" xfId="2852" xr:uid="{00000000-0005-0000-0000-000047280000}"/>
    <cellStyle name="Normal 3 56 13 2" xfId="11261" xr:uid="{00000000-0005-0000-0000-000048280000}"/>
    <cellStyle name="Normal 3 56 13 2 2" xfId="11262" xr:uid="{00000000-0005-0000-0000-000049280000}"/>
    <cellStyle name="Normal 3 56 13 3" xfId="11263" xr:uid="{00000000-0005-0000-0000-00004A280000}"/>
    <cellStyle name="Normal 3 56 13 3 2" xfId="11264" xr:uid="{00000000-0005-0000-0000-00004B280000}"/>
    <cellStyle name="Normal 3 56 13 4" xfId="11265" xr:uid="{00000000-0005-0000-0000-00004C280000}"/>
    <cellStyle name="Normal 3 56 13 5" xfId="11266" xr:uid="{00000000-0005-0000-0000-00004D280000}"/>
    <cellStyle name="Normal 3 56 14" xfId="11267" xr:uid="{00000000-0005-0000-0000-00004E280000}"/>
    <cellStyle name="Normal 3 56 14 2" xfId="11268" xr:uid="{00000000-0005-0000-0000-00004F280000}"/>
    <cellStyle name="Normal 3 56 15" xfId="11269" xr:uid="{00000000-0005-0000-0000-000050280000}"/>
    <cellStyle name="Normal 3 56 15 2" xfId="11270" xr:uid="{00000000-0005-0000-0000-000051280000}"/>
    <cellStyle name="Normal 3 56 16" xfId="11271" xr:uid="{00000000-0005-0000-0000-000052280000}"/>
    <cellStyle name="Normal 3 56 17" xfId="11272" xr:uid="{00000000-0005-0000-0000-000053280000}"/>
    <cellStyle name="Normal 3 56 2" xfId="2853" xr:uid="{00000000-0005-0000-0000-000054280000}"/>
    <cellStyle name="Normal 3 56 2 10" xfId="2854" xr:uid="{00000000-0005-0000-0000-000055280000}"/>
    <cellStyle name="Normal 3 56 2 10 2" xfId="11273" xr:uid="{00000000-0005-0000-0000-000056280000}"/>
    <cellStyle name="Normal 3 56 2 10 2 2" xfId="11274" xr:uid="{00000000-0005-0000-0000-000057280000}"/>
    <cellStyle name="Normal 3 56 2 10 3" xfId="11275" xr:uid="{00000000-0005-0000-0000-000058280000}"/>
    <cellStyle name="Normal 3 56 2 10 3 2" xfId="11276" xr:uid="{00000000-0005-0000-0000-000059280000}"/>
    <cellStyle name="Normal 3 56 2 10 4" xfId="11277" xr:uid="{00000000-0005-0000-0000-00005A280000}"/>
    <cellStyle name="Normal 3 56 2 10 5" xfId="11278" xr:uid="{00000000-0005-0000-0000-00005B280000}"/>
    <cellStyle name="Normal 3 56 2 11" xfId="2855" xr:uid="{00000000-0005-0000-0000-00005C280000}"/>
    <cellStyle name="Normal 3 56 2 11 2" xfId="11279" xr:uid="{00000000-0005-0000-0000-00005D280000}"/>
    <cellStyle name="Normal 3 56 2 11 2 2" xfId="11280" xr:uid="{00000000-0005-0000-0000-00005E280000}"/>
    <cellStyle name="Normal 3 56 2 11 3" xfId="11281" xr:uid="{00000000-0005-0000-0000-00005F280000}"/>
    <cellStyle name="Normal 3 56 2 11 3 2" xfId="11282" xr:uid="{00000000-0005-0000-0000-000060280000}"/>
    <cellStyle name="Normal 3 56 2 11 4" xfId="11283" xr:uid="{00000000-0005-0000-0000-000061280000}"/>
    <cellStyle name="Normal 3 56 2 11 5" xfId="11284" xr:uid="{00000000-0005-0000-0000-000062280000}"/>
    <cellStyle name="Normal 3 56 2 12" xfId="2856" xr:uid="{00000000-0005-0000-0000-000063280000}"/>
    <cellStyle name="Normal 3 56 2 12 2" xfId="11285" xr:uid="{00000000-0005-0000-0000-000064280000}"/>
    <cellStyle name="Normal 3 56 2 12 2 2" xfId="11286" xr:uid="{00000000-0005-0000-0000-000065280000}"/>
    <cellStyle name="Normal 3 56 2 12 3" xfId="11287" xr:uid="{00000000-0005-0000-0000-000066280000}"/>
    <cellStyle name="Normal 3 56 2 12 3 2" xfId="11288" xr:uid="{00000000-0005-0000-0000-000067280000}"/>
    <cellStyle name="Normal 3 56 2 12 4" xfId="11289" xr:uid="{00000000-0005-0000-0000-000068280000}"/>
    <cellStyle name="Normal 3 56 2 12 5" xfId="11290" xr:uid="{00000000-0005-0000-0000-000069280000}"/>
    <cellStyle name="Normal 3 56 2 13" xfId="11291" xr:uid="{00000000-0005-0000-0000-00006A280000}"/>
    <cellStyle name="Normal 3 56 2 13 2" xfId="11292" xr:uid="{00000000-0005-0000-0000-00006B280000}"/>
    <cellStyle name="Normal 3 56 2 14" xfId="11293" xr:uid="{00000000-0005-0000-0000-00006C280000}"/>
    <cellStyle name="Normal 3 56 2 14 2" xfId="11294" xr:uid="{00000000-0005-0000-0000-00006D280000}"/>
    <cellStyle name="Normal 3 56 2 15" xfId="11295" xr:uid="{00000000-0005-0000-0000-00006E280000}"/>
    <cellStyle name="Normal 3 56 2 16" xfId="11296" xr:uid="{00000000-0005-0000-0000-00006F280000}"/>
    <cellStyle name="Normal 3 56 2 2" xfId="2857" xr:uid="{00000000-0005-0000-0000-000070280000}"/>
    <cellStyle name="Normal 3 56 2 2 2" xfId="11297" xr:uid="{00000000-0005-0000-0000-000071280000}"/>
    <cellStyle name="Normal 3 56 2 2 2 2" xfId="11298" xr:uid="{00000000-0005-0000-0000-000072280000}"/>
    <cellStyle name="Normal 3 56 2 2 3" xfId="11299" xr:uid="{00000000-0005-0000-0000-000073280000}"/>
    <cellStyle name="Normal 3 56 2 2 3 2" xfId="11300" xr:uid="{00000000-0005-0000-0000-000074280000}"/>
    <cellStyle name="Normal 3 56 2 2 4" xfId="11301" xr:uid="{00000000-0005-0000-0000-000075280000}"/>
    <cellStyle name="Normal 3 56 2 2 5" xfId="11302" xr:uid="{00000000-0005-0000-0000-000076280000}"/>
    <cellStyle name="Normal 3 56 2 3" xfId="2858" xr:uid="{00000000-0005-0000-0000-000077280000}"/>
    <cellStyle name="Normal 3 56 2 3 2" xfId="11303" xr:uid="{00000000-0005-0000-0000-000078280000}"/>
    <cellStyle name="Normal 3 56 2 3 2 2" xfId="11304" xr:uid="{00000000-0005-0000-0000-000079280000}"/>
    <cellStyle name="Normal 3 56 2 3 3" xfId="11305" xr:uid="{00000000-0005-0000-0000-00007A280000}"/>
    <cellStyle name="Normal 3 56 2 3 3 2" xfId="11306" xr:uid="{00000000-0005-0000-0000-00007B280000}"/>
    <cellStyle name="Normal 3 56 2 3 4" xfId="11307" xr:uid="{00000000-0005-0000-0000-00007C280000}"/>
    <cellStyle name="Normal 3 56 2 3 5" xfId="11308" xr:uid="{00000000-0005-0000-0000-00007D280000}"/>
    <cellStyle name="Normal 3 56 2 4" xfId="2859" xr:uid="{00000000-0005-0000-0000-00007E280000}"/>
    <cellStyle name="Normal 3 56 2 4 2" xfId="11309" xr:uid="{00000000-0005-0000-0000-00007F280000}"/>
    <cellStyle name="Normal 3 56 2 4 2 2" xfId="11310" xr:uid="{00000000-0005-0000-0000-000080280000}"/>
    <cellStyle name="Normal 3 56 2 4 3" xfId="11311" xr:uid="{00000000-0005-0000-0000-000081280000}"/>
    <cellStyle name="Normal 3 56 2 4 3 2" xfId="11312" xr:uid="{00000000-0005-0000-0000-000082280000}"/>
    <cellStyle name="Normal 3 56 2 4 4" xfId="11313" xr:uid="{00000000-0005-0000-0000-000083280000}"/>
    <cellStyle name="Normal 3 56 2 4 5" xfId="11314" xr:uid="{00000000-0005-0000-0000-000084280000}"/>
    <cellStyle name="Normal 3 56 2 5" xfId="2860" xr:uid="{00000000-0005-0000-0000-000085280000}"/>
    <cellStyle name="Normal 3 56 2 5 2" xfId="11315" xr:uid="{00000000-0005-0000-0000-000086280000}"/>
    <cellStyle name="Normal 3 56 2 5 2 2" xfId="11316" xr:uid="{00000000-0005-0000-0000-000087280000}"/>
    <cellStyle name="Normal 3 56 2 5 3" xfId="11317" xr:uid="{00000000-0005-0000-0000-000088280000}"/>
    <cellStyle name="Normal 3 56 2 5 3 2" xfId="11318" xr:uid="{00000000-0005-0000-0000-000089280000}"/>
    <cellStyle name="Normal 3 56 2 5 4" xfId="11319" xr:uid="{00000000-0005-0000-0000-00008A280000}"/>
    <cellStyle name="Normal 3 56 2 5 5" xfId="11320" xr:uid="{00000000-0005-0000-0000-00008B280000}"/>
    <cellStyle name="Normal 3 56 2 6" xfId="2861" xr:uid="{00000000-0005-0000-0000-00008C280000}"/>
    <cellStyle name="Normal 3 56 2 6 2" xfId="11321" xr:uid="{00000000-0005-0000-0000-00008D280000}"/>
    <cellStyle name="Normal 3 56 2 6 2 2" xfId="11322" xr:uid="{00000000-0005-0000-0000-00008E280000}"/>
    <cellStyle name="Normal 3 56 2 6 3" xfId="11323" xr:uid="{00000000-0005-0000-0000-00008F280000}"/>
    <cellStyle name="Normal 3 56 2 6 3 2" xfId="11324" xr:uid="{00000000-0005-0000-0000-000090280000}"/>
    <cellStyle name="Normal 3 56 2 6 4" xfId="11325" xr:uid="{00000000-0005-0000-0000-000091280000}"/>
    <cellStyle name="Normal 3 56 2 6 5" xfId="11326" xr:uid="{00000000-0005-0000-0000-000092280000}"/>
    <cellStyle name="Normal 3 56 2 7" xfId="2862" xr:uid="{00000000-0005-0000-0000-000093280000}"/>
    <cellStyle name="Normal 3 56 2 7 2" xfId="11327" xr:uid="{00000000-0005-0000-0000-000094280000}"/>
    <cellStyle name="Normal 3 56 2 7 2 2" xfId="11328" xr:uid="{00000000-0005-0000-0000-000095280000}"/>
    <cellStyle name="Normal 3 56 2 7 3" xfId="11329" xr:uid="{00000000-0005-0000-0000-000096280000}"/>
    <cellStyle name="Normal 3 56 2 7 3 2" xfId="11330" xr:uid="{00000000-0005-0000-0000-000097280000}"/>
    <cellStyle name="Normal 3 56 2 7 4" xfId="11331" xr:uid="{00000000-0005-0000-0000-000098280000}"/>
    <cellStyle name="Normal 3 56 2 7 5" xfId="11332" xr:uid="{00000000-0005-0000-0000-000099280000}"/>
    <cellStyle name="Normal 3 56 2 8" xfId="2863" xr:uid="{00000000-0005-0000-0000-00009A280000}"/>
    <cellStyle name="Normal 3 56 2 8 2" xfId="11333" xr:uid="{00000000-0005-0000-0000-00009B280000}"/>
    <cellStyle name="Normal 3 56 2 8 2 2" xfId="11334" xr:uid="{00000000-0005-0000-0000-00009C280000}"/>
    <cellStyle name="Normal 3 56 2 8 3" xfId="11335" xr:uid="{00000000-0005-0000-0000-00009D280000}"/>
    <cellStyle name="Normal 3 56 2 8 3 2" xfId="11336" xr:uid="{00000000-0005-0000-0000-00009E280000}"/>
    <cellStyle name="Normal 3 56 2 8 4" xfId="11337" xr:uid="{00000000-0005-0000-0000-00009F280000}"/>
    <cellStyle name="Normal 3 56 2 8 5" xfId="11338" xr:uid="{00000000-0005-0000-0000-0000A0280000}"/>
    <cellStyle name="Normal 3 56 2 9" xfId="2864" xr:uid="{00000000-0005-0000-0000-0000A1280000}"/>
    <cellStyle name="Normal 3 56 2 9 2" xfId="11339" xr:uid="{00000000-0005-0000-0000-0000A2280000}"/>
    <cellStyle name="Normal 3 56 2 9 2 2" xfId="11340" xr:uid="{00000000-0005-0000-0000-0000A3280000}"/>
    <cellStyle name="Normal 3 56 2 9 3" xfId="11341" xr:uid="{00000000-0005-0000-0000-0000A4280000}"/>
    <cellStyle name="Normal 3 56 2 9 3 2" xfId="11342" xr:uid="{00000000-0005-0000-0000-0000A5280000}"/>
    <cellStyle name="Normal 3 56 2 9 4" xfId="11343" xr:uid="{00000000-0005-0000-0000-0000A6280000}"/>
    <cellStyle name="Normal 3 56 2 9 5" xfId="11344" xr:uid="{00000000-0005-0000-0000-0000A7280000}"/>
    <cellStyle name="Normal 3 56 3" xfId="2865" xr:uid="{00000000-0005-0000-0000-0000A8280000}"/>
    <cellStyle name="Normal 3 56 3 2" xfId="11345" xr:uid="{00000000-0005-0000-0000-0000A9280000}"/>
    <cellStyle name="Normal 3 56 3 2 2" xfId="11346" xr:uid="{00000000-0005-0000-0000-0000AA280000}"/>
    <cellStyle name="Normal 3 56 3 3" xfId="11347" xr:uid="{00000000-0005-0000-0000-0000AB280000}"/>
    <cellStyle name="Normal 3 56 3 3 2" xfId="11348" xr:uid="{00000000-0005-0000-0000-0000AC280000}"/>
    <cellStyle name="Normal 3 56 3 4" xfId="11349" xr:uid="{00000000-0005-0000-0000-0000AD280000}"/>
    <cellStyle name="Normal 3 56 3 5" xfId="11350" xr:uid="{00000000-0005-0000-0000-0000AE280000}"/>
    <cellStyle name="Normal 3 56 4" xfId="2866" xr:uid="{00000000-0005-0000-0000-0000AF280000}"/>
    <cellStyle name="Normal 3 56 4 2" xfId="11351" xr:uid="{00000000-0005-0000-0000-0000B0280000}"/>
    <cellStyle name="Normal 3 56 4 2 2" xfId="11352" xr:uid="{00000000-0005-0000-0000-0000B1280000}"/>
    <cellStyle name="Normal 3 56 4 3" xfId="11353" xr:uid="{00000000-0005-0000-0000-0000B2280000}"/>
    <cellStyle name="Normal 3 56 4 3 2" xfId="11354" xr:uid="{00000000-0005-0000-0000-0000B3280000}"/>
    <cellStyle name="Normal 3 56 4 4" xfId="11355" xr:uid="{00000000-0005-0000-0000-0000B4280000}"/>
    <cellStyle name="Normal 3 56 4 5" xfId="11356" xr:uid="{00000000-0005-0000-0000-0000B5280000}"/>
    <cellStyle name="Normal 3 56 5" xfId="2867" xr:uid="{00000000-0005-0000-0000-0000B6280000}"/>
    <cellStyle name="Normal 3 56 5 2" xfId="11357" xr:uid="{00000000-0005-0000-0000-0000B7280000}"/>
    <cellStyle name="Normal 3 56 5 2 2" xfId="11358" xr:uid="{00000000-0005-0000-0000-0000B8280000}"/>
    <cellStyle name="Normal 3 56 5 3" xfId="11359" xr:uid="{00000000-0005-0000-0000-0000B9280000}"/>
    <cellStyle name="Normal 3 56 5 3 2" xfId="11360" xr:uid="{00000000-0005-0000-0000-0000BA280000}"/>
    <cellStyle name="Normal 3 56 5 4" xfId="11361" xr:uid="{00000000-0005-0000-0000-0000BB280000}"/>
    <cellStyle name="Normal 3 56 5 5" xfId="11362" xr:uid="{00000000-0005-0000-0000-0000BC280000}"/>
    <cellStyle name="Normal 3 56 6" xfId="2868" xr:uid="{00000000-0005-0000-0000-0000BD280000}"/>
    <cellStyle name="Normal 3 56 6 2" xfId="11363" xr:uid="{00000000-0005-0000-0000-0000BE280000}"/>
    <cellStyle name="Normal 3 56 6 2 2" xfId="11364" xr:uid="{00000000-0005-0000-0000-0000BF280000}"/>
    <cellStyle name="Normal 3 56 6 3" xfId="11365" xr:uid="{00000000-0005-0000-0000-0000C0280000}"/>
    <cellStyle name="Normal 3 56 6 3 2" xfId="11366" xr:uid="{00000000-0005-0000-0000-0000C1280000}"/>
    <cellStyle name="Normal 3 56 6 4" xfId="11367" xr:uid="{00000000-0005-0000-0000-0000C2280000}"/>
    <cellStyle name="Normal 3 56 6 5" xfId="11368" xr:uid="{00000000-0005-0000-0000-0000C3280000}"/>
    <cellStyle name="Normal 3 56 7" xfId="2869" xr:uid="{00000000-0005-0000-0000-0000C4280000}"/>
    <cellStyle name="Normal 3 56 7 2" xfId="11369" xr:uid="{00000000-0005-0000-0000-0000C5280000}"/>
    <cellStyle name="Normal 3 56 7 2 2" xfId="11370" xr:uid="{00000000-0005-0000-0000-0000C6280000}"/>
    <cellStyle name="Normal 3 56 7 3" xfId="11371" xr:uid="{00000000-0005-0000-0000-0000C7280000}"/>
    <cellStyle name="Normal 3 56 7 3 2" xfId="11372" xr:uid="{00000000-0005-0000-0000-0000C8280000}"/>
    <cellStyle name="Normal 3 56 7 4" xfId="11373" xr:uid="{00000000-0005-0000-0000-0000C9280000}"/>
    <cellStyle name="Normal 3 56 7 5" xfId="11374" xr:uid="{00000000-0005-0000-0000-0000CA280000}"/>
    <cellStyle name="Normal 3 56 8" xfId="2870" xr:uid="{00000000-0005-0000-0000-0000CB280000}"/>
    <cellStyle name="Normal 3 56 8 2" xfId="11375" xr:uid="{00000000-0005-0000-0000-0000CC280000}"/>
    <cellStyle name="Normal 3 56 8 2 2" xfId="11376" xr:uid="{00000000-0005-0000-0000-0000CD280000}"/>
    <cellStyle name="Normal 3 56 8 3" xfId="11377" xr:uid="{00000000-0005-0000-0000-0000CE280000}"/>
    <cellStyle name="Normal 3 56 8 3 2" xfId="11378" xr:uid="{00000000-0005-0000-0000-0000CF280000}"/>
    <cellStyle name="Normal 3 56 8 4" xfId="11379" xr:uid="{00000000-0005-0000-0000-0000D0280000}"/>
    <cellStyle name="Normal 3 56 8 5" xfId="11380" xr:uid="{00000000-0005-0000-0000-0000D1280000}"/>
    <cellStyle name="Normal 3 56 9" xfId="2871" xr:uid="{00000000-0005-0000-0000-0000D2280000}"/>
    <cellStyle name="Normal 3 56 9 2" xfId="11381" xr:uid="{00000000-0005-0000-0000-0000D3280000}"/>
    <cellStyle name="Normal 3 56 9 2 2" xfId="11382" xr:uid="{00000000-0005-0000-0000-0000D4280000}"/>
    <cellStyle name="Normal 3 56 9 3" xfId="11383" xr:uid="{00000000-0005-0000-0000-0000D5280000}"/>
    <cellStyle name="Normal 3 56 9 3 2" xfId="11384" xr:uid="{00000000-0005-0000-0000-0000D6280000}"/>
    <cellStyle name="Normal 3 56 9 4" xfId="11385" xr:uid="{00000000-0005-0000-0000-0000D7280000}"/>
    <cellStyle name="Normal 3 56 9 5" xfId="11386" xr:uid="{00000000-0005-0000-0000-0000D8280000}"/>
    <cellStyle name="Normal 3 57" xfId="2872" xr:uid="{00000000-0005-0000-0000-0000D9280000}"/>
    <cellStyle name="Normal 3 57 10" xfId="2873" xr:uid="{00000000-0005-0000-0000-0000DA280000}"/>
    <cellStyle name="Normal 3 57 10 2" xfId="11387" xr:uid="{00000000-0005-0000-0000-0000DB280000}"/>
    <cellStyle name="Normal 3 57 10 2 2" xfId="11388" xr:uid="{00000000-0005-0000-0000-0000DC280000}"/>
    <cellStyle name="Normal 3 57 10 3" xfId="11389" xr:uid="{00000000-0005-0000-0000-0000DD280000}"/>
    <cellStyle name="Normal 3 57 10 3 2" xfId="11390" xr:uid="{00000000-0005-0000-0000-0000DE280000}"/>
    <cellStyle name="Normal 3 57 10 4" xfId="11391" xr:uid="{00000000-0005-0000-0000-0000DF280000}"/>
    <cellStyle name="Normal 3 57 10 5" xfId="11392" xr:uid="{00000000-0005-0000-0000-0000E0280000}"/>
    <cellStyle name="Normal 3 57 11" xfId="2874" xr:uid="{00000000-0005-0000-0000-0000E1280000}"/>
    <cellStyle name="Normal 3 57 11 2" xfId="11393" xr:uid="{00000000-0005-0000-0000-0000E2280000}"/>
    <cellStyle name="Normal 3 57 11 2 2" xfId="11394" xr:uid="{00000000-0005-0000-0000-0000E3280000}"/>
    <cellStyle name="Normal 3 57 11 3" xfId="11395" xr:uid="{00000000-0005-0000-0000-0000E4280000}"/>
    <cellStyle name="Normal 3 57 11 3 2" xfId="11396" xr:uid="{00000000-0005-0000-0000-0000E5280000}"/>
    <cellStyle name="Normal 3 57 11 4" xfId="11397" xr:uid="{00000000-0005-0000-0000-0000E6280000}"/>
    <cellStyle name="Normal 3 57 11 5" xfId="11398" xr:uid="{00000000-0005-0000-0000-0000E7280000}"/>
    <cellStyle name="Normal 3 57 12" xfId="2875" xr:uid="{00000000-0005-0000-0000-0000E8280000}"/>
    <cellStyle name="Normal 3 57 12 2" xfId="11399" xr:uid="{00000000-0005-0000-0000-0000E9280000}"/>
    <cellStyle name="Normal 3 57 12 2 2" xfId="11400" xr:uid="{00000000-0005-0000-0000-0000EA280000}"/>
    <cellStyle name="Normal 3 57 12 3" xfId="11401" xr:uid="{00000000-0005-0000-0000-0000EB280000}"/>
    <cellStyle name="Normal 3 57 12 3 2" xfId="11402" xr:uid="{00000000-0005-0000-0000-0000EC280000}"/>
    <cellStyle name="Normal 3 57 12 4" xfId="11403" xr:uid="{00000000-0005-0000-0000-0000ED280000}"/>
    <cellStyle name="Normal 3 57 12 5" xfId="11404" xr:uid="{00000000-0005-0000-0000-0000EE280000}"/>
    <cellStyle name="Normal 3 57 13" xfId="2876" xr:uid="{00000000-0005-0000-0000-0000EF280000}"/>
    <cellStyle name="Normal 3 57 13 2" xfId="11405" xr:uid="{00000000-0005-0000-0000-0000F0280000}"/>
    <cellStyle name="Normal 3 57 13 2 2" xfId="11406" xr:uid="{00000000-0005-0000-0000-0000F1280000}"/>
    <cellStyle name="Normal 3 57 13 3" xfId="11407" xr:uid="{00000000-0005-0000-0000-0000F2280000}"/>
    <cellStyle name="Normal 3 57 13 3 2" xfId="11408" xr:uid="{00000000-0005-0000-0000-0000F3280000}"/>
    <cellStyle name="Normal 3 57 13 4" xfId="11409" xr:uid="{00000000-0005-0000-0000-0000F4280000}"/>
    <cellStyle name="Normal 3 57 13 5" xfId="11410" xr:uid="{00000000-0005-0000-0000-0000F5280000}"/>
    <cellStyle name="Normal 3 57 14" xfId="11411" xr:uid="{00000000-0005-0000-0000-0000F6280000}"/>
    <cellStyle name="Normal 3 57 14 2" xfId="11412" xr:uid="{00000000-0005-0000-0000-0000F7280000}"/>
    <cellStyle name="Normal 3 57 15" xfId="11413" xr:uid="{00000000-0005-0000-0000-0000F8280000}"/>
    <cellStyle name="Normal 3 57 15 2" xfId="11414" xr:uid="{00000000-0005-0000-0000-0000F9280000}"/>
    <cellStyle name="Normal 3 57 16" xfId="11415" xr:uid="{00000000-0005-0000-0000-0000FA280000}"/>
    <cellStyle name="Normal 3 57 17" xfId="11416" xr:uid="{00000000-0005-0000-0000-0000FB280000}"/>
    <cellStyle name="Normal 3 57 2" xfId="2877" xr:uid="{00000000-0005-0000-0000-0000FC280000}"/>
    <cellStyle name="Normal 3 57 2 10" xfId="2878" xr:uid="{00000000-0005-0000-0000-0000FD280000}"/>
    <cellStyle name="Normal 3 57 2 10 2" xfId="11417" xr:uid="{00000000-0005-0000-0000-0000FE280000}"/>
    <cellStyle name="Normal 3 57 2 10 2 2" xfId="11418" xr:uid="{00000000-0005-0000-0000-0000FF280000}"/>
    <cellStyle name="Normal 3 57 2 10 3" xfId="11419" xr:uid="{00000000-0005-0000-0000-000000290000}"/>
    <cellStyle name="Normal 3 57 2 10 3 2" xfId="11420" xr:uid="{00000000-0005-0000-0000-000001290000}"/>
    <cellStyle name="Normal 3 57 2 10 4" xfId="11421" xr:uid="{00000000-0005-0000-0000-000002290000}"/>
    <cellStyle name="Normal 3 57 2 10 5" xfId="11422" xr:uid="{00000000-0005-0000-0000-000003290000}"/>
    <cellStyle name="Normal 3 57 2 11" xfId="2879" xr:uid="{00000000-0005-0000-0000-000004290000}"/>
    <cellStyle name="Normal 3 57 2 11 2" xfId="11423" xr:uid="{00000000-0005-0000-0000-000005290000}"/>
    <cellStyle name="Normal 3 57 2 11 2 2" xfId="11424" xr:uid="{00000000-0005-0000-0000-000006290000}"/>
    <cellStyle name="Normal 3 57 2 11 3" xfId="11425" xr:uid="{00000000-0005-0000-0000-000007290000}"/>
    <cellStyle name="Normal 3 57 2 11 3 2" xfId="11426" xr:uid="{00000000-0005-0000-0000-000008290000}"/>
    <cellStyle name="Normal 3 57 2 11 4" xfId="11427" xr:uid="{00000000-0005-0000-0000-000009290000}"/>
    <cellStyle name="Normal 3 57 2 11 5" xfId="11428" xr:uid="{00000000-0005-0000-0000-00000A290000}"/>
    <cellStyle name="Normal 3 57 2 12" xfId="2880" xr:uid="{00000000-0005-0000-0000-00000B290000}"/>
    <cellStyle name="Normal 3 57 2 12 2" xfId="11429" xr:uid="{00000000-0005-0000-0000-00000C290000}"/>
    <cellStyle name="Normal 3 57 2 12 2 2" xfId="11430" xr:uid="{00000000-0005-0000-0000-00000D290000}"/>
    <cellStyle name="Normal 3 57 2 12 3" xfId="11431" xr:uid="{00000000-0005-0000-0000-00000E290000}"/>
    <cellStyle name="Normal 3 57 2 12 3 2" xfId="11432" xr:uid="{00000000-0005-0000-0000-00000F290000}"/>
    <cellStyle name="Normal 3 57 2 12 4" xfId="11433" xr:uid="{00000000-0005-0000-0000-000010290000}"/>
    <cellStyle name="Normal 3 57 2 12 5" xfId="11434" xr:uid="{00000000-0005-0000-0000-000011290000}"/>
    <cellStyle name="Normal 3 57 2 13" xfId="11435" xr:uid="{00000000-0005-0000-0000-000012290000}"/>
    <cellStyle name="Normal 3 57 2 13 2" xfId="11436" xr:uid="{00000000-0005-0000-0000-000013290000}"/>
    <cellStyle name="Normal 3 57 2 14" xfId="11437" xr:uid="{00000000-0005-0000-0000-000014290000}"/>
    <cellStyle name="Normal 3 57 2 14 2" xfId="11438" xr:uid="{00000000-0005-0000-0000-000015290000}"/>
    <cellStyle name="Normal 3 57 2 15" xfId="11439" xr:uid="{00000000-0005-0000-0000-000016290000}"/>
    <cellStyle name="Normal 3 57 2 16" xfId="11440" xr:uid="{00000000-0005-0000-0000-000017290000}"/>
    <cellStyle name="Normal 3 57 2 2" xfId="2881" xr:uid="{00000000-0005-0000-0000-000018290000}"/>
    <cellStyle name="Normal 3 57 2 2 2" xfId="11441" xr:uid="{00000000-0005-0000-0000-000019290000}"/>
    <cellStyle name="Normal 3 57 2 2 2 2" xfId="11442" xr:uid="{00000000-0005-0000-0000-00001A290000}"/>
    <cellStyle name="Normal 3 57 2 2 3" xfId="11443" xr:uid="{00000000-0005-0000-0000-00001B290000}"/>
    <cellStyle name="Normal 3 57 2 2 3 2" xfId="11444" xr:uid="{00000000-0005-0000-0000-00001C290000}"/>
    <cellStyle name="Normal 3 57 2 2 4" xfId="11445" xr:uid="{00000000-0005-0000-0000-00001D290000}"/>
    <cellStyle name="Normal 3 57 2 2 5" xfId="11446" xr:uid="{00000000-0005-0000-0000-00001E290000}"/>
    <cellStyle name="Normal 3 57 2 3" xfId="2882" xr:uid="{00000000-0005-0000-0000-00001F290000}"/>
    <cellStyle name="Normal 3 57 2 3 2" xfId="11447" xr:uid="{00000000-0005-0000-0000-000020290000}"/>
    <cellStyle name="Normal 3 57 2 3 2 2" xfId="11448" xr:uid="{00000000-0005-0000-0000-000021290000}"/>
    <cellStyle name="Normal 3 57 2 3 3" xfId="11449" xr:uid="{00000000-0005-0000-0000-000022290000}"/>
    <cellStyle name="Normal 3 57 2 3 3 2" xfId="11450" xr:uid="{00000000-0005-0000-0000-000023290000}"/>
    <cellStyle name="Normal 3 57 2 3 4" xfId="11451" xr:uid="{00000000-0005-0000-0000-000024290000}"/>
    <cellStyle name="Normal 3 57 2 3 5" xfId="11452" xr:uid="{00000000-0005-0000-0000-000025290000}"/>
    <cellStyle name="Normal 3 57 2 4" xfId="2883" xr:uid="{00000000-0005-0000-0000-000026290000}"/>
    <cellStyle name="Normal 3 57 2 4 2" xfId="11453" xr:uid="{00000000-0005-0000-0000-000027290000}"/>
    <cellStyle name="Normal 3 57 2 4 2 2" xfId="11454" xr:uid="{00000000-0005-0000-0000-000028290000}"/>
    <cellStyle name="Normal 3 57 2 4 3" xfId="11455" xr:uid="{00000000-0005-0000-0000-000029290000}"/>
    <cellStyle name="Normal 3 57 2 4 3 2" xfId="11456" xr:uid="{00000000-0005-0000-0000-00002A290000}"/>
    <cellStyle name="Normal 3 57 2 4 4" xfId="11457" xr:uid="{00000000-0005-0000-0000-00002B290000}"/>
    <cellStyle name="Normal 3 57 2 4 5" xfId="11458" xr:uid="{00000000-0005-0000-0000-00002C290000}"/>
    <cellStyle name="Normal 3 57 2 5" xfId="2884" xr:uid="{00000000-0005-0000-0000-00002D290000}"/>
    <cellStyle name="Normal 3 57 2 5 2" xfId="11459" xr:uid="{00000000-0005-0000-0000-00002E290000}"/>
    <cellStyle name="Normal 3 57 2 5 2 2" xfId="11460" xr:uid="{00000000-0005-0000-0000-00002F290000}"/>
    <cellStyle name="Normal 3 57 2 5 3" xfId="11461" xr:uid="{00000000-0005-0000-0000-000030290000}"/>
    <cellStyle name="Normal 3 57 2 5 3 2" xfId="11462" xr:uid="{00000000-0005-0000-0000-000031290000}"/>
    <cellStyle name="Normal 3 57 2 5 4" xfId="11463" xr:uid="{00000000-0005-0000-0000-000032290000}"/>
    <cellStyle name="Normal 3 57 2 5 5" xfId="11464" xr:uid="{00000000-0005-0000-0000-000033290000}"/>
    <cellStyle name="Normal 3 57 2 6" xfId="2885" xr:uid="{00000000-0005-0000-0000-000034290000}"/>
    <cellStyle name="Normal 3 57 2 6 2" xfId="11465" xr:uid="{00000000-0005-0000-0000-000035290000}"/>
    <cellStyle name="Normal 3 57 2 6 2 2" xfId="11466" xr:uid="{00000000-0005-0000-0000-000036290000}"/>
    <cellStyle name="Normal 3 57 2 6 3" xfId="11467" xr:uid="{00000000-0005-0000-0000-000037290000}"/>
    <cellStyle name="Normal 3 57 2 6 3 2" xfId="11468" xr:uid="{00000000-0005-0000-0000-000038290000}"/>
    <cellStyle name="Normal 3 57 2 6 4" xfId="11469" xr:uid="{00000000-0005-0000-0000-000039290000}"/>
    <cellStyle name="Normal 3 57 2 6 5" xfId="11470" xr:uid="{00000000-0005-0000-0000-00003A290000}"/>
    <cellStyle name="Normal 3 57 2 7" xfId="2886" xr:uid="{00000000-0005-0000-0000-00003B290000}"/>
    <cellStyle name="Normal 3 57 2 7 2" xfId="11471" xr:uid="{00000000-0005-0000-0000-00003C290000}"/>
    <cellStyle name="Normal 3 57 2 7 2 2" xfId="11472" xr:uid="{00000000-0005-0000-0000-00003D290000}"/>
    <cellStyle name="Normal 3 57 2 7 3" xfId="11473" xr:uid="{00000000-0005-0000-0000-00003E290000}"/>
    <cellStyle name="Normal 3 57 2 7 3 2" xfId="11474" xr:uid="{00000000-0005-0000-0000-00003F290000}"/>
    <cellStyle name="Normal 3 57 2 7 4" xfId="11475" xr:uid="{00000000-0005-0000-0000-000040290000}"/>
    <cellStyle name="Normal 3 57 2 7 5" xfId="11476" xr:uid="{00000000-0005-0000-0000-000041290000}"/>
    <cellStyle name="Normal 3 57 2 8" xfId="2887" xr:uid="{00000000-0005-0000-0000-000042290000}"/>
    <cellStyle name="Normal 3 57 2 8 2" xfId="11477" xr:uid="{00000000-0005-0000-0000-000043290000}"/>
    <cellStyle name="Normal 3 57 2 8 2 2" xfId="11478" xr:uid="{00000000-0005-0000-0000-000044290000}"/>
    <cellStyle name="Normal 3 57 2 8 3" xfId="11479" xr:uid="{00000000-0005-0000-0000-000045290000}"/>
    <cellStyle name="Normal 3 57 2 8 3 2" xfId="11480" xr:uid="{00000000-0005-0000-0000-000046290000}"/>
    <cellStyle name="Normal 3 57 2 8 4" xfId="11481" xr:uid="{00000000-0005-0000-0000-000047290000}"/>
    <cellStyle name="Normal 3 57 2 8 5" xfId="11482" xr:uid="{00000000-0005-0000-0000-000048290000}"/>
    <cellStyle name="Normal 3 57 2 9" xfId="2888" xr:uid="{00000000-0005-0000-0000-000049290000}"/>
    <cellStyle name="Normal 3 57 2 9 2" xfId="11483" xr:uid="{00000000-0005-0000-0000-00004A290000}"/>
    <cellStyle name="Normal 3 57 2 9 2 2" xfId="11484" xr:uid="{00000000-0005-0000-0000-00004B290000}"/>
    <cellStyle name="Normal 3 57 2 9 3" xfId="11485" xr:uid="{00000000-0005-0000-0000-00004C290000}"/>
    <cellStyle name="Normal 3 57 2 9 3 2" xfId="11486" xr:uid="{00000000-0005-0000-0000-00004D290000}"/>
    <cellStyle name="Normal 3 57 2 9 4" xfId="11487" xr:uid="{00000000-0005-0000-0000-00004E290000}"/>
    <cellStyle name="Normal 3 57 2 9 5" xfId="11488" xr:uid="{00000000-0005-0000-0000-00004F290000}"/>
    <cellStyle name="Normal 3 57 3" xfId="2889" xr:uid="{00000000-0005-0000-0000-000050290000}"/>
    <cellStyle name="Normal 3 57 3 2" xfId="11489" xr:uid="{00000000-0005-0000-0000-000051290000}"/>
    <cellStyle name="Normal 3 57 3 2 2" xfId="11490" xr:uid="{00000000-0005-0000-0000-000052290000}"/>
    <cellStyle name="Normal 3 57 3 3" xfId="11491" xr:uid="{00000000-0005-0000-0000-000053290000}"/>
    <cellStyle name="Normal 3 57 3 3 2" xfId="11492" xr:uid="{00000000-0005-0000-0000-000054290000}"/>
    <cellStyle name="Normal 3 57 3 4" xfId="11493" xr:uid="{00000000-0005-0000-0000-000055290000}"/>
    <cellStyle name="Normal 3 57 3 5" xfId="11494" xr:uid="{00000000-0005-0000-0000-000056290000}"/>
    <cellStyle name="Normal 3 57 4" xfId="2890" xr:uid="{00000000-0005-0000-0000-000057290000}"/>
    <cellStyle name="Normal 3 57 4 2" xfId="11495" xr:uid="{00000000-0005-0000-0000-000058290000}"/>
    <cellStyle name="Normal 3 57 4 2 2" xfId="11496" xr:uid="{00000000-0005-0000-0000-000059290000}"/>
    <cellStyle name="Normal 3 57 4 3" xfId="11497" xr:uid="{00000000-0005-0000-0000-00005A290000}"/>
    <cellStyle name="Normal 3 57 4 3 2" xfId="11498" xr:uid="{00000000-0005-0000-0000-00005B290000}"/>
    <cellStyle name="Normal 3 57 4 4" xfId="11499" xr:uid="{00000000-0005-0000-0000-00005C290000}"/>
    <cellStyle name="Normal 3 57 4 5" xfId="11500" xr:uid="{00000000-0005-0000-0000-00005D290000}"/>
    <cellStyle name="Normal 3 57 5" xfId="2891" xr:uid="{00000000-0005-0000-0000-00005E290000}"/>
    <cellStyle name="Normal 3 57 5 2" xfId="11501" xr:uid="{00000000-0005-0000-0000-00005F290000}"/>
    <cellStyle name="Normal 3 57 5 2 2" xfId="11502" xr:uid="{00000000-0005-0000-0000-000060290000}"/>
    <cellStyle name="Normal 3 57 5 3" xfId="11503" xr:uid="{00000000-0005-0000-0000-000061290000}"/>
    <cellStyle name="Normal 3 57 5 3 2" xfId="11504" xr:uid="{00000000-0005-0000-0000-000062290000}"/>
    <cellStyle name="Normal 3 57 5 4" xfId="11505" xr:uid="{00000000-0005-0000-0000-000063290000}"/>
    <cellStyle name="Normal 3 57 5 5" xfId="11506" xr:uid="{00000000-0005-0000-0000-000064290000}"/>
    <cellStyle name="Normal 3 57 6" xfId="2892" xr:uid="{00000000-0005-0000-0000-000065290000}"/>
    <cellStyle name="Normal 3 57 6 2" xfId="11507" xr:uid="{00000000-0005-0000-0000-000066290000}"/>
    <cellStyle name="Normal 3 57 6 2 2" xfId="11508" xr:uid="{00000000-0005-0000-0000-000067290000}"/>
    <cellStyle name="Normal 3 57 6 3" xfId="11509" xr:uid="{00000000-0005-0000-0000-000068290000}"/>
    <cellStyle name="Normal 3 57 6 3 2" xfId="11510" xr:uid="{00000000-0005-0000-0000-000069290000}"/>
    <cellStyle name="Normal 3 57 6 4" xfId="11511" xr:uid="{00000000-0005-0000-0000-00006A290000}"/>
    <cellStyle name="Normal 3 57 6 5" xfId="11512" xr:uid="{00000000-0005-0000-0000-00006B290000}"/>
    <cellStyle name="Normal 3 57 7" xfId="2893" xr:uid="{00000000-0005-0000-0000-00006C290000}"/>
    <cellStyle name="Normal 3 57 7 2" xfId="11513" xr:uid="{00000000-0005-0000-0000-00006D290000}"/>
    <cellStyle name="Normal 3 57 7 2 2" xfId="11514" xr:uid="{00000000-0005-0000-0000-00006E290000}"/>
    <cellStyle name="Normal 3 57 7 3" xfId="11515" xr:uid="{00000000-0005-0000-0000-00006F290000}"/>
    <cellStyle name="Normal 3 57 7 3 2" xfId="11516" xr:uid="{00000000-0005-0000-0000-000070290000}"/>
    <cellStyle name="Normal 3 57 7 4" xfId="11517" xr:uid="{00000000-0005-0000-0000-000071290000}"/>
    <cellStyle name="Normal 3 57 7 5" xfId="11518" xr:uid="{00000000-0005-0000-0000-000072290000}"/>
    <cellStyle name="Normal 3 57 8" xfId="2894" xr:uid="{00000000-0005-0000-0000-000073290000}"/>
    <cellStyle name="Normal 3 57 8 2" xfId="11519" xr:uid="{00000000-0005-0000-0000-000074290000}"/>
    <cellStyle name="Normal 3 57 8 2 2" xfId="11520" xr:uid="{00000000-0005-0000-0000-000075290000}"/>
    <cellStyle name="Normal 3 57 8 3" xfId="11521" xr:uid="{00000000-0005-0000-0000-000076290000}"/>
    <cellStyle name="Normal 3 57 8 3 2" xfId="11522" xr:uid="{00000000-0005-0000-0000-000077290000}"/>
    <cellStyle name="Normal 3 57 8 4" xfId="11523" xr:uid="{00000000-0005-0000-0000-000078290000}"/>
    <cellStyle name="Normal 3 57 8 5" xfId="11524" xr:uid="{00000000-0005-0000-0000-000079290000}"/>
    <cellStyle name="Normal 3 57 9" xfId="2895" xr:uid="{00000000-0005-0000-0000-00007A290000}"/>
    <cellStyle name="Normal 3 57 9 2" xfId="11525" xr:uid="{00000000-0005-0000-0000-00007B290000}"/>
    <cellStyle name="Normal 3 57 9 2 2" xfId="11526" xr:uid="{00000000-0005-0000-0000-00007C290000}"/>
    <cellStyle name="Normal 3 57 9 3" xfId="11527" xr:uid="{00000000-0005-0000-0000-00007D290000}"/>
    <cellStyle name="Normal 3 57 9 3 2" xfId="11528" xr:uid="{00000000-0005-0000-0000-00007E290000}"/>
    <cellStyle name="Normal 3 57 9 4" xfId="11529" xr:uid="{00000000-0005-0000-0000-00007F290000}"/>
    <cellStyle name="Normal 3 57 9 5" xfId="11530" xr:uid="{00000000-0005-0000-0000-000080290000}"/>
    <cellStyle name="Normal 3 58" xfId="2896" xr:uid="{00000000-0005-0000-0000-000081290000}"/>
    <cellStyle name="Normal 3 58 10" xfId="2897" xr:uid="{00000000-0005-0000-0000-000082290000}"/>
    <cellStyle name="Normal 3 58 10 2" xfId="11531" xr:uid="{00000000-0005-0000-0000-000083290000}"/>
    <cellStyle name="Normal 3 58 10 2 2" xfId="11532" xr:uid="{00000000-0005-0000-0000-000084290000}"/>
    <cellStyle name="Normal 3 58 10 3" xfId="11533" xr:uid="{00000000-0005-0000-0000-000085290000}"/>
    <cellStyle name="Normal 3 58 10 3 2" xfId="11534" xr:uid="{00000000-0005-0000-0000-000086290000}"/>
    <cellStyle name="Normal 3 58 10 4" xfId="11535" xr:uid="{00000000-0005-0000-0000-000087290000}"/>
    <cellStyle name="Normal 3 58 10 5" xfId="11536" xr:uid="{00000000-0005-0000-0000-000088290000}"/>
    <cellStyle name="Normal 3 58 11" xfId="2898" xr:uid="{00000000-0005-0000-0000-000089290000}"/>
    <cellStyle name="Normal 3 58 11 2" xfId="11537" xr:uid="{00000000-0005-0000-0000-00008A290000}"/>
    <cellStyle name="Normal 3 58 11 2 2" xfId="11538" xr:uid="{00000000-0005-0000-0000-00008B290000}"/>
    <cellStyle name="Normal 3 58 11 3" xfId="11539" xr:uid="{00000000-0005-0000-0000-00008C290000}"/>
    <cellStyle name="Normal 3 58 11 3 2" xfId="11540" xr:uid="{00000000-0005-0000-0000-00008D290000}"/>
    <cellStyle name="Normal 3 58 11 4" xfId="11541" xr:uid="{00000000-0005-0000-0000-00008E290000}"/>
    <cellStyle name="Normal 3 58 11 5" xfId="11542" xr:uid="{00000000-0005-0000-0000-00008F290000}"/>
    <cellStyle name="Normal 3 58 12" xfId="2899" xr:uid="{00000000-0005-0000-0000-000090290000}"/>
    <cellStyle name="Normal 3 58 12 2" xfId="11543" xr:uid="{00000000-0005-0000-0000-000091290000}"/>
    <cellStyle name="Normal 3 58 12 2 2" xfId="11544" xr:uid="{00000000-0005-0000-0000-000092290000}"/>
    <cellStyle name="Normal 3 58 12 3" xfId="11545" xr:uid="{00000000-0005-0000-0000-000093290000}"/>
    <cellStyle name="Normal 3 58 12 3 2" xfId="11546" xr:uid="{00000000-0005-0000-0000-000094290000}"/>
    <cellStyle name="Normal 3 58 12 4" xfId="11547" xr:uid="{00000000-0005-0000-0000-000095290000}"/>
    <cellStyle name="Normal 3 58 12 5" xfId="11548" xr:uid="{00000000-0005-0000-0000-000096290000}"/>
    <cellStyle name="Normal 3 58 13" xfId="2900" xr:uid="{00000000-0005-0000-0000-000097290000}"/>
    <cellStyle name="Normal 3 58 13 2" xfId="11549" xr:uid="{00000000-0005-0000-0000-000098290000}"/>
    <cellStyle name="Normal 3 58 13 2 2" xfId="11550" xr:uid="{00000000-0005-0000-0000-000099290000}"/>
    <cellStyle name="Normal 3 58 13 3" xfId="11551" xr:uid="{00000000-0005-0000-0000-00009A290000}"/>
    <cellStyle name="Normal 3 58 13 3 2" xfId="11552" xr:uid="{00000000-0005-0000-0000-00009B290000}"/>
    <cellStyle name="Normal 3 58 13 4" xfId="11553" xr:uid="{00000000-0005-0000-0000-00009C290000}"/>
    <cellStyle name="Normal 3 58 13 5" xfId="11554" xr:uid="{00000000-0005-0000-0000-00009D290000}"/>
    <cellStyle name="Normal 3 58 14" xfId="11555" xr:uid="{00000000-0005-0000-0000-00009E290000}"/>
    <cellStyle name="Normal 3 58 14 2" xfId="11556" xr:uid="{00000000-0005-0000-0000-00009F290000}"/>
    <cellStyle name="Normal 3 58 15" xfId="11557" xr:uid="{00000000-0005-0000-0000-0000A0290000}"/>
    <cellStyle name="Normal 3 58 15 2" xfId="11558" xr:uid="{00000000-0005-0000-0000-0000A1290000}"/>
    <cellStyle name="Normal 3 58 16" xfId="11559" xr:uid="{00000000-0005-0000-0000-0000A2290000}"/>
    <cellStyle name="Normal 3 58 17" xfId="11560" xr:uid="{00000000-0005-0000-0000-0000A3290000}"/>
    <cellStyle name="Normal 3 58 2" xfId="2901" xr:uid="{00000000-0005-0000-0000-0000A4290000}"/>
    <cellStyle name="Normal 3 58 2 10" xfId="2902" xr:uid="{00000000-0005-0000-0000-0000A5290000}"/>
    <cellStyle name="Normal 3 58 2 10 2" xfId="11561" xr:uid="{00000000-0005-0000-0000-0000A6290000}"/>
    <cellStyle name="Normal 3 58 2 10 2 2" xfId="11562" xr:uid="{00000000-0005-0000-0000-0000A7290000}"/>
    <cellStyle name="Normal 3 58 2 10 3" xfId="11563" xr:uid="{00000000-0005-0000-0000-0000A8290000}"/>
    <cellStyle name="Normal 3 58 2 10 3 2" xfId="11564" xr:uid="{00000000-0005-0000-0000-0000A9290000}"/>
    <cellStyle name="Normal 3 58 2 10 4" xfId="11565" xr:uid="{00000000-0005-0000-0000-0000AA290000}"/>
    <cellStyle name="Normal 3 58 2 10 5" xfId="11566" xr:uid="{00000000-0005-0000-0000-0000AB290000}"/>
    <cellStyle name="Normal 3 58 2 11" xfId="2903" xr:uid="{00000000-0005-0000-0000-0000AC290000}"/>
    <cellStyle name="Normal 3 58 2 11 2" xfId="11567" xr:uid="{00000000-0005-0000-0000-0000AD290000}"/>
    <cellStyle name="Normal 3 58 2 11 2 2" xfId="11568" xr:uid="{00000000-0005-0000-0000-0000AE290000}"/>
    <cellStyle name="Normal 3 58 2 11 3" xfId="11569" xr:uid="{00000000-0005-0000-0000-0000AF290000}"/>
    <cellStyle name="Normal 3 58 2 11 3 2" xfId="11570" xr:uid="{00000000-0005-0000-0000-0000B0290000}"/>
    <cellStyle name="Normal 3 58 2 11 4" xfId="11571" xr:uid="{00000000-0005-0000-0000-0000B1290000}"/>
    <cellStyle name="Normal 3 58 2 11 5" xfId="11572" xr:uid="{00000000-0005-0000-0000-0000B2290000}"/>
    <cellStyle name="Normal 3 58 2 12" xfId="2904" xr:uid="{00000000-0005-0000-0000-0000B3290000}"/>
    <cellStyle name="Normal 3 58 2 12 2" xfId="11573" xr:uid="{00000000-0005-0000-0000-0000B4290000}"/>
    <cellStyle name="Normal 3 58 2 12 2 2" xfId="11574" xr:uid="{00000000-0005-0000-0000-0000B5290000}"/>
    <cellStyle name="Normal 3 58 2 12 3" xfId="11575" xr:uid="{00000000-0005-0000-0000-0000B6290000}"/>
    <cellStyle name="Normal 3 58 2 12 3 2" xfId="11576" xr:uid="{00000000-0005-0000-0000-0000B7290000}"/>
    <cellStyle name="Normal 3 58 2 12 4" xfId="11577" xr:uid="{00000000-0005-0000-0000-0000B8290000}"/>
    <cellStyle name="Normal 3 58 2 12 5" xfId="11578" xr:uid="{00000000-0005-0000-0000-0000B9290000}"/>
    <cellStyle name="Normal 3 58 2 13" xfId="11579" xr:uid="{00000000-0005-0000-0000-0000BA290000}"/>
    <cellStyle name="Normal 3 58 2 13 2" xfId="11580" xr:uid="{00000000-0005-0000-0000-0000BB290000}"/>
    <cellStyle name="Normal 3 58 2 14" xfId="11581" xr:uid="{00000000-0005-0000-0000-0000BC290000}"/>
    <cellStyle name="Normal 3 58 2 14 2" xfId="11582" xr:uid="{00000000-0005-0000-0000-0000BD290000}"/>
    <cellStyle name="Normal 3 58 2 15" xfId="11583" xr:uid="{00000000-0005-0000-0000-0000BE290000}"/>
    <cellStyle name="Normal 3 58 2 16" xfId="11584" xr:uid="{00000000-0005-0000-0000-0000BF290000}"/>
    <cellStyle name="Normal 3 58 2 2" xfId="2905" xr:uid="{00000000-0005-0000-0000-0000C0290000}"/>
    <cellStyle name="Normal 3 58 2 2 2" xfId="11585" xr:uid="{00000000-0005-0000-0000-0000C1290000}"/>
    <cellStyle name="Normal 3 58 2 2 2 2" xfId="11586" xr:uid="{00000000-0005-0000-0000-0000C2290000}"/>
    <cellStyle name="Normal 3 58 2 2 3" xfId="11587" xr:uid="{00000000-0005-0000-0000-0000C3290000}"/>
    <cellStyle name="Normal 3 58 2 2 3 2" xfId="11588" xr:uid="{00000000-0005-0000-0000-0000C4290000}"/>
    <cellStyle name="Normal 3 58 2 2 4" xfId="11589" xr:uid="{00000000-0005-0000-0000-0000C5290000}"/>
    <cellStyle name="Normal 3 58 2 2 5" xfId="11590" xr:uid="{00000000-0005-0000-0000-0000C6290000}"/>
    <cellStyle name="Normal 3 58 2 3" xfId="2906" xr:uid="{00000000-0005-0000-0000-0000C7290000}"/>
    <cellStyle name="Normal 3 58 2 3 2" xfId="11591" xr:uid="{00000000-0005-0000-0000-0000C8290000}"/>
    <cellStyle name="Normal 3 58 2 3 2 2" xfId="11592" xr:uid="{00000000-0005-0000-0000-0000C9290000}"/>
    <cellStyle name="Normal 3 58 2 3 3" xfId="11593" xr:uid="{00000000-0005-0000-0000-0000CA290000}"/>
    <cellStyle name="Normal 3 58 2 3 3 2" xfId="11594" xr:uid="{00000000-0005-0000-0000-0000CB290000}"/>
    <cellStyle name="Normal 3 58 2 3 4" xfId="11595" xr:uid="{00000000-0005-0000-0000-0000CC290000}"/>
    <cellStyle name="Normal 3 58 2 3 5" xfId="11596" xr:uid="{00000000-0005-0000-0000-0000CD290000}"/>
    <cellStyle name="Normal 3 58 2 4" xfId="2907" xr:uid="{00000000-0005-0000-0000-0000CE290000}"/>
    <cellStyle name="Normal 3 58 2 4 2" xfId="11597" xr:uid="{00000000-0005-0000-0000-0000CF290000}"/>
    <cellStyle name="Normal 3 58 2 4 2 2" xfId="11598" xr:uid="{00000000-0005-0000-0000-0000D0290000}"/>
    <cellStyle name="Normal 3 58 2 4 3" xfId="11599" xr:uid="{00000000-0005-0000-0000-0000D1290000}"/>
    <cellStyle name="Normal 3 58 2 4 3 2" xfId="11600" xr:uid="{00000000-0005-0000-0000-0000D2290000}"/>
    <cellStyle name="Normal 3 58 2 4 4" xfId="11601" xr:uid="{00000000-0005-0000-0000-0000D3290000}"/>
    <cellStyle name="Normal 3 58 2 4 5" xfId="11602" xr:uid="{00000000-0005-0000-0000-0000D4290000}"/>
    <cellStyle name="Normal 3 58 2 5" xfId="2908" xr:uid="{00000000-0005-0000-0000-0000D5290000}"/>
    <cellStyle name="Normal 3 58 2 5 2" xfId="11603" xr:uid="{00000000-0005-0000-0000-0000D6290000}"/>
    <cellStyle name="Normal 3 58 2 5 2 2" xfId="11604" xr:uid="{00000000-0005-0000-0000-0000D7290000}"/>
    <cellStyle name="Normal 3 58 2 5 3" xfId="11605" xr:uid="{00000000-0005-0000-0000-0000D8290000}"/>
    <cellStyle name="Normal 3 58 2 5 3 2" xfId="11606" xr:uid="{00000000-0005-0000-0000-0000D9290000}"/>
    <cellStyle name="Normal 3 58 2 5 4" xfId="11607" xr:uid="{00000000-0005-0000-0000-0000DA290000}"/>
    <cellStyle name="Normal 3 58 2 5 5" xfId="11608" xr:uid="{00000000-0005-0000-0000-0000DB290000}"/>
    <cellStyle name="Normal 3 58 2 6" xfId="2909" xr:uid="{00000000-0005-0000-0000-0000DC290000}"/>
    <cellStyle name="Normal 3 58 2 6 2" xfId="11609" xr:uid="{00000000-0005-0000-0000-0000DD290000}"/>
    <cellStyle name="Normal 3 58 2 6 2 2" xfId="11610" xr:uid="{00000000-0005-0000-0000-0000DE290000}"/>
    <cellStyle name="Normal 3 58 2 6 3" xfId="11611" xr:uid="{00000000-0005-0000-0000-0000DF290000}"/>
    <cellStyle name="Normal 3 58 2 6 3 2" xfId="11612" xr:uid="{00000000-0005-0000-0000-0000E0290000}"/>
    <cellStyle name="Normal 3 58 2 6 4" xfId="11613" xr:uid="{00000000-0005-0000-0000-0000E1290000}"/>
    <cellStyle name="Normal 3 58 2 6 5" xfId="11614" xr:uid="{00000000-0005-0000-0000-0000E2290000}"/>
    <cellStyle name="Normal 3 58 2 7" xfId="2910" xr:uid="{00000000-0005-0000-0000-0000E3290000}"/>
    <cellStyle name="Normal 3 58 2 7 2" xfId="11615" xr:uid="{00000000-0005-0000-0000-0000E4290000}"/>
    <cellStyle name="Normal 3 58 2 7 2 2" xfId="11616" xr:uid="{00000000-0005-0000-0000-0000E5290000}"/>
    <cellStyle name="Normal 3 58 2 7 3" xfId="11617" xr:uid="{00000000-0005-0000-0000-0000E6290000}"/>
    <cellStyle name="Normal 3 58 2 7 3 2" xfId="11618" xr:uid="{00000000-0005-0000-0000-0000E7290000}"/>
    <cellStyle name="Normal 3 58 2 7 4" xfId="11619" xr:uid="{00000000-0005-0000-0000-0000E8290000}"/>
    <cellStyle name="Normal 3 58 2 7 5" xfId="11620" xr:uid="{00000000-0005-0000-0000-0000E9290000}"/>
    <cellStyle name="Normal 3 58 2 8" xfId="2911" xr:uid="{00000000-0005-0000-0000-0000EA290000}"/>
    <cellStyle name="Normal 3 58 2 8 2" xfId="11621" xr:uid="{00000000-0005-0000-0000-0000EB290000}"/>
    <cellStyle name="Normal 3 58 2 8 2 2" xfId="11622" xr:uid="{00000000-0005-0000-0000-0000EC290000}"/>
    <cellStyle name="Normal 3 58 2 8 3" xfId="11623" xr:uid="{00000000-0005-0000-0000-0000ED290000}"/>
    <cellStyle name="Normal 3 58 2 8 3 2" xfId="11624" xr:uid="{00000000-0005-0000-0000-0000EE290000}"/>
    <cellStyle name="Normal 3 58 2 8 4" xfId="11625" xr:uid="{00000000-0005-0000-0000-0000EF290000}"/>
    <cellStyle name="Normal 3 58 2 8 5" xfId="11626" xr:uid="{00000000-0005-0000-0000-0000F0290000}"/>
    <cellStyle name="Normal 3 58 2 9" xfId="2912" xr:uid="{00000000-0005-0000-0000-0000F1290000}"/>
    <cellStyle name="Normal 3 58 2 9 2" xfId="11627" xr:uid="{00000000-0005-0000-0000-0000F2290000}"/>
    <cellStyle name="Normal 3 58 2 9 2 2" xfId="11628" xr:uid="{00000000-0005-0000-0000-0000F3290000}"/>
    <cellStyle name="Normal 3 58 2 9 3" xfId="11629" xr:uid="{00000000-0005-0000-0000-0000F4290000}"/>
    <cellStyle name="Normal 3 58 2 9 3 2" xfId="11630" xr:uid="{00000000-0005-0000-0000-0000F5290000}"/>
    <cellStyle name="Normal 3 58 2 9 4" xfId="11631" xr:uid="{00000000-0005-0000-0000-0000F6290000}"/>
    <cellStyle name="Normal 3 58 2 9 5" xfId="11632" xr:uid="{00000000-0005-0000-0000-0000F7290000}"/>
    <cellStyle name="Normal 3 58 3" xfId="2913" xr:uid="{00000000-0005-0000-0000-0000F8290000}"/>
    <cellStyle name="Normal 3 58 3 2" xfId="11633" xr:uid="{00000000-0005-0000-0000-0000F9290000}"/>
    <cellStyle name="Normal 3 58 3 2 2" xfId="11634" xr:uid="{00000000-0005-0000-0000-0000FA290000}"/>
    <cellStyle name="Normal 3 58 3 3" xfId="11635" xr:uid="{00000000-0005-0000-0000-0000FB290000}"/>
    <cellStyle name="Normal 3 58 3 3 2" xfId="11636" xr:uid="{00000000-0005-0000-0000-0000FC290000}"/>
    <cellStyle name="Normal 3 58 3 4" xfId="11637" xr:uid="{00000000-0005-0000-0000-0000FD290000}"/>
    <cellStyle name="Normal 3 58 3 5" xfId="11638" xr:uid="{00000000-0005-0000-0000-0000FE290000}"/>
    <cellStyle name="Normal 3 58 4" xfId="2914" xr:uid="{00000000-0005-0000-0000-0000FF290000}"/>
    <cellStyle name="Normal 3 58 4 2" xfId="11639" xr:uid="{00000000-0005-0000-0000-0000002A0000}"/>
    <cellStyle name="Normal 3 58 4 2 2" xfId="11640" xr:uid="{00000000-0005-0000-0000-0000012A0000}"/>
    <cellStyle name="Normal 3 58 4 3" xfId="11641" xr:uid="{00000000-0005-0000-0000-0000022A0000}"/>
    <cellStyle name="Normal 3 58 4 3 2" xfId="11642" xr:uid="{00000000-0005-0000-0000-0000032A0000}"/>
    <cellStyle name="Normal 3 58 4 4" xfId="11643" xr:uid="{00000000-0005-0000-0000-0000042A0000}"/>
    <cellStyle name="Normal 3 58 4 5" xfId="11644" xr:uid="{00000000-0005-0000-0000-0000052A0000}"/>
    <cellStyle name="Normal 3 58 5" xfId="2915" xr:uid="{00000000-0005-0000-0000-0000062A0000}"/>
    <cellStyle name="Normal 3 58 5 2" xfId="11645" xr:uid="{00000000-0005-0000-0000-0000072A0000}"/>
    <cellStyle name="Normal 3 58 5 2 2" xfId="11646" xr:uid="{00000000-0005-0000-0000-0000082A0000}"/>
    <cellStyle name="Normal 3 58 5 3" xfId="11647" xr:uid="{00000000-0005-0000-0000-0000092A0000}"/>
    <cellStyle name="Normal 3 58 5 3 2" xfId="11648" xr:uid="{00000000-0005-0000-0000-00000A2A0000}"/>
    <cellStyle name="Normal 3 58 5 4" xfId="11649" xr:uid="{00000000-0005-0000-0000-00000B2A0000}"/>
    <cellStyle name="Normal 3 58 5 5" xfId="11650" xr:uid="{00000000-0005-0000-0000-00000C2A0000}"/>
    <cellStyle name="Normal 3 58 6" xfId="2916" xr:uid="{00000000-0005-0000-0000-00000D2A0000}"/>
    <cellStyle name="Normal 3 58 6 2" xfId="11651" xr:uid="{00000000-0005-0000-0000-00000E2A0000}"/>
    <cellStyle name="Normal 3 58 6 2 2" xfId="11652" xr:uid="{00000000-0005-0000-0000-00000F2A0000}"/>
    <cellStyle name="Normal 3 58 6 3" xfId="11653" xr:uid="{00000000-0005-0000-0000-0000102A0000}"/>
    <cellStyle name="Normal 3 58 6 3 2" xfId="11654" xr:uid="{00000000-0005-0000-0000-0000112A0000}"/>
    <cellStyle name="Normal 3 58 6 4" xfId="11655" xr:uid="{00000000-0005-0000-0000-0000122A0000}"/>
    <cellStyle name="Normal 3 58 6 5" xfId="11656" xr:uid="{00000000-0005-0000-0000-0000132A0000}"/>
    <cellStyle name="Normal 3 58 7" xfId="2917" xr:uid="{00000000-0005-0000-0000-0000142A0000}"/>
    <cellStyle name="Normal 3 58 7 2" xfId="11657" xr:uid="{00000000-0005-0000-0000-0000152A0000}"/>
    <cellStyle name="Normal 3 58 7 2 2" xfId="11658" xr:uid="{00000000-0005-0000-0000-0000162A0000}"/>
    <cellStyle name="Normal 3 58 7 3" xfId="11659" xr:uid="{00000000-0005-0000-0000-0000172A0000}"/>
    <cellStyle name="Normal 3 58 7 3 2" xfId="11660" xr:uid="{00000000-0005-0000-0000-0000182A0000}"/>
    <cellStyle name="Normal 3 58 7 4" xfId="11661" xr:uid="{00000000-0005-0000-0000-0000192A0000}"/>
    <cellStyle name="Normal 3 58 7 5" xfId="11662" xr:uid="{00000000-0005-0000-0000-00001A2A0000}"/>
    <cellStyle name="Normal 3 58 8" xfId="2918" xr:uid="{00000000-0005-0000-0000-00001B2A0000}"/>
    <cellStyle name="Normal 3 58 8 2" xfId="11663" xr:uid="{00000000-0005-0000-0000-00001C2A0000}"/>
    <cellStyle name="Normal 3 58 8 2 2" xfId="11664" xr:uid="{00000000-0005-0000-0000-00001D2A0000}"/>
    <cellStyle name="Normal 3 58 8 3" xfId="11665" xr:uid="{00000000-0005-0000-0000-00001E2A0000}"/>
    <cellStyle name="Normal 3 58 8 3 2" xfId="11666" xr:uid="{00000000-0005-0000-0000-00001F2A0000}"/>
    <cellStyle name="Normal 3 58 8 4" xfId="11667" xr:uid="{00000000-0005-0000-0000-0000202A0000}"/>
    <cellStyle name="Normal 3 58 8 5" xfId="11668" xr:uid="{00000000-0005-0000-0000-0000212A0000}"/>
    <cellStyle name="Normal 3 58 9" xfId="2919" xr:uid="{00000000-0005-0000-0000-0000222A0000}"/>
    <cellStyle name="Normal 3 58 9 2" xfId="11669" xr:uid="{00000000-0005-0000-0000-0000232A0000}"/>
    <cellStyle name="Normal 3 58 9 2 2" xfId="11670" xr:uid="{00000000-0005-0000-0000-0000242A0000}"/>
    <cellStyle name="Normal 3 58 9 3" xfId="11671" xr:uid="{00000000-0005-0000-0000-0000252A0000}"/>
    <cellStyle name="Normal 3 58 9 3 2" xfId="11672" xr:uid="{00000000-0005-0000-0000-0000262A0000}"/>
    <cellStyle name="Normal 3 58 9 4" xfId="11673" xr:uid="{00000000-0005-0000-0000-0000272A0000}"/>
    <cellStyle name="Normal 3 58 9 5" xfId="11674" xr:uid="{00000000-0005-0000-0000-0000282A0000}"/>
    <cellStyle name="Normal 3 59" xfId="2920" xr:uid="{00000000-0005-0000-0000-0000292A0000}"/>
    <cellStyle name="Normal 3 59 10" xfId="2921" xr:uid="{00000000-0005-0000-0000-00002A2A0000}"/>
    <cellStyle name="Normal 3 59 10 2" xfId="11675" xr:uid="{00000000-0005-0000-0000-00002B2A0000}"/>
    <cellStyle name="Normal 3 59 10 2 2" xfId="11676" xr:uid="{00000000-0005-0000-0000-00002C2A0000}"/>
    <cellStyle name="Normal 3 59 10 3" xfId="11677" xr:uid="{00000000-0005-0000-0000-00002D2A0000}"/>
    <cellStyle name="Normal 3 59 10 3 2" xfId="11678" xr:uid="{00000000-0005-0000-0000-00002E2A0000}"/>
    <cellStyle name="Normal 3 59 10 4" xfId="11679" xr:uid="{00000000-0005-0000-0000-00002F2A0000}"/>
    <cellStyle name="Normal 3 59 10 5" xfId="11680" xr:uid="{00000000-0005-0000-0000-0000302A0000}"/>
    <cellStyle name="Normal 3 59 11" xfId="2922" xr:uid="{00000000-0005-0000-0000-0000312A0000}"/>
    <cellStyle name="Normal 3 59 11 2" xfId="11681" xr:uid="{00000000-0005-0000-0000-0000322A0000}"/>
    <cellStyle name="Normal 3 59 11 2 2" xfId="11682" xr:uid="{00000000-0005-0000-0000-0000332A0000}"/>
    <cellStyle name="Normal 3 59 11 3" xfId="11683" xr:uid="{00000000-0005-0000-0000-0000342A0000}"/>
    <cellStyle name="Normal 3 59 11 3 2" xfId="11684" xr:uid="{00000000-0005-0000-0000-0000352A0000}"/>
    <cellStyle name="Normal 3 59 11 4" xfId="11685" xr:uid="{00000000-0005-0000-0000-0000362A0000}"/>
    <cellStyle name="Normal 3 59 11 5" xfId="11686" xr:uid="{00000000-0005-0000-0000-0000372A0000}"/>
    <cellStyle name="Normal 3 59 12" xfId="2923" xr:uid="{00000000-0005-0000-0000-0000382A0000}"/>
    <cellStyle name="Normal 3 59 12 2" xfId="11687" xr:uid="{00000000-0005-0000-0000-0000392A0000}"/>
    <cellStyle name="Normal 3 59 12 2 2" xfId="11688" xr:uid="{00000000-0005-0000-0000-00003A2A0000}"/>
    <cellStyle name="Normal 3 59 12 3" xfId="11689" xr:uid="{00000000-0005-0000-0000-00003B2A0000}"/>
    <cellStyle name="Normal 3 59 12 3 2" xfId="11690" xr:uid="{00000000-0005-0000-0000-00003C2A0000}"/>
    <cellStyle name="Normal 3 59 12 4" xfId="11691" xr:uid="{00000000-0005-0000-0000-00003D2A0000}"/>
    <cellStyle name="Normal 3 59 12 5" xfId="11692" xr:uid="{00000000-0005-0000-0000-00003E2A0000}"/>
    <cellStyle name="Normal 3 59 13" xfId="2924" xr:uid="{00000000-0005-0000-0000-00003F2A0000}"/>
    <cellStyle name="Normal 3 59 13 2" xfId="11693" xr:uid="{00000000-0005-0000-0000-0000402A0000}"/>
    <cellStyle name="Normal 3 59 13 2 2" xfId="11694" xr:uid="{00000000-0005-0000-0000-0000412A0000}"/>
    <cellStyle name="Normal 3 59 13 3" xfId="11695" xr:uid="{00000000-0005-0000-0000-0000422A0000}"/>
    <cellStyle name="Normal 3 59 13 3 2" xfId="11696" xr:uid="{00000000-0005-0000-0000-0000432A0000}"/>
    <cellStyle name="Normal 3 59 13 4" xfId="11697" xr:uid="{00000000-0005-0000-0000-0000442A0000}"/>
    <cellStyle name="Normal 3 59 13 5" xfId="11698" xr:uid="{00000000-0005-0000-0000-0000452A0000}"/>
    <cellStyle name="Normal 3 59 14" xfId="11699" xr:uid="{00000000-0005-0000-0000-0000462A0000}"/>
    <cellStyle name="Normal 3 59 14 2" xfId="11700" xr:uid="{00000000-0005-0000-0000-0000472A0000}"/>
    <cellStyle name="Normal 3 59 15" xfId="11701" xr:uid="{00000000-0005-0000-0000-0000482A0000}"/>
    <cellStyle name="Normal 3 59 15 2" xfId="11702" xr:uid="{00000000-0005-0000-0000-0000492A0000}"/>
    <cellStyle name="Normal 3 59 16" xfId="11703" xr:uid="{00000000-0005-0000-0000-00004A2A0000}"/>
    <cellStyle name="Normal 3 59 17" xfId="11704" xr:uid="{00000000-0005-0000-0000-00004B2A0000}"/>
    <cellStyle name="Normal 3 59 2" xfId="2925" xr:uid="{00000000-0005-0000-0000-00004C2A0000}"/>
    <cellStyle name="Normal 3 59 2 10" xfId="2926" xr:uid="{00000000-0005-0000-0000-00004D2A0000}"/>
    <cellStyle name="Normal 3 59 2 10 2" xfId="11705" xr:uid="{00000000-0005-0000-0000-00004E2A0000}"/>
    <cellStyle name="Normal 3 59 2 10 2 2" xfId="11706" xr:uid="{00000000-0005-0000-0000-00004F2A0000}"/>
    <cellStyle name="Normal 3 59 2 10 3" xfId="11707" xr:uid="{00000000-0005-0000-0000-0000502A0000}"/>
    <cellStyle name="Normal 3 59 2 10 3 2" xfId="11708" xr:uid="{00000000-0005-0000-0000-0000512A0000}"/>
    <cellStyle name="Normal 3 59 2 10 4" xfId="11709" xr:uid="{00000000-0005-0000-0000-0000522A0000}"/>
    <cellStyle name="Normal 3 59 2 10 5" xfId="11710" xr:uid="{00000000-0005-0000-0000-0000532A0000}"/>
    <cellStyle name="Normal 3 59 2 11" xfId="2927" xr:uid="{00000000-0005-0000-0000-0000542A0000}"/>
    <cellStyle name="Normal 3 59 2 11 2" xfId="11711" xr:uid="{00000000-0005-0000-0000-0000552A0000}"/>
    <cellStyle name="Normal 3 59 2 11 2 2" xfId="11712" xr:uid="{00000000-0005-0000-0000-0000562A0000}"/>
    <cellStyle name="Normal 3 59 2 11 3" xfId="11713" xr:uid="{00000000-0005-0000-0000-0000572A0000}"/>
    <cellStyle name="Normal 3 59 2 11 3 2" xfId="11714" xr:uid="{00000000-0005-0000-0000-0000582A0000}"/>
    <cellStyle name="Normal 3 59 2 11 4" xfId="11715" xr:uid="{00000000-0005-0000-0000-0000592A0000}"/>
    <cellStyle name="Normal 3 59 2 11 5" xfId="11716" xr:uid="{00000000-0005-0000-0000-00005A2A0000}"/>
    <cellStyle name="Normal 3 59 2 12" xfId="2928" xr:uid="{00000000-0005-0000-0000-00005B2A0000}"/>
    <cellStyle name="Normal 3 59 2 12 2" xfId="11717" xr:uid="{00000000-0005-0000-0000-00005C2A0000}"/>
    <cellStyle name="Normal 3 59 2 12 2 2" xfId="11718" xr:uid="{00000000-0005-0000-0000-00005D2A0000}"/>
    <cellStyle name="Normal 3 59 2 12 3" xfId="11719" xr:uid="{00000000-0005-0000-0000-00005E2A0000}"/>
    <cellStyle name="Normal 3 59 2 12 3 2" xfId="11720" xr:uid="{00000000-0005-0000-0000-00005F2A0000}"/>
    <cellStyle name="Normal 3 59 2 12 4" xfId="11721" xr:uid="{00000000-0005-0000-0000-0000602A0000}"/>
    <cellStyle name="Normal 3 59 2 12 5" xfId="11722" xr:uid="{00000000-0005-0000-0000-0000612A0000}"/>
    <cellStyle name="Normal 3 59 2 13" xfId="11723" xr:uid="{00000000-0005-0000-0000-0000622A0000}"/>
    <cellStyle name="Normal 3 59 2 13 2" xfId="11724" xr:uid="{00000000-0005-0000-0000-0000632A0000}"/>
    <cellStyle name="Normal 3 59 2 14" xfId="11725" xr:uid="{00000000-0005-0000-0000-0000642A0000}"/>
    <cellStyle name="Normal 3 59 2 14 2" xfId="11726" xr:uid="{00000000-0005-0000-0000-0000652A0000}"/>
    <cellStyle name="Normal 3 59 2 15" xfId="11727" xr:uid="{00000000-0005-0000-0000-0000662A0000}"/>
    <cellStyle name="Normal 3 59 2 16" xfId="11728" xr:uid="{00000000-0005-0000-0000-0000672A0000}"/>
    <cellStyle name="Normal 3 59 2 2" xfId="2929" xr:uid="{00000000-0005-0000-0000-0000682A0000}"/>
    <cellStyle name="Normal 3 59 2 2 2" xfId="11729" xr:uid="{00000000-0005-0000-0000-0000692A0000}"/>
    <cellStyle name="Normal 3 59 2 2 2 2" xfId="11730" xr:uid="{00000000-0005-0000-0000-00006A2A0000}"/>
    <cellStyle name="Normal 3 59 2 2 3" xfId="11731" xr:uid="{00000000-0005-0000-0000-00006B2A0000}"/>
    <cellStyle name="Normal 3 59 2 2 3 2" xfId="11732" xr:uid="{00000000-0005-0000-0000-00006C2A0000}"/>
    <cellStyle name="Normal 3 59 2 2 4" xfId="11733" xr:uid="{00000000-0005-0000-0000-00006D2A0000}"/>
    <cellStyle name="Normal 3 59 2 2 5" xfId="11734" xr:uid="{00000000-0005-0000-0000-00006E2A0000}"/>
    <cellStyle name="Normal 3 59 2 3" xfId="2930" xr:uid="{00000000-0005-0000-0000-00006F2A0000}"/>
    <cellStyle name="Normal 3 59 2 3 2" xfId="11735" xr:uid="{00000000-0005-0000-0000-0000702A0000}"/>
    <cellStyle name="Normal 3 59 2 3 2 2" xfId="11736" xr:uid="{00000000-0005-0000-0000-0000712A0000}"/>
    <cellStyle name="Normal 3 59 2 3 3" xfId="11737" xr:uid="{00000000-0005-0000-0000-0000722A0000}"/>
    <cellStyle name="Normal 3 59 2 3 3 2" xfId="11738" xr:uid="{00000000-0005-0000-0000-0000732A0000}"/>
    <cellStyle name="Normal 3 59 2 3 4" xfId="11739" xr:uid="{00000000-0005-0000-0000-0000742A0000}"/>
    <cellStyle name="Normal 3 59 2 3 5" xfId="11740" xr:uid="{00000000-0005-0000-0000-0000752A0000}"/>
    <cellStyle name="Normal 3 59 2 4" xfId="2931" xr:uid="{00000000-0005-0000-0000-0000762A0000}"/>
    <cellStyle name="Normal 3 59 2 4 2" xfId="11741" xr:uid="{00000000-0005-0000-0000-0000772A0000}"/>
    <cellStyle name="Normal 3 59 2 4 2 2" xfId="11742" xr:uid="{00000000-0005-0000-0000-0000782A0000}"/>
    <cellStyle name="Normal 3 59 2 4 3" xfId="11743" xr:uid="{00000000-0005-0000-0000-0000792A0000}"/>
    <cellStyle name="Normal 3 59 2 4 3 2" xfId="11744" xr:uid="{00000000-0005-0000-0000-00007A2A0000}"/>
    <cellStyle name="Normal 3 59 2 4 4" xfId="11745" xr:uid="{00000000-0005-0000-0000-00007B2A0000}"/>
    <cellStyle name="Normal 3 59 2 4 5" xfId="11746" xr:uid="{00000000-0005-0000-0000-00007C2A0000}"/>
    <cellStyle name="Normal 3 59 2 5" xfId="2932" xr:uid="{00000000-0005-0000-0000-00007D2A0000}"/>
    <cellStyle name="Normal 3 59 2 5 2" xfId="11747" xr:uid="{00000000-0005-0000-0000-00007E2A0000}"/>
    <cellStyle name="Normal 3 59 2 5 2 2" xfId="11748" xr:uid="{00000000-0005-0000-0000-00007F2A0000}"/>
    <cellStyle name="Normal 3 59 2 5 3" xfId="11749" xr:uid="{00000000-0005-0000-0000-0000802A0000}"/>
    <cellStyle name="Normal 3 59 2 5 3 2" xfId="11750" xr:uid="{00000000-0005-0000-0000-0000812A0000}"/>
    <cellStyle name="Normal 3 59 2 5 4" xfId="11751" xr:uid="{00000000-0005-0000-0000-0000822A0000}"/>
    <cellStyle name="Normal 3 59 2 5 5" xfId="11752" xr:uid="{00000000-0005-0000-0000-0000832A0000}"/>
    <cellStyle name="Normal 3 59 2 6" xfId="2933" xr:uid="{00000000-0005-0000-0000-0000842A0000}"/>
    <cellStyle name="Normal 3 59 2 6 2" xfId="11753" xr:uid="{00000000-0005-0000-0000-0000852A0000}"/>
    <cellStyle name="Normal 3 59 2 6 2 2" xfId="11754" xr:uid="{00000000-0005-0000-0000-0000862A0000}"/>
    <cellStyle name="Normal 3 59 2 6 3" xfId="11755" xr:uid="{00000000-0005-0000-0000-0000872A0000}"/>
    <cellStyle name="Normal 3 59 2 6 3 2" xfId="11756" xr:uid="{00000000-0005-0000-0000-0000882A0000}"/>
    <cellStyle name="Normal 3 59 2 6 4" xfId="11757" xr:uid="{00000000-0005-0000-0000-0000892A0000}"/>
    <cellStyle name="Normal 3 59 2 6 5" xfId="11758" xr:uid="{00000000-0005-0000-0000-00008A2A0000}"/>
    <cellStyle name="Normal 3 59 2 7" xfId="2934" xr:uid="{00000000-0005-0000-0000-00008B2A0000}"/>
    <cellStyle name="Normal 3 59 2 7 2" xfId="11759" xr:uid="{00000000-0005-0000-0000-00008C2A0000}"/>
    <cellStyle name="Normal 3 59 2 7 2 2" xfId="11760" xr:uid="{00000000-0005-0000-0000-00008D2A0000}"/>
    <cellStyle name="Normal 3 59 2 7 3" xfId="11761" xr:uid="{00000000-0005-0000-0000-00008E2A0000}"/>
    <cellStyle name="Normal 3 59 2 7 3 2" xfId="11762" xr:uid="{00000000-0005-0000-0000-00008F2A0000}"/>
    <cellStyle name="Normal 3 59 2 7 4" xfId="11763" xr:uid="{00000000-0005-0000-0000-0000902A0000}"/>
    <cellStyle name="Normal 3 59 2 7 5" xfId="11764" xr:uid="{00000000-0005-0000-0000-0000912A0000}"/>
    <cellStyle name="Normal 3 59 2 8" xfId="2935" xr:uid="{00000000-0005-0000-0000-0000922A0000}"/>
    <cellStyle name="Normal 3 59 2 8 2" xfId="11765" xr:uid="{00000000-0005-0000-0000-0000932A0000}"/>
    <cellStyle name="Normal 3 59 2 8 2 2" xfId="11766" xr:uid="{00000000-0005-0000-0000-0000942A0000}"/>
    <cellStyle name="Normal 3 59 2 8 3" xfId="11767" xr:uid="{00000000-0005-0000-0000-0000952A0000}"/>
    <cellStyle name="Normal 3 59 2 8 3 2" xfId="11768" xr:uid="{00000000-0005-0000-0000-0000962A0000}"/>
    <cellStyle name="Normal 3 59 2 8 4" xfId="11769" xr:uid="{00000000-0005-0000-0000-0000972A0000}"/>
    <cellStyle name="Normal 3 59 2 8 5" xfId="11770" xr:uid="{00000000-0005-0000-0000-0000982A0000}"/>
    <cellStyle name="Normal 3 59 2 9" xfId="2936" xr:uid="{00000000-0005-0000-0000-0000992A0000}"/>
    <cellStyle name="Normal 3 59 2 9 2" xfId="11771" xr:uid="{00000000-0005-0000-0000-00009A2A0000}"/>
    <cellStyle name="Normal 3 59 2 9 2 2" xfId="11772" xr:uid="{00000000-0005-0000-0000-00009B2A0000}"/>
    <cellStyle name="Normal 3 59 2 9 3" xfId="11773" xr:uid="{00000000-0005-0000-0000-00009C2A0000}"/>
    <cellStyle name="Normal 3 59 2 9 3 2" xfId="11774" xr:uid="{00000000-0005-0000-0000-00009D2A0000}"/>
    <cellStyle name="Normal 3 59 2 9 4" xfId="11775" xr:uid="{00000000-0005-0000-0000-00009E2A0000}"/>
    <cellStyle name="Normal 3 59 2 9 5" xfId="11776" xr:uid="{00000000-0005-0000-0000-00009F2A0000}"/>
    <cellStyle name="Normal 3 59 3" xfId="2937" xr:uid="{00000000-0005-0000-0000-0000A02A0000}"/>
    <cellStyle name="Normal 3 59 3 2" xfId="11777" xr:uid="{00000000-0005-0000-0000-0000A12A0000}"/>
    <cellStyle name="Normal 3 59 3 2 2" xfId="11778" xr:uid="{00000000-0005-0000-0000-0000A22A0000}"/>
    <cellStyle name="Normal 3 59 3 3" xfId="11779" xr:uid="{00000000-0005-0000-0000-0000A32A0000}"/>
    <cellStyle name="Normal 3 59 3 3 2" xfId="11780" xr:uid="{00000000-0005-0000-0000-0000A42A0000}"/>
    <cellStyle name="Normal 3 59 3 4" xfId="11781" xr:uid="{00000000-0005-0000-0000-0000A52A0000}"/>
    <cellStyle name="Normal 3 59 3 5" xfId="11782" xr:uid="{00000000-0005-0000-0000-0000A62A0000}"/>
    <cellStyle name="Normal 3 59 4" xfId="2938" xr:uid="{00000000-0005-0000-0000-0000A72A0000}"/>
    <cellStyle name="Normal 3 59 4 2" xfId="11783" xr:uid="{00000000-0005-0000-0000-0000A82A0000}"/>
    <cellStyle name="Normal 3 59 4 2 2" xfId="11784" xr:uid="{00000000-0005-0000-0000-0000A92A0000}"/>
    <cellStyle name="Normal 3 59 4 3" xfId="11785" xr:uid="{00000000-0005-0000-0000-0000AA2A0000}"/>
    <cellStyle name="Normal 3 59 4 3 2" xfId="11786" xr:uid="{00000000-0005-0000-0000-0000AB2A0000}"/>
    <cellStyle name="Normal 3 59 4 4" xfId="11787" xr:uid="{00000000-0005-0000-0000-0000AC2A0000}"/>
    <cellStyle name="Normal 3 59 4 5" xfId="11788" xr:uid="{00000000-0005-0000-0000-0000AD2A0000}"/>
    <cellStyle name="Normal 3 59 5" xfId="2939" xr:uid="{00000000-0005-0000-0000-0000AE2A0000}"/>
    <cellStyle name="Normal 3 59 5 2" xfId="11789" xr:uid="{00000000-0005-0000-0000-0000AF2A0000}"/>
    <cellStyle name="Normal 3 59 5 2 2" xfId="11790" xr:uid="{00000000-0005-0000-0000-0000B02A0000}"/>
    <cellStyle name="Normal 3 59 5 3" xfId="11791" xr:uid="{00000000-0005-0000-0000-0000B12A0000}"/>
    <cellStyle name="Normal 3 59 5 3 2" xfId="11792" xr:uid="{00000000-0005-0000-0000-0000B22A0000}"/>
    <cellStyle name="Normal 3 59 5 4" xfId="11793" xr:uid="{00000000-0005-0000-0000-0000B32A0000}"/>
    <cellStyle name="Normal 3 59 5 5" xfId="11794" xr:uid="{00000000-0005-0000-0000-0000B42A0000}"/>
    <cellStyle name="Normal 3 59 6" xfId="2940" xr:uid="{00000000-0005-0000-0000-0000B52A0000}"/>
    <cellStyle name="Normal 3 59 6 2" xfId="11795" xr:uid="{00000000-0005-0000-0000-0000B62A0000}"/>
    <cellStyle name="Normal 3 59 6 2 2" xfId="11796" xr:uid="{00000000-0005-0000-0000-0000B72A0000}"/>
    <cellStyle name="Normal 3 59 6 3" xfId="11797" xr:uid="{00000000-0005-0000-0000-0000B82A0000}"/>
    <cellStyle name="Normal 3 59 6 3 2" xfId="11798" xr:uid="{00000000-0005-0000-0000-0000B92A0000}"/>
    <cellStyle name="Normal 3 59 6 4" xfId="11799" xr:uid="{00000000-0005-0000-0000-0000BA2A0000}"/>
    <cellStyle name="Normal 3 59 6 5" xfId="11800" xr:uid="{00000000-0005-0000-0000-0000BB2A0000}"/>
    <cellStyle name="Normal 3 59 7" xfId="2941" xr:uid="{00000000-0005-0000-0000-0000BC2A0000}"/>
    <cellStyle name="Normal 3 59 7 2" xfId="11801" xr:uid="{00000000-0005-0000-0000-0000BD2A0000}"/>
    <cellStyle name="Normal 3 59 7 2 2" xfId="11802" xr:uid="{00000000-0005-0000-0000-0000BE2A0000}"/>
    <cellStyle name="Normal 3 59 7 3" xfId="11803" xr:uid="{00000000-0005-0000-0000-0000BF2A0000}"/>
    <cellStyle name="Normal 3 59 7 3 2" xfId="11804" xr:uid="{00000000-0005-0000-0000-0000C02A0000}"/>
    <cellStyle name="Normal 3 59 7 4" xfId="11805" xr:uid="{00000000-0005-0000-0000-0000C12A0000}"/>
    <cellStyle name="Normal 3 59 7 5" xfId="11806" xr:uid="{00000000-0005-0000-0000-0000C22A0000}"/>
    <cellStyle name="Normal 3 59 8" xfId="2942" xr:uid="{00000000-0005-0000-0000-0000C32A0000}"/>
    <cellStyle name="Normal 3 59 8 2" xfId="11807" xr:uid="{00000000-0005-0000-0000-0000C42A0000}"/>
    <cellStyle name="Normal 3 59 8 2 2" xfId="11808" xr:uid="{00000000-0005-0000-0000-0000C52A0000}"/>
    <cellStyle name="Normal 3 59 8 3" xfId="11809" xr:uid="{00000000-0005-0000-0000-0000C62A0000}"/>
    <cellStyle name="Normal 3 59 8 3 2" xfId="11810" xr:uid="{00000000-0005-0000-0000-0000C72A0000}"/>
    <cellStyle name="Normal 3 59 8 4" xfId="11811" xr:uid="{00000000-0005-0000-0000-0000C82A0000}"/>
    <cellStyle name="Normal 3 59 8 5" xfId="11812" xr:uid="{00000000-0005-0000-0000-0000C92A0000}"/>
    <cellStyle name="Normal 3 59 9" xfId="2943" xr:uid="{00000000-0005-0000-0000-0000CA2A0000}"/>
    <cellStyle name="Normal 3 59 9 2" xfId="11813" xr:uid="{00000000-0005-0000-0000-0000CB2A0000}"/>
    <cellStyle name="Normal 3 59 9 2 2" xfId="11814" xr:uid="{00000000-0005-0000-0000-0000CC2A0000}"/>
    <cellStyle name="Normal 3 59 9 3" xfId="11815" xr:uid="{00000000-0005-0000-0000-0000CD2A0000}"/>
    <cellStyle name="Normal 3 59 9 3 2" xfId="11816" xr:uid="{00000000-0005-0000-0000-0000CE2A0000}"/>
    <cellStyle name="Normal 3 59 9 4" xfId="11817" xr:uid="{00000000-0005-0000-0000-0000CF2A0000}"/>
    <cellStyle name="Normal 3 59 9 5" xfId="11818" xr:uid="{00000000-0005-0000-0000-0000D02A0000}"/>
    <cellStyle name="Normal 3 6" xfId="2944" xr:uid="{00000000-0005-0000-0000-0000D12A0000}"/>
    <cellStyle name="Normal 3 6 10" xfId="2945" xr:uid="{00000000-0005-0000-0000-0000D22A0000}"/>
    <cellStyle name="Normal 3 6 10 2" xfId="11819" xr:uid="{00000000-0005-0000-0000-0000D32A0000}"/>
    <cellStyle name="Normal 3 6 10 2 2" xfId="11820" xr:uid="{00000000-0005-0000-0000-0000D42A0000}"/>
    <cellStyle name="Normal 3 6 10 3" xfId="11821" xr:uid="{00000000-0005-0000-0000-0000D52A0000}"/>
    <cellStyle name="Normal 3 6 10 3 2" xfId="11822" xr:uid="{00000000-0005-0000-0000-0000D62A0000}"/>
    <cellStyle name="Normal 3 6 10 4" xfId="11823" xr:uid="{00000000-0005-0000-0000-0000D72A0000}"/>
    <cellStyle name="Normal 3 6 10 5" xfId="11824" xr:uid="{00000000-0005-0000-0000-0000D82A0000}"/>
    <cellStyle name="Normal 3 6 11" xfId="2946" xr:uid="{00000000-0005-0000-0000-0000D92A0000}"/>
    <cellStyle name="Normal 3 6 11 2" xfId="11825" xr:uid="{00000000-0005-0000-0000-0000DA2A0000}"/>
    <cellStyle name="Normal 3 6 11 2 2" xfId="11826" xr:uid="{00000000-0005-0000-0000-0000DB2A0000}"/>
    <cellStyle name="Normal 3 6 11 3" xfId="11827" xr:uid="{00000000-0005-0000-0000-0000DC2A0000}"/>
    <cellStyle name="Normal 3 6 11 3 2" xfId="11828" xr:uid="{00000000-0005-0000-0000-0000DD2A0000}"/>
    <cellStyle name="Normal 3 6 11 4" xfId="11829" xr:uid="{00000000-0005-0000-0000-0000DE2A0000}"/>
    <cellStyle name="Normal 3 6 11 5" xfId="11830" xr:uid="{00000000-0005-0000-0000-0000DF2A0000}"/>
    <cellStyle name="Normal 3 6 12" xfId="2947" xr:uid="{00000000-0005-0000-0000-0000E02A0000}"/>
    <cellStyle name="Normal 3 6 12 2" xfId="11831" xr:uid="{00000000-0005-0000-0000-0000E12A0000}"/>
    <cellStyle name="Normal 3 6 12 2 2" xfId="11832" xr:uid="{00000000-0005-0000-0000-0000E22A0000}"/>
    <cellStyle name="Normal 3 6 12 3" xfId="11833" xr:uid="{00000000-0005-0000-0000-0000E32A0000}"/>
    <cellStyle name="Normal 3 6 12 3 2" xfId="11834" xr:uid="{00000000-0005-0000-0000-0000E42A0000}"/>
    <cellStyle name="Normal 3 6 12 4" xfId="11835" xr:uid="{00000000-0005-0000-0000-0000E52A0000}"/>
    <cellStyle name="Normal 3 6 12 5" xfId="11836" xr:uid="{00000000-0005-0000-0000-0000E62A0000}"/>
    <cellStyle name="Normal 3 6 13" xfId="2948" xr:uid="{00000000-0005-0000-0000-0000E72A0000}"/>
    <cellStyle name="Normal 3 6 13 2" xfId="11837" xr:uid="{00000000-0005-0000-0000-0000E82A0000}"/>
    <cellStyle name="Normal 3 6 13 2 2" xfId="11838" xr:uid="{00000000-0005-0000-0000-0000E92A0000}"/>
    <cellStyle name="Normal 3 6 13 3" xfId="11839" xr:uid="{00000000-0005-0000-0000-0000EA2A0000}"/>
    <cellStyle name="Normal 3 6 13 3 2" xfId="11840" xr:uid="{00000000-0005-0000-0000-0000EB2A0000}"/>
    <cellStyle name="Normal 3 6 13 4" xfId="11841" xr:uid="{00000000-0005-0000-0000-0000EC2A0000}"/>
    <cellStyle name="Normal 3 6 13 5" xfId="11842" xr:uid="{00000000-0005-0000-0000-0000ED2A0000}"/>
    <cellStyle name="Normal 3 6 14" xfId="11843" xr:uid="{00000000-0005-0000-0000-0000EE2A0000}"/>
    <cellStyle name="Normal 3 6 14 2" xfId="11844" xr:uid="{00000000-0005-0000-0000-0000EF2A0000}"/>
    <cellStyle name="Normal 3 6 15" xfId="11845" xr:uid="{00000000-0005-0000-0000-0000F02A0000}"/>
    <cellStyle name="Normal 3 6 15 2" xfId="11846" xr:uid="{00000000-0005-0000-0000-0000F12A0000}"/>
    <cellStyle name="Normal 3 6 16" xfId="11847" xr:uid="{00000000-0005-0000-0000-0000F22A0000}"/>
    <cellStyle name="Normal 3 6 17" xfId="11848" xr:uid="{00000000-0005-0000-0000-0000F32A0000}"/>
    <cellStyle name="Normal 3 6 2" xfId="2949" xr:uid="{00000000-0005-0000-0000-0000F42A0000}"/>
    <cellStyle name="Normal 3 6 2 10" xfId="2950" xr:uid="{00000000-0005-0000-0000-0000F52A0000}"/>
    <cellStyle name="Normal 3 6 2 10 2" xfId="11849" xr:uid="{00000000-0005-0000-0000-0000F62A0000}"/>
    <cellStyle name="Normal 3 6 2 10 2 2" xfId="11850" xr:uid="{00000000-0005-0000-0000-0000F72A0000}"/>
    <cellStyle name="Normal 3 6 2 10 3" xfId="11851" xr:uid="{00000000-0005-0000-0000-0000F82A0000}"/>
    <cellStyle name="Normal 3 6 2 10 3 2" xfId="11852" xr:uid="{00000000-0005-0000-0000-0000F92A0000}"/>
    <cellStyle name="Normal 3 6 2 10 4" xfId="11853" xr:uid="{00000000-0005-0000-0000-0000FA2A0000}"/>
    <cellStyle name="Normal 3 6 2 10 5" xfId="11854" xr:uid="{00000000-0005-0000-0000-0000FB2A0000}"/>
    <cellStyle name="Normal 3 6 2 11" xfId="2951" xr:uid="{00000000-0005-0000-0000-0000FC2A0000}"/>
    <cellStyle name="Normal 3 6 2 11 2" xfId="11855" xr:uid="{00000000-0005-0000-0000-0000FD2A0000}"/>
    <cellStyle name="Normal 3 6 2 11 2 2" xfId="11856" xr:uid="{00000000-0005-0000-0000-0000FE2A0000}"/>
    <cellStyle name="Normal 3 6 2 11 3" xfId="11857" xr:uid="{00000000-0005-0000-0000-0000FF2A0000}"/>
    <cellStyle name="Normal 3 6 2 11 3 2" xfId="11858" xr:uid="{00000000-0005-0000-0000-0000002B0000}"/>
    <cellStyle name="Normal 3 6 2 11 4" xfId="11859" xr:uid="{00000000-0005-0000-0000-0000012B0000}"/>
    <cellStyle name="Normal 3 6 2 11 5" xfId="11860" xr:uid="{00000000-0005-0000-0000-0000022B0000}"/>
    <cellStyle name="Normal 3 6 2 12" xfId="2952" xr:uid="{00000000-0005-0000-0000-0000032B0000}"/>
    <cellStyle name="Normal 3 6 2 12 2" xfId="11861" xr:uid="{00000000-0005-0000-0000-0000042B0000}"/>
    <cellStyle name="Normal 3 6 2 12 2 2" xfId="11862" xr:uid="{00000000-0005-0000-0000-0000052B0000}"/>
    <cellStyle name="Normal 3 6 2 12 3" xfId="11863" xr:uid="{00000000-0005-0000-0000-0000062B0000}"/>
    <cellStyle name="Normal 3 6 2 12 3 2" xfId="11864" xr:uid="{00000000-0005-0000-0000-0000072B0000}"/>
    <cellStyle name="Normal 3 6 2 12 4" xfId="11865" xr:uid="{00000000-0005-0000-0000-0000082B0000}"/>
    <cellStyle name="Normal 3 6 2 12 5" xfId="11866" xr:uid="{00000000-0005-0000-0000-0000092B0000}"/>
    <cellStyle name="Normal 3 6 2 13" xfId="11867" xr:uid="{00000000-0005-0000-0000-00000A2B0000}"/>
    <cellStyle name="Normal 3 6 2 13 2" xfId="11868" xr:uid="{00000000-0005-0000-0000-00000B2B0000}"/>
    <cellStyle name="Normal 3 6 2 14" xfId="11869" xr:uid="{00000000-0005-0000-0000-00000C2B0000}"/>
    <cellStyle name="Normal 3 6 2 14 2" xfId="11870" xr:uid="{00000000-0005-0000-0000-00000D2B0000}"/>
    <cellStyle name="Normal 3 6 2 15" xfId="11871" xr:uid="{00000000-0005-0000-0000-00000E2B0000}"/>
    <cellStyle name="Normal 3 6 2 16" xfId="11872" xr:uid="{00000000-0005-0000-0000-00000F2B0000}"/>
    <cellStyle name="Normal 3 6 2 2" xfId="2953" xr:uid="{00000000-0005-0000-0000-0000102B0000}"/>
    <cellStyle name="Normal 3 6 2 2 2" xfId="11873" xr:uid="{00000000-0005-0000-0000-0000112B0000}"/>
    <cellStyle name="Normal 3 6 2 2 2 2" xfId="11874" xr:uid="{00000000-0005-0000-0000-0000122B0000}"/>
    <cellStyle name="Normal 3 6 2 2 3" xfId="11875" xr:uid="{00000000-0005-0000-0000-0000132B0000}"/>
    <cellStyle name="Normal 3 6 2 2 3 2" xfId="11876" xr:uid="{00000000-0005-0000-0000-0000142B0000}"/>
    <cellStyle name="Normal 3 6 2 2 4" xfId="11877" xr:uid="{00000000-0005-0000-0000-0000152B0000}"/>
    <cellStyle name="Normal 3 6 2 2 5" xfId="11878" xr:uid="{00000000-0005-0000-0000-0000162B0000}"/>
    <cellStyle name="Normal 3 6 2 3" xfId="2954" xr:uid="{00000000-0005-0000-0000-0000172B0000}"/>
    <cellStyle name="Normal 3 6 2 3 2" xfId="11879" xr:uid="{00000000-0005-0000-0000-0000182B0000}"/>
    <cellStyle name="Normal 3 6 2 3 2 2" xfId="11880" xr:uid="{00000000-0005-0000-0000-0000192B0000}"/>
    <cellStyle name="Normal 3 6 2 3 3" xfId="11881" xr:uid="{00000000-0005-0000-0000-00001A2B0000}"/>
    <cellStyle name="Normal 3 6 2 3 3 2" xfId="11882" xr:uid="{00000000-0005-0000-0000-00001B2B0000}"/>
    <cellStyle name="Normal 3 6 2 3 4" xfId="11883" xr:uid="{00000000-0005-0000-0000-00001C2B0000}"/>
    <cellStyle name="Normal 3 6 2 3 5" xfId="11884" xr:uid="{00000000-0005-0000-0000-00001D2B0000}"/>
    <cellStyle name="Normal 3 6 2 4" xfId="2955" xr:uid="{00000000-0005-0000-0000-00001E2B0000}"/>
    <cellStyle name="Normal 3 6 2 4 2" xfId="11885" xr:uid="{00000000-0005-0000-0000-00001F2B0000}"/>
    <cellStyle name="Normal 3 6 2 4 2 2" xfId="11886" xr:uid="{00000000-0005-0000-0000-0000202B0000}"/>
    <cellStyle name="Normal 3 6 2 4 3" xfId="11887" xr:uid="{00000000-0005-0000-0000-0000212B0000}"/>
    <cellStyle name="Normal 3 6 2 4 3 2" xfId="11888" xr:uid="{00000000-0005-0000-0000-0000222B0000}"/>
    <cellStyle name="Normal 3 6 2 4 4" xfId="11889" xr:uid="{00000000-0005-0000-0000-0000232B0000}"/>
    <cellStyle name="Normal 3 6 2 4 5" xfId="11890" xr:uid="{00000000-0005-0000-0000-0000242B0000}"/>
    <cellStyle name="Normal 3 6 2 5" xfId="2956" xr:uid="{00000000-0005-0000-0000-0000252B0000}"/>
    <cellStyle name="Normal 3 6 2 5 2" xfId="11891" xr:uid="{00000000-0005-0000-0000-0000262B0000}"/>
    <cellStyle name="Normal 3 6 2 5 2 2" xfId="11892" xr:uid="{00000000-0005-0000-0000-0000272B0000}"/>
    <cellStyle name="Normal 3 6 2 5 3" xfId="11893" xr:uid="{00000000-0005-0000-0000-0000282B0000}"/>
    <cellStyle name="Normal 3 6 2 5 3 2" xfId="11894" xr:uid="{00000000-0005-0000-0000-0000292B0000}"/>
    <cellStyle name="Normal 3 6 2 5 4" xfId="11895" xr:uid="{00000000-0005-0000-0000-00002A2B0000}"/>
    <cellStyle name="Normal 3 6 2 5 5" xfId="11896" xr:uid="{00000000-0005-0000-0000-00002B2B0000}"/>
    <cellStyle name="Normal 3 6 2 6" xfId="2957" xr:uid="{00000000-0005-0000-0000-00002C2B0000}"/>
    <cellStyle name="Normal 3 6 2 6 2" xfId="11897" xr:uid="{00000000-0005-0000-0000-00002D2B0000}"/>
    <cellStyle name="Normal 3 6 2 6 2 2" xfId="11898" xr:uid="{00000000-0005-0000-0000-00002E2B0000}"/>
    <cellStyle name="Normal 3 6 2 6 3" xfId="11899" xr:uid="{00000000-0005-0000-0000-00002F2B0000}"/>
    <cellStyle name="Normal 3 6 2 6 3 2" xfId="11900" xr:uid="{00000000-0005-0000-0000-0000302B0000}"/>
    <cellStyle name="Normal 3 6 2 6 4" xfId="11901" xr:uid="{00000000-0005-0000-0000-0000312B0000}"/>
    <cellStyle name="Normal 3 6 2 6 5" xfId="11902" xr:uid="{00000000-0005-0000-0000-0000322B0000}"/>
    <cellStyle name="Normal 3 6 2 7" xfId="2958" xr:uid="{00000000-0005-0000-0000-0000332B0000}"/>
    <cellStyle name="Normal 3 6 2 7 2" xfId="11903" xr:uid="{00000000-0005-0000-0000-0000342B0000}"/>
    <cellStyle name="Normal 3 6 2 7 2 2" xfId="11904" xr:uid="{00000000-0005-0000-0000-0000352B0000}"/>
    <cellStyle name="Normal 3 6 2 7 3" xfId="11905" xr:uid="{00000000-0005-0000-0000-0000362B0000}"/>
    <cellStyle name="Normal 3 6 2 7 3 2" xfId="11906" xr:uid="{00000000-0005-0000-0000-0000372B0000}"/>
    <cellStyle name="Normal 3 6 2 7 4" xfId="11907" xr:uid="{00000000-0005-0000-0000-0000382B0000}"/>
    <cellStyle name="Normal 3 6 2 7 5" xfId="11908" xr:uid="{00000000-0005-0000-0000-0000392B0000}"/>
    <cellStyle name="Normal 3 6 2 8" xfId="2959" xr:uid="{00000000-0005-0000-0000-00003A2B0000}"/>
    <cellStyle name="Normal 3 6 2 8 2" xfId="11909" xr:uid="{00000000-0005-0000-0000-00003B2B0000}"/>
    <cellStyle name="Normal 3 6 2 8 2 2" xfId="11910" xr:uid="{00000000-0005-0000-0000-00003C2B0000}"/>
    <cellStyle name="Normal 3 6 2 8 3" xfId="11911" xr:uid="{00000000-0005-0000-0000-00003D2B0000}"/>
    <cellStyle name="Normal 3 6 2 8 3 2" xfId="11912" xr:uid="{00000000-0005-0000-0000-00003E2B0000}"/>
    <cellStyle name="Normal 3 6 2 8 4" xfId="11913" xr:uid="{00000000-0005-0000-0000-00003F2B0000}"/>
    <cellStyle name="Normal 3 6 2 8 5" xfId="11914" xr:uid="{00000000-0005-0000-0000-0000402B0000}"/>
    <cellStyle name="Normal 3 6 2 9" xfId="2960" xr:uid="{00000000-0005-0000-0000-0000412B0000}"/>
    <cellStyle name="Normal 3 6 2 9 2" xfId="11915" xr:uid="{00000000-0005-0000-0000-0000422B0000}"/>
    <cellStyle name="Normal 3 6 2 9 2 2" xfId="11916" xr:uid="{00000000-0005-0000-0000-0000432B0000}"/>
    <cellStyle name="Normal 3 6 2 9 3" xfId="11917" xr:uid="{00000000-0005-0000-0000-0000442B0000}"/>
    <cellStyle name="Normal 3 6 2 9 3 2" xfId="11918" xr:uid="{00000000-0005-0000-0000-0000452B0000}"/>
    <cellStyle name="Normal 3 6 2 9 4" xfId="11919" xr:uid="{00000000-0005-0000-0000-0000462B0000}"/>
    <cellStyle name="Normal 3 6 2 9 5" xfId="11920" xr:uid="{00000000-0005-0000-0000-0000472B0000}"/>
    <cellStyle name="Normal 3 6 3" xfId="2961" xr:uid="{00000000-0005-0000-0000-0000482B0000}"/>
    <cellStyle name="Normal 3 6 3 2" xfId="11921" xr:uid="{00000000-0005-0000-0000-0000492B0000}"/>
    <cellStyle name="Normal 3 6 3 2 2" xfId="11922" xr:uid="{00000000-0005-0000-0000-00004A2B0000}"/>
    <cellStyle name="Normal 3 6 3 3" xfId="11923" xr:uid="{00000000-0005-0000-0000-00004B2B0000}"/>
    <cellStyle name="Normal 3 6 3 3 2" xfId="11924" xr:uid="{00000000-0005-0000-0000-00004C2B0000}"/>
    <cellStyle name="Normal 3 6 3 4" xfId="11925" xr:uid="{00000000-0005-0000-0000-00004D2B0000}"/>
    <cellStyle name="Normal 3 6 3 5" xfId="11926" xr:uid="{00000000-0005-0000-0000-00004E2B0000}"/>
    <cellStyle name="Normal 3 6 4" xfId="2962" xr:uid="{00000000-0005-0000-0000-00004F2B0000}"/>
    <cellStyle name="Normal 3 6 4 2" xfId="11927" xr:uid="{00000000-0005-0000-0000-0000502B0000}"/>
    <cellStyle name="Normal 3 6 4 2 2" xfId="11928" xr:uid="{00000000-0005-0000-0000-0000512B0000}"/>
    <cellStyle name="Normal 3 6 4 3" xfId="11929" xr:uid="{00000000-0005-0000-0000-0000522B0000}"/>
    <cellStyle name="Normal 3 6 4 3 2" xfId="11930" xr:uid="{00000000-0005-0000-0000-0000532B0000}"/>
    <cellStyle name="Normal 3 6 4 4" xfId="11931" xr:uid="{00000000-0005-0000-0000-0000542B0000}"/>
    <cellStyle name="Normal 3 6 4 5" xfId="11932" xr:uid="{00000000-0005-0000-0000-0000552B0000}"/>
    <cellStyle name="Normal 3 6 5" xfId="2963" xr:uid="{00000000-0005-0000-0000-0000562B0000}"/>
    <cellStyle name="Normal 3 6 5 2" xfId="11933" xr:uid="{00000000-0005-0000-0000-0000572B0000}"/>
    <cellStyle name="Normal 3 6 5 2 2" xfId="11934" xr:uid="{00000000-0005-0000-0000-0000582B0000}"/>
    <cellStyle name="Normal 3 6 5 3" xfId="11935" xr:uid="{00000000-0005-0000-0000-0000592B0000}"/>
    <cellStyle name="Normal 3 6 5 3 2" xfId="11936" xr:uid="{00000000-0005-0000-0000-00005A2B0000}"/>
    <cellStyle name="Normal 3 6 5 4" xfId="11937" xr:uid="{00000000-0005-0000-0000-00005B2B0000}"/>
    <cellStyle name="Normal 3 6 5 5" xfId="11938" xr:uid="{00000000-0005-0000-0000-00005C2B0000}"/>
    <cellStyle name="Normal 3 6 6" xfId="2964" xr:uid="{00000000-0005-0000-0000-00005D2B0000}"/>
    <cellStyle name="Normal 3 6 6 2" xfId="11939" xr:uid="{00000000-0005-0000-0000-00005E2B0000}"/>
    <cellStyle name="Normal 3 6 6 2 2" xfId="11940" xr:uid="{00000000-0005-0000-0000-00005F2B0000}"/>
    <cellStyle name="Normal 3 6 6 3" xfId="11941" xr:uid="{00000000-0005-0000-0000-0000602B0000}"/>
    <cellStyle name="Normal 3 6 6 3 2" xfId="11942" xr:uid="{00000000-0005-0000-0000-0000612B0000}"/>
    <cellStyle name="Normal 3 6 6 4" xfId="11943" xr:uid="{00000000-0005-0000-0000-0000622B0000}"/>
    <cellStyle name="Normal 3 6 6 5" xfId="11944" xr:uid="{00000000-0005-0000-0000-0000632B0000}"/>
    <cellStyle name="Normal 3 6 7" xfId="2965" xr:uid="{00000000-0005-0000-0000-0000642B0000}"/>
    <cellStyle name="Normal 3 6 7 2" xfId="11945" xr:uid="{00000000-0005-0000-0000-0000652B0000}"/>
    <cellStyle name="Normal 3 6 7 2 2" xfId="11946" xr:uid="{00000000-0005-0000-0000-0000662B0000}"/>
    <cellStyle name="Normal 3 6 7 3" xfId="11947" xr:uid="{00000000-0005-0000-0000-0000672B0000}"/>
    <cellStyle name="Normal 3 6 7 3 2" xfId="11948" xr:uid="{00000000-0005-0000-0000-0000682B0000}"/>
    <cellStyle name="Normal 3 6 7 4" xfId="11949" xr:uid="{00000000-0005-0000-0000-0000692B0000}"/>
    <cellStyle name="Normal 3 6 7 5" xfId="11950" xr:uid="{00000000-0005-0000-0000-00006A2B0000}"/>
    <cellStyle name="Normal 3 6 8" xfId="2966" xr:uid="{00000000-0005-0000-0000-00006B2B0000}"/>
    <cellStyle name="Normal 3 6 8 2" xfId="11951" xr:uid="{00000000-0005-0000-0000-00006C2B0000}"/>
    <cellStyle name="Normal 3 6 8 2 2" xfId="11952" xr:uid="{00000000-0005-0000-0000-00006D2B0000}"/>
    <cellStyle name="Normal 3 6 8 3" xfId="11953" xr:uid="{00000000-0005-0000-0000-00006E2B0000}"/>
    <cellStyle name="Normal 3 6 8 3 2" xfId="11954" xr:uid="{00000000-0005-0000-0000-00006F2B0000}"/>
    <cellStyle name="Normal 3 6 8 4" xfId="11955" xr:uid="{00000000-0005-0000-0000-0000702B0000}"/>
    <cellStyle name="Normal 3 6 8 5" xfId="11956" xr:uid="{00000000-0005-0000-0000-0000712B0000}"/>
    <cellStyle name="Normal 3 6 9" xfId="2967" xr:uid="{00000000-0005-0000-0000-0000722B0000}"/>
    <cellStyle name="Normal 3 6 9 2" xfId="11957" xr:uid="{00000000-0005-0000-0000-0000732B0000}"/>
    <cellStyle name="Normal 3 6 9 2 2" xfId="11958" xr:uid="{00000000-0005-0000-0000-0000742B0000}"/>
    <cellStyle name="Normal 3 6 9 3" xfId="11959" xr:uid="{00000000-0005-0000-0000-0000752B0000}"/>
    <cellStyle name="Normal 3 6 9 3 2" xfId="11960" xr:uid="{00000000-0005-0000-0000-0000762B0000}"/>
    <cellStyle name="Normal 3 6 9 4" xfId="11961" xr:uid="{00000000-0005-0000-0000-0000772B0000}"/>
    <cellStyle name="Normal 3 6 9 5" xfId="11962" xr:uid="{00000000-0005-0000-0000-0000782B0000}"/>
    <cellStyle name="Normal 3 60" xfId="2968" xr:uid="{00000000-0005-0000-0000-0000792B0000}"/>
    <cellStyle name="Normal 3 60 10" xfId="2969" xr:uid="{00000000-0005-0000-0000-00007A2B0000}"/>
    <cellStyle name="Normal 3 60 10 2" xfId="11963" xr:uid="{00000000-0005-0000-0000-00007B2B0000}"/>
    <cellStyle name="Normal 3 60 10 2 2" xfId="11964" xr:uid="{00000000-0005-0000-0000-00007C2B0000}"/>
    <cellStyle name="Normal 3 60 10 3" xfId="11965" xr:uid="{00000000-0005-0000-0000-00007D2B0000}"/>
    <cellStyle name="Normal 3 60 10 3 2" xfId="11966" xr:uid="{00000000-0005-0000-0000-00007E2B0000}"/>
    <cellStyle name="Normal 3 60 10 4" xfId="11967" xr:uid="{00000000-0005-0000-0000-00007F2B0000}"/>
    <cellStyle name="Normal 3 60 10 5" xfId="11968" xr:uid="{00000000-0005-0000-0000-0000802B0000}"/>
    <cellStyle name="Normal 3 60 11" xfId="2970" xr:uid="{00000000-0005-0000-0000-0000812B0000}"/>
    <cellStyle name="Normal 3 60 11 2" xfId="11969" xr:uid="{00000000-0005-0000-0000-0000822B0000}"/>
    <cellStyle name="Normal 3 60 11 2 2" xfId="11970" xr:uid="{00000000-0005-0000-0000-0000832B0000}"/>
    <cellStyle name="Normal 3 60 11 3" xfId="11971" xr:uid="{00000000-0005-0000-0000-0000842B0000}"/>
    <cellStyle name="Normal 3 60 11 3 2" xfId="11972" xr:uid="{00000000-0005-0000-0000-0000852B0000}"/>
    <cellStyle name="Normal 3 60 11 4" xfId="11973" xr:uid="{00000000-0005-0000-0000-0000862B0000}"/>
    <cellStyle name="Normal 3 60 11 5" xfId="11974" xr:uid="{00000000-0005-0000-0000-0000872B0000}"/>
    <cellStyle name="Normal 3 60 12" xfId="2971" xr:uid="{00000000-0005-0000-0000-0000882B0000}"/>
    <cellStyle name="Normal 3 60 12 2" xfId="11975" xr:uid="{00000000-0005-0000-0000-0000892B0000}"/>
    <cellStyle name="Normal 3 60 12 2 2" xfId="11976" xr:uid="{00000000-0005-0000-0000-00008A2B0000}"/>
    <cellStyle name="Normal 3 60 12 3" xfId="11977" xr:uid="{00000000-0005-0000-0000-00008B2B0000}"/>
    <cellStyle name="Normal 3 60 12 3 2" xfId="11978" xr:uid="{00000000-0005-0000-0000-00008C2B0000}"/>
    <cellStyle name="Normal 3 60 12 4" xfId="11979" xr:uid="{00000000-0005-0000-0000-00008D2B0000}"/>
    <cellStyle name="Normal 3 60 12 5" xfId="11980" xr:uid="{00000000-0005-0000-0000-00008E2B0000}"/>
    <cellStyle name="Normal 3 60 13" xfId="2972" xr:uid="{00000000-0005-0000-0000-00008F2B0000}"/>
    <cellStyle name="Normal 3 60 13 2" xfId="11981" xr:uid="{00000000-0005-0000-0000-0000902B0000}"/>
    <cellStyle name="Normal 3 60 13 2 2" xfId="11982" xr:uid="{00000000-0005-0000-0000-0000912B0000}"/>
    <cellStyle name="Normal 3 60 13 3" xfId="11983" xr:uid="{00000000-0005-0000-0000-0000922B0000}"/>
    <cellStyle name="Normal 3 60 13 3 2" xfId="11984" xr:uid="{00000000-0005-0000-0000-0000932B0000}"/>
    <cellStyle name="Normal 3 60 13 4" xfId="11985" xr:uid="{00000000-0005-0000-0000-0000942B0000}"/>
    <cellStyle name="Normal 3 60 13 5" xfId="11986" xr:uid="{00000000-0005-0000-0000-0000952B0000}"/>
    <cellStyle name="Normal 3 60 14" xfId="11987" xr:uid="{00000000-0005-0000-0000-0000962B0000}"/>
    <cellStyle name="Normal 3 60 14 2" xfId="11988" xr:uid="{00000000-0005-0000-0000-0000972B0000}"/>
    <cellStyle name="Normal 3 60 15" xfId="11989" xr:uid="{00000000-0005-0000-0000-0000982B0000}"/>
    <cellStyle name="Normal 3 60 15 2" xfId="11990" xr:uid="{00000000-0005-0000-0000-0000992B0000}"/>
    <cellStyle name="Normal 3 60 16" xfId="11991" xr:uid="{00000000-0005-0000-0000-00009A2B0000}"/>
    <cellStyle name="Normal 3 60 17" xfId="11992" xr:uid="{00000000-0005-0000-0000-00009B2B0000}"/>
    <cellStyle name="Normal 3 60 2" xfId="2973" xr:uid="{00000000-0005-0000-0000-00009C2B0000}"/>
    <cellStyle name="Normal 3 60 2 10" xfId="2974" xr:uid="{00000000-0005-0000-0000-00009D2B0000}"/>
    <cellStyle name="Normal 3 60 2 10 2" xfId="11993" xr:uid="{00000000-0005-0000-0000-00009E2B0000}"/>
    <cellStyle name="Normal 3 60 2 10 2 2" xfId="11994" xr:uid="{00000000-0005-0000-0000-00009F2B0000}"/>
    <cellStyle name="Normal 3 60 2 10 3" xfId="11995" xr:uid="{00000000-0005-0000-0000-0000A02B0000}"/>
    <cellStyle name="Normal 3 60 2 10 3 2" xfId="11996" xr:uid="{00000000-0005-0000-0000-0000A12B0000}"/>
    <cellStyle name="Normal 3 60 2 10 4" xfId="11997" xr:uid="{00000000-0005-0000-0000-0000A22B0000}"/>
    <cellStyle name="Normal 3 60 2 10 5" xfId="11998" xr:uid="{00000000-0005-0000-0000-0000A32B0000}"/>
    <cellStyle name="Normal 3 60 2 11" xfId="2975" xr:uid="{00000000-0005-0000-0000-0000A42B0000}"/>
    <cellStyle name="Normal 3 60 2 11 2" xfId="11999" xr:uid="{00000000-0005-0000-0000-0000A52B0000}"/>
    <cellStyle name="Normal 3 60 2 11 2 2" xfId="12000" xr:uid="{00000000-0005-0000-0000-0000A62B0000}"/>
    <cellStyle name="Normal 3 60 2 11 3" xfId="12001" xr:uid="{00000000-0005-0000-0000-0000A72B0000}"/>
    <cellStyle name="Normal 3 60 2 11 3 2" xfId="12002" xr:uid="{00000000-0005-0000-0000-0000A82B0000}"/>
    <cellStyle name="Normal 3 60 2 11 4" xfId="12003" xr:uid="{00000000-0005-0000-0000-0000A92B0000}"/>
    <cellStyle name="Normal 3 60 2 11 5" xfId="12004" xr:uid="{00000000-0005-0000-0000-0000AA2B0000}"/>
    <cellStyle name="Normal 3 60 2 12" xfId="2976" xr:uid="{00000000-0005-0000-0000-0000AB2B0000}"/>
    <cellStyle name="Normal 3 60 2 12 2" xfId="12005" xr:uid="{00000000-0005-0000-0000-0000AC2B0000}"/>
    <cellStyle name="Normal 3 60 2 12 2 2" xfId="12006" xr:uid="{00000000-0005-0000-0000-0000AD2B0000}"/>
    <cellStyle name="Normal 3 60 2 12 3" xfId="12007" xr:uid="{00000000-0005-0000-0000-0000AE2B0000}"/>
    <cellStyle name="Normal 3 60 2 12 3 2" xfId="12008" xr:uid="{00000000-0005-0000-0000-0000AF2B0000}"/>
    <cellStyle name="Normal 3 60 2 12 4" xfId="12009" xr:uid="{00000000-0005-0000-0000-0000B02B0000}"/>
    <cellStyle name="Normal 3 60 2 12 5" xfId="12010" xr:uid="{00000000-0005-0000-0000-0000B12B0000}"/>
    <cellStyle name="Normal 3 60 2 13" xfId="12011" xr:uid="{00000000-0005-0000-0000-0000B22B0000}"/>
    <cellStyle name="Normal 3 60 2 13 2" xfId="12012" xr:uid="{00000000-0005-0000-0000-0000B32B0000}"/>
    <cellStyle name="Normal 3 60 2 14" xfId="12013" xr:uid="{00000000-0005-0000-0000-0000B42B0000}"/>
    <cellStyle name="Normal 3 60 2 14 2" xfId="12014" xr:uid="{00000000-0005-0000-0000-0000B52B0000}"/>
    <cellStyle name="Normal 3 60 2 15" xfId="12015" xr:uid="{00000000-0005-0000-0000-0000B62B0000}"/>
    <cellStyle name="Normal 3 60 2 16" xfId="12016" xr:uid="{00000000-0005-0000-0000-0000B72B0000}"/>
    <cellStyle name="Normal 3 60 2 2" xfId="2977" xr:uid="{00000000-0005-0000-0000-0000B82B0000}"/>
    <cellStyle name="Normal 3 60 2 2 2" xfId="12017" xr:uid="{00000000-0005-0000-0000-0000B92B0000}"/>
    <cellStyle name="Normal 3 60 2 2 2 2" xfId="12018" xr:uid="{00000000-0005-0000-0000-0000BA2B0000}"/>
    <cellStyle name="Normal 3 60 2 2 3" xfId="12019" xr:uid="{00000000-0005-0000-0000-0000BB2B0000}"/>
    <cellStyle name="Normal 3 60 2 2 3 2" xfId="12020" xr:uid="{00000000-0005-0000-0000-0000BC2B0000}"/>
    <cellStyle name="Normal 3 60 2 2 4" xfId="12021" xr:uid="{00000000-0005-0000-0000-0000BD2B0000}"/>
    <cellStyle name="Normal 3 60 2 2 5" xfId="12022" xr:uid="{00000000-0005-0000-0000-0000BE2B0000}"/>
    <cellStyle name="Normal 3 60 2 3" xfId="2978" xr:uid="{00000000-0005-0000-0000-0000BF2B0000}"/>
    <cellStyle name="Normal 3 60 2 3 2" xfId="12023" xr:uid="{00000000-0005-0000-0000-0000C02B0000}"/>
    <cellStyle name="Normal 3 60 2 3 2 2" xfId="12024" xr:uid="{00000000-0005-0000-0000-0000C12B0000}"/>
    <cellStyle name="Normal 3 60 2 3 3" xfId="12025" xr:uid="{00000000-0005-0000-0000-0000C22B0000}"/>
    <cellStyle name="Normal 3 60 2 3 3 2" xfId="12026" xr:uid="{00000000-0005-0000-0000-0000C32B0000}"/>
    <cellStyle name="Normal 3 60 2 3 4" xfId="12027" xr:uid="{00000000-0005-0000-0000-0000C42B0000}"/>
    <cellStyle name="Normal 3 60 2 3 5" xfId="12028" xr:uid="{00000000-0005-0000-0000-0000C52B0000}"/>
    <cellStyle name="Normal 3 60 2 4" xfId="2979" xr:uid="{00000000-0005-0000-0000-0000C62B0000}"/>
    <cellStyle name="Normal 3 60 2 4 2" xfId="12029" xr:uid="{00000000-0005-0000-0000-0000C72B0000}"/>
    <cellStyle name="Normal 3 60 2 4 2 2" xfId="12030" xr:uid="{00000000-0005-0000-0000-0000C82B0000}"/>
    <cellStyle name="Normal 3 60 2 4 3" xfId="12031" xr:uid="{00000000-0005-0000-0000-0000C92B0000}"/>
    <cellStyle name="Normal 3 60 2 4 3 2" xfId="12032" xr:uid="{00000000-0005-0000-0000-0000CA2B0000}"/>
    <cellStyle name="Normal 3 60 2 4 4" xfId="12033" xr:uid="{00000000-0005-0000-0000-0000CB2B0000}"/>
    <cellStyle name="Normal 3 60 2 4 5" xfId="12034" xr:uid="{00000000-0005-0000-0000-0000CC2B0000}"/>
    <cellStyle name="Normal 3 60 2 5" xfId="2980" xr:uid="{00000000-0005-0000-0000-0000CD2B0000}"/>
    <cellStyle name="Normal 3 60 2 5 2" xfId="12035" xr:uid="{00000000-0005-0000-0000-0000CE2B0000}"/>
    <cellStyle name="Normal 3 60 2 5 2 2" xfId="12036" xr:uid="{00000000-0005-0000-0000-0000CF2B0000}"/>
    <cellStyle name="Normal 3 60 2 5 3" xfId="12037" xr:uid="{00000000-0005-0000-0000-0000D02B0000}"/>
    <cellStyle name="Normal 3 60 2 5 3 2" xfId="12038" xr:uid="{00000000-0005-0000-0000-0000D12B0000}"/>
    <cellStyle name="Normal 3 60 2 5 4" xfId="12039" xr:uid="{00000000-0005-0000-0000-0000D22B0000}"/>
    <cellStyle name="Normal 3 60 2 5 5" xfId="12040" xr:uid="{00000000-0005-0000-0000-0000D32B0000}"/>
    <cellStyle name="Normal 3 60 2 6" xfId="2981" xr:uid="{00000000-0005-0000-0000-0000D42B0000}"/>
    <cellStyle name="Normal 3 60 2 6 2" xfId="12041" xr:uid="{00000000-0005-0000-0000-0000D52B0000}"/>
    <cellStyle name="Normal 3 60 2 6 2 2" xfId="12042" xr:uid="{00000000-0005-0000-0000-0000D62B0000}"/>
    <cellStyle name="Normal 3 60 2 6 3" xfId="12043" xr:uid="{00000000-0005-0000-0000-0000D72B0000}"/>
    <cellStyle name="Normal 3 60 2 6 3 2" xfId="12044" xr:uid="{00000000-0005-0000-0000-0000D82B0000}"/>
    <cellStyle name="Normal 3 60 2 6 4" xfId="12045" xr:uid="{00000000-0005-0000-0000-0000D92B0000}"/>
    <cellStyle name="Normal 3 60 2 6 5" xfId="12046" xr:uid="{00000000-0005-0000-0000-0000DA2B0000}"/>
    <cellStyle name="Normal 3 60 2 7" xfId="2982" xr:uid="{00000000-0005-0000-0000-0000DB2B0000}"/>
    <cellStyle name="Normal 3 60 2 7 2" xfId="12047" xr:uid="{00000000-0005-0000-0000-0000DC2B0000}"/>
    <cellStyle name="Normal 3 60 2 7 2 2" xfId="12048" xr:uid="{00000000-0005-0000-0000-0000DD2B0000}"/>
    <cellStyle name="Normal 3 60 2 7 3" xfId="12049" xr:uid="{00000000-0005-0000-0000-0000DE2B0000}"/>
    <cellStyle name="Normal 3 60 2 7 3 2" xfId="12050" xr:uid="{00000000-0005-0000-0000-0000DF2B0000}"/>
    <cellStyle name="Normal 3 60 2 7 4" xfId="12051" xr:uid="{00000000-0005-0000-0000-0000E02B0000}"/>
    <cellStyle name="Normal 3 60 2 7 5" xfId="12052" xr:uid="{00000000-0005-0000-0000-0000E12B0000}"/>
    <cellStyle name="Normal 3 60 2 8" xfId="2983" xr:uid="{00000000-0005-0000-0000-0000E22B0000}"/>
    <cellStyle name="Normal 3 60 2 8 2" xfId="12053" xr:uid="{00000000-0005-0000-0000-0000E32B0000}"/>
    <cellStyle name="Normal 3 60 2 8 2 2" xfId="12054" xr:uid="{00000000-0005-0000-0000-0000E42B0000}"/>
    <cellStyle name="Normal 3 60 2 8 3" xfId="12055" xr:uid="{00000000-0005-0000-0000-0000E52B0000}"/>
    <cellStyle name="Normal 3 60 2 8 3 2" xfId="12056" xr:uid="{00000000-0005-0000-0000-0000E62B0000}"/>
    <cellStyle name="Normal 3 60 2 8 4" xfId="12057" xr:uid="{00000000-0005-0000-0000-0000E72B0000}"/>
    <cellStyle name="Normal 3 60 2 8 5" xfId="12058" xr:uid="{00000000-0005-0000-0000-0000E82B0000}"/>
    <cellStyle name="Normal 3 60 2 9" xfId="2984" xr:uid="{00000000-0005-0000-0000-0000E92B0000}"/>
    <cellStyle name="Normal 3 60 2 9 2" xfId="12059" xr:uid="{00000000-0005-0000-0000-0000EA2B0000}"/>
    <cellStyle name="Normal 3 60 2 9 2 2" xfId="12060" xr:uid="{00000000-0005-0000-0000-0000EB2B0000}"/>
    <cellStyle name="Normal 3 60 2 9 3" xfId="12061" xr:uid="{00000000-0005-0000-0000-0000EC2B0000}"/>
    <cellStyle name="Normal 3 60 2 9 3 2" xfId="12062" xr:uid="{00000000-0005-0000-0000-0000ED2B0000}"/>
    <cellStyle name="Normal 3 60 2 9 4" xfId="12063" xr:uid="{00000000-0005-0000-0000-0000EE2B0000}"/>
    <cellStyle name="Normal 3 60 2 9 5" xfId="12064" xr:uid="{00000000-0005-0000-0000-0000EF2B0000}"/>
    <cellStyle name="Normal 3 60 3" xfId="2985" xr:uid="{00000000-0005-0000-0000-0000F02B0000}"/>
    <cellStyle name="Normal 3 60 3 2" xfId="12065" xr:uid="{00000000-0005-0000-0000-0000F12B0000}"/>
    <cellStyle name="Normal 3 60 3 2 2" xfId="12066" xr:uid="{00000000-0005-0000-0000-0000F22B0000}"/>
    <cellStyle name="Normal 3 60 3 3" xfId="12067" xr:uid="{00000000-0005-0000-0000-0000F32B0000}"/>
    <cellStyle name="Normal 3 60 3 3 2" xfId="12068" xr:uid="{00000000-0005-0000-0000-0000F42B0000}"/>
    <cellStyle name="Normal 3 60 3 4" xfId="12069" xr:uid="{00000000-0005-0000-0000-0000F52B0000}"/>
    <cellStyle name="Normal 3 60 3 5" xfId="12070" xr:uid="{00000000-0005-0000-0000-0000F62B0000}"/>
    <cellStyle name="Normal 3 60 4" xfId="2986" xr:uid="{00000000-0005-0000-0000-0000F72B0000}"/>
    <cellStyle name="Normal 3 60 4 2" xfId="12071" xr:uid="{00000000-0005-0000-0000-0000F82B0000}"/>
    <cellStyle name="Normal 3 60 4 2 2" xfId="12072" xr:uid="{00000000-0005-0000-0000-0000F92B0000}"/>
    <cellStyle name="Normal 3 60 4 3" xfId="12073" xr:uid="{00000000-0005-0000-0000-0000FA2B0000}"/>
    <cellStyle name="Normal 3 60 4 3 2" xfId="12074" xr:uid="{00000000-0005-0000-0000-0000FB2B0000}"/>
    <cellStyle name="Normal 3 60 4 4" xfId="12075" xr:uid="{00000000-0005-0000-0000-0000FC2B0000}"/>
    <cellStyle name="Normal 3 60 4 5" xfId="12076" xr:uid="{00000000-0005-0000-0000-0000FD2B0000}"/>
    <cellStyle name="Normal 3 60 5" xfId="2987" xr:uid="{00000000-0005-0000-0000-0000FE2B0000}"/>
    <cellStyle name="Normal 3 60 5 2" xfId="12077" xr:uid="{00000000-0005-0000-0000-0000FF2B0000}"/>
    <cellStyle name="Normal 3 60 5 2 2" xfId="12078" xr:uid="{00000000-0005-0000-0000-0000002C0000}"/>
    <cellStyle name="Normal 3 60 5 3" xfId="12079" xr:uid="{00000000-0005-0000-0000-0000012C0000}"/>
    <cellStyle name="Normal 3 60 5 3 2" xfId="12080" xr:uid="{00000000-0005-0000-0000-0000022C0000}"/>
    <cellStyle name="Normal 3 60 5 4" xfId="12081" xr:uid="{00000000-0005-0000-0000-0000032C0000}"/>
    <cellStyle name="Normal 3 60 5 5" xfId="12082" xr:uid="{00000000-0005-0000-0000-0000042C0000}"/>
    <cellStyle name="Normal 3 60 6" xfId="2988" xr:uid="{00000000-0005-0000-0000-0000052C0000}"/>
    <cellStyle name="Normal 3 60 6 2" xfId="12083" xr:uid="{00000000-0005-0000-0000-0000062C0000}"/>
    <cellStyle name="Normal 3 60 6 2 2" xfId="12084" xr:uid="{00000000-0005-0000-0000-0000072C0000}"/>
    <cellStyle name="Normal 3 60 6 3" xfId="12085" xr:uid="{00000000-0005-0000-0000-0000082C0000}"/>
    <cellStyle name="Normal 3 60 6 3 2" xfId="12086" xr:uid="{00000000-0005-0000-0000-0000092C0000}"/>
    <cellStyle name="Normal 3 60 6 4" xfId="12087" xr:uid="{00000000-0005-0000-0000-00000A2C0000}"/>
    <cellStyle name="Normal 3 60 6 5" xfId="12088" xr:uid="{00000000-0005-0000-0000-00000B2C0000}"/>
    <cellStyle name="Normal 3 60 7" xfId="2989" xr:uid="{00000000-0005-0000-0000-00000C2C0000}"/>
    <cellStyle name="Normal 3 60 7 2" xfId="12089" xr:uid="{00000000-0005-0000-0000-00000D2C0000}"/>
    <cellStyle name="Normal 3 60 7 2 2" xfId="12090" xr:uid="{00000000-0005-0000-0000-00000E2C0000}"/>
    <cellStyle name="Normal 3 60 7 3" xfId="12091" xr:uid="{00000000-0005-0000-0000-00000F2C0000}"/>
    <cellStyle name="Normal 3 60 7 3 2" xfId="12092" xr:uid="{00000000-0005-0000-0000-0000102C0000}"/>
    <cellStyle name="Normal 3 60 7 4" xfId="12093" xr:uid="{00000000-0005-0000-0000-0000112C0000}"/>
    <cellStyle name="Normal 3 60 7 5" xfId="12094" xr:uid="{00000000-0005-0000-0000-0000122C0000}"/>
    <cellStyle name="Normal 3 60 8" xfId="2990" xr:uid="{00000000-0005-0000-0000-0000132C0000}"/>
    <cellStyle name="Normal 3 60 8 2" xfId="12095" xr:uid="{00000000-0005-0000-0000-0000142C0000}"/>
    <cellStyle name="Normal 3 60 8 2 2" xfId="12096" xr:uid="{00000000-0005-0000-0000-0000152C0000}"/>
    <cellStyle name="Normal 3 60 8 3" xfId="12097" xr:uid="{00000000-0005-0000-0000-0000162C0000}"/>
    <cellStyle name="Normal 3 60 8 3 2" xfId="12098" xr:uid="{00000000-0005-0000-0000-0000172C0000}"/>
    <cellStyle name="Normal 3 60 8 4" xfId="12099" xr:uid="{00000000-0005-0000-0000-0000182C0000}"/>
    <cellStyle name="Normal 3 60 8 5" xfId="12100" xr:uid="{00000000-0005-0000-0000-0000192C0000}"/>
    <cellStyle name="Normal 3 60 9" xfId="2991" xr:uid="{00000000-0005-0000-0000-00001A2C0000}"/>
    <cellStyle name="Normal 3 60 9 2" xfId="12101" xr:uid="{00000000-0005-0000-0000-00001B2C0000}"/>
    <cellStyle name="Normal 3 60 9 2 2" xfId="12102" xr:uid="{00000000-0005-0000-0000-00001C2C0000}"/>
    <cellStyle name="Normal 3 60 9 3" xfId="12103" xr:uid="{00000000-0005-0000-0000-00001D2C0000}"/>
    <cellStyle name="Normal 3 60 9 3 2" xfId="12104" xr:uid="{00000000-0005-0000-0000-00001E2C0000}"/>
    <cellStyle name="Normal 3 60 9 4" xfId="12105" xr:uid="{00000000-0005-0000-0000-00001F2C0000}"/>
    <cellStyle name="Normal 3 60 9 5" xfId="12106" xr:uid="{00000000-0005-0000-0000-0000202C0000}"/>
    <cellStyle name="Normal 3 61" xfId="2992" xr:uid="{00000000-0005-0000-0000-0000212C0000}"/>
    <cellStyle name="Normal 3 61 10" xfId="2993" xr:uid="{00000000-0005-0000-0000-0000222C0000}"/>
    <cellStyle name="Normal 3 61 10 2" xfId="12107" xr:uid="{00000000-0005-0000-0000-0000232C0000}"/>
    <cellStyle name="Normal 3 61 10 2 2" xfId="12108" xr:uid="{00000000-0005-0000-0000-0000242C0000}"/>
    <cellStyle name="Normal 3 61 10 3" xfId="12109" xr:uid="{00000000-0005-0000-0000-0000252C0000}"/>
    <cellStyle name="Normal 3 61 10 3 2" xfId="12110" xr:uid="{00000000-0005-0000-0000-0000262C0000}"/>
    <cellStyle name="Normal 3 61 10 4" xfId="12111" xr:uid="{00000000-0005-0000-0000-0000272C0000}"/>
    <cellStyle name="Normal 3 61 10 5" xfId="12112" xr:uid="{00000000-0005-0000-0000-0000282C0000}"/>
    <cellStyle name="Normal 3 61 11" xfId="2994" xr:uid="{00000000-0005-0000-0000-0000292C0000}"/>
    <cellStyle name="Normal 3 61 11 2" xfId="12113" xr:uid="{00000000-0005-0000-0000-00002A2C0000}"/>
    <cellStyle name="Normal 3 61 11 2 2" xfId="12114" xr:uid="{00000000-0005-0000-0000-00002B2C0000}"/>
    <cellStyle name="Normal 3 61 11 3" xfId="12115" xr:uid="{00000000-0005-0000-0000-00002C2C0000}"/>
    <cellStyle name="Normal 3 61 11 3 2" xfId="12116" xr:uid="{00000000-0005-0000-0000-00002D2C0000}"/>
    <cellStyle name="Normal 3 61 11 4" xfId="12117" xr:uid="{00000000-0005-0000-0000-00002E2C0000}"/>
    <cellStyle name="Normal 3 61 11 5" xfId="12118" xr:uid="{00000000-0005-0000-0000-00002F2C0000}"/>
    <cellStyle name="Normal 3 61 12" xfId="2995" xr:uid="{00000000-0005-0000-0000-0000302C0000}"/>
    <cellStyle name="Normal 3 61 12 2" xfId="12119" xr:uid="{00000000-0005-0000-0000-0000312C0000}"/>
    <cellStyle name="Normal 3 61 12 2 2" xfId="12120" xr:uid="{00000000-0005-0000-0000-0000322C0000}"/>
    <cellStyle name="Normal 3 61 12 3" xfId="12121" xr:uid="{00000000-0005-0000-0000-0000332C0000}"/>
    <cellStyle name="Normal 3 61 12 3 2" xfId="12122" xr:uid="{00000000-0005-0000-0000-0000342C0000}"/>
    <cellStyle name="Normal 3 61 12 4" xfId="12123" xr:uid="{00000000-0005-0000-0000-0000352C0000}"/>
    <cellStyle name="Normal 3 61 12 5" xfId="12124" xr:uid="{00000000-0005-0000-0000-0000362C0000}"/>
    <cellStyle name="Normal 3 61 13" xfId="2996" xr:uid="{00000000-0005-0000-0000-0000372C0000}"/>
    <cellStyle name="Normal 3 61 13 2" xfId="12125" xr:uid="{00000000-0005-0000-0000-0000382C0000}"/>
    <cellStyle name="Normal 3 61 13 2 2" xfId="12126" xr:uid="{00000000-0005-0000-0000-0000392C0000}"/>
    <cellStyle name="Normal 3 61 13 3" xfId="12127" xr:uid="{00000000-0005-0000-0000-00003A2C0000}"/>
    <cellStyle name="Normal 3 61 13 3 2" xfId="12128" xr:uid="{00000000-0005-0000-0000-00003B2C0000}"/>
    <cellStyle name="Normal 3 61 13 4" xfId="12129" xr:uid="{00000000-0005-0000-0000-00003C2C0000}"/>
    <cellStyle name="Normal 3 61 13 5" xfId="12130" xr:uid="{00000000-0005-0000-0000-00003D2C0000}"/>
    <cellStyle name="Normal 3 61 14" xfId="12131" xr:uid="{00000000-0005-0000-0000-00003E2C0000}"/>
    <cellStyle name="Normal 3 61 14 2" xfId="12132" xr:uid="{00000000-0005-0000-0000-00003F2C0000}"/>
    <cellStyle name="Normal 3 61 15" xfId="12133" xr:uid="{00000000-0005-0000-0000-0000402C0000}"/>
    <cellStyle name="Normal 3 61 15 2" xfId="12134" xr:uid="{00000000-0005-0000-0000-0000412C0000}"/>
    <cellStyle name="Normal 3 61 16" xfId="12135" xr:uid="{00000000-0005-0000-0000-0000422C0000}"/>
    <cellStyle name="Normal 3 61 17" xfId="12136" xr:uid="{00000000-0005-0000-0000-0000432C0000}"/>
    <cellStyle name="Normal 3 61 2" xfId="2997" xr:uid="{00000000-0005-0000-0000-0000442C0000}"/>
    <cellStyle name="Normal 3 61 2 10" xfId="2998" xr:uid="{00000000-0005-0000-0000-0000452C0000}"/>
    <cellStyle name="Normal 3 61 2 10 2" xfId="12137" xr:uid="{00000000-0005-0000-0000-0000462C0000}"/>
    <cellStyle name="Normal 3 61 2 10 2 2" xfId="12138" xr:uid="{00000000-0005-0000-0000-0000472C0000}"/>
    <cellStyle name="Normal 3 61 2 10 3" xfId="12139" xr:uid="{00000000-0005-0000-0000-0000482C0000}"/>
    <cellStyle name="Normal 3 61 2 10 3 2" xfId="12140" xr:uid="{00000000-0005-0000-0000-0000492C0000}"/>
    <cellStyle name="Normal 3 61 2 10 4" xfId="12141" xr:uid="{00000000-0005-0000-0000-00004A2C0000}"/>
    <cellStyle name="Normal 3 61 2 10 5" xfId="12142" xr:uid="{00000000-0005-0000-0000-00004B2C0000}"/>
    <cellStyle name="Normal 3 61 2 11" xfId="2999" xr:uid="{00000000-0005-0000-0000-00004C2C0000}"/>
    <cellStyle name="Normal 3 61 2 11 2" xfId="12143" xr:uid="{00000000-0005-0000-0000-00004D2C0000}"/>
    <cellStyle name="Normal 3 61 2 11 2 2" xfId="12144" xr:uid="{00000000-0005-0000-0000-00004E2C0000}"/>
    <cellStyle name="Normal 3 61 2 11 3" xfId="12145" xr:uid="{00000000-0005-0000-0000-00004F2C0000}"/>
    <cellStyle name="Normal 3 61 2 11 3 2" xfId="12146" xr:uid="{00000000-0005-0000-0000-0000502C0000}"/>
    <cellStyle name="Normal 3 61 2 11 4" xfId="12147" xr:uid="{00000000-0005-0000-0000-0000512C0000}"/>
    <cellStyle name="Normal 3 61 2 11 5" xfId="12148" xr:uid="{00000000-0005-0000-0000-0000522C0000}"/>
    <cellStyle name="Normal 3 61 2 12" xfId="3000" xr:uid="{00000000-0005-0000-0000-0000532C0000}"/>
    <cellStyle name="Normal 3 61 2 12 2" xfId="12149" xr:uid="{00000000-0005-0000-0000-0000542C0000}"/>
    <cellStyle name="Normal 3 61 2 12 2 2" xfId="12150" xr:uid="{00000000-0005-0000-0000-0000552C0000}"/>
    <cellStyle name="Normal 3 61 2 12 3" xfId="12151" xr:uid="{00000000-0005-0000-0000-0000562C0000}"/>
    <cellStyle name="Normal 3 61 2 12 3 2" xfId="12152" xr:uid="{00000000-0005-0000-0000-0000572C0000}"/>
    <cellStyle name="Normal 3 61 2 12 4" xfId="12153" xr:uid="{00000000-0005-0000-0000-0000582C0000}"/>
    <cellStyle name="Normal 3 61 2 12 5" xfId="12154" xr:uid="{00000000-0005-0000-0000-0000592C0000}"/>
    <cellStyle name="Normal 3 61 2 13" xfId="12155" xr:uid="{00000000-0005-0000-0000-00005A2C0000}"/>
    <cellStyle name="Normal 3 61 2 13 2" xfId="12156" xr:uid="{00000000-0005-0000-0000-00005B2C0000}"/>
    <cellStyle name="Normal 3 61 2 14" xfId="12157" xr:uid="{00000000-0005-0000-0000-00005C2C0000}"/>
    <cellStyle name="Normal 3 61 2 14 2" xfId="12158" xr:uid="{00000000-0005-0000-0000-00005D2C0000}"/>
    <cellStyle name="Normal 3 61 2 15" xfId="12159" xr:uid="{00000000-0005-0000-0000-00005E2C0000}"/>
    <cellStyle name="Normal 3 61 2 16" xfId="12160" xr:uid="{00000000-0005-0000-0000-00005F2C0000}"/>
    <cellStyle name="Normal 3 61 2 2" xfId="3001" xr:uid="{00000000-0005-0000-0000-0000602C0000}"/>
    <cellStyle name="Normal 3 61 2 2 2" xfId="12161" xr:uid="{00000000-0005-0000-0000-0000612C0000}"/>
    <cellStyle name="Normal 3 61 2 2 2 2" xfId="12162" xr:uid="{00000000-0005-0000-0000-0000622C0000}"/>
    <cellStyle name="Normal 3 61 2 2 3" xfId="12163" xr:uid="{00000000-0005-0000-0000-0000632C0000}"/>
    <cellStyle name="Normal 3 61 2 2 3 2" xfId="12164" xr:uid="{00000000-0005-0000-0000-0000642C0000}"/>
    <cellStyle name="Normal 3 61 2 2 4" xfId="12165" xr:uid="{00000000-0005-0000-0000-0000652C0000}"/>
    <cellStyle name="Normal 3 61 2 2 5" xfId="12166" xr:uid="{00000000-0005-0000-0000-0000662C0000}"/>
    <cellStyle name="Normal 3 61 2 3" xfId="3002" xr:uid="{00000000-0005-0000-0000-0000672C0000}"/>
    <cellStyle name="Normal 3 61 2 3 2" xfId="12167" xr:uid="{00000000-0005-0000-0000-0000682C0000}"/>
    <cellStyle name="Normal 3 61 2 3 2 2" xfId="12168" xr:uid="{00000000-0005-0000-0000-0000692C0000}"/>
    <cellStyle name="Normal 3 61 2 3 3" xfId="12169" xr:uid="{00000000-0005-0000-0000-00006A2C0000}"/>
    <cellStyle name="Normal 3 61 2 3 3 2" xfId="12170" xr:uid="{00000000-0005-0000-0000-00006B2C0000}"/>
    <cellStyle name="Normal 3 61 2 3 4" xfId="12171" xr:uid="{00000000-0005-0000-0000-00006C2C0000}"/>
    <cellStyle name="Normal 3 61 2 3 5" xfId="12172" xr:uid="{00000000-0005-0000-0000-00006D2C0000}"/>
    <cellStyle name="Normal 3 61 2 4" xfId="3003" xr:uid="{00000000-0005-0000-0000-00006E2C0000}"/>
    <cellStyle name="Normal 3 61 2 4 2" xfId="12173" xr:uid="{00000000-0005-0000-0000-00006F2C0000}"/>
    <cellStyle name="Normal 3 61 2 4 2 2" xfId="12174" xr:uid="{00000000-0005-0000-0000-0000702C0000}"/>
    <cellStyle name="Normal 3 61 2 4 3" xfId="12175" xr:uid="{00000000-0005-0000-0000-0000712C0000}"/>
    <cellStyle name="Normal 3 61 2 4 3 2" xfId="12176" xr:uid="{00000000-0005-0000-0000-0000722C0000}"/>
    <cellStyle name="Normal 3 61 2 4 4" xfId="12177" xr:uid="{00000000-0005-0000-0000-0000732C0000}"/>
    <cellStyle name="Normal 3 61 2 4 5" xfId="12178" xr:uid="{00000000-0005-0000-0000-0000742C0000}"/>
    <cellStyle name="Normal 3 61 2 5" xfId="3004" xr:uid="{00000000-0005-0000-0000-0000752C0000}"/>
    <cellStyle name="Normal 3 61 2 5 2" xfId="12179" xr:uid="{00000000-0005-0000-0000-0000762C0000}"/>
    <cellStyle name="Normal 3 61 2 5 2 2" xfId="12180" xr:uid="{00000000-0005-0000-0000-0000772C0000}"/>
    <cellStyle name="Normal 3 61 2 5 3" xfId="12181" xr:uid="{00000000-0005-0000-0000-0000782C0000}"/>
    <cellStyle name="Normal 3 61 2 5 3 2" xfId="12182" xr:uid="{00000000-0005-0000-0000-0000792C0000}"/>
    <cellStyle name="Normal 3 61 2 5 4" xfId="12183" xr:uid="{00000000-0005-0000-0000-00007A2C0000}"/>
    <cellStyle name="Normal 3 61 2 5 5" xfId="12184" xr:uid="{00000000-0005-0000-0000-00007B2C0000}"/>
    <cellStyle name="Normal 3 61 2 6" xfId="3005" xr:uid="{00000000-0005-0000-0000-00007C2C0000}"/>
    <cellStyle name="Normal 3 61 2 6 2" xfId="12185" xr:uid="{00000000-0005-0000-0000-00007D2C0000}"/>
    <cellStyle name="Normal 3 61 2 6 2 2" xfId="12186" xr:uid="{00000000-0005-0000-0000-00007E2C0000}"/>
    <cellStyle name="Normal 3 61 2 6 3" xfId="12187" xr:uid="{00000000-0005-0000-0000-00007F2C0000}"/>
    <cellStyle name="Normal 3 61 2 6 3 2" xfId="12188" xr:uid="{00000000-0005-0000-0000-0000802C0000}"/>
    <cellStyle name="Normal 3 61 2 6 4" xfId="12189" xr:uid="{00000000-0005-0000-0000-0000812C0000}"/>
    <cellStyle name="Normal 3 61 2 6 5" xfId="12190" xr:uid="{00000000-0005-0000-0000-0000822C0000}"/>
    <cellStyle name="Normal 3 61 2 7" xfId="3006" xr:uid="{00000000-0005-0000-0000-0000832C0000}"/>
    <cellStyle name="Normal 3 61 2 7 2" xfId="12191" xr:uid="{00000000-0005-0000-0000-0000842C0000}"/>
    <cellStyle name="Normal 3 61 2 7 2 2" xfId="12192" xr:uid="{00000000-0005-0000-0000-0000852C0000}"/>
    <cellStyle name="Normal 3 61 2 7 3" xfId="12193" xr:uid="{00000000-0005-0000-0000-0000862C0000}"/>
    <cellStyle name="Normal 3 61 2 7 3 2" xfId="12194" xr:uid="{00000000-0005-0000-0000-0000872C0000}"/>
    <cellStyle name="Normal 3 61 2 7 4" xfId="12195" xr:uid="{00000000-0005-0000-0000-0000882C0000}"/>
    <cellStyle name="Normal 3 61 2 7 5" xfId="12196" xr:uid="{00000000-0005-0000-0000-0000892C0000}"/>
    <cellStyle name="Normal 3 61 2 8" xfId="3007" xr:uid="{00000000-0005-0000-0000-00008A2C0000}"/>
    <cellStyle name="Normal 3 61 2 8 2" xfId="12197" xr:uid="{00000000-0005-0000-0000-00008B2C0000}"/>
    <cellStyle name="Normal 3 61 2 8 2 2" xfId="12198" xr:uid="{00000000-0005-0000-0000-00008C2C0000}"/>
    <cellStyle name="Normal 3 61 2 8 3" xfId="12199" xr:uid="{00000000-0005-0000-0000-00008D2C0000}"/>
    <cellStyle name="Normal 3 61 2 8 3 2" xfId="12200" xr:uid="{00000000-0005-0000-0000-00008E2C0000}"/>
    <cellStyle name="Normal 3 61 2 8 4" xfId="12201" xr:uid="{00000000-0005-0000-0000-00008F2C0000}"/>
    <cellStyle name="Normal 3 61 2 8 5" xfId="12202" xr:uid="{00000000-0005-0000-0000-0000902C0000}"/>
    <cellStyle name="Normal 3 61 2 9" xfId="3008" xr:uid="{00000000-0005-0000-0000-0000912C0000}"/>
    <cellStyle name="Normal 3 61 2 9 2" xfId="12203" xr:uid="{00000000-0005-0000-0000-0000922C0000}"/>
    <cellStyle name="Normal 3 61 2 9 2 2" xfId="12204" xr:uid="{00000000-0005-0000-0000-0000932C0000}"/>
    <cellStyle name="Normal 3 61 2 9 3" xfId="12205" xr:uid="{00000000-0005-0000-0000-0000942C0000}"/>
    <cellStyle name="Normal 3 61 2 9 3 2" xfId="12206" xr:uid="{00000000-0005-0000-0000-0000952C0000}"/>
    <cellStyle name="Normal 3 61 2 9 4" xfId="12207" xr:uid="{00000000-0005-0000-0000-0000962C0000}"/>
    <cellStyle name="Normal 3 61 2 9 5" xfId="12208" xr:uid="{00000000-0005-0000-0000-0000972C0000}"/>
    <cellStyle name="Normal 3 61 3" xfId="3009" xr:uid="{00000000-0005-0000-0000-0000982C0000}"/>
    <cellStyle name="Normal 3 61 3 2" xfId="12209" xr:uid="{00000000-0005-0000-0000-0000992C0000}"/>
    <cellStyle name="Normal 3 61 3 2 2" xfId="12210" xr:uid="{00000000-0005-0000-0000-00009A2C0000}"/>
    <cellStyle name="Normal 3 61 3 3" xfId="12211" xr:uid="{00000000-0005-0000-0000-00009B2C0000}"/>
    <cellStyle name="Normal 3 61 3 3 2" xfId="12212" xr:uid="{00000000-0005-0000-0000-00009C2C0000}"/>
    <cellStyle name="Normal 3 61 3 4" xfId="12213" xr:uid="{00000000-0005-0000-0000-00009D2C0000}"/>
    <cellStyle name="Normal 3 61 3 5" xfId="12214" xr:uid="{00000000-0005-0000-0000-00009E2C0000}"/>
    <cellStyle name="Normal 3 61 4" xfId="3010" xr:uid="{00000000-0005-0000-0000-00009F2C0000}"/>
    <cellStyle name="Normal 3 61 4 2" xfId="12215" xr:uid="{00000000-0005-0000-0000-0000A02C0000}"/>
    <cellStyle name="Normal 3 61 4 2 2" xfId="12216" xr:uid="{00000000-0005-0000-0000-0000A12C0000}"/>
    <cellStyle name="Normal 3 61 4 3" xfId="12217" xr:uid="{00000000-0005-0000-0000-0000A22C0000}"/>
    <cellStyle name="Normal 3 61 4 3 2" xfId="12218" xr:uid="{00000000-0005-0000-0000-0000A32C0000}"/>
    <cellStyle name="Normal 3 61 4 4" xfId="12219" xr:uid="{00000000-0005-0000-0000-0000A42C0000}"/>
    <cellStyle name="Normal 3 61 4 5" xfId="12220" xr:uid="{00000000-0005-0000-0000-0000A52C0000}"/>
    <cellStyle name="Normal 3 61 5" xfId="3011" xr:uid="{00000000-0005-0000-0000-0000A62C0000}"/>
    <cellStyle name="Normal 3 61 5 2" xfId="12221" xr:uid="{00000000-0005-0000-0000-0000A72C0000}"/>
    <cellStyle name="Normal 3 61 5 2 2" xfId="12222" xr:uid="{00000000-0005-0000-0000-0000A82C0000}"/>
    <cellStyle name="Normal 3 61 5 3" xfId="12223" xr:uid="{00000000-0005-0000-0000-0000A92C0000}"/>
    <cellStyle name="Normal 3 61 5 3 2" xfId="12224" xr:uid="{00000000-0005-0000-0000-0000AA2C0000}"/>
    <cellStyle name="Normal 3 61 5 4" xfId="12225" xr:uid="{00000000-0005-0000-0000-0000AB2C0000}"/>
    <cellStyle name="Normal 3 61 5 5" xfId="12226" xr:uid="{00000000-0005-0000-0000-0000AC2C0000}"/>
    <cellStyle name="Normal 3 61 6" xfId="3012" xr:uid="{00000000-0005-0000-0000-0000AD2C0000}"/>
    <cellStyle name="Normal 3 61 6 2" xfId="12227" xr:uid="{00000000-0005-0000-0000-0000AE2C0000}"/>
    <cellStyle name="Normal 3 61 6 2 2" xfId="12228" xr:uid="{00000000-0005-0000-0000-0000AF2C0000}"/>
    <cellStyle name="Normal 3 61 6 3" xfId="12229" xr:uid="{00000000-0005-0000-0000-0000B02C0000}"/>
    <cellStyle name="Normal 3 61 6 3 2" xfId="12230" xr:uid="{00000000-0005-0000-0000-0000B12C0000}"/>
    <cellStyle name="Normal 3 61 6 4" xfId="12231" xr:uid="{00000000-0005-0000-0000-0000B22C0000}"/>
    <cellStyle name="Normal 3 61 6 5" xfId="12232" xr:uid="{00000000-0005-0000-0000-0000B32C0000}"/>
    <cellStyle name="Normal 3 61 7" xfId="3013" xr:uid="{00000000-0005-0000-0000-0000B42C0000}"/>
    <cellStyle name="Normal 3 61 7 2" xfId="12233" xr:uid="{00000000-0005-0000-0000-0000B52C0000}"/>
    <cellStyle name="Normal 3 61 7 2 2" xfId="12234" xr:uid="{00000000-0005-0000-0000-0000B62C0000}"/>
    <cellStyle name="Normal 3 61 7 3" xfId="12235" xr:uid="{00000000-0005-0000-0000-0000B72C0000}"/>
    <cellStyle name="Normal 3 61 7 3 2" xfId="12236" xr:uid="{00000000-0005-0000-0000-0000B82C0000}"/>
    <cellStyle name="Normal 3 61 7 4" xfId="12237" xr:uid="{00000000-0005-0000-0000-0000B92C0000}"/>
    <cellStyle name="Normal 3 61 7 5" xfId="12238" xr:uid="{00000000-0005-0000-0000-0000BA2C0000}"/>
    <cellStyle name="Normal 3 61 8" xfId="3014" xr:uid="{00000000-0005-0000-0000-0000BB2C0000}"/>
    <cellStyle name="Normal 3 61 8 2" xfId="12239" xr:uid="{00000000-0005-0000-0000-0000BC2C0000}"/>
    <cellStyle name="Normal 3 61 8 2 2" xfId="12240" xr:uid="{00000000-0005-0000-0000-0000BD2C0000}"/>
    <cellStyle name="Normal 3 61 8 3" xfId="12241" xr:uid="{00000000-0005-0000-0000-0000BE2C0000}"/>
    <cellStyle name="Normal 3 61 8 3 2" xfId="12242" xr:uid="{00000000-0005-0000-0000-0000BF2C0000}"/>
    <cellStyle name="Normal 3 61 8 4" xfId="12243" xr:uid="{00000000-0005-0000-0000-0000C02C0000}"/>
    <cellStyle name="Normal 3 61 8 5" xfId="12244" xr:uid="{00000000-0005-0000-0000-0000C12C0000}"/>
    <cellStyle name="Normal 3 61 9" xfId="3015" xr:uid="{00000000-0005-0000-0000-0000C22C0000}"/>
    <cellStyle name="Normal 3 61 9 2" xfId="12245" xr:uid="{00000000-0005-0000-0000-0000C32C0000}"/>
    <cellStyle name="Normal 3 61 9 2 2" xfId="12246" xr:uid="{00000000-0005-0000-0000-0000C42C0000}"/>
    <cellStyle name="Normal 3 61 9 3" xfId="12247" xr:uid="{00000000-0005-0000-0000-0000C52C0000}"/>
    <cellStyle name="Normal 3 61 9 3 2" xfId="12248" xr:uid="{00000000-0005-0000-0000-0000C62C0000}"/>
    <cellStyle name="Normal 3 61 9 4" xfId="12249" xr:uid="{00000000-0005-0000-0000-0000C72C0000}"/>
    <cellStyle name="Normal 3 61 9 5" xfId="12250" xr:uid="{00000000-0005-0000-0000-0000C82C0000}"/>
    <cellStyle name="Normal 3 62" xfId="3016" xr:uid="{00000000-0005-0000-0000-0000C92C0000}"/>
    <cellStyle name="Normal 3 62 10" xfId="3017" xr:uid="{00000000-0005-0000-0000-0000CA2C0000}"/>
    <cellStyle name="Normal 3 62 10 2" xfId="12251" xr:uid="{00000000-0005-0000-0000-0000CB2C0000}"/>
    <cellStyle name="Normal 3 62 10 2 2" xfId="12252" xr:uid="{00000000-0005-0000-0000-0000CC2C0000}"/>
    <cellStyle name="Normal 3 62 10 3" xfId="12253" xr:uid="{00000000-0005-0000-0000-0000CD2C0000}"/>
    <cellStyle name="Normal 3 62 10 3 2" xfId="12254" xr:uid="{00000000-0005-0000-0000-0000CE2C0000}"/>
    <cellStyle name="Normal 3 62 10 4" xfId="12255" xr:uid="{00000000-0005-0000-0000-0000CF2C0000}"/>
    <cellStyle name="Normal 3 62 10 5" xfId="12256" xr:uid="{00000000-0005-0000-0000-0000D02C0000}"/>
    <cellStyle name="Normal 3 62 11" xfId="3018" xr:uid="{00000000-0005-0000-0000-0000D12C0000}"/>
    <cellStyle name="Normal 3 62 11 2" xfId="12257" xr:uid="{00000000-0005-0000-0000-0000D22C0000}"/>
    <cellStyle name="Normal 3 62 11 2 2" xfId="12258" xr:uid="{00000000-0005-0000-0000-0000D32C0000}"/>
    <cellStyle name="Normal 3 62 11 3" xfId="12259" xr:uid="{00000000-0005-0000-0000-0000D42C0000}"/>
    <cellStyle name="Normal 3 62 11 3 2" xfId="12260" xr:uid="{00000000-0005-0000-0000-0000D52C0000}"/>
    <cellStyle name="Normal 3 62 11 4" xfId="12261" xr:uid="{00000000-0005-0000-0000-0000D62C0000}"/>
    <cellStyle name="Normal 3 62 11 5" xfId="12262" xr:uid="{00000000-0005-0000-0000-0000D72C0000}"/>
    <cellStyle name="Normal 3 62 12" xfId="3019" xr:uid="{00000000-0005-0000-0000-0000D82C0000}"/>
    <cellStyle name="Normal 3 62 12 2" xfId="12263" xr:uid="{00000000-0005-0000-0000-0000D92C0000}"/>
    <cellStyle name="Normal 3 62 12 2 2" xfId="12264" xr:uid="{00000000-0005-0000-0000-0000DA2C0000}"/>
    <cellStyle name="Normal 3 62 12 3" xfId="12265" xr:uid="{00000000-0005-0000-0000-0000DB2C0000}"/>
    <cellStyle name="Normal 3 62 12 3 2" xfId="12266" xr:uid="{00000000-0005-0000-0000-0000DC2C0000}"/>
    <cellStyle name="Normal 3 62 12 4" xfId="12267" xr:uid="{00000000-0005-0000-0000-0000DD2C0000}"/>
    <cellStyle name="Normal 3 62 12 5" xfId="12268" xr:uid="{00000000-0005-0000-0000-0000DE2C0000}"/>
    <cellStyle name="Normal 3 62 13" xfId="3020" xr:uid="{00000000-0005-0000-0000-0000DF2C0000}"/>
    <cellStyle name="Normal 3 62 13 2" xfId="12269" xr:uid="{00000000-0005-0000-0000-0000E02C0000}"/>
    <cellStyle name="Normal 3 62 13 2 2" xfId="12270" xr:uid="{00000000-0005-0000-0000-0000E12C0000}"/>
    <cellStyle name="Normal 3 62 13 3" xfId="12271" xr:uid="{00000000-0005-0000-0000-0000E22C0000}"/>
    <cellStyle name="Normal 3 62 13 3 2" xfId="12272" xr:uid="{00000000-0005-0000-0000-0000E32C0000}"/>
    <cellStyle name="Normal 3 62 13 4" xfId="12273" xr:uid="{00000000-0005-0000-0000-0000E42C0000}"/>
    <cellStyle name="Normal 3 62 13 5" xfId="12274" xr:uid="{00000000-0005-0000-0000-0000E52C0000}"/>
    <cellStyle name="Normal 3 62 14" xfId="12275" xr:uid="{00000000-0005-0000-0000-0000E62C0000}"/>
    <cellStyle name="Normal 3 62 14 2" xfId="12276" xr:uid="{00000000-0005-0000-0000-0000E72C0000}"/>
    <cellStyle name="Normal 3 62 15" xfId="12277" xr:uid="{00000000-0005-0000-0000-0000E82C0000}"/>
    <cellStyle name="Normal 3 62 15 2" xfId="12278" xr:uid="{00000000-0005-0000-0000-0000E92C0000}"/>
    <cellStyle name="Normal 3 62 16" xfId="12279" xr:uid="{00000000-0005-0000-0000-0000EA2C0000}"/>
    <cellStyle name="Normal 3 62 17" xfId="12280" xr:uid="{00000000-0005-0000-0000-0000EB2C0000}"/>
    <cellStyle name="Normal 3 62 2" xfId="3021" xr:uid="{00000000-0005-0000-0000-0000EC2C0000}"/>
    <cellStyle name="Normal 3 62 2 10" xfId="3022" xr:uid="{00000000-0005-0000-0000-0000ED2C0000}"/>
    <cellStyle name="Normal 3 62 2 10 2" xfId="12281" xr:uid="{00000000-0005-0000-0000-0000EE2C0000}"/>
    <cellStyle name="Normal 3 62 2 10 2 2" xfId="12282" xr:uid="{00000000-0005-0000-0000-0000EF2C0000}"/>
    <cellStyle name="Normal 3 62 2 10 3" xfId="12283" xr:uid="{00000000-0005-0000-0000-0000F02C0000}"/>
    <cellStyle name="Normal 3 62 2 10 3 2" xfId="12284" xr:uid="{00000000-0005-0000-0000-0000F12C0000}"/>
    <cellStyle name="Normal 3 62 2 10 4" xfId="12285" xr:uid="{00000000-0005-0000-0000-0000F22C0000}"/>
    <cellStyle name="Normal 3 62 2 10 5" xfId="12286" xr:uid="{00000000-0005-0000-0000-0000F32C0000}"/>
    <cellStyle name="Normal 3 62 2 11" xfId="3023" xr:uid="{00000000-0005-0000-0000-0000F42C0000}"/>
    <cellStyle name="Normal 3 62 2 11 2" xfId="12287" xr:uid="{00000000-0005-0000-0000-0000F52C0000}"/>
    <cellStyle name="Normal 3 62 2 11 2 2" xfId="12288" xr:uid="{00000000-0005-0000-0000-0000F62C0000}"/>
    <cellStyle name="Normal 3 62 2 11 3" xfId="12289" xr:uid="{00000000-0005-0000-0000-0000F72C0000}"/>
    <cellStyle name="Normal 3 62 2 11 3 2" xfId="12290" xr:uid="{00000000-0005-0000-0000-0000F82C0000}"/>
    <cellStyle name="Normal 3 62 2 11 4" xfId="12291" xr:uid="{00000000-0005-0000-0000-0000F92C0000}"/>
    <cellStyle name="Normal 3 62 2 11 5" xfId="12292" xr:uid="{00000000-0005-0000-0000-0000FA2C0000}"/>
    <cellStyle name="Normal 3 62 2 12" xfId="3024" xr:uid="{00000000-0005-0000-0000-0000FB2C0000}"/>
    <cellStyle name="Normal 3 62 2 12 2" xfId="12293" xr:uid="{00000000-0005-0000-0000-0000FC2C0000}"/>
    <cellStyle name="Normal 3 62 2 12 2 2" xfId="12294" xr:uid="{00000000-0005-0000-0000-0000FD2C0000}"/>
    <cellStyle name="Normal 3 62 2 12 3" xfId="12295" xr:uid="{00000000-0005-0000-0000-0000FE2C0000}"/>
    <cellStyle name="Normal 3 62 2 12 3 2" xfId="12296" xr:uid="{00000000-0005-0000-0000-0000FF2C0000}"/>
    <cellStyle name="Normal 3 62 2 12 4" xfId="12297" xr:uid="{00000000-0005-0000-0000-0000002D0000}"/>
    <cellStyle name="Normal 3 62 2 12 5" xfId="12298" xr:uid="{00000000-0005-0000-0000-0000012D0000}"/>
    <cellStyle name="Normal 3 62 2 13" xfId="12299" xr:uid="{00000000-0005-0000-0000-0000022D0000}"/>
    <cellStyle name="Normal 3 62 2 13 2" xfId="12300" xr:uid="{00000000-0005-0000-0000-0000032D0000}"/>
    <cellStyle name="Normal 3 62 2 14" xfId="12301" xr:uid="{00000000-0005-0000-0000-0000042D0000}"/>
    <cellStyle name="Normal 3 62 2 14 2" xfId="12302" xr:uid="{00000000-0005-0000-0000-0000052D0000}"/>
    <cellStyle name="Normal 3 62 2 15" xfId="12303" xr:uid="{00000000-0005-0000-0000-0000062D0000}"/>
    <cellStyle name="Normal 3 62 2 16" xfId="12304" xr:uid="{00000000-0005-0000-0000-0000072D0000}"/>
    <cellStyle name="Normal 3 62 2 2" xfId="3025" xr:uid="{00000000-0005-0000-0000-0000082D0000}"/>
    <cellStyle name="Normal 3 62 2 2 2" xfId="12305" xr:uid="{00000000-0005-0000-0000-0000092D0000}"/>
    <cellStyle name="Normal 3 62 2 2 2 2" xfId="12306" xr:uid="{00000000-0005-0000-0000-00000A2D0000}"/>
    <cellStyle name="Normal 3 62 2 2 3" xfId="12307" xr:uid="{00000000-0005-0000-0000-00000B2D0000}"/>
    <cellStyle name="Normal 3 62 2 2 3 2" xfId="12308" xr:uid="{00000000-0005-0000-0000-00000C2D0000}"/>
    <cellStyle name="Normal 3 62 2 2 4" xfId="12309" xr:uid="{00000000-0005-0000-0000-00000D2D0000}"/>
    <cellStyle name="Normal 3 62 2 2 5" xfId="12310" xr:uid="{00000000-0005-0000-0000-00000E2D0000}"/>
    <cellStyle name="Normal 3 62 2 3" xfId="3026" xr:uid="{00000000-0005-0000-0000-00000F2D0000}"/>
    <cellStyle name="Normal 3 62 2 3 2" xfId="12311" xr:uid="{00000000-0005-0000-0000-0000102D0000}"/>
    <cellStyle name="Normal 3 62 2 3 2 2" xfId="12312" xr:uid="{00000000-0005-0000-0000-0000112D0000}"/>
    <cellStyle name="Normal 3 62 2 3 3" xfId="12313" xr:uid="{00000000-0005-0000-0000-0000122D0000}"/>
    <cellStyle name="Normal 3 62 2 3 3 2" xfId="12314" xr:uid="{00000000-0005-0000-0000-0000132D0000}"/>
    <cellStyle name="Normal 3 62 2 3 4" xfId="12315" xr:uid="{00000000-0005-0000-0000-0000142D0000}"/>
    <cellStyle name="Normal 3 62 2 3 5" xfId="12316" xr:uid="{00000000-0005-0000-0000-0000152D0000}"/>
    <cellStyle name="Normal 3 62 2 4" xfId="3027" xr:uid="{00000000-0005-0000-0000-0000162D0000}"/>
    <cellStyle name="Normal 3 62 2 4 2" xfId="12317" xr:uid="{00000000-0005-0000-0000-0000172D0000}"/>
    <cellStyle name="Normal 3 62 2 4 2 2" xfId="12318" xr:uid="{00000000-0005-0000-0000-0000182D0000}"/>
    <cellStyle name="Normal 3 62 2 4 3" xfId="12319" xr:uid="{00000000-0005-0000-0000-0000192D0000}"/>
    <cellStyle name="Normal 3 62 2 4 3 2" xfId="12320" xr:uid="{00000000-0005-0000-0000-00001A2D0000}"/>
    <cellStyle name="Normal 3 62 2 4 4" xfId="12321" xr:uid="{00000000-0005-0000-0000-00001B2D0000}"/>
    <cellStyle name="Normal 3 62 2 4 5" xfId="12322" xr:uid="{00000000-0005-0000-0000-00001C2D0000}"/>
    <cellStyle name="Normal 3 62 2 5" xfId="3028" xr:uid="{00000000-0005-0000-0000-00001D2D0000}"/>
    <cellStyle name="Normal 3 62 2 5 2" xfId="12323" xr:uid="{00000000-0005-0000-0000-00001E2D0000}"/>
    <cellStyle name="Normal 3 62 2 5 2 2" xfId="12324" xr:uid="{00000000-0005-0000-0000-00001F2D0000}"/>
    <cellStyle name="Normal 3 62 2 5 3" xfId="12325" xr:uid="{00000000-0005-0000-0000-0000202D0000}"/>
    <cellStyle name="Normal 3 62 2 5 3 2" xfId="12326" xr:uid="{00000000-0005-0000-0000-0000212D0000}"/>
    <cellStyle name="Normal 3 62 2 5 4" xfId="12327" xr:uid="{00000000-0005-0000-0000-0000222D0000}"/>
    <cellStyle name="Normal 3 62 2 5 5" xfId="12328" xr:uid="{00000000-0005-0000-0000-0000232D0000}"/>
    <cellStyle name="Normal 3 62 2 6" xfId="3029" xr:uid="{00000000-0005-0000-0000-0000242D0000}"/>
    <cellStyle name="Normal 3 62 2 6 2" xfId="12329" xr:uid="{00000000-0005-0000-0000-0000252D0000}"/>
    <cellStyle name="Normal 3 62 2 6 2 2" xfId="12330" xr:uid="{00000000-0005-0000-0000-0000262D0000}"/>
    <cellStyle name="Normal 3 62 2 6 3" xfId="12331" xr:uid="{00000000-0005-0000-0000-0000272D0000}"/>
    <cellStyle name="Normal 3 62 2 6 3 2" xfId="12332" xr:uid="{00000000-0005-0000-0000-0000282D0000}"/>
    <cellStyle name="Normal 3 62 2 6 4" xfId="12333" xr:uid="{00000000-0005-0000-0000-0000292D0000}"/>
    <cellStyle name="Normal 3 62 2 6 5" xfId="12334" xr:uid="{00000000-0005-0000-0000-00002A2D0000}"/>
    <cellStyle name="Normal 3 62 2 7" xfId="3030" xr:uid="{00000000-0005-0000-0000-00002B2D0000}"/>
    <cellStyle name="Normal 3 62 2 7 2" xfId="12335" xr:uid="{00000000-0005-0000-0000-00002C2D0000}"/>
    <cellStyle name="Normal 3 62 2 7 2 2" xfId="12336" xr:uid="{00000000-0005-0000-0000-00002D2D0000}"/>
    <cellStyle name="Normal 3 62 2 7 3" xfId="12337" xr:uid="{00000000-0005-0000-0000-00002E2D0000}"/>
    <cellStyle name="Normal 3 62 2 7 3 2" xfId="12338" xr:uid="{00000000-0005-0000-0000-00002F2D0000}"/>
    <cellStyle name="Normal 3 62 2 7 4" xfId="12339" xr:uid="{00000000-0005-0000-0000-0000302D0000}"/>
    <cellStyle name="Normal 3 62 2 7 5" xfId="12340" xr:uid="{00000000-0005-0000-0000-0000312D0000}"/>
    <cellStyle name="Normal 3 62 2 8" xfId="3031" xr:uid="{00000000-0005-0000-0000-0000322D0000}"/>
    <cellStyle name="Normal 3 62 2 8 2" xfId="12341" xr:uid="{00000000-0005-0000-0000-0000332D0000}"/>
    <cellStyle name="Normal 3 62 2 8 2 2" xfId="12342" xr:uid="{00000000-0005-0000-0000-0000342D0000}"/>
    <cellStyle name="Normal 3 62 2 8 3" xfId="12343" xr:uid="{00000000-0005-0000-0000-0000352D0000}"/>
    <cellStyle name="Normal 3 62 2 8 3 2" xfId="12344" xr:uid="{00000000-0005-0000-0000-0000362D0000}"/>
    <cellStyle name="Normal 3 62 2 8 4" xfId="12345" xr:uid="{00000000-0005-0000-0000-0000372D0000}"/>
    <cellStyle name="Normal 3 62 2 8 5" xfId="12346" xr:uid="{00000000-0005-0000-0000-0000382D0000}"/>
    <cellStyle name="Normal 3 62 2 9" xfId="3032" xr:uid="{00000000-0005-0000-0000-0000392D0000}"/>
    <cellStyle name="Normal 3 62 2 9 2" xfId="12347" xr:uid="{00000000-0005-0000-0000-00003A2D0000}"/>
    <cellStyle name="Normal 3 62 2 9 2 2" xfId="12348" xr:uid="{00000000-0005-0000-0000-00003B2D0000}"/>
    <cellStyle name="Normal 3 62 2 9 3" xfId="12349" xr:uid="{00000000-0005-0000-0000-00003C2D0000}"/>
    <cellStyle name="Normal 3 62 2 9 3 2" xfId="12350" xr:uid="{00000000-0005-0000-0000-00003D2D0000}"/>
    <cellStyle name="Normal 3 62 2 9 4" xfId="12351" xr:uid="{00000000-0005-0000-0000-00003E2D0000}"/>
    <cellStyle name="Normal 3 62 2 9 5" xfId="12352" xr:uid="{00000000-0005-0000-0000-00003F2D0000}"/>
    <cellStyle name="Normal 3 62 3" xfId="3033" xr:uid="{00000000-0005-0000-0000-0000402D0000}"/>
    <cellStyle name="Normal 3 62 3 2" xfId="12353" xr:uid="{00000000-0005-0000-0000-0000412D0000}"/>
    <cellStyle name="Normal 3 62 3 2 2" xfId="12354" xr:uid="{00000000-0005-0000-0000-0000422D0000}"/>
    <cellStyle name="Normal 3 62 3 3" xfId="12355" xr:uid="{00000000-0005-0000-0000-0000432D0000}"/>
    <cellStyle name="Normal 3 62 3 3 2" xfId="12356" xr:uid="{00000000-0005-0000-0000-0000442D0000}"/>
    <cellStyle name="Normal 3 62 3 4" xfId="12357" xr:uid="{00000000-0005-0000-0000-0000452D0000}"/>
    <cellStyle name="Normal 3 62 3 5" xfId="12358" xr:uid="{00000000-0005-0000-0000-0000462D0000}"/>
    <cellStyle name="Normal 3 62 4" xfId="3034" xr:uid="{00000000-0005-0000-0000-0000472D0000}"/>
    <cellStyle name="Normal 3 62 4 2" xfId="12359" xr:uid="{00000000-0005-0000-0000-0000482D0000}"/>
    <cellStyle name="Normal 3 62 4 2 2" xfId="12360" xr:uid="{00000000-0005-0000-0000-0000492D0000}"/>
    <cellStyle name="Normal 3 62 4 3" xfId="12361" xr:uid="{00000000-0005-0000-0000-00004A2D0000}"/>
    <cellStyle name="Normal 3 62 4 3 2" xfId="12362" xr:uid="{00000000-0005-0000-0000-00004B2D0000}"/>
    <cellStyle name="Normal 3 62 4 4" xfId="12363" xr:uid="{00000000-0005-0000-0000-00004C2D0000}"/>
    <cellStyle name="Normal 3 62 4 5" xfId="12364" xr:uid="{00000000-0005-0000-0000-00004D2D0000}"/>
    <cellStyle name="Normal 3 62 5" xfId="3035" xr:uid="{00000000-0005-0000-0000-00004E2D0000}"/>
    <cellStyle name="Normal 3 62 5 2" xfId="12365" xr:uid="{00000000-0005-0000-0000-00004F2D0000}"/>
    <cellStyle name="Normal 3 62 5 2 2" xfId="12366" xr:uid="{00000000-0005-0000-0000-0000502D0000}"/>
    <cellStyle name="Normal 3 62 5 3" xfId="12367" xr:uid="{00000000-0005-0000-0000-0000512D0000}"/>
    <cellStyle name="Normal 3 62 5 3 2" xfId="12368" xr:uid="{00000000-0005-0000-0000-0000522D0000}"/>
    <cellStyle name="Normal 3 62 5 4" xfId="12369" xr:uid="{00000000-0005-0000-0000-0000532D0000}"/>
    <cellStyle name="Normal 3 62 5 5" xfId="12370" xr:uid="{00000000-0005-0000-0000-0000542D0000}"/>
    <cellStyle name="Normal 3 62 6" xfId="3036" xr:uid="{00000000-0005-0000-0000-0000552D0000}"/>
    <cellStyle name="Normal 3 62 6 2" xfId="12371" xr:uid="{00000000-0005-0000-0000-0000562D0000}"/>
    <cellStyle name="Normal 3 62 6 2 2" xfId="12372" xr:uid="{00000000-0005-0000-0000-0000572D0000}"/>
    <cellStyle name="Normal 3 62 6 3" xfId="12373" xr:uid="{00000000-0005-0000-0000-0000582D0000}"/>
    <cellStyle name="Normal 3 62 6 3 2" xfId="12374" xr:uid="{00000000-0005-0000-0000-0000592D0000}"/>
    <cellStyle name="Normal 3 62 6 4" xfId="12375" xr:uid="{00000000-0005-0000-0000-00005A2D0000}"/>
    <cellStyle name="Normal 3 62 6 5" xfId="12376" xr:uid="{00000000-0005-0000-0000-00005B2D0000}"/>
    <cellStyle name="Normal 3 62 7" xfId="3037" xr:uid="{00000000-0005-0000-0000-00005C2D0000}"/>
    <cellStyle name="Normal 3 62 7 2" xfId="12377" xr:uid="{00000000-0005-0000-0000-00005D2D0000}"/>
    <cellStyle name="Normal 3 62 7 2 2" xfId="12378" xr:uid="{00000000-0005-0000-0000-00005E2D0000}"/>
    <cellStyle name="Normal 3 62 7 3" xfId="12379" xr:uid="{00000000-0005-0000-0000-00005F2D0000}"/>
    <cellStyle name="Normal 3 62 7 3 2" xfId="12380" xr:uid="{00000000-0005-0000-0000-0000602D0000}"/>
    <cellStyle name="Normal 3 62 7 4" xfId="12381" xr:uid="{00000000-0005-0000-0000-0000612D0000}"/>
    <cellStyle name="Normal 3 62 7 5" xfId="12382" xr:uid="{00000000-0005-0000-0000-0000622D0000}"/>
    <cellStyle name="Normal 3 62 8" xfId="3038" xr:uid="{00000000-0005-0000-0000-0000632D0000}"/>
    <cellStyle name="Normal 3 62 8 2" xfId="12383" xr:uid="{00000000-0005-0000-0000-0000642D0000}"/>
    <cellStyle name="Normal 3 62 8 2 2" xfId="12384" xr:uid="{00000000-0005-0000-0000-0000652D0000}"/>
    <cellStyle name="Normal 3 62 8 3" xfId="12385" xr:uid="{00000000-0005-0000-0000-0000662D0000}"/>
    <cellStyle name="Normal 3 62 8 3 2" xfId="12386" xr:uid="{00000000-0005-0000-0000-0000672D0000}"/>
    <cellStyle name="Normal 3 62 8 4" xfId="12387" xr:uid="{00000000-0005-0000-0000-0000682D0000}"/>
    <cellStyle name="Normal 3 62 8 5" xfId="12388" xr:uid="{00000000-0005-0000-0000-0000692D0000}"/>
    <cellStyle name="Normal 3 62 9" xfId="3039" xr:uid="{00000000-0005-0000-0000-00006A2D0000}"/>
    <cellStyle name="Normal 3 62 9 2" xfId="12389" xr:uid="{00000000-0005-0000-0000-00006B2D0000}"/>
    <cellStyle name="Normal 3 62 9 2 2" xfId="12390" xr:uid="{00000000-0005-0000-0000-00006C2D0000}"/>
    <cellStyle name="Normal 3 62 9 3" xfId="12391" xr:uid="{00000000-0005-0000-0000-00006D2D0000}"/>
    <cellStyle name="Normal 3 62 9 3 2" xfId="12392" xr:uid="{00000000-0005-0000-0000-00006E2D0000}"/>
    <cellStyle name="Normal 3 62 9 4" xfId="12393" xr:uid="{00000000-0005-0000-0000-00006F2D0000}"/>
    <cellStyle name="Normal 3 62 9 5" xfId="12394" xr:uid="{00000000-0005-0000-0000-0000702D0000}"/>
    <cellStyle name="Normal 3 63" xfId="3040" xr:uid="{00000000-0005-0000-0000-0000712D0000}"/>
    <cellStyle name="Normal 3 63 10" xfId="3041" xr:uid="{00000000-0005-0000-0000-0000722D0000}"/>
    <cellStyle name="Normal 3 63 10 2" xfId="12395" xr:uid="{00000000-0005-0000-0000-0000732D0000}"/>
    <cellStyle name="Normal 3 63 10 2 2" xfId="12396" xr:uid="{00000000-0005-0000-0000-0000742D0000}"/>
    <cellStyle name="Normal 3 63 10 3" xfId="12397" xr:uid="{00000000-0005-0000-0000-0000752D0000}"/>
    <cellStyle name="Normal 3 63 10 3 2" xfId="12398" xr:uid="{00000000-0005-0000-0000-0000762D0000}"/>
    <cellStyle name="Normal 3 63 10 4" xfId="12399" xr:uid="{00000000-0005-0000-0000-0000772D0000}"/>
    <cellStyle name="Normal 3 63 10 5" xfId="12400" xr:uid="{00000000-0005-0000-0000-0000782D0000}"/>
    <cellStyle name="Normal 3 63 11" xfId="3042" xr:uid="{00000000-0005-0000-0000-0000792D0000}"/>
    <cellStyle name="Normal 3 63 11 2" xfId="12401" xr:uid="{00000000-0005-0000-0000-00007A2D0000}"/>
    <cellStyle name="Normal 3 63 11 2 2" xfId="12402" xr:uid="{00000000-0005-0000-0000-00007B2D0000}"/>
    <cellStyle name="Normal 3 63 11 3" xfId="12403" xr:uid="{00000000-0005-0000-0000-00007C2D0000}"/>
    <cellStyle name="Normal 3 63 11 3 2" xfId="12404" xr:uid="{00000000-0005-0000-0000-00007D2D0000}"/>
    <cellStyle name="Normal 3 63 11 4" xfId="12405" xr:uid="{00000000-0005-0000-0000-00007E2D0000}"/>
    <cellStyle name="Normal 3 63 11 5" xfId="12406" xr:uid="{00000000-0005-0000-0000-00007F2D0000}"/>
    <cellStyle name="Normal 3 63 12" xfId="3043" xr:uid="{00000000-0005-0000-0000-0000802D0000}"/>
    <cellStyle name="Normal 3 63 12 2" xfId="12407" xr:uid="{00000000-0005-0000-0000-0000812D0000}"/>
    <cellStyle name="Normal 3 63 12 2 2" xfId="12408" xr:uid="{00000000-0005-0000-0000-0000822D0000}"/>
    <cellStyle name="Normal 3 63 12 3" xfId="12409" xr:uid="{00000000-0005-0000-0000-0000832D0000}"/>
    <cellStyle name="Normal 3 63 12 3 2" xfId="12410" xr:uid="{00000000-0005-0000-0000-0000842D0000}"/>
    <cellStyle name="Normal 3 63 12 4" xfId="12411" xr:uid="{00000000-0005-0000-0000-0000852D0000}"/>
    <cellStyle name="Normal 3 63 12 5" xfId="12412" xr:uid="{00000000-0005-0000-0000-0000862D0000}"/>
    <cellStyle name="Normal 3 63 13" xfId="3044" xr:uid="{00000000-0005-0000-0000-0000872D0000}"/>
    <cellStyle name="Normal 3 63 13 2" xfId="12413" xr:uid="{00000000-0005-0000-0000-0000882D0000}"/>
    <cellStyle name="Normal 3 63 13 2 2" xfId="12414" xr:uid="{00000000-0005-0000-0000-0000892D0000}"/>
    <cellStyle name="Normal 3 63 13 3" xfId="12415" xr:uid="{00000000-0005-0000-0000-00008A2D0000}"/>
    <cellStyle name="Normal 3 63 13 3 2" xfId="12416" xr:uid="{00000000-0005-0000-0000-00008B2D0000}"/>
    <cellStyle name="Normal 3 63 13 4" xfId="12417" xr:uid="{00000000-0005-0000-0000-00008C2D0000}"/>
    <cellStyle name="Normal 3 63 13 5" xfId="12418" xr:uid="{00000000-0005-0000-0000-00008D2D0000}"/>
    <cellStyle name="Normal 3 63 14" xfId="12419" xr:uid="{00000000-0005-0000-0000-00008E2D0000}"/>
    <cellStyle name="Normal 3 63 14 2" xfId="12420" xr:uid="{00000000-0005-0000-0000-00008F2D0000}"/>
    <cellStyle name="Normal 3 63 15" xfId="12421" xr:uid="{00000000-0005-0000-0000-0000902D0000}"/>
    <cellStyle name="Normal 3 63 15 2" xfId="12422" xr:uid="{00000000-0005-0000-0000-0000912D0000}"/>
    <cellStyle name="Normal 3 63 16" xfId="12423" xr:uid="{00000000-0005-0000-0000-0000922D0000}"/>
    <cellStyle name="Normal 3 63 17" xfId="12424" xr:uid="{00000000-0005-0000-0000-0000932D0000}"/>
    <cellStyle name="Normal 3 63 2" xfId="3045" xr:uid="{00000000-0005-0000-0000-0000942D0000}"/>
    <cellStyle name="Normal 3 63 2 10" xfId="3046" xr:uid="{00000000-0005-0000-0000-0000952D0000}"/>
    <cellStyle name="Normal 3 63 2 10 2" xfId="12425" xr:uid="{00000000-0005-0000-0000-0000962D0000}"/>
    <cellStyle name="Normal 3 63 2 10 2 2" xfId="12426" xr:uid="{00000000-0005-0000-0000-0000972D0000}"/>
    <cellStyle name="Normal 3 63 2 10 3" xfId="12427" xr:uid="{00000000-0005-0000-0000-0000982D0000}"/>
    <cellStyle name="Normal 3 63 2 10 3 2" xfId="12428" xr:uid="{00000000-0005-0000-0000-0000992D0000}"/>
    <cellStyle name="Normal 3 63 2 10 4" xfId="12429" xr:uid="{00000000-0005-0000-0000-00009A2D0000}"/>
    <cellStyle name="Normal 3 63 2 10 5" xfId="12430" xr:uid="{00000000-0005-0000-0000-00009B2D0000}"/>
    <cellStyle name="Normal 3 63 2 11" xfId="3047" xr:uid="{00000000-0005-0000-0000-00009C2D0000}"/>
    <cellStyle name="Normal 3 63 2 11 2" xfId="12431" xr:uid="{00000000-0005-0000-0000-00009D2D0000}"/>
    <cellStyle name="Normal 3 63 2 11 2 2" xfId="12432" xr:uid="{00000000-0005-0000-0000-00009E2D0000}"/>
    <cellStyle name="Normal 3 63 2 11 3" xfId="12433" xr:uid="{00000000-0005-0000-0000-00009F2D0000}"/>
    <cellStyle name="Normal 3 63 2 11 3 2" xfId="12434" xr:uid="{00000000-0005-0000-0000-0000A02D0000}"/>
    <cellStyle name="Normal 3 63 2 11 4" xfId="12435" xr:uid="{00000000-0005-0000-0000-0000A12D0000}"/>
    <cellStyle name="Normal 3 63 2 11 5" xfId="12436" xr:uid="{00000000-0005-0000-0000-0000A22D0000}"/>
    <cellStyle name="Normal 3 63 2 12" xfId="3048" xr:uid="{00000000-0005-0000-0000-0000A32D0000}"/>
    <cellStyle name="Normal 3 63 2 12 2" xfId="12437" xr:uid="{00000000-0005-0000-0000-0000A42D0000}"/>
    <cellStyle name="Normal 3 63 2 12 2 2" xfId="12438" xr:uid="{00000000-0005-0000-0000-0000A52D0000}"/>
    <cellStyle name="Normal 3 63 2 12 3" xfId="12439" xr:uid="{00000000-0005-0000-0000-0000A62D0000}"/>
    <cellStyle name="Normal 3 63 2 12 3 2" xfId="12440" xr:uid="{00000000-0005-0000-0000-0000A72D0000}"/>
    <cellStyle name="Normal 3 63 2 12 4" xfId="12441" xr:uid="{00000000-0005-0000-0000-0000A82D0000}"/>
    <cellStyle name="Normal 3 63 2 12 5" xfId="12442" xr:uid="{00000000-0005-0000-0000-0000A92D0000}"/>
    <cellStyle name="Normal 3 63 2 13" xfId="12443" xr:uid="{00000000-0005-0000-0000-0000AA2D0000}"/>
    <cellStyle name="Normal 3 63 2 13 2" xfId="12444" xr:uid="{00000000-0005-0000-0000-0000AB2D0000}"/>
    <cellStyle name="Normal 3 63 2 14" xfId="12445" xr:uid="{00000000-0005-0000-0000-0000AC2D0000}"/>
    <cellStyle name="Normal 3 63 2 14 2" xfId="12446" xr:uid="{00000000-0005-0000-0000-0000AD2D0000}"/>
    <cellStyle name="Normal 3 63 2 15" xfId="12447" xr:uid="{00000000-0005-0000-0000-0000AE2D0000}"/>
    <cellStyle name="Normal 3 63 2 16" xfId="12448" xr:uid="{00000000-0005-0000-0000-0000AF2D0000}"/>
    <cellStyle name="Normal 3 63 2 2" xfId="3049" xr:uid="{00000000-0005-0000-0000-0000B02D0000}"/>
    <cellStyle name="Normal 3 63 2 2 2" xfId="12449" xr:uid="{00000000-0005-0000-0000-0000B12D0000}"/>
    <cellStyle name="Normal 3 63 2 2 2 2" xfId="12450" xr:uid="{00000000-0005-0000-0000-0000B22D0000}"/>
    <cellStyle name="Normal 3 63 2 2 3" xfId="12451" xr:uid="{00000000-0005-0000-0000-0000B32D0000}"/>
    <cellStyle name="Normal 3 63 2 2 3 2" xfId="12452" xr:uid="{00000000-0005-0000-0000-0000B42D0000}"/>
    <cellStyle name="Normal 3 63 2 2 4" xfId="12453" xr:uid="{00000000-0005-0000-0000-0000B52D0000}"/>
    <cellStyle name="Normal 3 63 2 2 5" xfId="12454" xr:uid="{00000000-0005-0000-0000-0000B62D0000}"/>
    <cellStyle name="Normal 3 63 2 3" xfId="3050" xr:uid="{00000000-0005-0000-0000-0000B72D0000}"/>
    <cellStyle name="Normal 3 63 2 3 2" xfId="12455" xr:uid="{00000000-0005-0000-0000-0000B82D0000}"/>
    <cellStyle name="Normal 3 63 2 3 2 2" xfId="12456" xr:uid="{00000000-0005-0000-0000-0000B92D0000}"/>
    <cellStyle name="Normal 3 63 2 3 3" xfId="12457" xr:uid="{00000000-0005-0000-0000-0000BA2D0000}"/>
    <cellStyle name="Normal 3 63 2 3 3 2" xfId="12458" xr:uid="{00000000-0005-0000-0000-0000BB2D0000}"/>
    <cellStyle name="Normal 3 63 2 3 4" xfId="12459" xr:uid="{00000000-0005-0000-0000-0000BC2D0000}"/>
    <cellStyle name="Normal 3 63 2 3 5" xfId="12460" xr:uid="{00000000-0005-0000-0000-0000BD2D0000}"/>
    <cellStyle name="Normal 3 63 2 4" xfId="3051" xr:uid="{00000000-0005-0000-0000-0000BE2D0000}"/>
    <cellStyle name="Normal 3 63 2 4 2" xfId="12461" xr:uid="{00000000-0005-0000-0000-0000BF2D0000}"/>
    <cellStyle name="Normal 3 63 2 4 2 2" xfId="12462" xr:uid="{00000000-0005-0000-0000-0000C02D0000}"/>
    <cellStyle name="Normal 3 63 2 4 3" xfId="12463" xr:uid="{00000000-0005-0000-0000-0000C12D0000}"/>
    <cellStyle name="Normal 3 63 2 4 3 2" xfId="12464" xr:uid="{00000000-0005-0000-0000-0000C22D0000}"/>
    <cellStyle name="Normal 3 63 2 4 4" xfId="12465" xr:uid="{00000000-0005-0000-0000-0000C32D0000}"/>
    <cellStyle name="Normal 3 63 2 4 5" xfId="12466" xr:uid="{00000000-0005-0000-0000-0000C42D0000}"/>
    <cellStyle name="Normal 3 63 2 5" xfId="3052" xr:uid="{00000000-0005-0000-0000-0000C52D0000}"/>
    <cellStyle name="Normal 3 63 2 5 2" xfId="12467" xr:uid="{00000000-0005-0000-0000-0000C62D0000}"/>
    <cellStyle name="Normal 3 63 2 5 2 2" xfId="12468" xr:uid="{00000000-0005-0000-0000-0000C72D0000}"/>
    <cellStyle name="Normal 3 63 2 5 3" xfId="12469" xr:uid="{00000000-0005-0000-0000-0000C82D0000}"/>
    <cellStyle name="Normal 3 63 2 5 3 2" xfId="12470" xr:uid="{00000000-0005-0000-0000-0000C92D0000}"/>
    <cellStyle name="Normal 3 63 2 5 4" xfId="12471" xr:uid="{00000000-0005-0000-0000-0000CA2D0000}"/>
    <cellStyle name="Normal 3 63 2 5 5" xfId="12472" xr:uid="{00000000-0005-0000-0000-0000CB2D0000}"/>
    <cellStyle name="Normal 3 63 2 6" xfId="3053" xr:uid="{00000000-0005-0000-0000-0000CC2D0000}"/>
    <cellStyle name="Normal 3 63 2 6 2" xfId="12473" xr:uid="{00000000-0005-0000-0000-0000CD2D0000}"/>
    <cellStyle name="Normal 3 63 2 6 2 2" xfId="12474" xr:uid="{00000000-0005-0000-0000-0000CE2D0000}"/>
    <cellStyle name="Normal 3 63 2 6 3" xfId="12475" xr:uid="{00000000-0005-0000-0000-0000CF2D0000}"/>
    <cellStyle name="Normal 3 63 2 6 3 2" xfId="12476" xr:uid="{00000000-0005-0000-0000-0000D02D0000}"/>
    <cellStyle name="Normal 3 63 2 6 4" xfId="12477" xr:uid="{00000000-0005-0000-0000-0000D12D0000}"/>
    <cellStyle name="Normal 3 63 2 6 5" xfId="12478" xr:uid="{00000000-0005-0000-0000-0000D22D0000}"/>
    <cellStyle name="Normal 3 63 2 7" xfId="3054" xr:uid="{00000000-0005-0000-0000-0000D32D0000}"/>
    <cellStyle name="Normal 3 63 2 7 2" xfId="12479" xr:uid="{00000000-0005-0000-0000-0000D42D0000}"/>
    <cellStyle name="Normal 3 63 2 7 2 2" xfId="12480" xr:uid="{00000000-0005-0000-0000-0000D52D0000}"/>
    <cellStyle name="Normal 3 63 2 7 3" xfId="12481" xr:uid="{00000000-0005-0000-0000-0000D62D0000}"/>
    <cellStyle name="Normal 3 63 2 7 3 2" xfId="12482" xr:uid="{00000000-0005-0000-0000-0000D72D0000}"/>
    <cellStyle name="Normal 3 63 2 7 4" xfId="12483" xr:uid="{00000000-0005-0000-0000-0000D82D0000}"/>
    <cellStyle name="Normal 3 63 2 7 5" xfId="12484" xr:uid="{00000000-0005-0000-0000-0000D92D0000}"/>
    <cellStyle name="Normal 3 63 2 8" xfId="3055" xr:uid="{00000000-0005-0000-0000-0000DA2D0000}"/>
    <cellStyle name="Normal 3 63 2 8 2" xfId="12485" xr:uid="{00000000-0005-0000-0000-0000DB2D0000}"/>
    <cellStyle name="Normal 3 63 2 8 2 2" xfId="12486" xr:uid="{00000000-0005-0000-0000-0000DC2D0000}"/>
    <cellStyle name="Normal 3 63 2 8 3" xfId="12487" xr:uid="{00000000-0005-0000-0000-0000DD2D0000}"/>
    <cellStyle name="Normal 3 63 2 8 3 2" xfId="12488" xr:uid="{00000000-0005-0000-0000-0000DE2D0000}"/>
    <cellStyle name="Normal 3 63 2 8 4" xfId="12489" xr:uid="{00000000-0005-0000-0000-0000DF2D0000}"/>
    <cellStyle name="Normal 3 63 2 8 5" xfId="12490" xr:uid="{00000000-0005-0000-0000-0000E02D0000}"/>
    <cellStyle name="Normal 3 63 2 9" xfId="3056" xr:uid="{00000000-0005-0000-0000-0000E12D0000}"/>
    <cellStyle name="Normal 3 63 2 9 2" xfId="12491" xr:uid="{00000000-0005-0000-0000-0000E22D0000}"/>
    <cellStyle name="Normal 3 63 2 9 2 2" xfId="12492" xr:uid="{00000000-0005-0000-0000-0000E32D0000}"/>
    <cellStyle name="Normal 3 63 2 9 3" xfId="12493" xr:uid="{00000000-0005-0000-0000-0000E42D0000}"/>
    <cellStyle name="Normal 3 63 2 9 3 2" xfId="12494" xr:uid="{00000000-0005-0000-0000-0000E52D0000}"/>
    <cellStyle name="Normal 3 63 2 9 4" xfId="12495" xr:uid="{00000000-0005-0000-0000-0000E62D0000}"/>
    <cellStyle name="Normal 3 63 2 9 5" xfId="12496" xr:uid="{00000000-0005-0000-0000-0000E72D0000}"/>
    <cellStyle name="Normal 3 63 3" xfId="3057" xr:uid="{00000000-0005-0000-0000-0000E82D0000}"/>
    <cellStyle name="Normal 3 63 3 2" xfId="12497" xr:uid="{00000000-0005-0000-0000-0000E92D0000}"/>
    <cellStyle name="Normal 3 63 3 2 2" xfId="12498" xr:uid="{00000000-0005-0000-0000-0000EA2D0000}"/>
    <cellStyle name="Normal 3 63 3 3" xfId="12499" xr:uid="{00000000-0005-0000-0000-0000EB2D0000}"/>
    <cellStyle name="Normal 3 63 3 3 2" xfId="12500" xr:uid="{00000000-0005-0000-0000-0000EC2D0000}"/>
    <cellStyle name="Normal 3 63 3 4" xfId="12501" xr:uid="{00000000-0005-0000-0000-0000ED2D0000}"/>
    <cellStyle name="Normal 3 63 3 5" xfId="12502" xr:uid="{00000000-0005-0000-0000-0000EE2D0000}"/>
    <cellStyle name="Normal 3 63 4" xfId="3058" xr:uid="{00000000-0005-0000-0000-0000EF2D0000}"/>
    <cellStyle name="Normal 3 63 4 2" xfId="12503" xr:uid="{00000000-0005-0000-0000-0000F02D0000}"/>
    <cellStyle name="Normal 3 63 4 2 2" xfId="12504" xr:uid="{00000000-0005-0000-0000-0000F12D0000}"/>
    <cellStyle name="Normal 3 63 4 3" xfId="12505" xr:uid="{00000000-0005-0000-0000-0000F22D0000}"/>
    <cellStyle name="Normal 3 63 4 3 2" xfId="12506" xr:uid="{00000000-0005-0000-0000-0000F32D0000}"/>
    <cellStyle name="Normal 3 63 4 4" xfId="12507" xr:uid="{00000000-0005-0000-0000-0000F42D0000}"/>
    <cellStyle name="Normal 3 63 4 5" xfId="12508" xr:uid="{00000000-0005-0000-0000-0000F52D0000}"/>
    <cellStyle name="Normal 3 63 5" xfId="3059" xr:uid="{00000000-0005-0000-0000-0000F62D0000}"/>
    <cellStyle name="Normal 3 63 5 2" xfId="12509" xr:uid="{00000000-0005-0000-0000-0000F72D0000}"/>
    <cellStyle name="Normal 3 63 5 2 2" xfId="12510" xr:uid="{00000000-0005-0000-0000-0000F82D0000}"/>
    <cellStyle name="Normal 3 63 5 3" xfId="12511" xr:uid="{00000000-0005-0000-0000-0000F92D0000}"/>
    <cellStyle name="Normal 3 63 5 3 2" xfId="12512" xr:uid="{00000000-0005-0000-0000-0000FA2D0000}"/>
    <cellStyle name="Normal 3 63 5 4" xfId="12513" xr:uid="{00000000-0005-0000-0000-0000FB2D0000}"/>
    <cellStyle name="Normal 3 63 5 5" xfId="12514" xr:uid="{00000000-0005-0000-0000-0000FC2D0000}"/>
    <cellStyle name="Normal 3 63 6" xfId="3060" xr:uid="{00000000-0005-0000-0000-0000FD2D0000}"/>
    <cellStyle name="Normal 3 63 6 2" xfId="12515" xr:uid="{00000000-0005-0000-0000-0000FE2D0000}"/>
    <cellStyle name="Normal 3 63 6 2 2" xfId="12516" xr:uid="{00000000-0005-0000-0000-0000FF2D0000}"/>
    <cellStyle name="Normal 3 63 6 3" xfId="12517" xr:uid="{00000000-0005-0000-0000-0000002E0000}"/>
    <cellStyle name="Normal 3 63 6 3 2" xfId="12518" xr:uid="{00000000-0005-0000-0000-0000012E0000}"/>
    <cellStyle name="Normal 3 63 6 4" xfId="12519" xr:uid="{00000000-0005-0000-0000-0000022E0000}"/>
    <cellStyle name="Normal 3 63 6 5" xfId="12520" xr:uid="{00000000-0005-0000-0000-0000032E0000}"/>
    <cellStyle name="Normal 3 63 7" xfId="3061" xr:uid="{00000000-0005-0000-0000-0000042E0000}"/>
    <cellStyle name="Normal 3 63 7 2" xfId="12521" xr:uid="{00000000-0005-0000-0000-0000052E0000}"/>
    <cellStyle name="Normal 3 63 7 2 2" xfId="12522" xr:uid="{00000000-0005-0000-0000-0000062E0000}"/>
    <cellStyle name="Normal 3 63 7 3" xfId="12523" xr:uid="{00000000-0005-0000-0000-0000072E0000}"/>
    <cellStyle name="Normal 3 63 7 3 2" xfId="12524" xr:uid="{00000000-0005-0000-0000-0000082E0000}"/>
    <cellStyle name="Normal 3 63 7 4" xfId="12525" xr:uid="{00000000-0005-0000-0000-0000092E0000}"/>
    <cellStyle name="Normal 3 63 7 5" xfId="12526" xr:uid="{00000000-0005-0000-0000-00000A2E0000}"/>
    <cellStyle name="Normal 3 63 8" xfId="3062" xr:uid="{00000000-0005-0000-0000-00000B2E0000}"/>
    <cellStyle name="Normal 3 63 8 2" xfId="12527" xr:uid="{00000000-0005-0000-0000-00000C2E0000}"/>
    <cellStyle name="Normal 3 63 8 2 2" xfId="12528" xr:uid="{00000000-0005-0000-0000-00000D2E0000}"/>
    <cellStyle name="Normal 3 63 8 3" xfId="12529" xr:uid="{00000000-0005-0000-0000-00000E2E0000}"/>
    <cellStyle name="Normal 3 63 8 3 2" xfId="12530" xr:uid="{00000000-0005-0000-0000-00000F2E0000}"/>
    <cellStyle name="Normal 3 63 8 4" xfId="12531" xr:uid="{00000000-0005-0000-0000-0000102E0000}"/>
    <cellStyle name="Normal 3 63 8 5" xfId="12532" xr:uid="{00000000-0005-0000-0000-0000112E0000}"/>
    <cellStyle name="Normal 3 63 9" xfId="3063" xr:uid="{00000000-0005-0000-0000-0000122E0000}"/>
    <cellStyle name="Normal 3 63 9 2" xfId="12533" xr:uid="{00000000-0005-0000-0000-0000132E0000}"/>
    <cellStyle name="Normal 3 63 9 2 2" xfId="12534" xr:uid="{00000000-0005-0000-0000-0000142E0000}"/>
    <cellStyle name="Normal 3 63 9 3" xfId="12535" xr:uid="{00000000-0005-0000-0000-0000152E0000}"/>
    <cellStyle name="Normal 3 63 9 3 2" xfId="12536" xr:uid="{00000000-0005-0000-0000-0000162E0000}"/>
    <cellStyle name="Normal 3 63 9 4" xfId="12537" xr:uid="{00000000-0005-0000-0000-0000172E0000}"/>
    <cellStyle name="Normal 3 63 9 5" xfId="12538" xr:uid="{00000000-0005-0000-0000-0000182E0000}"/>
    <cellStyle name="Normal 3 64" xfId="3064" xr:uid="{00000000-0005-0000-0000-0000192E0000}"/>
    <cellStyle name="Normal 3 64 10" xfId="3065" xr:uid="{00000000-0005-0000-0000-00001A2E0000}"/>
    <cellStyle name="Normal 3 64 10 2" xfId="12539" xr:uid="{00000000-0005-0000-0000-00001B2E0000}"/>
    <cellStyle name="Normal 3 64 10 2 2" xfId="12540" xr:uid="{00000000-0005-0000-0000-00001C2E0000}"/>
    <cellStyle name="Normal 3 64 10 3" xfId="12541" xr:uid="{00000000-0005-0000-0000-00001D2E0000}"/>
    <cellStyle name="Normal 3 64 10 3 2" xfId="12542" xr:uid="{00000000-0005-0000-0000-00001E2E0000}"/>
    <cellStyle name="Normal 3 64 10 4" xfId="12543" xr:uid="{00000000-0005-0000-0000-00001F2E0000}"/>
    <cellStyle name="Normal 3 64 10 5" xfId="12544" xr:uid="{00000000-0005-0000-0000-0000202E0000}"/>
    <cellStyle name="Normal 3 64 11" xfId="3066" xr:uid="{00000000-0005-0000-0000-0000212E0000}"/>
    <cellStyle name="Normal 3 64 11 2" xfId="12545" xr:uid="{00000000-0005-0000-0000-0000222E0000}"/>
    <cellStyle name="Normal 3 64 11 2 2" xfId="12546" xr:uid="{00000000-0005-0000-0000-0000232E0000}"/>
    <cellStyle name="Normal 3 64 11 3" xfId="12547" xr:uid="{00000000-0005-0000-0000-0000242E0000}"/>
    <cellStyle name="Normal 3 64 11 3 2" xfId="12548" xr:uid="{00000000-0005-0000-0000-0000252E0000}"/>
    <cellStyle name="Normal 3 64 11 4" xfId="12549" xr:uid="{00000000-0005-0000-0000-0000262E0000}"/>
    <cellStyle name="Normal 3 64 11 5" xfId="12550" xr:uid="{00000000-0005-0000-0000-0000272E0000}"/>
    <cellStyle name="Normal 3 64 12" xfId="3067" xr:uid="{00000000-0005-0000-0000-0000282E0000}"/>
    <cellStyle name="Normal 3 64 12 2" xfId="12551" xr:uid="{00000000-0005-0000-0000-0000292E0000}"/>
    <cellStyle name="Normal 3 64 12 2 2" xfId="12552" xr:uid="{00000000-0005-0000-0000-00002A2E0000}"/>
    <cellStyle name="Normal 3 64 12 3" xfId="12553" xr:uid="{00000000-0005-0000-0000-00002B2E0000}"/>
    <cellStyle name="Normal 3 64 12 3 2" xfId="12554" xr:uid="{00000000-0005-0000-0000-00002C2E0000}"/>
    <cellStyle name="Normal 3 64 12 4" xfId="12555" xr:uid="{00000000-0005-0000-0000-00002D2E0000}"/>
    <cellStyle name="Normal 3 64 12 5" xfId="12556" xr:uid="{00000000-0005-0000-0000-00002E2E0000}"/>
    <cellStyle name="Normal 3 64 13" xfId="12557" xr:uid="{00000000-0005-0000-0000-00002F2E0000}"/>
    <cellStyle name="Normal 3 64 13 2" xfId="12558" xr:uid="{00000000-0005-0000-0000-0000302E0000}"/>
    <cellStyle name="Normal 3 64 14" xfId="12559" xr:uid="{00000000-0005-0000-0000-0000312E0000}"/>
    <cellStyle name="Normal 3 64 14 2" xfId="12560" xr:uid="{00000000-0005-0000-0000-0000322E0000}"/>
    <cellStyle name="Normal 3 64 15" xfId="12561" xr:uid="{00000000-0005-0000-0000-0000332E0000}"/>
    <cellStyle name="Normal 3 64 16" xfId="12562" xr:uid="{00000000-0005-0000-0000-0000342E0000}"/>
    <cellStyle name="Normal 3 64 2" xfId="3068" xr:uid="{00000000-0005-0000-0000-0000352E0000}"/>
    <cellStyle name="Normal 3 64 2 2" xfId="12563" xr:uid="{00000000-0005-0000-0000-0000362E0000}"/>
    <cellStyle name="Normal 3 64 2 2 2" xfId="12564" xr:uid="{00000000-0005-0000-0000-0000372E0000}"/>
    <cellStyle name="Normal 3 64 2 3" xfId="12565" xr:uid="{00000000-0005-0000-0000-0000382E0000}"/>
    <cellStyle name="Normal 3 64 2 3 2" xfId="12566" xr:uid="{00000000-0005-0000-0000-0000392E0000}"/>
    <cellStyle name="Normal 3 64 2 4" xfId="12567" xr:uid="{00000000-0005-0000-0000-00003A2E0000}"/>
    <cellStyle name="Normal 3 64 2 5" xfId="12568" xr:uid="{00000000-0005-0000-0000-00003B2E0000}"/>
    <cellStyle name="Normal 3 64 3" xfId="3069" xr:uid="{00000000-0005-0000-0000-00003C2E0000}"/>
    <cellStyle name="Normal 3 64 3 2" xfId="12569" xr:uid="{00000000-0005-0000-0000-00003D2E0000}"/>
    <cellStyle name="Normal 3 64 3 2 2" xfId="12570" xr:uid="{00000000-0005-0000-0000-00003E2E0000}"/>
    <cellStyle name="Normal 3 64 3 3" xfId="12571" xr:uid="{00000000-0005-0000-0000-00003F2E0000}"/>
    <cellStyle name="Normal 3 64 3 3 2" xfId="12572" xr:uid="{00000000-0005-0000-0000-0000402E0000}"/>
    <cellStyle name="Normal 3 64 3 4" xfId="12573" xr:uid="{00000000-0005-0000-0000-0000412E0000}"/>
    <cellStyle name="Normal 3 64 3 5" xfId="12574" xr:uid="{00000000-0005-0000-0000-0000422E0000}"/>
    <cellStyle name="Normal 3 64 4" xfId="3070" xr:uid="{00000000-0005-0000-0000-0000432E0000}"/>
    <cellStyle name="Normal 3 64 4 2" xfId="12575" xr:uid="{00000000-0005-0000-0000-0000442E0000}"/>
    <cellStyle name="Normal 3 64 4 2 2" xfId="12576" xr:uid="{00000000-0005-0000-0000-0000452E0000}"/>
    <cellStyle name="Normal 3 64 4 3" xfId="12577" xr:uid="{00000000-0005-0000-0000-0000462E0000}"/>
    <cellStyle name="Normal 3 64 4 3 2" xfId="12578" xr:uid="{00000000-0005-0000-0000-0000472E0000}"/>
    <cellStyle name="Normal 3 64 4 4" xfId="12579" xr:uid="{00000000-0005-0000-0000-0000482E0000}"/>
    <cellStyle name="Normal 3 64 4 5" xfId="12580" xr:uid="{00000000-0005-0000-0000-0000492E0000}"/>
    <cellStyle name="Normal 3 64 5" xfId="3071" xr:uid="{00000000-0005-0000-0000-00004A2E0000}"/>
    <cellStyle name="Normal 3 64 5 2" xfId="12581" xr:uid="{00000000-0005-0000-0000-00004B2E0000}"/>
    <cellStyle name="Normal 3 64 5 2 2" xfId="12582" xr:uid="{00000000-0005-0000-0000-00004C2E0000}"/>
    <cellStyle name="Normal 3 64 5 3" xfId="12583" xr:uid="{00000000-0005-0000-0000-00004D2E0000}"/>
    <cellStyle name="Normal 3 64 5 3 2" xfId="12584" xr:uid="{00000000-0005-0000-0000-00004E2E0000}"/>
    <cellStyle name="Normal 3 64 5 4" xfId="12585" xr:uid="{00000000-0005-0000-0000-00004F2E0000}"/>
    <cellStyle name="Normal 3 64 5 5" xfId="12586" xr:uid="{00000000-0005-0000-0000-0000502E0000}"/>
    <cellStyle name="Normal 3 64 6" xfId="3072" xr:uid="{00000000-0005-0000-0000-0000512E0000}"/>
    <cellStyle name="Normal 3 64 6 2" xfId="12587" xr:uid="{00000000-0005-0000-0000-0000522E0000}"/>
    <cellStyle name="Normal 3 64 6 2 2" xfId="12588" xr:uid="{00000000-0005-0000-0000-0000532E0000}"/>
    <cellStyle name="Normal 3 64 6 3" xfId="12589" xr:uid="{00000000-0005-0000-0000-0000542E0000}"/>
    <cellStyle name="Normal 3 64 6 3 2" xfId="12590" xr:uid="{00000000-0005-0000-0000-0000552E0000}"/>
    <cellStyle name="Normal 3 64 6 4" xfId="12591" xr:uid="{00000000-0005-0000-0000-0000562E0000}"/>
    <cellStyle name="Normal 3 64 6 5" xfId="12592" xr:uid="{00000000-0005-0000-0000-0000572E0000}"/>
    <cellStyle name="Normal 3 64 7" xfId="3073" xr:uid="{00000000-0005-0000-0000-0000582E0000}"/>
    <cellStyle name="Normal 3 64 7 2" xfId="12593" xr:uid="{00000000-0005-0000-0000-0000592E0000}"/>
    <cellStyle name="Normal 3 64 7 2 2" xfId="12594" xr:uid="{00000000-0005-0000-0000-00005A2E0000}"/>
    <cellStyle name="Normal 3 64 7 3" xfId="12595" xr:uid="{00000000-0005-0000-0000-00005B2E0000}"/>
    <cellStyle name="Normal 3 64 7 3 2" xfId="12596" xr:uid="{00000000-0005-0000-0000-00005C2E0000}"/>
    <cellStyle name="Normal 3 64 7 4" xfId="12597" xr:uid="{00000000-0005-0000-0000-00005D2E0000}"/>
    <cellStyle name="Normal 3 64 7 5" xfId="12598" xr:uid="{00000000-0005-0000-0000-00005E2E0000}"/>
    <cellStyle name="Normal 3 64 8" xfId="3074" xr:uid="{00000000-0005-0000-0000-00005F2E0000}"/>
    <cellStyle name="Normal 3 64 8 2" xfId="12599" xr:uid="{00000000-0005-0000-0000-0000602E0000}"/>
    <cellStyle name="Normal 3 64 8 2 2" xfId="12600" xr:uid="{00000000-0005-0000-0000-0000612E0000}"/>
    <cellStyle name="Normal 3 64 8 3" xfId="12601" xr:uid="{00000000-0005-0000-0000-0000622E0000}"/>
    <cellStyle name="Normal 3 64 8 3 2" xfId="12602" xr:uid="{00000000-0005-0000-0000-0000632E0000}"/>
    <cellStyle name="Normal 3 64 8 4" xfId="12603" xr:uid="{00000000-0005-0000-0000-0000642E0000}"/>
    <cellStyle name="Normal 3 64 8 5" xfId="12604" xr:uid="{00000000-0005-0000-0000-0000652E0000}"/>
    <cellStyle name="Normal 3 64 9" xfId="3075" xr:uid="{00000000-0005-0000-0000-0000662E0000}"/>
    <cellStyle name="Normal 3 64 9 2" xfId="12605" xr:uid="{00000000-0005-0000-0000-0000672E0000}"/>
    <cellStyle name="Normal 3 64 9 2 2" xfId="12606" xr:uid="{00000000-0005-0000-0000-0000682E0000}"/>
    <cellStyle name="Normal 3 64 9 3" xfId="12607" xr:uid="{00000000-0005-0000-0000-0000692E0000}"/>
    <cellStyle name="Normal 3 64 9 3 2" xfId="12608" xr:uid="{00000000-0005-0000-0000-00006A2E0000}"/>
    <cellStyle name="Normal 3 64 9 4" xfId="12609" xr:uid="{00000000-0005-0000-0000-00006B2E0000}"/>
    <cellStyle name="Normal 3 64 9 5" xfId="12610" xr:uid="{00000000-0005-0000-0000-00006C2E0000}"/>
    <cellStyle name="Normal 3 65" xfId="3076" xr:uid="{00000000-0005-0000-0000-00006D2E0000}"/>
    <cellStyle name="Normal 3 65 10" xfId="3077" xr:uid="{00000000-0005-0000-0000-00006E2E0000}"/>
    <cellStyle name="Normal 3 65 11" xfId="3078" xr:uid="{00000000-0005-0000-0000-00006F2E0000}"/>
    <cellStyle name="Normal 3 65 12" xfId="3079" xr:uid="{00000000-0005-0000-0000-0000702E0000}"/>
    <cellStyle name="Normal 3 65 13" xfId="12611" xr:uid="{00000000-0005-0000-0000-0000712E0000}"/>
    <cellStyle name="Normal 3 65 13 2" xfId="12612" xr:uid="{00000000-0005-0000-0000-0000722E0000}"/>
    <cellStyle name="Normal 3 65 14" xfId="12613" xr:uid="{00000000-0005-0000-0000-0000732E0000}"/>
    <cellStyle name="Normal 3 65 14 2" xfId="12614" xr:uid="{00000000-0005-0000-0000-0000742E0000}"/>
    <cellStyle name="Normal 3 65 15" xfId="12615" xr:uid="{00000000-0005-0000-0000-0000752E0000}"/>
    <cellStyle name="Normal 3 65 16" xfId="12616" xr:uid="{00000000-0005-0000-0000-0000762E0000}"/>
    <cellStyle name="Normal 3 65 2" xfId="3080" xr:uid="{00000000-0005-0000-0000-0000772E0000}"/>
    <cellStyle name="Normal 3 65 3" xfId="3081" xr:uid="{00000000-0005-0000-0000-0000782E0000}"/>
    <cellStyle name="Normal 3 65 4" xfId="3082" xr:uid="{00000000-0005-0000-0000-0000792E0000}"/>
    <cellStyle name="Normal 3 65 5" xfId="3083" xr:uid="{00000000-0005-0000-0000-00007A2E0000}"/>
    <cellStyle name="Normal 3 65 6" xfId="3084" xr:uid="{00000000-0005-0000-0000-00007B2E0000}"/>
    <cellStyle name="Normal 3 65 7" xfId="3085" xr:uid="{00000000-0005-0000-0000-00007C2E0000}"/>
    <cellStyle name="Normal 3 65 8" xfId="3086" xr:uid="{00000000-0005-0000-0000-00007D2E0000}"/>
    <cellStyle name="Normal 3 65 9" xfId="3087" xr:uid="{00000000-0005-0000-0000-00007E2E0000}"/>
    <cellStyle name="Normal 3 66" xfId="3088" xr:uid="{00000000-0005-0000-0000-00007F2E0000}"/>
    <cellStyle name="Normal 3 66 10" xfId="12617" xr:uid="{00000000-0005-0000-0000-0000802E0000}"/>
    <cellStyle name="Normal 3 66 10 2" xfId="12618" xr:uid="{00000000-0005-0000-0000-0000812E0000}"/>
    <cellStyle name="Normal 3 66 11" xfId="12619" xr:uid="{00000000-0005-0000-0000-0000822E0000}"/>
    <cellStyle name="Normal 3 66 11 2" xfId="12620" xr:uid="{00000000-0005-0000-0000-0000832E0000}"/>
    <cellStyle name="Normal 3 66 12" xfId="12621" xr:uid="{00000000-0005-0000-0000-0000842E0000}"/>
    <cellStyle name="Normal 3 66 13" xfId="12622" xr:uid="{00000000-0005-0000-0000-0000852E0000}"/>
    <cellStyle name="Normal 3 66 2" xfId="3089" xr:uid="{00000000-0005-0000-0000-0000862E0000}"/>
    <cellStyle name="Normal 3 66 2 2" xfId="12623" xr:uid="{00000000-0005-0000-0000-0000872E0000}"/>
    <cellStyle name="Normal 3 66 2 2 2" xfId="12624" xr:uid="{00000000-0005-0000-0000-0000882E0000}"/>
    <cellStyle name="Normal 3 66 2 3" xfId="12625" xr:uid="{00000000-0005-0000-0000-0000892E0000}"/>
    <cellStyle name="Normal 3 66 2 3 2" xfId="12626" xr:uid="{00000000-0005-0000-0000-00008A2E0000}"/>
    <cellStyle name="Normal 3 66 2 4" xfId="12627" xr:uid="{00000000-0005-0000-0000-00008B2E0000}"/>
    <cellStyle name="Normal 3 66 2 5" xfId="12628" xr:uid="{00000000-0005-0000-0000-00008C2E0000}"/>
    <cellStyle name="Normal 3 66 3" xfId="3090" xr:uid="{00000000-0005-0000-0000-00008D2E0000}"/>
    <cellStyle name="Normal 3 66 3 2" xfId="12629" xr:uid="{00000000-0005-0000-0000-00008E2E0000}"/>
    <cellStyle name="Normal 3 66 3 2 2" xfId="12630" xr:uid="{00000000-0005-0000-0000-00008F2E0000}"/>
    <cellStyle name="Normal 3 66 3 3" xfId="12631" xr:uid="{00000000-0005-0000-0000-0000902E0000}"/>
    <cellStyle name="Normal 3 66 3 3 2" xfId="12632" xr:uid="{00000000-0005-0000-0000-0000912E0000}"/>
    <cellStyle name="Normal 3 66 3 4" xfId="12633" xr:uid="{00000000-0005-0000-0000-0000922E0000}"/>
    <cellStyle name="Normal 3 66 3 5" xfId="12634" xr:uid="{00000000-0005-0000-0000-0000932E0000}"/>
    <cellStyle name="Normal 3 66 4" xfId="3091" xr:uid="{00000000-0005-0000-0000-0000942E0000}"/>
    <cellStyle name="Normal 3 66 4 2" xfId="12635" xr:uid="{00000000-0005-0000-0000-0000952E0000}"/>
    <cellStyle name="Normal 3 66 4 2 2" xfId="12636" xr:uid="{00000000-0005-0000-0000-0000962E0000}"/>
    <cellStyle name="Normal 3 66 4 3" xfId="12637" xr:uid="{00000000-0005-0000-0000-0000972E0000}"/>
    <cellStyle name="Normal 3 66 4 3 2" xfId="12638" xr:uid="{00000000-0005-0000-0000-0000982E0000}"/>
    <cellStyle name="Normal 3 66 4 4" xfId="12639" xr:uid="{00000000-0005-0000-0000-0000992E0000}"/>
    <cellStyle name="Normal 3 66 4 5" xfId="12640" xr:uid="{00000000-0005-0000-0000-00009A2E0000}"/>
    <cellStyle name="Normal 3 66 5" xfId="3092" xr:uid="{00000000-0005-0000-0000-00009B2E0000}"/>
    <cellStyle name="Normal 3 66 5 2" xfId="12641" xr:uid="{00000000-0005-0000-0000-00009C2E0000}"/>
    <cellStyle name="Normal 3 66 5 2 2" xfId="12642" xr:uid="{00000000-0005-0000-0000-00009D2E0000}"/>
    <cellStyle name="Normal 3 66 5 3" xfId="12643" xr:uid="{00000000-0005-0000-0000-00009E2E0000}"/>
    <cellStyle name="Normal 3 66 5 3 2" xfId="12644" xr:uid="{00000000-0005-0000-0000-00009F2E0000}"/>
    <cellStyle name="Normal 3 66 5 4" xfId="12645" xr:uid="{00000000-0005-0000-0000-0000A02E0000}"/>
    <cellStyle name="Normal 3 66 5 5" xfId="12646" xr:uid="{00000000-0005-0000-0000-0000A12E0000}"/>
    <cellStyle name="Normal 3 66 6" xfId="3093" xr:uid="{00000000-0005-0000-0000-0000A22E0000}"/>
    <cellStyle name="Normal 3 66 6 2" xfId="12647" xr:uid="{00000000-0005-0000-0000-0000A32E0000}"/>
    <cellStyle name="Normal 3 66 6 2 2" xfId="12648" xr:uid="{00000000-0005-0000-0000-0000A42E0000}"/>
    <cellStyle name="Normal 3 66 6 3" xfId="12649" xr:uid="{00000000-0005-0000-0000-0000A52E0000}"/>
    <cellStyle name="Normal 3 66 6 3 2" xfId="12650" xr:uid="{00000000-0005-0000-0000-0000A62E0000}"/>
    <cellStyle name="Normal 3 66 6 4" xfId="12651" xr:uid="{00000000-0005-0000-0000-0000A72E0000}"/>
    <cellStyle name="Normal 3 66 6 5" xfId="12652" xr:uid="{00000000-0005-0000-0000-0000A82E0000}"/>
    <cellStyle name="Normal 3 66 7" xfId="3094" xr:uid="{00000000-0005-0000-0000-0000A92E0000}"/>
    <cellStyle name="Normal 3 66 7 2" xfId="12653" xr:uid="{00000000-0005-0000-0000-0000AA2E0000}"/>
    <cellStyle name="Normal 3 66 7 2 2" xfId="12654" xr:uid="{00000000-0005-0000-0000-0000AB2E0000}"/>
    <cellStyle name="Normal 3 66 7 3" xfId="12655" xr:uid="{00000000-0005-0000-0000-0000AC2E0000}"/>
    <cellStyle name="Normal 3 66 7 3 2" xfId="12656" xr:uid="{00000000-0005-0000-0000-0000AD2E0000}"/>
    <cellStyle name="Normal 3 66 7 4" xfId="12657" xr:uid="{00000000-0005-0000-0000-0000AE2E0000}"/>
    <cellStyle name="Normal 3 66 7 5" xfId="12658" xr:uid="{00000000-0005-0000-0000-0000AF2E0000}"/>
    <cellStyle name="Normal 3 66 8" xfId="3095" xr:uid="{00000000-0005-0000-0000-0000B02E0000}"/>
    <cellStyle name="Normal 3 66 8 2" xfId="12659" xr:uid="{00000000-0005-0000-0000-0000B12E0000}"/>
    <cellStyle name="Normal 3 66 8 2 2" xfId="12660" xr:uid="{00000000-0005-0000-0000-0000B22E0000}"/>
    <cellStyle name="Normal 3 66 8 3" xfId="12661" xr:uid="{00000000-0005-0000-0000-0000B32E0000}"/>
    <cellStyle name="Normal 3 66 8 3 2" xfId="12662" xr:uid="{00000000-0005-0000-0000-0000B42E0000}"/>
    <cellStyle name="Normal 3 66 8 4" xfId="12663" xr:uid="{00000000-0005-0000-0000-0000B52E0000}"/>
    <cellStyle name="Normal 3 66 8 5" xfId="12664" xr:uid="{00000000-0005-0000-0000-0000B62E0000}"/>
    <cellStyle name="Normal 3 66 9" xfId="3096" xr:uid="{00000000-0005-0000-0000-0000B72E0000}"/>
    <cellStyle name="Normal 3 66 9 2" xfId="12665" xr:uid="{00000000-0005-0000-0000-0000B82E0000}"/>
    <cellStyle name="Normal 3 66 9 2 2" xfId="12666" xr:uid="{00000000-0005-0000-0000-0000B92E0000}"/>
    <cellStyle name="Normal 3 66 9 3" xfId="12667" xr:uid="{00000000-0005-0000-0000-0000BA2E0000}"/>
    <cellStyle name="Normal 3 66 9 3 2" xfId="12668" xr:uid="{00000000-0005-0000-0000-0000BB2E0000}"/>
    <cellStyle name="Normal 3 66 9 4" xfId="12669" xr:uid="{00000000-0005-0000-0000-0000BC2E0000}"/>
    <cellStyle name="Normal 3 66 9 5" xfId="12670" xr:uid="{00000000-0005-0000-0000-0000BD2E0000}"/>
    <cellStyle name="Normal 3 67" xfId="3097" xr:uid="{00000000-0005-0000-0000-0000BE2E0000}"/>
    <cellStyle name="Normal 3 67 2" xfId="12671" xr:uid="{00000000-0005-0000-0000-0000BF2E0000}"/>
    <cellStyle name="Normal 3 67 2 2" xfId="12672" xr:uid="{00000000-0005-0000-0000-0000C02E0000}"/>
    <cellStyle name="Normal 3 67 3" xfId="12673" xr:uid="{00000000-0005-0000-0000-0000C12E0000}"/>
    <cellStyle name="Normal 3 67 3 2" xfId="12674" xr:uid="{00000000-0005-0000-0000-0000C22E0000}"/>
    <cellStyle name="Normal 3 67 4" xfId="12675" xr:uid="{00000000-0005-0000-0000-0000C32E0000}"/>
    <cellStyle name="Normal 3 67 5" xfId="12676" xr:uid="{00000000-0005-0000-0000-0000C42E0000}"/>
    <cellStyle name="Normal 3 68" xfId="3098" xr:uid="{00000000-0005-0000-0000-0000C52E0000}"/>
    <cellStyle name="Normal 3 68 2" xfId="3099" xr:uid="{00000000-0005-0000-0000-0000C62E0000}"/>
    <cellStyle name="Normal 3 68 2 2" xfId="12677" xr:uid="{00000000-0005-0000-0000-0000C72E0000}"/>
    <cellStyle name="Normal 3 68 2 2 2" xfId="12678" xr:uid="{00000000-0005-0000-0000-0000C82E0000}"/>
    <cellStyle name="Normal 3 68 2 3" xfId="12679" xr:uid="{00000000-0005-0000-0000-0000C92E0000}"/>
    <cellStyle name="Normal 3 68 2 3 2" xfId="12680" xr:uid="{00000000-0005-0000-0000-0000CA2E0000}"/>
    <cellStyle name="Normal 3 68 2 4" xfId="12681" xr:uid="{00000000-0005-0000-0000-0000CB2E0000}"/>
    <cellStyle name="Normal 3 68 2 5" xfId="12682" xr:uid="{00000000-0005-0000-0000-0000CC2E0000}"/>
    <cellStyle name="Normal 3 68 3" xfId="12683" xr:uid="{00000000-0005-0000-0000-0000CD2E0000}"/>
    <cellStyle name="Normal 3 68 3 2" xfId="12684" xr:uid="{00000000-0005-0000-0000-0000CE2E0000}"/>
    <cellStyle name="Normal 3 68 4" xfId="12685" xr:uid="{00000000-0005-0000-0000-0000CF2E0000}"/>
    <cellStyle name="Normal 3 68 4 2" xfId="12686" xr:uid="{00000000-0005-0000-0000-0000D02E0000}"/>
    <cellStyle name="Normal 3 68 5" xfId="12687" xr:uid="{00000000-0005-0000-0000-0000D12E0000}"/>
    <cellStyle name="Normal 3 68 6" xfId="12688" xr:uid="{00000000-0005-0000-0000-0000D22E0000}"/>
    <cellStyle name="Normal 3 69" xfId="3100" xr:uid="{00000000-0005-0000-0000-0000D32E0000}"/>
    <cellStyle name="Normal 3 69 2" xfId="3101" xr:uid="{00000000-0005-0000-0000-0000D42E0000}"/>
    <cellStyle name="Normal 3 69 2 2" xfId="12689" xr:uid="{00000000-0005-0000-0000-0000D52E0000}"/>
    <cellStyle name="Normal 3 69 2 2 2" xfId="12690" xr:uid="{00000000-0005-0000-0000-0000D62E0000}"/>
    <cellStyle name="Normal 3 69 2 3" xfId="12691" xr:uid="{00000000-0005-0000-0000-0000D72E0000}"/>
    <cellStyle name="Normal 3 69 2 3 2" xfId="12692" xr:uid="{00000000-0005-0000-0000-0000D82E0000}"/>
    <cellStyle name="Normal 3 69 2 4" xfId="12693" xr:uid="{00000000-0005-0000-0000-0000D92E0000}"/>
    <cellStyle name="Normal 3 69 2 5" xfId="12694" xr:uid="{00000000-0005-0000-0000-0000DA2E0000}"/>
    <cellStyle name="Normal 3 69 3" xfId="12695" xr:uid="{00000000-0005-0000-0000-0000DB2E0000}"/>
    <cellStyle name="Normal 3 69 3 2" xfId="12696" xr:uid="{00000000-0005-0000-0000-0000DC2E0000}"/>
    <cellStyle name="Normal 3 69 4" xfId="12697" xr:uid="{00000000-0005-0000-0000-0000DD2E0000}"/>
    <cellStyle name="Normal 3 69 4 2" xfId="12698" xr:uid="{00000000-0005-0000-0000-0000DE2E0000}"/>
    <cellStyle name="Normal 3 69 5" xfId="12699" xr:uid="{00000000-0005-0000-0000-0000DF2E0000}"/>
    <cellStyle name="Normal 3 69 6" xfId="12700" xr:uid="{00000000-0005-0000-0000-0000E02E0000}"/>
    <cellStyle name="Normal 3 7" xfId="3102" xr:uid="{00000000-0005-0000-0000-0000E12E0000}"/>
    <cellStyle name="Normal 3 7 10" xfId="3103" xr:uid="{00000000-0005-0000-0000-0000E22E0000}"/>
    <cellStyle name="Normal 3 7 10 2" xfId="12701" xr:uid="{00000000-0005-0000-0000-0000E32E0000}"/>
    <cellStyle name="Normal 3 7 10 2 2" xfId="12702" xr:uid="{00000000-0005-0000-0000-0000E42E0000}"/>
    <cellStyle name="Normal 3 7 10 3" xfId="12703" xr:uid="{00000000-0005-0000-0000-0000E52E0000}"/>
    <cellStyle name="Normal 3 7 10 3 2" xfId="12704" xr:uid="{00000000-0005-0000-0000-0000E62E0000}"/>
    <cellStyle name="Normal 3 7 10 4" xfId="12705" xr:uid="{00000000-0005-0000-0000-0000E72E0000}"/>
    <cellStyle name="Normal 3 7 10 5" xfId="12706" xr:uid="{00000000-0005-0000-0000-0000E82E0000}"/>
    <cellStyle name="Normal 3 7 11" xfId="3104" xr:uid="{00000000-0005-0000-0000-0000E92E0000}"/>
    <cellStyle name="Normal 3 7 11 2" xfId="12707" xr:uid="{00000000-0005-0000-0000-0000EA2E0000}"/>
    <cellStyle name="Normal 3 7 11 2 2" xfId="12708" xr:uid="{00000000-0005-0000-0000-0000EB2E0000}"/>
    <cellStyle name="Normal 3 7 11 3" xfId="12709" xr:uid="{00000000-0005-0000-0000-0000EC2E0000}"/>
    <cellStyle name="Normal 3 7 11 3 2" xfId="12710" xr:uid="{00000000-0005-0000-0000-0000ED2E0000}"/>
    <cellStyle name="Normal 3 7 11 4" xfId="12711" xr:uid="{00000000-0005-0000-0000-0000EE2E0000}"/>
    <cellStyle name="Normal 3 7 11 5" xfId="12712" xr:uid="{00000000-0005-0000-0000-0000EF2E0000}"/>
    <cellStyle name="Normal 3 7 12" xfId="3105" xr:uid="{00000000-0005-0000-0000-0000F02E0000}"/>
    <cellStyle name="Normal 3 7 12 2" xfId="12713" xr:uid="{00000000-0005-0000-0000-0000F12E0000}"/>
    <cellStyle name="Normal 3 7 12 2 2" xfId="12714" xr:uid="{00000000-0005-0000-0000-0000F22E0000}"/>
    <cellStyle name="Normal 3 7 12 3" xfId="12715" xr:uid="{00000000-0005-0000-0000-0000F32E0000}"/>
    <cellStyle name="Normal 3 7 12 3 2" xfId="12716" xr:uid="{00000000-0005-0000-0000-0000F42E0000}"/>
    <cellStyle name="Normal 3 7 12 4" xfId="12717" xr:uid="{00000000-0005-0000-0000-0000F52E0000}"/>
    <cellStyle name="Normal 3 7 12 5" xfId="12718" xr:uid="{00000000-0005-0000-0000-0000F62E0000}"/>
    <cellStyle name="Normal 3 7 13" xfId="3106" xr:uid="{00000000-0005-0000-0000-0000F72E0000}"/>
    <cellStyle name="Normal 3 7 13 2" xfId="12719" xr:uid="{00000000-0005-0000-0000-0000F82E0000}"/>
    <cellStyle name="Normal 3 7 13 2 2" xfId="12720" xr:uid="{00000000-0005-0000-0000-0000F92E0000}"/>
    <cellStyle name="Normal 3 7 13 3" xfId="12721" xr:uid="{00000000-0005-0000-0000-0000FA2E0000}"/>
    <cellStyle name="Normal 3 7 13 3 2" xfId="12722" xr:uid="{00000000-0005-0000-0000-0000FB2E0000}"/>
    <cellStyle name="Normal 3 7 13 4" xfId="12723" xr:uid="{00000000-0005-0000-0000-0000FC2E0000}"/>
    <cellStyle name="Normal 3 7 13 5" xfId="12724" xr:uid="{00000000-0005-0000-0000-0000FD2E0000}"/>
    <cellStyle name="Normal 3 7 14" xfId="12725" xr:uid="{00000000-0005-0000-0000-0000FE2E0000}"/>
    <cellStyle name="Normal 3 7 14 2" xfId="12726" xr:uid="{00000000-0005-0000-0000-0000FF2E0000}"/>
    <cellStyle name="Normal 3 7 15" xfId="12727" xr:uid="{00000000-0005-0000-0000-0000002F0000}"/>
    <cellStyle name="Normal 3 7 15 2" xfId="12728" xr:uid="{00000000-0005-0000-0000-0000012F0000}"/>
    <cellStyle name="Normal 3 7 16" xfId="12729" xr:uid="{00000000-0005-0000-0000-0000022F0000}"/>
    <cellStyle name="Normal 3 7 17" xfId="12730" xr:uid="{00000000-0005-0000-0000-0000032F0000}"/>
    <cellStyle name="Normal 3 7 2" xfId="3107" xr:uid="{00000000-0005-0000-0000-0000042F0000}"/>
    <cellStyle name="Normal 3 7 2 10" xfId="3108" xr:uid="{00000000-0005-0000-0000-0000052F0000}"/>
    <cellStyle name="Normal 3 7 2 10 2" xfId="12731" xr:uid="{00000000-0005-0000-0000-0000062F0000}"/>
    <cellStyle name="Normal 3 7 2 10 2 2" xfId="12732" xr:uid="{00000000-0005-0000-0000-0000072F0000}"/>
    <cellStyle name="Normal 3 7 2 10 3" xfId="12733" xr:uid="{00000000-0005-0000-0000-0000082F0000}"/>
    <cellStyle name="Normal 3 7 2 10 3 2" xfId="12734" xr:uid="{00000000-0005-0000-0000-0000092F0000}"/>
    <cellStyle name="Normal 3 7 2 10 4" xfId="12735" xr:uid="{00000000-0005-0000-0000-00000A2F0000}"/>
    <cellStyle name="Normal 3 7 2 10 5" xfId="12736" xr:uid="{00000000-0005-0000-0000-00000B2F0000}"/>
    <cellStyle name="Normal 3 7 2 11" xfId="3109" xr:uid="{00000000-0005-0000-0000-00000C2F0000}"/>
    <cellStyle name="Normal 3 7 2 11 2" xfId="12737" xr:uid="{00000000-0005-0000-0000-00000D2F0000}"/>
    <cellStyle name="Normal 3 7 2 11 2 2" xfId="12738" xr:uid="{00000000-0005-0000-0000-00000E2F0000}"/>
    <cellStyle name="Normal 3 7 2 11 3" xfId="12739" xr:uid="{00000000-0005-0000-0000-00000F2F0000}"/>
    <cellStyle name="Normal 3 7 2 11 3 2" xfId="12740" xr:uid="{00000000-0005-0000-0000-0000102F0000}"/>
    <cellStyle name="Normal 3 7 2 11 4" xfId="12741" xr:uid="{00000000-0005-0000-0000-0000112F0000}"/>
    <cellStyle name="Normal 3 7 2 11 5" xfId="12742" xr:uid="{00000000-0005-0000-0000-0000122F0000}"/>
    <cellStyle name="Normal 3 7 2 12" xfId="3110" xr:uid="{00000000-0005-0000-0000-0000132F0000}"/>
    <cellStyle name="Normal 3 7 2 12 2" xfId="12743" xr:uid="{00000000-0005-0000-0000-0000142F0000}"/>
    <cellStyle name="Normal 3 7 2 12 2 2" xfId="12744" xr:uid="{00000000-0005-0000-0000-0000152F0000}"/>
    <cellStyle name="Normal 3 7 2 12 3" xfId="12745" xr:uid="{00000000-0005-0000-0000-0000162F0000}"/>
    <cellStyle name="Normal 3 7 2 12 3 2" xfId="12746" xr:uid="{00000000-0005-0000-0000-0000172F0000}"/>
    <cellStyle name="Normal 3 7 2 12 4" xfId="12747" xr:uid="{00000000-0005-0000-0000-0000182F0000}"/>
    <cellStyle name="Normal 3 7 2 12 5" xfId="12748" xr:uid="{00000000-0005-0000-0000-0000192F0000}"/>
    <cellStyle name="Normal 3 7 2 13" xfId="12749" xr:uid="{00000000-0005-0000-0000-00001A2F0000}"/>
    <cellStyle name="Normal 3 7 2 13 2" xfId="12750" xr:uid="{00000000-0005-0000-0000-00001B2F0000}"/>
    <cellStyle name="Normal 3 7 2 14" xfId="12751" xr:uid="{00000000-0005-0000-0000-00001C2F0000}"/>
    <cellStyle name="Normal 3 7 2 14 2" xfId="12752" xr:uid="{00000000-0005-0000-0000-00001D2F0000}"/>
    <cellStyle name="Normal 3 7 2 15" xfId="12753" xr:uid="{00000000-0005-0000-0000-00001E2F0000}"/>
    <cellStyle name="Normal 3 7 2 16" xfId="12754" xr:uid="{00000000-0005-0000-0000-00001F2F0000}"/>
    <cellStyle name="Normal 3 7 2 2" xfId="3111" xr:uid="{00000000-0005-0000-0000-0000202F0000}"/>
    <cellStyle name="Normal 3 7 2 2 2" xfId="12755" xr:uid="{00000000-0005-0000-0000-0000212F0000}"/>
    <cellStyle name="Normal 3 7 2 2 2 2" xfId="12756" xr:uid="{00000000-0005-0000-0000-0000222F0000}"/>
    <cellStyle name="Normal 3 7 2 2 3" xfId="12757" xr:uid="{00000000-0005-0000-0000-0000232F0000}"/>
    <cellStyle name="Normal 3 7 2 2 3 2" xfId="12758" xr:uid="{00000000-0005-0000-0000-0000242F0000}"/>
    <cellStyle name="Normal 3 7 2 2 4" xfId="12759" xr:uid="{00000000-0005-0000-0000-0000252F0000}"/>
    <cellStyle name="Normal 3 7 2 2 5" xfId="12760" xr:uid="{00000000-0005-0000-0000-0000262F0000}"/>
    <cellStyle name="Normal 3 7 2 3" xfId="3112" xr:uid="{00000000-0005-0000-0000-0000272F0000}"/>
    <cellStyle name="Normal 3 7 2 3 2" xfId="12761" xr:uid="{00000000-0005-0000-0000-0000282F0000}"/>
    <cellStyle name="Normal 3 7 2 3 2 2" xfId="12762" xr:uid="{00000000-0005-0000-0000-0000292F0000}"/>
    <cellStyle name="Normal 3 7 2 3 3" xfId="12763" xr:uid="{00000000-0005-0000-0000-00002A2F0000}"/>
    <cellStyle name="Normal 3 7 2 3 3 2" xfId="12764" xr:uid="{00000000-0005-0000-0000-00002B2F0000}"/>
    <cellStyle name="Normal 3 7 2 3 4" xfId="12765" xr:uid="{00000000-0005-0000-0000-00002C2F0000}"/>
    <cellStyle name="Normal 3 7 2 3 5" xfId="12766" xr:uid="{00000000-0005-0000-0000-00002D2F0000}"/>
    <cellStyle name="Normal 3 7 2 4" xfId="3113" xr:uid="{00000000-0005-0000-0000-00002E2F0000}"/>
    <cellStyle name="Normal 3 7 2 4 2" xfId="12767" xr:uid="{00000000-0005-0000-0000-00002F2F0000}"/>
    <cellStyle name="Normal 3 7 2 4 2 2" xfId="12768" xr:uid="{00000000-0005-0000-0000-0000302F0000}"/>
    <cellStyle name="Normal 3 7 2 4 3" xfId="12769" xr:uid="{00000000-0005-0000-0000-0000312F0000}"/>
    <cellStyle name="Normal 3 7 2 4 3 2" xfId="12770" xr:uid="{00000000-0005-0000-0000-0000322F0000}"/>
    <cellStyle name="Normal 3 7 2 4 4" xfId="12771" xr:uid="{00000000-0005-0000-0000-0000332F0000}"/>
    <cellStyle name="Normal 3 7 2 4 5" xfId="12772" xr:uid="{00000000-0005-0000-0000-0000342F0000}"/>
    <cellStyle name="Normal 3 7 2 5" xfId="3114" xr:uid="{00000000-0005-0000-0000-0000352F0000}"/>
    <cellStyle name="Normal 3 7 2 5 2" xfId="12773" xr:uid="{00000000-0005-0000-0000-0000362F0000}"/>
    <cellStyle name="Normal 3 7 2 5 2 2" xfId="12774" xr:uid="{00000000-0005-0000-0000-0000372F0000}"/>
    <cellStyle name="Normal 3 7 2 5 3" xfId="12775" xr:uid="{00000000-0005-0000-0000-0000382F0000}"/>
    <cellStyle name="Normal 3 7 2 5 3 2" xfId="12776" xr:uid="{00000000-0005-0000-0000-0000392F0000}"/>
    <cellStyle name="Normal 3 7 2 5 4" xfId="12777" xr:uid="{00000000-0005-0000-0000-00003A2F0000}"/>
    <cellStyle name="Normal 3 7 2 5 5" xfId="12778" xr:uid="{00000000-0005-0000-0000-00003B2F0000}"/>
    <cellStyle name="Normal 3 7 2 6" xfId="3115" xr:uid="{00000000-0005-0000-0000-00003C2F0000}"/>
    <cellStyle name="Normal 3 7 2 6 2" xfId="12779" xr:uid="{00000000-0005-0000-0000-00003D2F0000}"/>
    <cellStyle name="Normal 3 7 2 6 2 2" xfId="12780" xr:uid="{00000000-0005-0000-0000-00003E2F0000}"/>
    <cellStyle name="Normal 3 7 2 6 3" xfId="12781" xr:uid="{00000000-0005-0000-0000-00003F2F0000}"/>
    <cellStyle name="Normal 3 7 2 6 3 2" xfId="12782" xr:uid="{00000000-0005-0000-0000-0000402F0000}"/>
    <cellStyle name="Normal 3 7 2 6 4" xfId="12783" xr:uid="{00000000-0005-0000-0000-0000412F0000}"/>
    <cellStyle name="Normal 3 7 2 6 5" xfId="12784" xr:uid="{00000000-0005-0000-0000-0000422F0000}"/>
    <cellStyle name="Normal 3 7 2 7" xfId="3116" xr:uid="{00000000-0005-0000-0000-0000432F0000}"/>
    <cellStyle name="Normal 3 7 2 7 2" xfId="12785" xr:uid="{00000000-0005-0000-0000-0000442F0000}"/>
    <cellStyle name="Normal 3 7 2 7 2 2" xfId="12786" xr:uid="{00000000-0005-0000-0000-0000452F0000}"/>
    <cellStyle name="Normal 3 7 2 7 3" xfId="12787" xr:uid="{00000000-0005-0000-0000-0000462F0000}"/>
    <cellStyle name="Normal 3 7 2 7 3 2" xfId="12788" xr:uid="{00000000-0005-0000-0000-0000472F0000}"/>
    <cellStyle name="Normal 3 7 2 7 4" xfId="12789" xr:uid="{00000000-0005-0000-0000-0000482F0000}"/>
    <cellStyle name="Normal 3 7 2 7 5" xfId="12790" xr:uid="{00000000-0005-0000-0000-0000492F0000}"/>
    <cellStyle name="Normal 3 7 2 8" xfId="3117" xr:uid="{00000000-0005-0000-0000-00004A2F0000}"/>
    <cellStyle name="Normal 3 7 2 8 2" xfId="12791" xr:uid="{00000000-0005-0000-0000-00004B2F0000}"/>
    <cellStyle name="Normal 3 7 2 8 2 2" xfId="12792" xr:uid="{00000000-0005-0000-0000-00004C2F0000}"/>
    <cellStyle name="Normal 3 7 2 8 3" xfId="12793" xr:uid="{00000000-0005-0000-0000-00004D2F0000}"/>
    <cellStyle name="Normal 3 7 2 8 3 2" xfId="12794" xr:uid="{00000000-0005-0000-0000-00004E2F0000}"/>
    <cellStyle name="Normal 3 7 2 8 4" xfId="12795" xr:uid="{00000000-0005-0000-0000-00004F2F0000}"/>
    <cellStyle name="Normal 3 7 2 8 5" xfId="12796" xr:uid="{00000000-0005-0000-0000-0000502F0000}"/>
    <cellStyle name="Normal 3 7 2 9" xfId="3118" xr:uid="{00000000-0005-0000-0000-0000512F0000}"/>
    <cellStyle name="Normal 3 7 2 9 2" xfId="12797" xr:uid="{00000000-0005-0000-0000-0000522F0000}"/>
    <cellStyle name="Normal 3 7 2 9 2 2" xfId="12798" xr:uid="{00000000-0005-0000-0000-0000532F0000}"/>
    <cellStyle name="Normal 3 7 2 9 3" xfId="12799" xr:uid="{00000000-0005-0000-0000-0000542F0000}"/>
    <cellStyle name="Normal 3 7 2 9 3 2" xfId="12800" xr:uid="{00000000-0005-0000-0000-0000552F0000}"/>
    <cellStyle name="Normal 3 7 2 9 4" xfId="12801" xr:uid="{00000000-0005-0000-0000-0000562F0000}"/>
    <cellStyle name="Normal 3 7 2 9 5" xfId="12802" xr:uid="{00000000-0005-0000-0000-0000572F0000}"/>
    <cellStyle name="Normal 3 7 3" xfId="3119" xr:uid="{00000000-0005-0000-0000-0000582F0000}"/>
    <cellStyle name="Normal 3 7 3 2" xfId="12803" xr:uid="{00000000-0005-0000-0000-0000592F0000}"/>
    <cellStyle name="Normal 3 7 3 2 2" xfId="12804" xr:uid="{00000000-0005-0000-0000-00005A2F0000}"/>
    <cellStyle name="Normal 3 7 3 3" xfId="12805" xr:uid="{00000000-0005-0000-0000-00005B2F0000}"/>
    <cellStyle name="Normal 3 7 3 3 2" xfId="12806" xr:uid="{00000000-0005-0000-0000-00005C2F0000}"/>
    <cellStyle name="Normal 3 7 3 4" xfId="12807" xr:uid="{00000000-0005-0000-0000-00005D2F0000}"/>
    <cellStyle name="Normal 3 7 3 5" xfId="12808" xr:uid="{00000000-0005-0000-0000-00005E2F0000}"/>
    <cellStyle name="Normal 3 7 4" xfId="3120" xr:uid="{00000000-0005-0000-0000-00005F2F0000}"/>
    <cellStyle name="Normal 3 7 4 2" xfId="12809" xr:uid="{00000000-0005-0000-0000-0000602F0000}"/>
    <cellStyle name="Normal 3 7 4 2 2" xfId="12810" xr:uid="{00000000-0005-0000-0000-0000612F0000}"/>
    <cellStyle name="Normal 3 7 4 3" xfId="12811" xr:uid="{00000000-0005-0000-0000-0000622F0000}"/>
    <cellStyle name="Normal 3 7 4 3 2" xfId="12812" xr:uid="{00000000-0005-0000-0000-0000632F0000}"/>
    <cellStyle name="Normal 3 7 4 4" xfId="12813" xr:uid="{00000000-0005-0000-0000-0000642F0000}"/>
    <cellStyle name="Normal 3 7 4 5" xfId="12814" xr:uid="{00000000-0005-0000-0000-0000652F0000}"/>
    <cellStyle name="Normal 3 7 5" xfId="3121" xr:uid="{00000000-0005-0000-0000-0000662F0000}"/>
    <cellStyle name="Normal 3 7 5 2" xfId="12815" xr:uid="{00000000-0005-0000-0000-0000672F0000}"/>
    <cellStyle name="Normal 3 7 5 2 2" xfId="12816" xr:uid="{00000000-0005-0000-0000-0000682F0000}"/>
    <cellStyle name="Normal 3 7 5 3" xfId="12817" xr:uid="{00000000-0005-0000-0000-0000692F0000}"/>
    <cellStyle name="Normal 3 7 5 3 2" xfId="12818" xr:uid="{00000000-0005-0000-0000-00006A2F0000}"/>
    <cellStyle name="Normal 3 7 5 4" xfId="12819" xr:uid="{00000000-0005-0000-0000-00006B2F0000}"/>
    <cellStyle name="Normal 3 7 5 5" xfId="12820" xr:uid="{00000000-0005-0000-0000-00006C2F0000}"/>
    <cellStyle name="Normal 3 7 6" xfId="3122" xr:uid="{00000000-0005-0000-0000-00006D2F0000}"/>
    <cellStyle name="Normal 3 7 6 2" xfId="12821" xr:uid="{00000000-0005-0000-0000-00006E2F0000}"/>
    <cellStyle name="Normal 3 7 6 2 2" xfId="12822" xr:uid="{00000000-0005-0000-0000-00006F2F0000}"/>
    <cellStyle name="Normal 3 7 6 3" xfId="12823" xr:uid="{00000000-0005-0000-0000-0000702F0000}"/>
    <cellStyle name="Normal 3 7 6 3 2" xfId="12824" xr:uid="{00000000-0005-0000-0000-0000712F0000}"/>
    <cellStyle name="Normal 3 7 6 4" xfId="12825" xr:uid="{00000000-0005-0000-0000-0000722F0000}"/>
    <cellStyle name="Normal 3 7 6 5" xfId="12826" xr:uid="{00000000-0005-0000-0000-0000732F0000}"/>
    <cellStyle name="Normal 3 7 7" xfId="3123" xr:uid="{00000000-0005-0000-0000-0000742F0000}"/>
    <cellStyle name="Normal 3 7 7 2" xfId="12827" xr:uid="{00000000-0005-0000-0000-0000752F0000}"/>
    <cellStyle name="Normal 3 7 7 2 2" xfId="12828" xr:uid="{00000000-0005-0000-0000-0000762F0000}"/>
    <cellStyle name="Normal 3 7 7 3" xfId="12829" xr:uid="{00000000-0005-0000-0000-0000772F0000}"/>
    <cellStyle name="Normal 3 7 7 3 2" xfId="12830" xr:uid="{00000000-0005-0000-0000-0000782F0000}"/>
    <cellStyle name="Normal 3 7 7 4" xfId="12831" xr:uid="{00000000-0005-0000-0000-0000792F0000}"/>
    <cellStyle name="Normal 3 7 7 5" xfId="12832" xr:uid="{00000000-0005-0000-0000-00007A2F0000}"/>
    <cellStyle name="Normal 3 7 8" xfId="3124" xr:uid="{00000000-0005-0000-0000-00007B2F0000}"/>
    <cellStyle name="Normal 3 7 8 2" xfId="12833" xr:uid="{00000000-0005-0000-0000-00007C2F0000}"/>
    <cellStyle name="Normal 3 7 8 2 2" xfId="12834" xr:uid="{00000000-0005-0000-0000-00007D2F0000}"/>
    <cellStyle name="Normal 3 7 8 3" xfId="12835" xr:uid="{00000000-0005-0000-0000-00007E2F0000}"/>
    <cellStyle name="Normal 3 7 8 3 2" xfId="12836" xr:uid="{00000000-0005-0000-0000-00007F2F0000}"/>
    <cellStyle name="Normal 3 7 8 4" xfId="12837" xr:uid="{00000000-0005-0000-0000-0000802F0000}"/>
    <cellStyle name="Normal 3 7 8 5" xfId="12838" xr:uid="{00000000-0005-0000-0000-0000812F0000}"/>
    <cellStyle name="Normal 3 7 9" xfId="3125" xr:uid="{00000000-0005-0000-0000-0000822F0000}"/>
    <cellStyle name="Normal 3 7 9 2" xfId="12839" xr:uid="{00000000-0005-0000-0000-0000832F0000}"/>
    <cellStyle name="Normal 3 7 9 2 2" xfId="12840" xr:uid="{00000000-0005-0000-0000-0000842F0000}"/>
    <cellStyle name="Normal 3 7 9 3" xfId="12841" xr:uid="{00000000-0005-0000-0000-0000852F0000}"/>
    <cellStyle name="Normal 3 7 9 3 2" xfId="12842" xr:uid="{00000000-0005-0000-0000-0000862F0000}"/>
    <cellStyle name="Normal 3 7 9 4" xfId="12843" xr:uid="{00000000-0005-0000-0000-0000872F0000}"/>
    <cellStyle name="Normal 3 7 9 5" xfId="12844" xr:uid="{00000000-0005-0000-0000-0000882F0000}"/>
    <cellStyle name="Normal 3 70" xfId="3126" xr:uid="{00000000-0005-0000-0000-0000892F0000}"/>
    <cellStyle name="Normal 3 70 2" xfId="3127" xr:uid="{00000000-0005-0000-0000-00008A2F0000}"/>
    <cellStyle name="Normal 3 70 2 2" xfId="12845" xr:uid="{00000000-0005-0000-0000-00008B2F0000}"/>
    <cellStyle name="Normal 3 70 2 2 2" xfId="12846" xr:uid="{00000000-0005-0000-0000-00008C2F0000}"/>
    <cellStyle name="Normal 3 70 2 3" xfId="12847" xr:uid="{00000000-0005-0000-0000-00008D2F0000}"/>
    <cellStyle name="Normal 3 70 2 3 2" xfId="12848" xr:uid="{00000000-0005-0000-0000-00008E2F0000}"/>
    <cellStyle name="Normal 3 70 2 4" xfId="12849" xr:uid="{00000000-0005-0000-0000-00008F2F0000}"/>
    <cellStyle name="Normal 3 70 2 5" xfId="12850" xr:uid="{00000000-0005-0000-0000-0000902F0000}"/>
    <cellStyle name="Normal 3 70 3" xfId="12851" xr:uid="{00000000-0005-0000-0000-0000912F0000}"/>
    <cellStyle name="Normal 3 70 3 2" xfId="12852" xr:uid="{00000000-0005-0000-0000-0000922F0000}"/>
    <cellStyle name="Normal 3 70 4" xfId="12853" xr:uid="{00000000-0005-0000-0000-0000932F0000}"/>
    <cellStyle name="Normal 3 70 4 2" xfId="12854" xr:uid="{00000000-0005-0000-0000-0000942F0000}"/>
    <cellStyle name="Normal 3 70 5" xfId="12855" xr:uid="{00000000-0005-0000-0000-0000952F0000}"/>
    <cellStyle name="Normal 3 70 6" xfId="12856" xr:uid="{00000000-0005-0000-0000-0000962F0000}"/>
    <cellStyle name="Normal 3 71" xfId="3128" xr:uid="{00000000-0005-0000-0000-0000972F0000}"/>
    <cellStyle name="Normal 3 71 2" xfId="3129" xr:uid="{00000000-0005-0000-0000-0000982F0000}"/>
    <cellStyle name="Normal 3 71 2 2" xfId="12857" xr:uid="{00000000-0005-0000-0000-0000992F0000}"/>
    <cellStyle name="Normal 3 71 2 2 2" xfId="12858" xr:uid="{00000000-0005-0000-0000-00009A2F0000}"/>
    <cellStyle name="Normal 3 71 2 3" xfId="12859" xr:uid="{00000000-0005-0000-0000-00009B2F0000}"/>
    <cellStyle name="Normal 3 71 2 3 2" xfId="12860" xr:uid="{00000000-0005-0000-0000-00009C2F0000}"/>
    <cellStyle name="Normal 3 71 2 4" xfId="12861" xr:uid="{00000000-0005-0000-0000-00009D2F0000}"/>
    <cellStyle name="Normal 3 71 2 5" xfId="12862" xr:uid="{00000000-0005-0000-0000-00009E2F0000}"/>
    <cellStyle name="Normal 3 71 3" xfId="12863" xr:uid="{00000000-0005-0000-0000-00009F2F0000}"/>
    <cellStyle name="Normal 3 71 3 2" xfId="12864" xr:uid="{00000000-0005-0000-0000-0000A02F0000}"/>
    <cellStyle name="Normal 3 71 4" xfId="12865" xr:uid="{00000000-0005-0000-0000-0000A12F0000}"/>
    <cellStyle name="Normal 3 71 4 2" xfId="12866" xr:uid="{00000000-0005-0000-0000-0000A22F0000}"/>
    <cellStyle name="Normal 3 71 5" xfId="12867" xr:uid="{00000000-0005-0000-0000-0000A32F0000}"/>
    <cellStyle name="Normal 3 71 6" xfId="12868" xr:uid="{00000000-0005-0000-0000-0000A42F0000}"/>
    <cellStyle name="Normal 3 72" xfId="3130" xr:uid="{00000000-0005-0000-0000-0000A52F0000}"/>
    <cellStyle name="Normal 3 72 2" xfId="3131" xr:uid="{00000000-0005-0000-0000-0000A62F0000}"/>
    <cellStyle name="Normal 3 72 2 2" xfId="12869" xr:uid="{00000000-0005-0000-0000-0000A72F0000}"/>
    <cellStyle name="Normal 3 72 2 2 2" xfId="12870" xr:uid="{00000000-0005-0000-0000-0000A82F0000}"/>
    <cellStyle name="Normal 3 72 2 3" xfId="12871" xr:uid="{00000000-0005-0000-0000-0000A92F0000}"/>
    <cellStyle name="Normal 3 72 2 3 2" xfId="12872" xr:uid="{00000000-0005-0000-0000-0000AA2F0000}"/>
    <cellStyle name="Normal 3 72 2 4" xfId="12873" xr:uid="{00000000-0005-0000-0000-0000AB2F0000}"/>
    <cellStyle name="Normal 3 72 2 5" xfId="12874" xr:uid="{00000000-0005-0000-0000-0000AC2F0000}"/>
    <cellStyle name="Normal 3 72 3" xfId="12875" xr:uid="{00000000-0005-0000-0000-0000AD2F0000}"/>
    <cellStyle name="Normal 3 72 3 2" xfId="12876" xr:uid="{00000000-0005-0000-0000-0000AE2F0000}"/>
    <cellStyle name="Normal 3 72 4" xfId="12877" xr:uid="{00000000-0005-0000-0000-0000AF2F0000}"/>
    <cellStyle name="Normal 3 72 4 2" xfId="12878" xr:uid="{00000000-0005-0000-0000-0000B02F0000}"/>
    <cellStyle name="Normal 3 72 5" xfId="12879" xr:uid="{00000000-0005-0000-0000-0000B12F0000}"/>
    <cellStyle name="Normal 3 72 6" xfId="12880" xr:uid="{00000000-0005-0000-0000-0000B22F0000}"/>
    <cellStyle name="Normal 3 73" xfId="3132" xr:uid="{00000000-0005-0000-0000-0000B32F0000}"/>
    <cellStyle name="Normal 3 73 2" xfId="3133" xr:uid="{00000000-0005-0000-0000-0000B42F0000}"/>
    <cellStyle name="Normal 3 73 2 2" xfId="12881" xr:uid="{00000000-0005-0000-0000-0000B52F0000}"/>
    <cellStyle name="Normal 3 73 2 2 2" xfId="12882" xr:uid="{00000000-0005-0000-0000-0000B62F0000}"/>
    <cellStyle name="Normal 3 73 2 3" xfId="12883" xr:uid="{00000000-0005-0000-0000-0000B72F0000}"/>
    <cellStyle name="Normal 3 73 2 3 2" xfId="12884" xr:uid="{00000000-0005-0000-0000-0000B82F0000}"/>
    <cellStyle name="Normal 3 73 2 4" xfId="12885" xr:uid="{00000000-0005-0000-0000-0000B92F0000}"/>
    <cellStyle name="Normal 3 73 2 5" xfId="12886" xr:uid="{00000000-0005-0000-0000-0000BA2F0000}"/>
    <cellStyle name="Normal 3 73 3" xfId="12887" xr:uid="{00000000-0005-0000-0000-0000BB2F0000}"/>
    <cellStyle name="Normal 3 73 3 2" xfId="12888" xr:uid="{00000000-0005-0000-0000-0000BC2F0000}"/>
    <cellStyle name="Normal 3 73 4" xfId="12889" xr:uid="{00000000-0005-0000-0000-0000BD2F0000}"/>
    <cellStyle name="Normal 3 73 4 2" xfId="12890" xr:uid="{00000000-0005-0000-0000-0000BE2F0000}"/>
    <cellStyle name="Normal 3 73 5" xfId="12891" xr:uid="{00000000-0005-0000-0000-0000BF2F0000}"/>
    <cellStyle name="Normal 3 73 6" xfId="12892" xr:uid="{00000000-0005-0000-0000-0000C02F0000}"/>
    <cellStyle name="Normal 3 74" xfId="3134" xr:uid="{00000000-0005-0000-0000-0000C12F0000}"/>
    <cellStyle name="Normal 3 74 2" xfId="12893" xr:uid="{00000000-0005-0000-0000-0000C22F0000}"/>
    <cellStyle name="Normal 3 74 2 2" xfId="12894" xr:uid="{00000000-0005-0000-0000-0000C32F0000}"/>
    <cellStyle name="Normal 3 74 3" xfId="12895" xr:uid="{00000000-0005-0000-0000-0000C42F0000}"/>
    <cellStyle name="Normal 3 74 3 2" xfId="12896" xr:uid="{00000000-0005-0000-0000-0000C52F0000}"/>
    <cellStyle name="Normal 3 74 4" xfId="12897" xr:uid="{00000000-0005-0000-0000-0000C62F0000}"/>
    <cellStyle name="Normal 3 74 5" xfId="12898" xr:uid="{00000000-0005-0000-0000-0000C72F0000}"/>
    <cellStyle name="Normal 3 75" xfId="3135" xr:uid="{00000000-0005-0000-0000-0000C82F0000}"/>
    <cellStyle name="Normal 3 75 2" xfId="12899" xr:uid="{00000000-0005-0000-0000-0000C92F0000}"/>
    <cellStyle name="Normal 3 75 2 2" xfId="12900" xr:uid="{00000000-0005-0000-0000-0000CA2F0000}"/>
    <cellStyle name="Normal 3 75 3" xfId="12901" xr:uid="{00000000-0005-0000-0000-0000CB2F0000}"/>
    <cellStyle name="Normal 3 75 3 2" xfId="12902" xr:uid="{00000000-0005-0000-0000-0000CC2F0000}"/>
    <cellStyle name="Normal 3 75 4" xfId="12903" xr:uid="{00000000-0005-0000-0000-0000CD2F0000}"/>
    <cellStyle name="Normal 3 75 5" xfId="12904" xr:uid="{00000000-0005-0000-0000-0000CE2F0000}"/>
    <cellStyle name="Normal 3 76" xfId="3800" xr:uid="{00000000-0005-0000-0000-0000CF2F0000}"/>
    <cellStyle name="Normal 3 76 2" xfId="12905" xr:uid="{00000000-0005-0000-0000-0000D02F0000}"/>
    <cellStyle name="Normal 3 76 3" xfId="12906" xr:uid="{00000000-0005-0000-0000-0000D12F0000}"/>
    <cellStyle name="Normal 3 77" xfId="12907" xr:uid="{00000000-0005-0000-0000-0000D22F0000}"/>
    <cellStyle name="Normal 3 8" xfId="3136" xr:uid="{00000000-0005-0000-0000-0000D32F0000}"/>
    <cellStyle name="Normal 3 8 10" xfId="3137" xr:uid="{00000000-0005-0000-0000-0000D42F0000}"/>
    <cellStyle name="Normal 3 8 10 2" xfId="12908" xr:uid="{00000000-0005-0000-0000-0000D52F0000}"/>
    <cellStyle name="Normal 3 8 10 2 2" xfId="12909" xr:uid="{00000000-0005-0000-0000-0000D62F0000}"/>
    <cellStyle name="Normal 3 8 10 3" xfId="12910" xr:uid="{00000000-0005-0000-0000-0000D72F0000}"/>
    <cellStyle name="Normal 3 8 10 3 2" xfId="12911" xr:uid="{00000000-0005-0000-0000-0000D82F0000}"/>
    <cellStyle name="Normal 3 8 10 4" xfId="12912" xr:uid="{00000000-0005-0000-0000-0000D92F0000}"/>
    <cellStyle name="Normal 3 8 10 5" xfId="12913" xr:uid="{00000000-0005-0000-0000-0000DA2F0000}"/>
    <cellStyle name="Normal 3 8 11" xfId="3138" xr:uid="{00000000-0005-0000-0000-0000DB2F0000}"/>
    <cellStyle name="Normal 3 8 11 2" xfId="12914" xr:uid="{00000000-0005-0000-0000-0000DC2F0000}"/>
    <cellStyle name="Normal 3 8 11 2 2" xfId="12915" xr:uid="{00000000-0005-0000-0000-0000DD2F0000}"/>
    <cellStyle name="Normal 3 8 11 3" xfId="12916" xr:uid="{00000000-0005-0000-0000-0000DE2F0000}"/>
    <cellStyle name="Normal 3 8 11 3 2" xfId="12917" xr:uid="{00000000-0005-0000-0000-0000DF2F0000}"/>
    <cellStyle name="Normal 3 8 11 4" xfId="12918" xr:uid="{00000000-0005-0000-0000-0000E02F0000}"/>
    <cellStyle name="Normal 3 8 11 5" xfId="12919" xr:uid="{00000000-0005-0000-0000-0000E12F0000}"/>
    <cellStyle name="Normal 3 8 12" xfId="3139" xr:uid="{00000000-0005-0000-0000-0000E22F0000}"/>
    <cellStyle name="Normal 3 8 12 2" xfId="12920" xr:uid="{00000000-0005-0000-0000-0000E32F0000}"/>
    <cellStyle name="Normal 3 8 12 2 2" xfId="12921" xr:uid="{00000000-0005-0000-0000-0000E42F0000}"/>
    <cellStyle name="Normal 3 8 12 3" xfId="12922" xr:uid="{00000000-0005-0000-0000-0000E52F0000}"/>
    <cellStyle name="Normal 3 8 12 3 2" xfId="12923" xr:uid="{00000000-0005-0000-0000-0000E62F0000}"/>
    <cellStyle name="Normal 3 8 12 4" xfId="12924" xr:uid="{00000000-0005-0000-0000-0000E72F0000}"/>
    <cellStyle name="Normal 3 8 12 5" xfId="12925" xr:uid="{00000000-0005-0000-0000-0000E82F0000}"/>
    <cellStyle name="Normal 3 8 13" xfId="3140" xr:uid="{00000000-0005-0000-0000-0000E92F0000}"/>
    <cellStyle name="Normal 3 8 13 2" xfId="12926" xr:uid="{00000000-0005-0000-0000-0000EA2F0000}"/>
    <cellStyle name="Normal 3 8 13 2 2" xfId="12927" xr:uid="{00000000-0005-0000-0000-0000EB2F0000}"/>
    <cellStyle name="Normal 3 8 13 3" xfId="12928" xr:uid="{00000000-0005-0000-0000-0000EC2F0000}"/>
    <cellStyle name="Normal 3 8 13 3 2" xfId="12929" xr:uid="{00000000-0005-0000-0000-0000ED2F0000}"/>
    <cellStyle name="Normal 3 8 13 4" xfId="12930" xr:uid="{00000000-0005-0000-0000-0000EE2F0000}"/>
    <cellStyle name="Normal 3 8 13 5" xfId="12931" xr:uid="{00000000-0005-0000-0000-0000EF2F0000}"/>
    <cellStyle name="Normal 3 8 14" xfId="12932" xr:uid="{00000000-0005-0000-0000-0000F02F0000}"/>
    <cellStyle name="Normal 3 8 14 2" xfId="12933" xr:uid="{00000000-0005-0000-0000-0000F12F0000}"/>
    <cellStyle name="Normal 3 8 15" xfId="12934" xr:uid="{00000000-0005-0000-0000-0000F22F0000}"/>
    <cellStyle name="Normal 3 8 15 2" xfId="12935" xr:uid="{00000000-0005-0000-0000-0000F32F0000}"/>
    <cellStyle name="Normal 3 8 16" xfId="12936" xr:uid="{00000000-0005-0000-0000-0000F42F0000}"/>
    <cellStyle name="Normal 3 8 17" xfId="12937" xr:uid="{00000000-0005-0000-0000-0000F52F0000}"/>
    <cellStyle name="Normal 3 8 2" xfId="3141" xr:uid="{00000000-0005-0000-0000-0000F62F0000}"/>
    <cellStyle name="Normal 3 8 2 10" xfId="3142" xr:uid="{00000000-0005-0000-0000-0000F72F0000}"/>
    <cellStyle name="Normal 3 8 2 10 2" xfId="12938" xr:uid="{00000000-0005-0000-0000-0000F82F0000}"/>
    <cellStyle name="Normal 3 8 2 10 2 2" xfId="12939" xr:uid="{00000000-0005-0000-0000-0000F92F0000}"/>
    <cellStyle name="Normal 3 8 2 10 3" xfId="12940" xr:uid="{00000000-0005-0000-0000-0000FA2F0000}"/>
    <cellStyle name="Normal 3 8 2 10 3 2" xfId="12941" xr:uid="{00000000-0005-0000-0000-0000FB2F0000}"/>
    <cellStyle name="Normal 3 8 2 10 4" xfId="12942" xr:uid="{00000000-0005-0000-0000-0000FC2F0000}"/>
    <cellStyle name="Normal 3 8 2 10 5" xfId="12943" xr:uid="{00000000-0005-0000-0000-0000FD2F0000}"/>
    <cellStyle name="Normal 3 8 2 11" xfId="3143" xr:uid="{00000000-0005-0000-0000-0000FE2F0000}"/>
    <cellStyle name="Normal 3 8 2 11 2" xfId="12944" xr:uid="{00000000-0005-0000-0000-0000FF2F0000}"/>
    <cellStyle name="Normal 3 8 2 11 2 2" xfId="12945" xr:uid="{00000000-0005-0000-0000-000000300000}"/>
    <cellStyle name="Normal 3 8 2 11 3" xfId="12946" xr:uid="{00000000-0005-0000-0000-000001300000}"/>
    <cellStyle name="Normal 3 8 2 11 3 2" xfId="12947" xr:uid="{00000000-0005-0000-0000-000002300000}"/>
    <cellStyle name="Normal 3 8 2 11 4" xfId="12948" xr:uid="{00000000-0005-0000-0000-000003300000}"/>
    <cellStyle name="Normal 3 8 2 11 5" xfId="12949" xr:uid="{00000000-0005-0000-0000-000004300000}"/>
    <cellStyle name="Normal 3 8 2 12" xfId="3144" xr:uid="{00000000-0005-0000-0000-000005300000}"/>
    <cellStyle name="Normal 3 8 2 12 2" xfId="12950" xr:uid="{00000000-0005-0000-0000-000006300000}"/>
    <cellStyle name="Normal 3 8 2 12 2 2" xfId="12951" xr:uid="{00000000-0005-0000-0000-000007300000}"/>
    <cellStyle name="Normal 3 8 2 12 3" xfId="12952" xr:uid="{00000000-0005-0000-0000-000008300000}"/>
    <cellStyle name="Normal 3 8 2 12 3 2" xfId="12953" xr:uid="{00000000-0005-0000-0000-000009300000}"/>
    <cellStyle name="Normal 3 8 2 12 4" xfId="12954" xr:uid="{00000000-0005-0000-0000-00000A300000}"/>
    <cellStyle name="Normal 3 8 2 12 5" xfId="12955" xr:uid="{00000000-0005-0000-0000-00000B300000}"/>
    <cellStyle name="Normal 3 8 2 13" xfId="12956" xr:uid="{00000000-0005-0000-0000-00000C300000}"/>
    <cellStyle name="Normal 3 8 2 13 2" xfId="12957" xr:uid="{00000000-0005-0000-0000-00000D300000}"/>
    <cellStyle name="Normal 3 8 2 14" xfId="12958" xr:uid="{00000000-0005-0000-0000-00000E300000}"/>
    <cellStyle name="Normal 3 8 2 14 2" xfId="12959" xr:uid="{00000000-0005-0000-0000-00000F300000}"/>
    <cellStyle name="Normal 3 8 2 15" xfId="12960" xr:uid="{00000000-0005-0000-0000-000010300000}"/>
    <cellStyle name="Normal 3 8 2 16" xfId="12961" xr:uid="{00000000-0005-0000-0000-000011300000}"/>
    <cellStyle name="Normal 3 8 2 2" xfId="3145" xr:uid="{00000000-0005-0000-0000-000012300000}"/>
    <cellStyle name="Normal 3 8 2 2 2" xfId="12962" xr:uid="{00000000-0005-0000-0000-000013300000}"/>
    <cellStyle name="Normal 3 8 2 2 2 2" xfId="12963" xr:uid="{00000000-0005-0000-0000-000014300000}"/>
    <cellStyle name="Normal 3 8 2 2 3" xfId="12964" xr:uid="{00000000-0005-0000-0000-000015300000}"/>
    <cellStyle name="Normal 3 8 2 2 3 2" xfId="12965" xr:uid="{00000000-0005-0000-0000-000016300000}"/>
    <cellStyle name="Normal 3 8 2 2 4" xfId="12966" xr:uid="{00000000-0005-0000-0000-000017300000}"/>
    <cellStyle name="Normal 3 8 2 2 5" xfId="12967" xr:uid="{00000000-0005-0000-0000-000018300000}"/>
    <cellStyle name="Normal 3 8 2 3" xfId="3146" xr:uid="{00000000-0005-0000-0000-000019300000}"/>
    <cellStyle name="Normal 3 8 2 3 2" xfId="12968" xr:uid="{00000000-0005-0000-0000-00001A300000}"/>
    <cellStyle name="Normal 3 8 2 3 2 2" xfId="12969" xr:uid="{00000000-0005-0000-0000-00001B300000}"/>
    <cellStyle name="Normal 3 8 2 3 3" xfId="12970" xr:uid="{00000000-0005-0000-0000-00001C300000}"/>
    <cellStyle name="Normal 3 8 2 3 3 2" xfId="12971" xr:uid="{00000000-0005-0000-0000-00001D300000}"/>
    <cellStyle name="Normal 3 8 2 3 4" xfId="12972" xr:uid="{00000000-0005-0000-0000-00001E300000}"/>
    <cellStyle name="Normal 3 8 2 3 5" xfId="12973" xr:uid="{00000000-0005-0000-0000-00001F300000}"/>
    <cellStyle name="Normal 3 8 2 4" xfId="3147" xr:uid="{00000000-0005-0000-0000-000020300000}"/>
    <cellStyle name="Normal 3 8 2 4 2" xfId="12974" xr:uid="{00000000-0005-0000-0000-000021300000}"/>
    <cellStyle name="Normal 3 8 2 4 2 2" xfId="12975" xr:uid="{00000000-0005-0000-0000-000022300000}"/>
    <cellStyle name="Normal 3 8 2 4 3" xfId="12976" xr:uid="{00000000-0005-0000-0000-000023300000}"/>
    <cellStyle name="Normal 3 8 2 4 3 2" xfId="12977" xr:uid="{00000000-0005-0000-0000-000024300000}"/>
    <cellStyle name="Normal 3 8 2 4 4" xfId="12978" xr:uid="{00000000-0005-0000-0000-000025300000}"/>
    <cellStyle name="Normal 3 8 2 4 5" xfId="12979" xr:uid="{00000000-0005-0000-0000-000026300000}"/>
    <cellStyle name="Normal 3 8 2 5" xfId="3148" xr:uid="{00000000-0005-0000-0000-000027300000}"/>
    <cellStyle name="Normal 3 8 2 5 2" xfId="12980" xr:uid="{00000000-0005-0000-0000-000028300000}"/>
    <cellStyle name="Normal 3 8 2 5 2 2" xfId="12981" xr:uid="{00000000-0005-0000-0000-000029300000}"/>
    <cellStyle name="Normal 3 8 2 5 3" xfId="12982" xr:uid="{00000000-0005-0000-0000-00002A300000}"/>
    <cellStyle name="Normal 3 8 2 5 3 2" xfId="12983" xr:uid="{00000000-0005-0000-0000-00002B300000}"/>
    <cellStyle name="Normal 3 8 2 5 4" xfId="12984" xr:uid="{00000000-0005-0000-0000-00002C300000}"/>
    <cellStyle name="Normal 3 8 2 5 5" xfId="12985" xr:uid="{00000000-0005-0000-0000-00002D300000}"/>
    <cellStyle name="Normal 3 8 2 6" xfId="3149" xr:uid="{00000000-0005-0000-0000-00002E300000}"/>
    <cellStyle name="Normal 3 8 2 6 2" xfId="12986" xr:uid="{00000000-0005-0000-0000-00002F300000}"/>
    <cellStyle name="Normal 3 8 2 6 2 2" xfId="12987" xr:uid="{00000000-0005-0000-0000-000030300000}"/>
    <cellStyle name="Normal 3 8 2 6 3" xfId="12988" xr:uid="{00000000-0005-0000-0000-000031300000}"/>
    <cellStyle name="Normal 3 8 2 6 3 2" xfId="12989" xr:uid="{00000000-0005-0000-0000-000032300000}"/>
    <cellStyle name="Normal 3 8 2 6 4" xfId="12990" xr:uid="{00000000-0005-0000-0000-000033300000}"/>
    <cellStyle name="Normal 3 8 2 6 5" xfId="12991" xr:uid="{00000000-0005-0000-0000-000034300000}"/>
    <cellStyle name="Normal 3 8 2 7" xfId="3150" xr:uid="{00000000-0005-0000-0000-000035300000}"/>
    <cellStyle name="Normal 3 8 2 7 2" xfId="12992" xr:uid="{00000000-0005-0000-0000-000036300000}"/>
    <cellStyle name="Normal 3 8 2 7 2 2" xfId="12993" xr:uid="{00000000-0005-0000-0000-000037300000}"/>
    <cellStyle name="Normal 3 8 2 7 3" xfId="12994" xr:uid="{00000000-0005-0000-0000-000038300000}"/>
    <cellStyle name="Normal 3 8 2 7 3 2" xfId="12995" xr:uid="{00000000-0005-0000-0000-000039300000}"/>
    <cellStyle name="Normal 3 8 2 7 4" xfId="12996" xr:uid="{00000000-0005-0000-0000-00003A300000}"/>
    <cellStyle name="Normal 3 8 2 7 5" xfId="12997" xr:uid="{00000000-0005-0000-0000-00003B300000}"/>
    <cellStyle name="Normal 3 8 2 8" xfId="3151" xr:uid="{00000000-0005-0000-0000-00003C300000}"/>
    <cellStyle name="Normal 3 8 2 8 2" xfId="12998" xr:uid="{00000000-0005-0000-0000-00003D300000}"/>
    <cellStyle name="Normal 3 8 2 8 2 2" xfId="12999" xr:uid="{00000000-0005-0000-0000-00003E300000}"/>
    <cellStyle name="Normal 3 8 2 8 3" xfId="13000" xr:uid="{00000000-0005-0000-0000-00003F300000}"/>
    <cellStyle name="Normal 3 8 2 8 3 2" xfId="13001" xr:uid="{00000000-0005-0000-0000-000040300000}"/>
    <cellStyle name="Normal 3 8 2 8 4" xfId="13002" xr:uid="{00000000-0005-0000-0000-000041300000}"/>
    <cellStyle name="Normal 3 8 2 8 5" xfId="13003" xr:uid="{00000000-0005-0000-0000-000042300000}"/>
    <cellStyle name="Normal 3 8 2 9" xfId="3152" xr:uid="{00000000-0005-0000-0000-000043300000}"/>
    <cellStyle name="Normal 3 8 2 9 2" xfId="13004" xr:uid="{00000000-0005-0000-0000-000044300000}"/>
    <cellStyle name="Normal 3 8 2 9 2 2" xfId="13005" xr:uid="{00000000-0005-0000-0000-000045300000}"/>
    <cellStyle name="Normal 3 8 2 9 3" xfId="13006" xr:uid="{00000000-0005-0000-0000-000046300000}"/>
    <cellStyle name="Normal 3 8 2 9 3 2" xfId="13007" xr:uid="{00000000-0005-0000-0000-000047300000}"/>
    <cellStyle name="Normal 3 8 2 9 4" xfId="13008" xr:uid="{00000000-0005-0000-0000-000048300000}"/>
    <cellStyle name="Normal 3 8 2 9 5" xfId="13009" xr:uid="{00000000-0005-0000-0000-000049300000}"/>
    <cellStyle name="Normal 3 8 3" xfId="3153" xr:uid="{00000000-0005-0000-0000-00004A300000}"/>
    <cellStyle name="Normal 3 8 3 2" xfId="13010" xr:uid="{00000000-0005-0000-0000-00004B300000}"/>
    <cellStyle name="Normal 3 8 3 2 2" xfId="13011" xr:uid="{00000000-0005-0000-0000-00004C300000}"/>
    <cellStyle name="Normal 3 8 3 3" xfId="13012" xr:uid="{00000000-0005-0000-0000-00004D300000}"/>
    <cellStyle name="Normal 3 8 3 3 2" xfId="13013" xr:uid="{00000000-0005-0000-0000-00004E300000}"/>
    <cellStyle name="Normal 3 8 3 4" xfId="13014" xr:uid="{00000000-0005-0000-0000-00004F300000}"/>
    <cellStyle name="Normal 3 8 3 5" xfId="13015" xr:uid="{00000000-0005-0000-0000-000050300000}"/>
    <cellStyle name="Normal 3 8 4" xfId="3154" xr:uid="{00000000-0005-0000-0000-000051300000}"/>
    <cellStyle name="Normal 3 8 4 2" xfId="13016" xr:uid="{00000000-0005-0000-0000-000052300000}"/>
    <cellStyle name="Normal 3 8 4 2 2" xfId="13017" xr:uid="{00000000-0005-0000-0000-000053300000}"/>
    <cellStyle name="Normal 3 8 4 3" xfId="13018" xr:uid="{00000000-0005-0000-0000-000054300000}"/>
    <cellStyle name="Normal 3 8 4 3 2" xfId="13019" xr:uid="{00000000-0005-0000-0000-000055300000}"/>
    <cellStyle name="Normal 3 8 4 4" xfId="13020" xr:uid="{00000000-0005-0000-0000-000056300000}"/>
    <cellStyle name="Normal 3 8 4 5" xfId="13021" xr:uid="{00000000-0005-0000-0000-000057300000}"/>
    <cellStyle name="Normal 3 8 5" xfId="3155" xr:uid="{00000000-0005-0000-0000-000058300000}"/>
    <cellStyle name="Normal 3 8 5 2" xfId="13022" xr:uid="{00000000-0005-0000-0000-000059300000}"/>
    <cellStyle name="Normal 3 8 5 2 2" xfId="13023" xr:uid="{00000000-0005-0000-0000-00005A300000}"/>
    <cellStyle name="Normal 3 8 5 3" xfId="13024" xr:uid="{00000000-0005-0000-0000-00005B300000}"/>
    <cellStyle name="Normal 3 8 5 3 2" xfId="13025" xr:uid="{00000000-0005-0000-0000-00005C300000}"/>
    <cellStyle name="Normal 3 8 5 4" xfId="13026" xr:uid="{00000000-0005-0000-0000-00005D300000}"/>
    <cellStyle name="Normal 3 8 5 5" xfId="13027" xr:uid="{00000000-0005-0000-0000-00005E300000}"/>
    <cellStyle name="Normal 3 8 6" xfId="3156" xr:uid="{00000000-0005-0000-0000-00005F300000}"/>
    <cellStyle name="Normal 3 8 6 2" xfId="13028" xr:uid="{00000000-0005-0000-0000-000060300000}"/>
    <cellStyle name="Normal 3 8 6 2 2" xfId="13029" xr:uid="{00000000-0005-0000-0000-000061300000}"/>
    <cellStyle name="Normal 3 8 6 3" xfId="13030" xr:uid="{00000000-0005-0000-0000-000062300000}"/>
    <cellStyle name="Normal 3 8 6 3 2" xfId="13031" xr:uid="{00000000-0005-0000-0000-000063300000}"/>
    <cellStyle name="Normal 3 8 6 4" xfId="13032" xr:uid="{00000000-0005-0000-0000-000064300000}"/>
    <cellStyle name="Normal 3 8 6 5" xfId="13033" xr:uid="{00000000-0005-0000-0000-000065300000}"/>
    <cellStyle name="Normal 3 8 7" xfId="3157" xr:uid="{00000000-0005-0000-0000-000066300000}"/>
    <cellStyle name="Normal 3 8 7 2" xfId="13034" xr:uid="{00000000-0005-0000-0000-000067300000}"/>
    <cellStyle name="Normal 3 8 7 2 2" xfId="13035" xr:uid="{00000000-0005-0000-0000-000068300000}"/>
    <cellStyle name="Normal 3 8 7 3" xfId="13036" xr:uid="{00000000-0005-0000-0000-000069300000}"/>
    <cellStyle name="Normal 3 8 7 3 2" xfId="13037" xr:uid="{00000000-0005-0000-0000-00006A300000}"/>
    <cellStyle name="Normal 3 8 7 4" xfId="13038" xr:uid="{00000000-0005-0000-0000-00006B300000}"/>
    <cellStyle name="Normal 3 8 7 5" xfId="13039" xr:uid="{00000000-0005-0000-0000-00006C300000}"/>
    <cellStyle name="Normal 3 8 8" xfId="3158" xr:uid="{00000000-0005-0000-0000-00006D300000}"/>
    <cellStyle name="Normal 3 8 8 2" xfId="13040" xr:uid="{00000000-0005-0000-0000-00006E300000}"/>
    <cellStyle name="Normal 3 8 8 2 2" xfId="13041" xr:uid="{00000000-0005-0000-0000-00006F300000}"/>
    <cellStyle name="Normal 3 8 8 3" xfId="13042" xr:uid="{00000000-0005-0000-0000-000070300000}"/>
    <cellStyle name="Normal 3 8 8 3 2" xfId="13043" xr:uid="{00000000-0005-0000-0000-000071300000}"/>
    <cellStyle name="Normal 3 8 8 4" xfId="13044" xr:uid="{00000000-0005-0000-0000-000072300000}"/>
    <cellStyle name="Normal 3 8 8 5" xfId="13045" xr:uid="{00000000-0005-0000-0000-000073300000}"/>
    <cellStyle name="Normal 3 8 9" xfId="3159" xr:uid="{00000000-0005-0000-0000-000074300000}"/>
    <cellStyle name="Normal 3 8 9 2" xfId="13046" xr:uid="{00000000-0005-0000-0000-000075300000}"/>
    <cellStyle name="Normal 3 8 9 2 2" xfId="13047" xr:uid="{00000000-0005-0000-0000-000076300000}"/>
    <cellStyle name="Normal 3 8 9 3" xfId="13048" xr:uid="{00000000-0005-0000-0000-000077300000}"/>
    <cellStyle name="Normal 3 8 9 3 2" xfId="13049" xr:uid="{00000000-0005-0000-0000-000078300000}"/>
    <cellStyle name="Normal 3 8 9 4" xfId="13050" xr:uid="{00000000-0005-0000-0000-000079300000}"/>
    <cellStyle name="Normal 3 8 9 5" xfId="13051" xr:uid="{00000000-0005-0000-0000-00007A300000}"/>
    <cellStyle name="Normal 3 9" xfId="3160" xr:uid="{00000000-0005-0000-0000-00007B300000}"/>
    <cellStyle name="Normal 3 9 10" xfId="3161" xr:uid="{00000000-0005-0000-0000-00007C300000}"/>
    <cellStyle name="Normal 3 9 10 2" xfId="13052" xr:uid="{00000000-0005-0000-0000-00007D300000}"/>
    <cellStyle name="Normal 3 9 10 2 2" xfId="13053" xr:uid="{00000000-0005-0000-0000-00007E300000}"/>
    <cellStyle name="Normal 3 9 10 3" xfId="13054" xr:uid="{00000000-0005-0000-0000-00007F300000}"/>
    <cellStyle name="Normal 3 9 10 3 2" xfId="13055" xr:uid="{00000000-0005-0000-0000-000080300000}"/>
    <cellStyle name="Normal 3 9 10 4" xfId="13056" xr:uid="{00000000-0005-0000-0000-000081300000}"/>
    <cellStyle name="Normal 3 9 10 5" xfId="13057" xr:uid="{00000000-0005-0000-0000-000082300000}"/>
    <cellStyle name="Normal 3 9 11" xfId="3162" xr:uid="{00000000-0005-0000-0000-000083300000}"/>
    <cellStyle name="Normal 3 9 11 2" xfId="13058" xr:uid="{00000000-0005-0000-0000-000084300000}"/>
    <cellStyle name="Normal 3 9 11 2 2" xfId="13059" xr:uid="{00000000-0005-0000-0000-000085300000}"/>
    <cellStyle name="Normal 3 9 11 3" xfId="13060" xr:uid="{00000000-0005-0000-0000-000086300000}"/>
    <cellStyle name="Normal 3 9 11 3 2" xfId="13061" xr:uid="{00000000-0005-0000-0000-000087300000}"/>
    <cellStyle name="Normal 3 9 11 4" xfId="13062" xr:uid="{00000000-0005-0000-0000-000088300000}"/>
    <cellStyle name="Normal 3 9 11 5" xfId="13063" xr:uid="{00000000-0005-0000-0000-000089300000}"/>
    <cellStyle name="Normal 3 9 12" xfId="3163" xr:uid="{00000000-0005-0000-0000-00008A300000}"/>
    <cellStyle name="Normal 3 9 12 2" xfId="13064" xr:uid="{00000000-0005-0000-0000-00008B300000}"/>
    <cellStyle name="Normal 3 9 12 2 2" xfId="13065" xr:uid="{00000000-0005-0000-0000-00008C300000}"/>
    <cellStyle name="Normal 3 9 12 3" xfId="13066" xr:uid="{00000000-0005-0000-0000-00008D300000}"/>
    <cellStyle name="Normal 3 9 12 3 2" xfId="13067" xr:uid="{00000000-0005-0000-0000-00008E300000}"/>
    <cellStyle name="Normal 3 9 12 4" xfId="13068" xr:uid="{00000000-0005-0000-0000-00008F300000}"/>
    <cellStyle name="Normal 3 9 12 5" xfId="13069" xr:uid="{00000000-0005-0000-0000-000090300000}"/>
    <cellStyle name="Normal 3 9 13" xfId="3164" xr:uid="{00000000-0005-0000-0000-000091300000}"/>
    <cellStyle name="Normal 3 9 13 2" xfId="13070" xr:uid="{00000000-0005-0000-0000-000092300000}"/>
    <cellStyle name="Normal 3 9 13 2 2" xfId="13071" xr:uid="{00000000-0005-0000-0000-000093300000}"/>
    <cellStyle name="Normal 3 9 13 3" xfId="13072" xr:uid="{00000000-0005-0000-0000-000094300000}"/>
    <cellStyle name="Normal 3 9 13 3 2" xfId="13073" xr:uid="{00000000-0005-0000-0000-000095300000}"/>
    <cellStyle name="Normal 3 9 13 4" xfId="13074" xr:uid="{00000000-0005-0000-0000-000096300000}"/>
    <cellStyle name="Normal 3 9 13 5" xfId="13075" xr:uid="{00000000-0005-0000-0000-000097300000}"/>
    <cellStyle name="Normal 3 9 14" xfId="13076" xr:uid="{00000000-0005-0000-0000-000098300000}"/>
    <cellStyle name="Normal 3 9 14 2" xfId="13077" xr:uid="{00000000-0005-0000-0000-000099300000}"/>
    <cellStyle name="Normal 3 9 15" xfId="13078" xr:uid="{00000000-0005-0000-0000-00009A300000}"/>
    <cellStyle name="Normal 3 9 15 2" xfId="13079" xr:uid="{00000000-0005-0000-0000-00009B300000}"/>
    <cellStyle name="Normal 3 9 16" xfId="13080" xr:uid="{00000000-0005-0000-0000-00009C300000}"/>
    <cellStyle name="Normal 3 9 17" xfId="13081" xr:uid="{00000000-0005-0000-0000-00009D300000}"/>
    <cellStyle name="Normal 3 9 2" xfId="3165" xr:uid="{00000000-0005-0000-0000-00009E300000}"/>
    <cellStyle name="Normal 3 9 2 10" xfId="3166" xr:uid="{00000000-0005-0000-0000-00009F300000}"/>
    <cellStyle name="Normal 3 9 2 10 2" xfId="13082" xr:uid="{00000000-0005-0000-0000-0000A0300000}"/>
    <cellStyle name="Normal 3 9 2 10 2 2" xfId="13083" xr:uid="{00000000-0005-0000-0000-0000A1300000}"/>
    <cellStyle name="Normal 3 9 2 10 3" xfId="13084" xr:uid="{00000000-0005-0000-0000-0000A2300000}"/>
    <cellStyle name="Normal 3 9 2 10 3 2" xfId="13085" xr:uid="{00000000-0005-0000-0000-0000A3300000}"/>
    <cellStyle name="Normal 3 9 2 10 4" xfId="13086" xr:uid="{00000000-0005-0000-0000-0000A4300000}"/>
    <cellStyle name="Normal 3 9 2 10 5" xfId="13087" xr:uid="{00000000-0005-0000-0000-0000A5300000}"/>
    <cellStyle name="Normal 3 9 2 11" xfId="3167" xr:uid="{00000000-0005-0000-0000-0000A6300000}"/>
    <cellStyle name="Normal 3 9 2 11 2" xfId="13088" xr:uid="{00000000-0005-0000-0000-0000A7300000}"/>
    <cellStyle name="Normal 3 9 2 11 2 2" xfId="13089" xr:uid="{00000000-0005-0000-0000-0000A8300000}"/>
    <cellStyle name="Normal 3 9 2 11 3" xfId="13090" xr:uid="{00000000-0005-0000-0000-0000A9300000}"/>
    <cellStyle name="Normal 3 9 2 11 3 2" xfId="13091" xr:uid="{00000000-0005-0000-0000-0000AA300000}"/>
    <cellStyle name="Normal 3 9 2 11 4" xfId="13092" xr:uid="{00000000-0005-0000-0000-0000AB300000}"/>
    <cellStyle name="Normal 3 9 2 11 5" xfId="13093" xr:uid="{00000000-0005-0000-0000-0000AC300000}"/>
    <cellStyle name="Normal 3 9 2 12" xfId="3168" xr:uid="{00000000-0005-0000-0000-0000AD300000}"/>
    <cellStyle name="Normal 3 9 2 12 2" xfId="13094" xr:uid="{00000000-0005-0000-0000-0000AE300000}"/>
    <cellStyle name="Normal 3 9 2 12 2 2" xfId="13095" xr:uid="{00000000-0005-0000-0000-0000AF300000}"/>
    <cellStyle name="Normal 3 9 2 12 3" xfId="13096" xr:uid="{00000000-0005-0000-0000-0000B0300000}"/>
    <cellStyle name="Normal 3 9 2 12 3 2" xfId="13097" xr:uid="{00000000-0005-0000-0000-0000B1300000}"/>
    <cellStyle name="Normal 3 9 2 12 4" xfId="13098" xr:uid="{00000000-0005-0000-0000-0000B2300000}"/>
    <cellStyle name="Normal 3 9 2 12 5" xfId="13099" xr:uid="{00000000-0005-0000-0000-0000B3300000}"/>
    <cellStyle name="Normal 3 9 2 13" xfId="13100" xr:uid="{00000000-0005-0000-0000-0000B4300000}"/>
    <cellStyle name="Normal 3 9 2 13 2" xfId="13101" xr:uid="{00000000-0005-0000-0000-0000B5300000}"/>
    <cellStyle name="Normal 3 9 2 14" xfId="13102" xr:uid="{00000000-0005-0000-0000-0000B6300000}"/>
    <cellStyle name="Normal 3 9 2 14 2" xfId="13103" xr:uid="{00000000-0005-0000-0000-0000B7300000}"/>
    <cellStyle name="Normal 3 9 2 15" xfId="13104" xr:uid="{00000000-0005-0000-0000-0000B8300000}"/>
    <cellStyle name="Normal 3 9 2 16" xfId="13105" xr:uid="{00000000-0005-0000-0000-0000B9300000}"/>
    <cellStyle name="Normal 3 9 2 2" xfId="3169" xr:uid="{00000000-0005-0000-0000-0000BA300000}"/>
    <cellStyle name="Normal 3 9 2 2 2" xfId="13106" xr:uid="{00000000-0005-0000-0000-0000BB300000}"/>
    <cellStyle name="Normal 3 9 2 2 2 2" xfId="13107" xr:uid="{00000000-0005-0000-0000-0000BC300000}"/>
    <cellStyle name="Normal 3 9 2 2 3" xfId="13108" xr:uid="{00000000-0005-0000-0000-0000BD300000}"/>
    <cellStyle name="Normal 3 9 2 2 3 2" xfId="13109" xr:uid="{00000000-0005-0000-0000-0000BE300000}"/>
    <cellStyle name="Normal 3 9 2 2 4" xfId="13110" xr:uid="{00000000-0005-0000-0000-0000BF300000}"/>
    <cellStyle name="Normal 3 9 2 2 5" xfId="13111" xr:uid="{00000000-0005-0000-0000-0000C0300000}"/>
    <cellStyle name="Normal 3 9 2 3" xfId="3170" xr:uid="{00000000-0005-0000-0000-0000C1300000}"/>
    <cellStyle name="Normal 3 9 2 3 2" xfId="13112" xr:uid="{00000000-0005-0000-0000-0000C2300000}"/>
    <cellStyle name="Normal 3 9 2 3 2 2" xfId="13113" xr:uid="{00000000-0005-0000-0000-0000C3300000}"/>
    <cellStyle name="Normal 3 9 2 3 3" xfId="13114" xr:uid="{00000000-0005-0000-0000-0000C4300000}"/>
    <cellStyle name="Normal 3 9 2 3 3 2" xfId="13115" xr:uid="{00000000-0005-0000-0000-0000C5300000}"/>
    <cellStyle name="Normal 3 9 2 3 4" xfId="13116" xr:uid="{00000000-0005-0000-0000-0000C6300000}"/>
    <cellStyle name="Normal 3 9 2 3 5" xfId="13117" xr:uid="{00000000-0005-0000-0000-0000C7300000}"/>
    <cellStyle name="Normal 3 9 2 4" xfId="3171" xr:uid="{00000000-0005-0000-0000-0000C8300000}"/>
    <cellStyle name="Normal 3 9 2 4 2" xfId="13118" xr:uid="{00000000-0005-0000-0000-0000C9300000}"/>
    <cellStyle name="Normal 3 9 2 4 2 2" xfId="13119" xr:uid="{00000000-0005-0000-0000-0000CA300000}"/>
    <cellStyle name="Normal 3 9 2 4 3" xfId="13120" xr:uid="{00000000-0005-0000-0000-0000CB300000}"/>
    <cellStyle name="Normal 3 9 2 4 3 2" xfId="13121" xr:uid="{00000000-0005-0000-0000-0000CC300000}"/>
    <cellStyle name="Normal 3 9 2 4 4" xfId="13122" xr:uid="{00000000-0005-0000-0000-0000CD300000}"/>
    <cellStyle name="Normal 3 9 2 4 5" xfId="13123" xr:uid="{00000000-0005-0000-0000-0000CE300000}"/>
    <cellStyle name="Normal 3 9 2 5" xfId="3172" xr:uid="{00000000-0005-0000-0000-0000CF300000}"/>
    <cellStyle name="Normal 3 9 2 5 2" xfId="13124" xr:uid="{00000000-0005-0000-0000-0000D0300000}"/>
    <cellStyle name="Normal 3 9 2 5 2 2" xfId="13125" xr:uid="{00000000-0005-0000-0000-0000D1300000}"/>
    <cellStyle name="Normal 3 9 2 5 3" xfId="13126" xr:uid="{00000000-0005-0000-0000-0000D2300000}"/>
    <cellStyle name="Normal 3 9 2 5 3 2" xfId="13127" xr:uid="{00000000-0005-0000-0000-0000D3300000}"/>
    <cellStyle name="Normal 3 9 2 5 4" xfId="13128" xr:uid="{00000000-0005-0000-0000-0000D4300000}"/>
    <cellStyle name="Normal 3 9 2 5 5" xfId="13129" xr:uid="{00000000-0005-0000-0000-0000D5300000}"/>
    <cellStyle name="Normal 3 9 2 6" xfId="3173" xr:uid="{00000000-0005-0000-0000-0000D6300000}"/>
    <cellStyle name="Normal 3 9 2 6 2" xfId="13130" xr:uid="{00000000-0005-0000-0000-0000D7300000}"/>
    <cellStyle name="Normal 3 9 2 6 2 2" xfId="13131" xr:uid="{00000000-0005-0000-0000-0000D8300000}"/>
    <cellStyle name="Normal 3 9 2 6 3" xfId="13132" xr:uid="{00000000-0005-0000-0000-0000D9300000}"/>
    <cellStyle name="Normal 3 9 2 6 3 2" xfId="13133" xr:uid="{00000000-0005-0000-0000-0000DA300000}"/>
    <cellStyle name="Normal 3 9 2 6 4" xfId="13134" xr:uid="{00000000-0005-0000-0000-0000DB300000}"/>
    <cellStyle name="Normal 3 9 2 6 5" xfId="13135" xr:uid="{00000000-0005-0000-0000-0000DC300000}"/>
    <cellStyle name="Normal 3 9 2 7" xfId="3174" xr:uid="{00000000-0005-0000-0000-0000DD300000}"/>
    <cellStyle name="Normal 3 9 2 7 2" xfId="13136" xr:uid="{00000000-0005-0000-0000-0000DE300000}"/>
    <cellStyle name="Normal 3 9 2 7 2 2" xfId="13137" xr:uid="{00000000-0005-0000-0000-0000DF300000}"/>
    <cellStyle name="Normal 3 9 2 7 3" xfId="13138" xr:uid="{00000000-0005-0000-0000-0000E0300000}"/>
    <cellStyle name="Normal 3 9 2 7 3 2" xfId="13139" xr:uid="{00000000-0005-0000-0000-0000E1300000}"/>
    <cellStyle name="Normal 3 9 2 7 4" xfId="13140" xr:uid="{00000000-0005-0000-0000-0000E2300000}"/>
    <cellStyle name="Normal 3 9 2 7 5" xfId="13141" xr:uid="{00000000-0005-0000-0000-0000E3300000}"/>
    <cellStyle name="Normal 3 9 2 8" xfId="3175" xr:uid="{00000000-0005-0000-0000-0000E4300000}"/>
    <cellStyle name="Normal 3 9 2 8 2" xfId="13142" xr:uid="{00000000-0005-0000-0000-0000E5300000}"/>
    <cellStyle name="Normal 3 9 2 8 2 2" xfId="13143" xr:uid="{00000000-0005-0000-0000-0000E6300000}"/>
    <cellStyle name="Normal 3 9 2 8 3" xfId="13144" xr:uid="{00000000-0005-0000-0000-0000E7300000}"/>
    <cellStyle name="Normal 3 9 2 8 3 2" xfId="13145" xr:uid="{00000000-0005-0000-0000-0000E8300000}"/>
    <cellStyle name="Normal 3 9 2 8 4" xfId="13146" xr:uid="{00000000-0005-0000-0000-0000E9300000}"/>
    <cellStyle name="Normal 3 9 2 8 5" xfId="13147" xr:uid="{00000000-0005-0000-0000-0000EA300000}"/>
    <cellStyle name="Normal 3 9 2 9" xfId="3176" xr:uid="{00000000-0005-0000-0000-0000EB300000}"/>
    <cellStyle name="Normal 3 9 2 9 2" xfId="13148" xr:uid="{00000000-0005-0000-0000-0000EC300000}"/>
    <cellStyle name="Normal 3 9 2 9 2 2" xfId="13149" xr:uid="{00000000-0005-0000-0000-0000ED300000}"/>
    <cellStyle name="Normal 3 9 2 9 3" xfId="13150" xr:uid="{00000000-0005-0000-0000-0000EE300000}"/>
    <cellStyle name="Normal 3 9 2 9 3 2" xfId="13151" xr:uid="{00000000-0005-0000-0000-0000EF300000}"/>
    <cellStyle name="Normal 3 9 2 9 4" xfId="13152" xr:uid="{00000000-0005-0000-0000-0000F0300000}"/>
    <cellStyle name="Normal 3 9 2 9 5" xfId="13153" xr:uid="{00000000-0005-0000-0000-0000F1300000}"/>
    <cellStyle name="Normal 3 9 3" xfId="3177" xr:uid="{00000000-0005-0000-0000-0000F2300000}"/>
    <cellStyle name="Normal 3 9 3 2" xfId="13154" xr:uid="{00000000-0005-0000-0000-0000F3300000}"/>
    <cellStyle name="Normal 3 9 3 2 2" xfId="13155" xr:uid="{00000000-0005-0000-0000-0000F4300000}"/>
    <cellStyle name="Normal 3 9 3 3" xfId="13156" xr:uid="{00000000-0005-0000-0000-0000F5300000}"/>
    <cellStyle name="Normal 3 9 3 3 2" xfId="13157" xr:uid="{00000000-0005-0000-0000-0000F6300000}"/>
    <cellStyle name="Normal 3 9 3 4" xfId="13158" xr:uid="{00000000-0005-0000-0000-0000F7300000}"/>
    <cellStyle name="Normal 3 9 3 5" xfId="13159" xr:uid="{00000000-0005-0000-0000-0000F8300000}"/>
    <cellStyle name="Normal 3 9 4" xfId="3178" xr:uid="{00000000-0005-0000-0000-0000F9300000}"/>
    <cellStyle name="Normal 3 9 4 2" xfId="13160" xr:uid="{00000000-0005-0000-0000-0000FA300000}"/>
    <cellStyle name="Normal 3 9 4 2 2" xfId="13161" xr:uid="{00000000-0005-0000-0000-0000FB300000}"/>
    <cellStyle name="Normal 3 9 4 3" xfId="13162" xr:uid="{00000000-0005-0000-0000-0000FC300000}"/>
    <cellStyle name="Normal 3 9 4 3 2" xfId="13163" xr:uid="{00000000-0005-0000-0000-0000FD300000}"/>
    <cellStyle name="Normal 3 9 4 4" xfId="13164" xr:uid="{00000000-0005-0000-0000-0000FE300000}"/>
    <cellStyle name="Normal 3 9 4 5" xfId="13165" xr:uid="{00000000-0005-0000-0000-0000FF300000}"/>
    <cellStyle name="Normal 3 9 5" xfId="3179" xr:uid="{00000000-0005-0000-0000-000000310000}"/>
    <cellStyle name="Normal 3 9 5 2" xfId="13166" xr:uid="{00000000-0005-0000-0000-000001310000}"/>
    <cellStyle name="Normal 3 9 5 2 2" xfId="13167" xr:uid="{00000000-0005-0000-0000-000002310000}"/>
    <cellStyle name="Normal 3 9 5 3" xfId="13168" xr:uid="{00000000-0005-0000-0000-000003310000}"/>
    <cellStyle name="Normal 3 9 5 3 2" xfId="13169" xr:uid="{00000000-0005-0000-0000-000004310000}"/>
    <cellStyle name="Normal 3 9 5 4" xfId="13170" xr:uid="{00000000-0005-0000-0000-000005310000}"/>
    <cellStyle name="Normal 3 9 5 5" xfId="13171" xr:uid="{00000000-0005-0000-0000-000006310000}"/>
    <cellStyle name="Normal 3 9 6" xfId="3180" xr:uid="{00000000-0005-0000-0000-000007310000}"/>
    <cellStyle name="Normal 3 9 6 2" xfId="13172" xr:uid="{00000000-0005-0000-0000-000008310000}"/>
    <cellStyle name="Normal 3 9 6 2 2" xfId="13173" xr:uid="{00000000-0005-0000-0000-000009310000}"/>
    <cellStyle name="Normal 3 9 6 3" xfId="13174" xr:uid="{00000000-0005-0000-0000-00000A310000}"/>
    <cellStyle name="Normal 3 9 6 3 2" xfId="13175" xr:uid="{00000000-0005-0000-0000-00000B310000}"/>
    <cellStyle name="Normal 3 9 6 4" xfId="13176" xr:uid="{00000000-0005-0000-0000-00000C310000}"/>
    <cellStyle name="Normal 3 9 6 5" xfId="13177" xr:uid="{00000000-0005-0000-0000-00000D310000}"/>
    <cellStyle name="Normal 3 9 7" xfId="3181" xr:uid="{00000000-0005-0000-0000-00000E310000}"/>
    <cellStyle name="Normal 3 9 7 2" xfId="13178" xr:uid="{00000000-0005-0000-0000-00000F310000}"/>
    <cellStyle name="Normal 3 9 7 2 2" xfId="13179" xr:uid="{00000000-0005-0000-0000-000010310000}"/>
    <cellStyle name="Normal 3 9 7 3" xfId="13180" xr:uid="{00000000-0005-0000-0000-000011310000}"/>
    <cellStyle name="Normal 3 9 7 3 2" xfId="13181" xr:uid="{00000000-0005-0000-0000-000012310000}"/>
    <cellStyle name="Normal 3 9 7 4" xfId="13182" xr:uid="{00000000-0005-0000-0000-000013310000}"/>
    <cellStyle name="Normal 3 9 7 5" xfId="13183" xr:uid="{00000000-0005-0000-0000-000014310000}"/>
    <cellStyle name="Normal 3 9 8" xfId="3182" xr:uid="{00000000-0005-0000-0000-000015310000}"/>
    <cellStyle name="Normal 3 9 8 2" xfId="13184" xr:uid="{00000000-0005-0000-0000-000016310000}"/>
    <cellStyle name="Normal 3 9 8 2 2" xfId="13185" xr:uid="{00000000-0005-0000-0000-000017310000}"/>
    <cellStyle name="Normal 3 9 8 3" xfId="13186" xr:uid="{00000000-0005-0000-0000-000018310000}"/>
    <cellStyle name="Normal 3 9 8 3 2" xfId="13187" xr:uid="{00000000-0005-0000-0000-000019310000}"/>
    <cellStyle name="Normal 3 9 8 4" xfId="13188" xr:uid="{00000000-0005-0000-0000-00001A310000}"/>
    <cellStyle name="Normal 3 9 8 5" xfId="13189" xr:uid="{00000000-0005-0000-0000-00001B310000}"/>
    <cellStyle name="Normal 3 9 9" xfId="3183" xr:uid="{00000000-0005-0000-0000-00001C310000}"/>
    <cellStyle name="Normal 3 9 9 2" xfId="13190" xr:uid="{00000000-0005-0000-0000-00001D310000}"/>
    <cellStyle name="Normal 3 9 9 2 2" xfId="13191" xr:uid="{00000000-0005-0000-0000-00001E310000}"/>
    <cellStyle name="Normal 3 9 9 3" xfId="13192" xr:uid="{00000000-0005-0000-0000-00001F310000}"/>
    <cellStyle name="Normal 3 9 9 3 2" xfId="13193" xr:uid="{00000000-0005-0000-0000-000020310000}"/>
    <cellStyle name="Normal 3 9 9 4" xfId="13194" xr:uid="{00000000-0005-0000-0000-000021310000}"/>
    <cellStyle name="Normal 3 9 9 5" xfId="13195" xr:uid="{00000000-0005-0000-0000-000022310000}"/>
    <cellStyle name="Normal 3_PRESUPUESTO SAN ANTONIO DE PRADO" xfId="3801" xr:uid="{00000000-0005-0000-0000-000023310000}"/>
    <cellStyle name="Normal 30" xfId="3184" xr:uid="{00000000-0005-0000-0000-000024310000}"/>
    <cellStyle name="Normal 31" xfId="3185" xr:uid="{00000000-0005-0000-0000-000025310000}"/>
    <cellStyle name="Normal 31 2" xfId="3186" xr:uid="{00000000-0005-0000-0000-000026310000}"/>
    <cellStyle name="Normal 31 3" xfId="3187" xr:uid="{00000000-0005-0000-0000-000027310000}"/>
    <cellStyle name="Normal 31 4" xfId="3188" xr:uid="{00000000-0005-0000-0000-000028310000}"/>
    <cellStyle name="Normal 32" xfId="3189" xr:uid="{00000000-0005-0000-0000-000029310000}"/>
    <cellStyle name="Normal 33" xfId="3190" xr:uid="{00000000-0005-0000-0000-00002A310000}"/>
    <cellStyle name="Normal 34" xfId="3191" xr:uid="{00000000-0005-0000-0000-00002B310000}"/>
    <cellStyle name="Normal 35" xfId="3192" xr:uid="{00000000-0005-0000-0000-00002C310000}"/>
    <cellStyle name="Normal 36" xfId="3193" xr:uid="{00000000-0005-0000-0000-00002D310000}"/>
    <cellStyle name="Normal 37" xfId="3194" xr:uid="{00000000-0005-0000-0000-00002E310000}"/>
    <cellStyle name="Normal 38" xfId="3195" xr:uid="{00000000-0005-0000-0000-00002F310000}"/>
    <cellStyle name="Normal 39" xfId="3196" xr:uid="{00000000-0005-0000-0000-000030310000}"/>
    <cellStyle name="Normal 4" xfId="49" xr:uid="{00000000-0005-0000-0000-000031310000}"/>
    <cellStyle name="Normal 4 10" xfId="3198" xr:uid="{00000000-0005-0000-0000-000032310000}"/>
    <cellStyle name="Normal 4 10 2" xfId="3199" xr:uid="{00000000-0005-0000-0000-000033310000}"/>
    <cellStyle name="Normal 4 10 2 2" xfId="13196" xr:uid="{00000000-0005-0000-0000-000034310000}"/>
    <cellStyle name="Normal 4 10 2 2 2" xfId="13197" xr:uid="{00000000-0005-0000-0000-000035310000}"/>
    <cellStyle name="Normal 4 10 2 3" xfId="13198" xr:uid="{00000000-0005-0000-0000-000036310000}"/>
    <cellStyle name="Normal 4 10 2 3 2" xfId="13199" xr:uid="{00000000-0005-0000-0000-000037310000}"/>
    <cellStyle name="Normal 4 10 2 4" xfId="13200" xr:uid="{00000000-0005-0000-0000-000038310000}"/>
    <cellStyle name="Normal 4 10 2 5" xfId="13201" xr:uid="{00000000-0005-0000-0000-000039310000}"/>
    <cellStyle name="Normal 4 10 3" xfId="3200" xr:uid="{00000000-0005-0000-0000-00003A310000}"/>
    <cellStyle name="Normal 4 10 3 2" xfId="13202" xr:uid="{00000000-0005-0000-0000-00003B310000}"/>
    <cellStyle name="Normal 4 10 3 2 2" xfId="13203" xr:uid="{00000000-0005-0000-0000-00003C310000}"/>
    <cellStyle name="Normal 4 10 3 3" xfId="13204" xr:uid="{00000000-0005-0000-0000-00003D310000}"/>
    <cellStyle name="Normal 4 10 3 3 2" xfId="13205" xr:uid="{00000000-0005-0000-0000-00003E310000}"/>
    <cellStyle name="Normal 4 10 3 4" xfId="13206" xr:uid="{00000000-0005-0000-0000-00003F310000}"/>
    <cellStyle name="Normal 4 10 3 5" xfId="13207" xr:uid="{00000000-0005-0000-0000-000040310000}"/>
    <cellStyle name="Normal 4 10 4" xfId="3201" xr:uid="{00000000-0005-0000-0000-000041310000}"/>
    <cellStyle name="Normal 4 10 4 2" xfId="13208" xr:uid="{00000000-0005-0000-0000-000042310000}"/>
    <cellStyle name="Normal 4 10 4 2 2" xfId="13209" xr:uid="{00000000-0005-0000-0000-000043310000}"/>
    <cellStyle name="Normal 4 10 4 3" xfId="13210" xr:uid="{00000000-0005-0000-0000-000044310000}"/>
    <cellStyle name="Normal 4 10 4 3 2" xfId="13211" xr:uid="{00000000-0005-0000-0000-000045310000}"/>
    <cellStyle name="Normal 4 10 4 4" xfId="13212" xr:uid="{00000000-0005-0000-0000-000046310000}"/>
    <cellStyle name="Normal 4 10 4 5" xfId="13213" xr:uid="{00000000-0005-0000-0000-000047310000}"/>
    <cellStyle name="Normal 4 10 5" xfId="13214" xr:uid="{00000000-0005-0000-0000-000048310000}"/>
    <cellStyle name="Normal 4 10 5 2" xfId="13215" xr:uid="{00000000-0005-0000-0000-000049310000}"/>
    <cellStyle name="Normal 4 10 6" xfId="13216" xr:uid="{00000000-0005-0000-0000-00004A310000}"/>
    <cellStyle name="Normal 4 10 6 2" xfId="13217" xr:uid="{00000000-0005-0000-0000-00004B310000}"/>
    <cellStyle name="Normal 4 10 7" xfId="13218" xr:uid="{00000000-0005-0000-0000-00004C310000}"/>
    <cellStyle name="Normal 4 10 8" xfId="13219" xr:uid="{00000000-0005-0000-0000-00004D310000}"/>
    <cellStyle name="Normal 4 11" xfId="3202" xr:uid="{00000000-0005-0000-0000-00004E310000}"/>
    <cellStyle name="Normal 4 11 2" xfId="3203" xr:uid="{00000000-0005-0000-0000-00004F310000}"/>
    <cellStyle name="Normal 4 11 2 2" xfId="13220" xr:uid="{00000000-0005-0000-0000-000050310000}"/>
    <cellStyle name="Normal 4 11 2 2 2" xfId="13221" xr:uid="{00000000-0005-0000-0000-000051310000}"/>
    <cellStyle name="Normal 4 11 2 3" xfId="13222" xr:uid="{00000000-0005-0000-0000-000052310000}"/>
    <cellStyle name="Normal 4 11 2 3 2" xfId="13223" xr:uid="{00000000-0005-0000-0000-000053310000}"/>
    <cellStyle name="Normal 4 11 2 4" xfId="13224" xr:uid="{00000000-0005-0000-0000-000054310000}"/>
    <cellStyle name="Normal 4 11 2 5" xfId="13225" xr:uid="{00000000-0005-0000-0000-000055310000}"/>
    <cellStyle name="Normal 4 11 3" xfId="3204" xr:uid="{00000000-0005-0000-0000-000056310000}"/>
    <cellStyle name="Normal 4 11 3 2" xfId="13226" xr:uid="{00000000-0005-0000-0000-000057310000}"/>
    <cellStyle name="Normal 4 11 3 2 2" xfId="13227" xr:uid="{00000000-0005-0000-0000-000058310000}"/>
    <cellStyle name="Normal 4 11 3 3" xfId="13228" xr:uid="{00000000-0005-0000-0000-000059310000}"/>
    <cellStyle name="Normal 4 11 3 3 2" xfId="13229" xr:uid="{00000000-0005-0000-0000-00005A310000}"/>
    <cellStyle name="Normal 4 11 3 4" xfId="13230" xr:uid="{00000000-0005-0000-0000-00005B310000}"/>
    <cellStyle name="Normal 4 11 3 5" xfId="13231" xr:uid="{00000000-0005-0000-0000-00005C310000}"/>
    <cellStyle name="Normal 4 11 4" xfId="3205" xr:uid="{00000000-0005-0000-0000-00005D310000}"/>
    <cellStyle name="Normal 4 11 4 2" xfId="13232" xr:uid="{00000000-0005-0000-0000-00005E310000}"/>
    <cellStyle name="Normal 4 11 4 2 2" xfId="13233" xr:uid="{00000000-0005-0000-0000-00005F310000}"/>
    <cellStyle name="Normal 4 11 4 3" xfId="13234" xr:uid="{00000000-0005-0000-0000-000060310000}"/>
    <cellStyle name="Normal 4 11 4 3 2" xfId="13235" xr:uid="{00000000-0005-0000-0000-000061310000}"/>
    <cellStyle name="Normal 4 11 4 4" xfId="13236" xr:uid="{00000000-0005-0000-0000-000062310000}"/>
    <cellStyle name="Normal 4 11 4 5" xfId="13237" xr:uid="{00000000-0005-0000-0000-000063310000}"/>
    <cellStyle name="Normal 4 11 5" xfId="13238" xr:uid="{00000000-0005-0000-0000-000064310000}"/>
    <cellStyle name="Normal 4 11 5 2" xfId="13239" xr:uid="{00000000-0005-0000-0000-000065310000}"/>
    <cellStyle name="Normal 4 11 6" xfId="13240" xr:uid="{00000000-0005-0000-0000-000066310000}"/>
    <cellStyle name="Normal 4 11 6 2" xfId="13241" xr:uid="{00000000-0005-0000-0000-000067310000}"/>
    <cellStyle name="Normal 4 11 7" xfId="13242" xr:uid="{00000000-0005-0000-0000-000068310000}"/>
    <cellStyle name="Normal 4 11 8" xfId="13243" xr:uid="{00000000-0005-0000-0000-000069310000}"/>
    <cellStyle name="Normal 4 12" xfId="3206" xr:uid="{00000000-0005-0000-0000-00006A310000}"/>
    <cellStyle name="Normal 4 12 2" xfId="3207" xr:uid="{00000000-0005-0000-0000-00006B310000}"/>
    <cellStyle name="Normal 4 12 2 2" xfId="13244" xr:uid="{00000000-0005-0000-0000-00006C310000}"/>
    <cellStyle name="Normal 4 12 2 2 2" xfId="13245" xr:uid="{00000000-0005-0000-0000-00006D310000}"/>
    <cellStyle name="Normal 4 12 2 3" xfId="13246" xr:uid="{00000000-0005-0000-0000-00006E310000}"/>
    <cellStyle name="Normal 4 12 2 3 2" xfId="13247" xr:uid="{00000000-0005-0000-0000-00006F310000}"/>
    <cellStyle name="Normal 4 12 2 4" xfId="13248" xr:uid="{00000000-0005-0000-0000-000070310000}"/>
    <cellStyle name="Normal 4 12 2 5" xfId="13249" xr:uid="{00000000-0005-0000-0000-000071310000}"/>
    <cellStyle name="Normal 4 12 3" xfId="3208" xr:uid="{00000000-0005-0000-0000-000072310000}"/>
    <cellStyle name="Normal 4 12 3 2" xfId="13250" xr:uid="{00000000-0005-0000-0000-000073310000}"/>
    <cellStyle name="Normal 4 12 3 2 2" xfId="13251" xr:uid="{00000000-0005-0000-0000-000074310000}"/>
    <cellStyle name="Normal 4 12 3 3" xfId="13252" xr:uid="{00000000-0005-0000-0000-000075310000}"/>
    <cellStyle name="Normal 4 12 3 3 2" xfId="13253" xr:uid="{00000000-0005-0000-0000-000076310000}"/>
    <cellStyle name="Normal 4 12 3 4" xfId="13254" xr:uid="{00000000-0005-0000-0000-000077310000}"/>
    <cellStyle name="Normal 4 12 3 5" xfId="13255" xr:uid="{00000000-0005-0000-0000-000078310000}"/>
    <cellStyle name="Normal 4 12 4" xfId="3209" xr:uid="{00000000-0005-0000-0000-000079310000}"/>
    <cellStyle name="Normal 4 12 4 2" xfId="13256" xr:uid="{00000000-0005-0000-0000-00007A310000}"/>
    <cellStyle name="Normal 4 12 4 2 2" xfId="13257" xr:uid="{00000000-0005-0000-0000-00007B310000}"/>
    <cellStyle name="Normal 4 12 4 3" xfId="13258" xr:uid="{00000000-0005-0000-0000-00007C310000}"/>
    <cellStyle name="Normal 4 12 4 3 2" xfId="13259" xr:uid="{00000000-0005-0000-0000-00007D310000}"/>
    <cellStyle name="Normal 4 12 4 4" xfId="13260" xr:uid="{00000000-0005-0000-0000-00007E310000}"/>
    <cellStyle name="Normal 4 12 4 5" xfId="13261" xr:uid="{00000000-0005-0000-0000-00007F310000}"/>
    <cellStyle name="Normal 4 12 5" xfId="13262" xr:uid="{00000000-0005-0000-0000-000080310000}"/>
    <cellStyle name="Normal 4 12 5 2" xfId="13263" xr:uid="{00000000-0005-0000-0000-000081310000}"/>
    <cellStyle name="Normal 4 12 6" xfId="13264" xr:uid="{00000000-0005-0000-0000-000082310000}"/>
    <cellStyle name="Normal 4 12 6 2" xfId="13265" xr:uid="{00000000-0005-0000-0000-000083310000}"/>
    <cellStyle name="Normal 4 12 7" xfId="13266" xr:uid="{00000000-0005-0000-0000-000084310000}"/>
    <cellStyle name="Normal 4 12 8" xfId="13267" xr:uid="{00000000-0005-0000-0000-000085310000}"/>
    <cellStyle name="Normal 4 13" xfId="3210" xr:uid="{00000000-0005-0000-0000-000086310000}"/>
    <cellStyle name="Normal 4 14" xfId="3211" xr:uid="{00000000-0005-0000-0000-000087310000}"/>
    <cellStyle name="Normal 4 15" xfId="3212" xr:uid="{00000000-0005-0000-0000-000088310000}"/>
    <cellStyle name="Normal 4 16" xfId="3213" xr:uid="{00000000-0005-0000-0000-000089310000}"/>
    <cellStyle name="Normal 4 16 10" xfId="13268" xr:uid="{00000000-0005-0000-0000-00008A310000}"/>
    <cellStyle name="Normal 4 16 10 2" xfId="13269" xr:uid="{00000000-0005-0000-0000-00008B310000}"/>
    <cellStyle name="Normal 4 16 11" xfId="13270" xr:uid="{00000000-0005-0000-0000-00008C310000}"/>
    <cellStyle name="Normal 4 16 12" xfId="13271" xr:uid="{00000000-0005-0000-0000-00008D310000}"/>
    <cellStyle name="Normal 4 16 2" xfId="3214" xr:uid="{00000000-0005-0000-0000-00008E310000}"/>
    <cellStyle name="Normal 4 16 3" xfId="3215" xr:uid="{00000000-0005-0000-0000-00008F310000}"/>
    <cellStyle name="Normal 4 16 4" xfId="3216" xr:uid="{00000000-0005-0000-0000-000090310000}"/>
    <cellStyle name="Normal 4 16 5" xfId="3217" xr:uid="{00000000-0005-0000-0000-000091310000}"/>
    <cellStyle name="Normal 4 16 6" xfId="3218" xr:uid="{00000000-0005-0000-0000-000092310000}"/>
    <cellStyle name="Normal 4 16 7" xfId="3219" xr:uid="{00000000-0005-0000-0000-000093310000}"/>
    <cellStyle name="Normal 4 16 8" xfId="3220" xr:uid="{00000000-0005-0000-0000-000094310000}"/>
    <cellStyle name="Normal 4 16 9" xfId="13272" xr:uid="{00000000-0005-0000-0000-000095310000}"/>
    <cellStyle name="Normal 4 16 9 2" xfId="13273" xr:uid="{00000000-0005-0000-0000-000096310000}"/>
    <cellStyle name="Normal 4 17" xfId="3221" xr:uid="{00000000-0005-0000-0000-000097310000}"/>
    <cellStyle name="Normal 4 18" xfId="3222" xr:uid="{00000000-0005-0000-0000-000098310000}"/>
    <cellStyle name="Normal 4 19" xfId="3223" xr:uid="{00000000-0005-0000-0000-000099310000}"/>
    <cellStyle name="Normal 4 19 2" xfId="13274" xr:uid="{00000000-0005-0000-0000-00009A310000}"/>
    <cellStyle name="Normal 4 19 2 2" xfId="13275" xr:uid="{00000000-0005-0000-0000-00009B310000}"/>
    <cellStyle name="Normal 4 19 3" xfId="13276" xr:uid="{00000000-0005-0000-0000-00009C310000}"/>
    <cellStyle name="Normal 4 19 3 2" xfId="13277" xr:uid="{00000000-0005-0000-0000-00009D310000}"/>
    <cellStyle name="Normal 4 19 4" xfId="13278" xr:uid="{00000000-0005-0000-0000-00009E310000}"/>
    <cellStyle name="Normal 4 19 5" xfId="13279" xr:uid="{00000000-0005-0000-0000-00009F310000}"/>
    <cellStyle name="Normal 4 2" xfId="3224" xr:uid="{00000000-0005-0000-0000-0000A0310000}"/>
    <cellStyle name="Normal 4 2 10" xfId="3802" xr:uid="{00000000-0005-0000-0000-0000A1310000}"/>
    <cellStyle name="Normal 4 2 10 2" xfId="3803" xr:uid="{00000000-0005-0000-0000-0000A2310000}"/>
    <cellStyle name="Normal 4 2 10 2 2" xfId="13280" xr:uid="{00000000-0005-0000-0000-0000A3310000}"/>
    <cellStyle name="Normal 4 2 10 2 3" xfId="13281" xr:uid="{00000000-0005-0000-0000-0000A4310000}"/>
    <cellStyle name="Normal 4 2 10 3" xfId="13282" xr:uid="{00000000-0005-0000-0000-0000A5310000}"/>
    <cellStyle name="Normal 4 2 10 3 2" xfId="13283" xr:uid="{00000000-0005-0000-0000-0000A6310000}"/>
    <cellStyle name="Normal 4 2 10 4" xfId="13284" xr:uid="{00000000-0005-0000-0000-0000A7310000}"/>
    <cellStyle name="Normal 4 2 10 5" xfId="13285" xr:uid="{00000000-0005-0000-0000-0000A8310000}"/>
    <cellStyle name="Normal 4 2 11" xfId="13286" xr:uid="{00000000-0005-0000-0000-0000A9310000}"/>
    <cellStyle name="Normal 4 2 2" xfId="3225" xr:uid="{00000000-0005-0000-0000-0000AA310000}"/>
    <cellStyle name="Normal 4 2 3" xfId="3226" xr:uid="{00000000-0005-0000-0000-0000AB310000}"/>
    <cellStyle name="Normal 4 2 4" xfId="3227" xr:uid="{00000000-0005-0000-0000-0000AC310000}"/>
    <cellStyle name="Normal 4 2 5" xfId="3228" xr:uid="{00000000-0005-0000-0000-0000AD310000}"/>
    <cellStyle name="Normal 4 2 6" xfId="3229" xr:uid="{00000000-0005-0000-0000-0000AE310000}"/>
    <cellStyle name="Normal 4 2 7" xfId="3230" xr:uid="{00000000-0005-0000-0000-0000AF310000}"/>
    <cellStyle name="Normal 4 2 7 2" xfId="13287" xr:uid="{00000000-0005-0000-0000-0000B0310000}"/>
    <cellStyle name="Normal 4 2 7 2 2" xfId="13288" xr:uid="{00000000-0005-0000-0000-0000B1310000}"/>
    <cellStyle name="Normal 4 2 7 3" xfId="13289" xr:uid="{00000000-0005-0000-0000-0000B2310000}"/>
    <cellStyle name="Normal 4 2 7 3 2" xfId="13290" xr:uid="{00000000-0005-0000-0000-0000B3310000}"/>
    <cellStyle name="Normal 4 2 7 4" xfId="13291" xr:uid="{00000000-0005-0000-0000-0000B4310000}"/>
    <cellStyle name="Normal 4 2 7 5" xfId="13292" xr:uid="{00000000-0005-0000-0000-0000B5310000}"/>
    <cellStyle name="Normal 4 2 8" xfId="3231" xr:uid="{00000000-0005-0000-0000-0000B6310000}"/>
    <cellStyle name="Normal 4 2 8 2" xfId="13293" xr:uid="{00000000-0005-0000-0000-0000B7310000}"/>
    <cellStyle name="Normal 4 2 8 2 2" xfId="13294" xr:uid="{00000000-0005-0000-0000-0000B8310000}"/>
    <cellStyle name="Normal 4 2 8 3" xfId="13295" xr:uid="{00000000-0005-0000-0000-0000B9310000}"/>
    <cellStyle name="Normal 4 2 8 3 2" xfId="13296" xr:uid="{00000000-0005-0000-0000-0000BA310000}"/>
    <cellStyle name="Normal 4 2 8 4" xfId="13297" xr:uid="{00000000-0005-0000-0000-0000BB310000}"/>
    <cellStyle name="Normal 4 2 8 5" xfId="13298" xr:uid="{00000000-0005-0000-0000-0000BC310000}"/>
    <cellStyle name="Normal 4 2 9" xfId="3232" xr:uid="{00000000-0005-0000-0000-0000BD310000}"/>
    <cellStyle name="Normal 4 2 9 2" xfId="13299" xr:uid="{00000000-0005-0000-0000-0000BE310000}"/>
    <cellStyle name="Normal 4 2 9 2 2" xfId="13300" xr:uid="{00000000-0005-0000-0000-0000BF310000}"/>
    <cellStyle name="Normal 4 2 9 3" xfId="13301" xr:uid="{00000000-0005-0000-0000-0000C0310000}"/>
    <cellStyle name="Normal 4 2 9 3 2" xfId="13302" xr:uid="{00000000-0005-0000-0000-0000C1310000}"/>
    <cellStyle name="Normal 4 2 9 4" xfId="13303" xr:uid="{00000000-0005-0000-0000-0000C2310000}"/>
    <cellStyle name="Normal 4 2 9 5" xfId="13304" xr:uid="{00000000-0005-0000-0000-0000C3310000}"/>
    <cellStyle name="Normal 4 20" xfId="3233" xr:uid="{00000000-0005-0000-0000-0000C4310000}"/>
    <cellStyle name="Normal 4 20 2" xfId="13305" xr:uid="{00000000-0005-0000-0000-0000C5310000}"/>
    <cellStyle name="Normal 4 20 2 2" xfId="13306" xr:uid="{00000000-0005-0000-0000-0000C6310000}"/>
    <cellStyle name="Normal 4 20 3" xfId="13307" xr:uid="{00000000-0005-0000-0000-0000C7310000}"/>
    <cellStyle name="Normal 4 20 3 2" xfId="13308" xr:uid="{00000000-0005-0000-0000-0000C8310000}"/>
    <cellStyle name="Normal 4 20 4" xfId="13309" xr:uid="{00000000-0005-0000-0000-0000C9310000}"/>
    <cellStyle name="Normal 4 20 5" xfId="13310" xr:uid="{00000000-0005-0000-0000-0000CA310000}"/>
    <cellStyle name="Normal 4 21" xfId="3234" xr:uid="{00000000-0005-0000-0000-0000CB310000}"/>
    <cellStyle name="Normal 4 21 2" xfId="13311" xr:uid="{00000000-0005-0000-0000-0000CC310000}"/>
    <cellStyle name="Normal 4 21 2 2" xfId="13312" xr:uid="{00000000-0005-0000-0000-0000CD310000}"/>
    <cellStyle name="Normal 4 21 3" xfId="13313" xr:uid="{00000000-0005-0000-0000-0000CE310000}"/>
    <cellStyle name="Normal 4 21 3 2" xfId="13314" xr:uid="{00000000-0005-0000-0000-0000CF310000}"/>
    <cellStyle name="Normal 4 21 4" xfId="13315" xr:uid="{00000000-0005-0000-0000-0000D0310000}"/>
    <cellStyle name="Normal 4 21 5" xfId="13316" xr:uid="{00000000-0005-0000-0000-0000D1310000}"/>
    <cellStyle name="Normal 4 22" xfId="3235" xr:uid="{00000000-0005-0000-0000-0000D2310000}"/>
    <cellStyle name="Normal 4 22 2" xfId="13317" xr:uid="{00000000-0005-0000-0000-0000D3310000}"/>
    <cellStyle name="Normal 4 22 2 2" xfId="13318" xr:uid="{00000000-0005-0000-0000-0000D4310000}"/>
    <cellStyle name="Normal 4 22 3" xfId="13319" xr:uid="{00000000-0005-0000-0000-0000D5310000}"/>
    <cellStyle name="Normal 4 22 3 2" xfId="13320" xr:uid="{00000000-0005-0000-0000-0000D6310000}"/>
    <cellStyle name="Normal 4 22 4" xfId="13321" xr:uid="{00000000-0005-0000-0000-0000D7310000}"/>
    <cellStyle name="Normal 4 22 5" xfId="13322" xr:uid="{00000000-0005-0000-0000-0000D8310000}"/>
    <cellStyle name="Normal 4 23" xfId="3236" xr:uid="{00000000-0005-0000-0000-0000D9310000}"/>
    <cellStyle name="Normal 4 23 2" xfId="13323" xr:uid="{00000000-0005-0000-0000-0000DA310000}"/>
    <cellStyle name="Normal 4 23 2 2" xfId="13324" xr:uid="{00000000-0005-0000-0000-0000DB310000}"/>
    <cellStyle name="Normal 4 23 3" xfId="13325" xr:uid="{00000000-0005-0000-0000-0000DC310000}"/>
    <cellStyle name="Normal 4 23 3 2" xfId="13326" xr:uid="{00000000-0005-0000-0000-0000DD310000}"/>
    <cellStyle name="Normal 4 23 4" xfId="13327" xr:uid="{00000000-0005-0000-0000-0000DE310000}"/>
    <cellStyle name="Normal 4 23 5" xfId="13328" xr:uid="{00000000-0005-0000-0000-0000DF310000}"/>
    <cellStyle name="Normal 4 24" xfId="3237" xr:uid="{00000000-0005-0000-0000-0000E0310000}"/>
    <cellStyle name="Normal 4 24 2" xfId="13329" xr:uid="{00000000-0005-0000-0000-0000E1310000}"/>
    <cellStyle name="Normal 4 24 2 2" xfId="13330" xr:uid="{00000000-0005-0000-0000-0000E2310000}"/>
    <cellStyle name="Normal 4 24 3" xfId="13331" xr:uid="{00000000-0005-0000-0000-0000E3310000}"/>
    <cellStyle name="Normal 4 24 3 2" xfId="13332" xr:uid="{00000000-0005-0000-0000-0000E4310000}"/>
    <cellStyle name="Normal 4 24 4" xfId="13333" xr:uid="{00000000-0005-0000-0000-0000E5310000}"/>
    <cellStyle name="Normal 4 24 5" xfId="13334" xr:uid="{00000000-0005-0000-0000-0000E6310000}"/>
    <cellStyle name="Normal 4 25" xfId="3804" xr:uid="{00000000-0005-0000-0000-0000E7310000}"/>
    <cellStyle name="Normal 4 25 2" xfId="13335" xr:uid="{00000000-0005-0000-0000-0000E8310000}"/>
    <cellStyle name="Normal 4 25 2 2" xfId="13336" xr:uid="{00000000-0005-0000-0000-0000E9310000}"/>
    <cellStyle name="Normal 4 25 3" xfId="13337" xr:uid="{00000000-0005-0000-0000-0000EA310000}"/>
    <cellStyle name="Normal 4 25 4" xfId="13338" xr:uid="{00000000-0005-0000-0000-0000EB310000}"/>
    <cellStyle name="Normal 4 26" xfId="3805" xr:uid="{00000000-0005-0000-0000-0000EC310000}"/>
    <cellStyle name="Normal 4 27" xfId="13339" xr:uid="{00000000-0005-0000-0000-0000ED310000}"/>
    <cellStyle name="Normal 4 27 2" xfId="13340" xr:uid="{00000000-0005-0000-0000-0000EE310000}"/>
    <cellStyle name="Normal 4 28" xfId="13341" xr:uid="{00000000-0005-0000-0000-0000EF310000}"/>
    <cellStyle name="Normal 4 29" xfId="13342" xr:uid="{00000000-0005-0000-0000-0000F0310000}"/>
    <cellStyle name="Normal 4 3" xfId="9" xr:uid="{00000000-0005-0000-0000-0000F1310000}"/>
    <cellStyle name="Normal 4 3 2" xfId="13343" xr:uid="{00000000-0005-0000-0000-0000F2310000}"/>
    <cellStyle name="Normal 4 3 3" xfId="13344" xr:uid="{00000000-0005-0000-0000-0000F3310000}"/>
    <cellStyle name="Normal 4 30" xfId="3197" xr:uid="{00000000-0005-0000-0000-0000F4310000}"/>
    <cellStyle name="Normal 4 4" xfId="3238" xr:uid="{00000000-0005-0000-0000-0000F5310000}"/>
    <cellStyle name="Normal 4 5" xfId="3239" xr:uid="{00000000-0005-0000-0000-0000F6310000}"/>
    <cellStyle name="Normal 4 6" xfId="3240" xr:uid="{00000000-0005-0000-0000-0000F7310000}"/>
    <cellStyle name="Normal 4 7" xfId="3241" xr:uid="{00000000-0005-0000-0000-0000F8310000}"/>
    <cellStyle name="Normal 4 8" xfId="3242" xr:uid="{00000000-0005-0000-0000-0000F9310000}"/>
    <cellStyle name="Normal 4 9" xfId="3243" xr:uid="{00000000-0005-0000-0000-0000FA310000}"/>
    <cellStyle name="Normal 4 9 2" xfId="3244" xr:uid="{00000000-0005-0000-0000-0000FB310000}"/>
    <cellStyle name="Normal 4 9 2 2" xfId="13345" xr:uid="{00000000-0005-0000-0000-0000FC310000}"/>
    <cellStyle name="Normal 4 9 2 2 2" xfId="13346" xr:uid="{00000000-0005-0000-0000-0000FD310000}"/>
    <cellStyle name="Normal 4 9 2 3" xfId="13347" xr:uid="{00000000-0005-0000-0000-0000FE310000}"/>
    <cellStyle name="Normal 4 9 2 3 2" xfId="13348" xr:uid="{00000000-0005-0000-0000-0000FF310000}"/>
    <cellStyle name="Normal 4 9 2 4" xfId="13349" xr:uid="{00000000-0005-0000-0000-000000320000}"/>
    <cellStyle name="Normal 4 9 2 5" xfId="13350" xr:uid="{00000000-0005-0000-0000-000001320000}"/>
    <cellStyle name="Normal 4 9 3" xfId="3245" xr:uid="{00000000-0005-0000-0000-000002320000}"/>
    <cellStyle name="Normal 4 9 3 2" xfId="13351" xr:uid="{00000000-0005-0000-0000-000003320000}"/>
    <cellStyle name="Normal 4 9 3 2 2" xfId="13352" xr:uid="{00000000-0005-0000-0000-000004320000}"/>
    <cellStyle name="Normal 4 9 3 3" xfId="13353" xr:uid="{00000000-0005-0000-0000-000005320000}"/>
    <cellStyle name="Normal 4 9 3 3 2" xfId="13354" xr:uid="{00000000-0005-0000-0000-000006320000}"/>
    <cellStyle name="Normal 4 9 3 4" xfId="13355" xr:uid="{00000000-0005-0000-0000-000007320000}"/>
    <cellStyle name="Normal 4 9 3 5" xfId="13356" xr:uid="{00000000-0005-0000-0000-000008320000}"/>
    <cellStyle name="Normal 4 9 4" xfId="3246" xr:uid="{00000000-0005-0000-0000-000009320000}"/>
    <cellStyle name="Normal 4 9 4 2" xfId="13357" xr:uid="{00000000-0005-0000-0000-00000A320000}"/>
    <cellStyle name="Normal 4 9 4 2 2" xfId="13358" xr:uid="{00000000-0005-0000-0000-00000B320000}"/>
    <cellStyle name="Normal 4 9 4 3" xfId="13359" xr:uid="{00000000-0005-0000-0000-00000C320000}"/>
    <cellStyle name="Normal 4 9 4 3 2" xfId="13360" xr:uid="{00000000-0005-0000-0000-00000D320000}"/>
    <cellStyle name="Normal 4 9 4 4" xfId="13361" xr:uid="{00000000-0005-0000-0000-00000E320000}"/>
    <cellStyle name="Normal 4 9 4 5" xfId="13362" xr:uid="{00000000-0005-0000-0000-00000F320000}"/>
    <cellStyle name="Normal 4 9 5" xfId="13363" xr:uid="{00000000-0005-0000-0000-000010320000}"/>
    <cellStyle name="Normal 4 9 5 2" xfId="13364" xr:uid="{00000000-0005-0000-0000-000011320000}"/>
    <cellStyle name="Normal 4 9 6" xfId="13365" xr:uid="{00000000-0005-0000-0000-000012320000}"/>
    <cellStyle name="Normal 4 9 6 2" xfId="13366" xr:uid="{00000000-0005-0000-0000-000013320000}"/>
    <cellStyle name="Normal 4 9 7" xfId="13367" xr:uid="{00000000-0005-0000-0000-000014320000}"/>
    <cellStyle name="Normal 4 9 8" xfId="13368" xr:uid="{00000000-0005-0000-0000-000015320000}"/>
    <cellStyle name="Normal 40" xfId="3247" xr:uid="{00000000-0005-0000-0000-000016320000}"/>
    <cellStyle name="Normal 41" xfId="3248" xr:uid="{00000000-0005-0000-0000-000017320000}"/>
    <cellStyle name="Normal 42" xfId="3249" xr:uid="{00000000-0005-0000-0000-000018320000}"/>
    <cellStyle name="Normal 43" xfId="3250" xr:uid="{00000000-0005-0000-0000-000019320000}"/>
    <cellStyle name="Normal 44" xfId="3251" xr:uid="{00000000-0005-0000-0000-00001A320000}"/>
    <cellStyle name="Normal 45" xfId="3252" xr:uid="{00000000-0005-0000-0000-00001B320000}"/>
    <cellStyle name="Normal 46" xfId="3253" xr:uid="{00000000-0005-0000-0000-00001C320000}"/>
    <cellStyle name="Normal 47" xfId="3254" xr:uid="{00000000-0005-0000-0000-00001D320000}"/>
    <cellStyle name="Normal 48" xfId="3255" xr:uid="{00000000-0005-0000-0000-00001E320000}"/>
    <cellStyle name="Normal 49" xfId="3256" xr:uid="{00000000-0005-0000-0000-00001F320000}"/>
    <cellStyle name="Normal 5" xfId="3257" xr:uid="{00000000-0005-0000-0000-000020320000}"/>
    <cellStyle name="Normal 5 10" xfId="3258" xr:uid="{00000000-0005-0000-0000-000021320000}"/>
    <cellStyle name="Normal 5 10 2" xfId="13369" xr:uid="{00000000-0005-0000-0000-000022320000}"/>
    <cellStyle name="Normal 5 10 2 2" xfId="13370" xr:uid="{00000000-0005-0000-0000-000023320000}"/>
    <cellStyle name="Normal 5 10 3" xfId="13371" xr:uid="{00000000-0005-0000-0000-000024320000}"/>
    <cellStyle name="Normal 5 10 3 2" xfId="13372" xr:uid="{00000000-0005-0000-0000-000025320000}"/>
    <cellStyle name="Normal 5 10 4" xfId="13373" xr:uid="{00000000-0005-0000-0000-000026320000}"/>
    <cellStyle name="Normal 5 10 5" xfId="13374" xr:uid="{00000000-0005-0000-0000-000027320000}"/>
    <cellStyle name="Normal 5 11" xfId="13375" xr:uid="{00000000-0005-0000-0000-000028320000}"/>
    <cellStyle name="Normal 5 11 2" xfId="13376" xr:uid="{00000000-0005-0000-0000-000029320000}"/>
    <cellStyle name="Normal 5 12" xfId="13377" xr:uid="{00000000-0005-0000-0000-00002A320000}"/>
    <cellStyle name="Normal 5 12 2" xfId="13378" xr:uid="{00000000-0005-0000-0000-00002B320000}"/>
    <cellStyle name="Normal 5 13" xfId="13379" xr:uid="{00000000-0005-0000-0000-00002C320000}"/>
    <cellStyle name="Normal 5 14" xfId="13380" xr:uid="{00000000-0005-0000-0000-00002D320000}"/>
    <cellStyle name="Normal 5 15" xfId="13381" xr:uid="{00000000-0005-0000-0000-00002E320000}"/>
    <cellStyle name="Normal 5 2" xfId="3259" xr:uid="{00000000-0005-0000-0000-00002F320000}"/>
    <cellStyle name="Normal 5 2 2" xfId="3260" xr:uid="{00000000-0005-0000-0000-000030320000}"/>
    <cellStyle name="Normal 5 2 2 2" xfId="13382" xr:uid="{00000000-0005-0000-0000-000031320000}"/>
    <cellStyle name="Normal 5 2 3" xfId="13383" xr:uid="{00000000-0005-0000-0000-000032320000}"/>
    <cellStyle name="Normal 5 2 3 2" xfId="13384" xr:uid="{00000000-0005-0000-0000-000033320000}"/>
    <cellStyle name="Normal 5 2 4" xfId="13385" xr:uid="{00000000-0005-0000-0000-000034320000}"/>
    <cellStyle name="Normal 5 2 5" xfId="13386" xr:uid="{00000000-0005-0000-0000-000035320000}"/>
    <cellStyle name="Normal 5 3" xfId="3261" xr:uid="{00000000-0005-0000-0000-000036320000}"/>
    <cellStyle name="Normal 5 4" xfId="3262" xr:uid="{00000000-0005-0000-0000-000037320000}"/>
    <cellStyle name="Normal 5 5" xfId="3263" xr:uid="{00000000-0005-0000-0000-000038320000}"/>
    <cellStyle name="Normal 5 6" xfId="3264" xr:uid="{00000000-0005-0000-0000-000039320000}"/>
    <cellStyle name="Normal 5 7" xfId="3265" xr:uid="{00000000-0005-0000-0000-00003A320000}"/>
    <cellStyle name="Normal 5 8" xfId="3266" xr:uid="{00000000-0005-0000-0000-00003B320000}"/>
    <cellStyle name="Normal 5 9" xfId="3267" xr:uid="{00000000-0005-0000-0000-00003C320000}"/>
    <cellStyle name="Normal 50" xfId="3268" xr:uid="{00000000-0005-0000-0000-00003D320000}"/>
    <cellStyle name="Normal 51" xfId="3269" xr:uid="{00000000-0005-0000-0000-00003E320000}"/>
    <cellStyle name="Normal 52" xfId="3270" xr:uid="{00000000-0005-0000-0000-00003F320000}"/>
    <cellStyle name="Normal 53" xfId="3271" xr:uid="{00000000-0005-0000-0000-000040320000}"/>
    <cellStyle name="Normal 54" xfId="3272" xr:uid="{00000000-0005-0000-0000-000041320000}"/>
    <cellStyle name="Normal 55" xfId="3273" xr:uid="{00000000-0005-0000-0000-000042320000}"/>
    <cellStyle name="Normal 56" xfId="3274" xr:uid="{00000000-0005-0000-0000-000043320000}"/>
    <cellStyle name="Normal 57" xfId="3275" xr:uid="{00000000-0005-0000-0000-000044320000}"/>
    <cellStyle name="Normal 58" xfId="3276" xr:uid="{00000000-0005-0000-0000-000045320000}"/>
    <cellStyle name="Normal 59" xfId="3277" xr:uid="{00000000-0005-0000-0000-000046320000}"/>
    <cellStyle name="Normal 6" xfId="54" xr:uid="{00000000-0005-0000-0000-000047320000}"/>
    <cellStyle name="Normal 6 10" xfId="13387" xr:uid="{00000000-0005-0000-0000-000048320000}"/>
    <cellStyle name="Normal 6 10 2" xfId="13388" xr:uid="{00000000-0005-0000-0000-000049320000}"/>
    <cellStyle name="Normal 6 11" xfId="13389" xr:uid="{00000000-0005-0000-0000-00004A320000}"/>
    <cellStyle name="Normal 6 11 2" xfId="13390" xr:uid="{00000000-0005-0000-0000-00004B320000}"/>
    <cellStyle name="Normal 6 12" xfId="13391" xr:uid="{00000000-0005-0000-0000-00004C320000}"/>
    <cellStyle name="Normal 6 13" xfId="13392" xr:uid="{00000000-0005-0000-0000-00004D320000}"/>
    <cellStyle name="Normal 6 2" xfId="3278" xr:uid="{00000000-0005-0000-0000-00004E320000}"/>
    <cellStyle name="Normal 6 3" xfId="3279" xr:uid="{00000000-0005-0000-0000-00004F320000}"/>
    <cellStyle name="Normal 6 4" xfId="3280" xr:uid="{00000000-0005-0000-0000-000050320000}"/>
    <cellStyle name="Normal 6 5" xfId="3281" xr:uid="{00000000-0005-0000-0000-000051320000}"/>
    <cellStyle name="Normal 6 6" xfId="3282" xr:uid="{00000000-0005-0000-0000-000052320000}"/>
    <cellStyle name="Normal 6 7" xfId="3283" xr:uid="{00000000-0005-0000-0000-000053320000}"/>
    <cellStyle name="Normal 6 8" xfId="3284" xr:uid="{00000000-0005-0000-0000-000054320000}"/>
    <cellStyle name="Normal 6 9" xfId="3285" xr:uid="{00000000-0005-0000-0000-000055320000}"/>
    <cellStyle name="Normal 60" xfId="3286" xr:uid="{00000000-0005-0000-0000-000056320000}"/>
    <cellStyle name="Normal 61" xfId="3287" xr:uid="{00000000-0005-0000-0000-000057320000}"/>
    <cellStyle name="Normal 62" xfId="3288" xr:uid="{00000000-0005-0000-0000-000058320000}"/>
    <cellStyle name="Normal 63" xfId="3289" xr:uid="{00000000-0005-0000-0000-000059320000}"/>
    <cellStyle name="Normal 64" xfId="3290" xr:uid="{00000000-0005-0000-0000-00005A320000}"/>
    <cellStyle name="Normal 65" xfId="3291" xr:uid="{00000000-0005-0000-0000-00005B320000}"/>
    <cellStyle name="Normal 66" xfId="3292" xr:uid="{00000000-0005-0000-0000-00005C320000}"/>
    <cellStyle name="Normal 66 2" xfId="3806" xr:uid="{00000000-0005-0000-0000-00005D320000}"/>
    <cellStyle name="Normal 66 3" xfId="13393" xr:uid="{00000000-0005-0000-0000-00005E320000}"/>
    <cellStyle name="Normal 67" xfId="3293" xr:uid="{00000000-0005-0000-0000-00005F320000}"/>
    <cellStyle name="Normal 67 2" xfId="3807" xr:uid="{00000000-0005-0000-0000-000060320000}"/>
    <cellStyle name="Normal 67 2 2" xfId="13394" xr:uid="{00000000-0005-0000-0000-000061320000}"/>
    <cellStyle name="Normal 67 3" xfId="13395" xr:uid="{00000000-0005-0000-0000-000062320000}"/>
    <cellStyle name="Normal 67 4" xfId="13396" xr:uid="{00000000-0005-0000-0000-000063320000}"/>
    <cellStyle name="Normal 68" xfId="3294" xr:uid="{00000000-0005-0000-0000-000064320000}"/>
    <cellStyle name="Normal 68 2" xfId="3808" xr:uid="{00000000-0005-0000-0000-000065320000}"/>
    <cellStyle name="Normal 68 3" xfId="13397" xr:uid="{00000000-0005-0000-0000-000066320000}"/>
    <cellStyle name="Normal 69" xfId="3785" xr:uid="{00000000-0005-0000-0000-000067320000}"/>
    <cellStyle name="Normal 69 2" xfId="13398" xr:uid="{00000000-0005-0000-0000-000068320000}"/>
    <cellStyle name="Normal 69 3" xfId="13399" xr:uid="{00000000-0005-0000-0000-000069320000}"/>
    <cellStyle name="Normal 7" xfId="3295" xr:uid="{00000000-0005-0000-0000-00006A320000}"/>
    <cellStyle name="Normal 7 2" xfId="3296" xr:uid="{00000000-0005-0000-0000-00006B320000}"/>
    <cellStyle name="Normal 7 2 2" xfId="13400" xr:uid="{00000000-0005-0000-0000-00006C320000}"/>
    <cellStyle name="Normal 7 2 2 2" xfId="13401" xr:uid="{00000000-0005-0000-0000-00006D320000}"/>
    <cellStyle name="Normal 7 2 3" xfId="13402" xr:uid="{00000000-0005-0000-0000-00006E320000}"/>
    <cellStyle name="Normal 7 2 3 2" xfId="13403" xr:uid="{00000000-0005-0000-0000-00006F320000}"/>
    <cellStyle name="Normal 7 2 4" xfId="13404" xr:uid="{00000000-0005-0000-0000-000070320000}"/>
    <cellStyle name="Normal 7 2 5" xfId="13405" xr:uid="{00000000-0005-0000-0000-000071320000}"/>
    <cellStyle name="Normal 7 3" xfId="3297" xr:uid="{00000000-0005-0000-0000-000072320000}"/>
    <cellStyle name="Normal 7 3 2" xfId="13406" xr:uid="{00000000-0005-0000-0000-000073320000}"/>
    <cellStyle name="Normal 7 3 2 2" xfId="13407" xr:uid="{00000000-0005-0000-0000-000074320000}"/>
    <cellStyle name="Normal 7 3 3" xfId="13408" xr:uid="{00000000-0005-0000-0000-000075320000}"/>
    <cellStyle name="Normal 7 3 3 2" xfId="13409" xr:uid="{00000000-0005-0000-0000-000076320000}"/>
    <cellStyle name="Normal 7 3 4" xfId="13410" xr:uid="{00000000-0005-0000-0000-000077320000}"/>
    <cellStyle name="Normal 7 3 5" xfId="13411" xr:uid="{00000000-0005-0000-0000-000078320000}"/>
    <cellStyle name="Normal 7 4" xfId="3298" xr:uid="{00000000-0005-0000-0000-000079320000}"/>
    <cellStyle name="Normal 7 4 2" xfId="13412" xr:uid="{00000000-0005-0000-0000-00007A320000}"/>
    <cellStyle name="Normal 7 4 2 2" xfId="13413" xr:uid="{00000000-0005-0000-0000-00007B320000}"/>
    <cellStyle name="Normal 7 4 3" xfId="13414" xr:uid="{00000000-0005-0000-0000-00007C320000}"/>
    <cellStyle name="Normal 7 4 3 2" xfId="13415" xr:uid="{00000000-0005-0000-0000-00007D320000}"/>
    <cellStyle name="Normal 7 4 4" xfId="13416" xr:uid="{00000000-0005-0000-0000-00007E320000}"/>
    <cellStyle name="Normal 7 4 5" xfId="13417" xr:uid="{00000000-0005-0000-0000-00007F320000}"/>
    <cellStyle name="Normal 7 5" xfId="3299" xr:uid="{00000000-0005-0000-0000-000080320000}"/>
    <cellStyle name="Normal 7 5 2" xfId="13418" xr:uid="{00000000-0005-0000-0000-000081320000}"/>
    <cellStyle name="Normal 7 5 2 2" xfId="13419" xr:uid="{00000000-0005-0000-0000-000082320000}"/>
    <cellStyle name="Normal 7 5 3" xfId="13420" xr:uid="{00000000-0005-0000-0000-000083320000}"/>
    <cellStyle name="Normal 7 5 3 2" xfId="13421" xr:uid="{00000000-0005-0000-0000-000084320000}"/>
    <cellStyle name="Normal 7 5 4" xfId="13422" xr:uid="{00000000-0005-0000-0000-000085320000}"/>
    <cellStyle name="Normal 7 5 5" xfId="13423" xr:uid="{00000000-0005-0000-0000-000086320000}"/>
    <cellStyle name="Normal 7 6" xfId="3300" xr:uid="{00000000-0005-0000-0000-000087320000}"/>
    <cellStyle name="Normal 7 6 2" xfId="13424" xr:uid="{00000000-0005-0000-0000-000088320000}"/>
    <cellStyle name="Normal 7 6 2 2" xfId="13425" xr:uid="{00000000-0005-0000-0000-000089320000}"/>
    <cellStyle name="Normal 7 6 3" xfId="13426" xr:uid="{00000000-0005-0000-0000-00008A320000}"/>
    <cellStyle name="Normal 7 6 3 2" xfId="13427" xr:uid="{00000000-0005-0000-0000-00008B320000}"/>
    <cellStyle name="Normal 7 6 4" xfId="13428" xr:uid="{00000000-0005-0000-0000-00008C320000}"/>
    <cellStyle name="Normal 7 6 5" xfId="13429" xr:uid="{00000000-0005-0000-0000-00008D320000}"/>
    <cellStyle name="Normal 7 7" xfId="3301" xr:uid="{00000000-0005-0000-0000-00008E320000}"/>
    <cellStyle name="Normal 7 7 2" xfId="13430" xr:uid="{00000000-0005-0000-0000-00008F320000}"/>
    <cellStyle name="Normal 7 7 2 2" xfId="13431" xr:uid="{00000000-0005-0000-0000-000090320000}"/>
    <cellStyle name="Normal 7 7 3" xfId="13432" xr:uid="{00000000-0005-0000-0000-000091320000}"/>
    <cellStyle name="Normal 7 7 3 2" xfId="13433" xr:uid="{00000000-0005-0000-0000-000092320000}"/>
    <cellStyle name="Normal 7 7 4" xfId="13434" xr:uid="{00000000-0005-0000-0000-000093320000}"/>
    <cellStyle name="Normal 7 7 5" xfId="13435" xr:uid="{00000000-0005-0000-0000-000094320000}"/>
    <cellStyle name="Normal 7 8" xfId="3302" xr:uid="{00000000-0005-0000-0000-000095320000}"/>
    <cellStyle name="Normal 7 9" xfId="13436" xr:uid="{00000000-0005-0000-0000-000096320000}"/>
    <cellStyle name="Normal 70" xfId="4" xr:uid="{00000000-0005-0000-0000-000097320000}"/>
    <cellStyle name="Normal 70 2" xfId="13437" xr:uid="{00000000-0005-0000-0000-000098320000}"/>
    <cellStyle name="Normal 70 3" xfId="13786" xr:uid="{00000000-0005-0000-0000-000099320000}"/>
    <cellStyle name="Normal 71" xfId="13438" xr:uid="{00000000-0005-0000-0000-00009A320000}"/>
    <cellStyle name="Normal 71 2" xfId="13439" xr:uid="{00000000-0005-0000-0000-00009B320000}"/>
    <cellStyle name="Normal 72" xfId="13440" xr:uid="{00000000-0005-0000-0000-00009C320000}"/>
    <cellStyle name="Normal 73" xfId="13441" xr:uid="{00000000-0005-0000-0000-00009D320000}"/>
    <cellStyle name="Normal 74" xfId="13442" xr:uid="{00000000-0005-0000-0000-00009E320000}"/>
    <cellStyle name="Normal 75" xfId="13443" xr:uid="{00000000-0005-0000-0000-00009F320000}"/>
    <cellStyle name="Normal 76" xfId="13444" xr:uid="{00000000-0005-0000-0000-0000A0320000}"/>
    <cellStyle name="Normal 77" xfId="13445" xr:uid="{00000000-0005-0000-0000-0000A1320000}"/>
    <cellStyle name="Normal 78" xfId="13446" xr:uid="{00000000-0005-0000-0000-0000A2320000}"/>
    <cellStyle name="Normal 79" xfId="13447" xr:uid="{00000000-0005-0000-0000-0000A3320000}"/>
    <cellStyle name="Normal 8" xfId="3303" xr:uid="{00000000-0005-0000-0000-0000A4320000}"/>
    <cellStyle name="Normal 8 10" xfId="3304" xr:uid="{00000000-0005-0000-0000-0000A5320000}"/>
    <cellStyle name="Normal 8 11" xfId="3305" xr:uid="{00000000-0005-0000-0000-0000A6320000}"/>
    <cellStyle name="Normal 8 12" xfId="3306" xr:uid="{00000000-0005-0000-0000-0000A7320000}"/>
    <cellStyle name="Normal 8 13" xfId="3307" xr:uid="{00000000-0005-0000-0000-0000A8320000}"/>
    <cellStyle name="Normal 8 14" xfId="3308" xr:uid="{00000000-0005-0000-0000-0000A9320000}"/>
    <cellStyle name="Normal 8 15" xfId="3309" xr:uid="{00000000-0005-0000-0000-0000AA320000}"/>
    <cellStyle name="Normal 8 16" xfId="3310" xr:uid="{00000000-0005-0000-0000-0000AB320000}"/>
    <cellStyle name="Normal 8 17" xfId="3311" xr:uid="{00000000-0005-0000-0000-0000AC320000}"/>
    <cellStyle name="Normal 8 18" xfId="3312" xr:uid="{00000000-0005-0000-0000-0000AD320000}"/>
    <cellStyle name="Normal 8 19" xfId="3313" xr:uid="{00000000-0005-0000-0000-0000AE320000}"/>
    <cellStyle name="Normal 8 2" xfId="3314" xr:uid="{00000000-0005-0000-0000-0000AF320000}"/>
    <cellStyle name="Normal 8 20" xfId="3315" xr:uid="{00000000-0005-0000-0000-0000B0320000}"/>
    <cellStyle name="Normal 8 21" xfId="3316" xr:uid="{00000000-0005-0000-0000-0000B1320000}"/>
    <cellStyle name="Normal 8 22" xfId="3317" xr:uid="{00000000-0005-0000-0000-0000B2320000}"/>
    <cellStyle name="Normal 8 23" xfId="3318" xr:uid="{00000000-0005-0000-0000-0000B3320000}"/>
    <cellStyle name="Normal 8 24" xfId="3319" xr:uid="{00000000-0005-0000-0000-0000B4320000}"/>
    <cellStyle name="Normal 8 25" xfId="3320" xr:uid="{00000000-0005-0000-0000-0000B5320000}"/>
    <cellStyle name="Normal 8 26" xfId="3321" xr:uid="{00000000-0005-0000-0000-0000B6320000}"/>
    <cellStyle name="Normal 8 27" xfId="3322" xr:uid="{00000000-0005-0000-0000-0000B7320000}"/>
    <cellStyle name="Normal 8 28" xfId="3323" xr:uid="{00000000-0005-0000-0000-0000B8320000}"/>
    <cellStyle name="Normal 8 29" xfId="3324" xr:uid="{00000000-0005-0000-0000-0000B9320000}"/>
    <cellStyle name="Normal 8 3" xfId="3325" xr:uid="{00000000-0005-0000-0000-0000BA320000}"/>
    <cellStyle name="Normal 8 30" xfId="3326" xr:uid="{00000000-0005-0000-0000-0000BB320000}"/>
    <cellStyle name="Normal 8 31" xfId="3327" xr:uid="{00000000-0005-0000-0000-0000BC320000}"/>
    <cellStyle name="Normal 8 32" xfId="3328" xr:uid="{00000000-0005-0000-0000-0000BD320000}"/>
    <cellStyle name="Normal 8 33" xfId="3329" xr:uid="{00000000-0005-0000-0000-0000BE320000}"/>
    <cellStyle name="Normal 8 34" xfId="3330" xr:uid="{00000000-0005-0000-0000-0000BF320000}"/>
    <cellStyle name="Normal 8 35" xfId="3331" xr:uid="{00000000-0005-0000-0000-0000C0320000}"/>
    <cellStyle name="Normal 8 36" xfId="3332" xr:uid="{00000000-0005-0000-0000-0000C1320000}"/>
    <cellStyle name="Normal 8 37" xfId="3333" xr:uid="{00000000-0005-0000-0000-0000C2320000}"/>
    <cellStyle name="Normal 8 38" xfId="3334" xr:uid="{00000000-0005-0000-0000-0000C3320000}"/>
    <cellStyle name="Normal 8 39" xfId="3335" xr:uid="{00000000-0005-0000-0000-0000C4320000}"/>
    <cellStyle name="Normal 8 4" xfId="3336" xr:uid="{00000000-0005-0000-0000-0000C5320000}"/>
    <cellStyle name="Normal 8 40" xfId="3337" xr:uid="{00000000-0005-0000-0000-0000C6320000}"/>
    <cellStyle name="Normal 8 41" xfId="3338" xr:uid="{00000000-0005-0000-0000-0000C7320000}"/>
    <cellStyle name="Normal 8 42" xfId="3339" xr:uid="{00000000-0005-0000-0000-0000C8320000}"/>
    <cellStyle name="Normal 8 43" xfId="3340" xr:uid="{00000000-0005-0000-0000-0000C9320000}"/>
    <cellStyle name="Normal 8 44" xfId="3341" xr:uid="{00000000-0005-0000-0000-0000CA320000}"/>
    <cellStyle name="Normal 8 45" xfId="3342" xr:uid="{00000000-0005-0000-0000-0000CB320000}"/>
    <cellStyle name="Normal 8 46" xfId="3343" xr:uid="{00000000-0005-0000-0000-0000CC320000}"/>
    <cellStyle name="Normal 8 47" xfId="3344" xr:uid="{00000000-0005-0000-0000-0000CD320000}"/>
    <cellStyle name="Normal 8 48" xfId="3345" xr:uid="{00000000-0005-0000-0000-0000CE320000}"/>
    <cellStyle name="Normal 8 49" xfId="3346" xr:uid="{00000000-0005-0000-0000-0000CF320000}"/>
    <cellStyle name="Normal 8 5" xfId="3347" xr:uid="{00000000-0005-0000-0000-0000D0320000}"/>
    <cellStyle name="Normal 8 50" xfId="3348" xr:uid="{00000000-0005-0000-0000-0000D1320000}"/>
    <cellStyle name="Normal 8 51" xfId="3349" xr:uid="{00000000-0005-0000-0000-0000D2320000}"/>
    <cellStyle name="Normal 8 52" xfId="3350" xr:uid="{00000000-0005-0000-0000-0000D3320000}"/>
    <cellStyle name="Normal 8 53" xfId="3351" xr:uid="{00000000-0005-0000-0000-0000D4320000}"/>
    <cellStyle name="Normal 8 54" xfId="3352" xr:uid="{00000000-0005-0000-0000-0000D5320000}"/>
    <cellStyle name="Normal 8 55" xfId="3353" xr:uid="{00000000-0005-0000-0000-0000D6320000}"/>
    <cellStyle name="Normal 8 56" xfId="3354" xr:uid="{00000000-0005-0000-0000-0000D7320000}"/>
    <cellStyle name="Normal 8 57" xfId="3355" xr:uid="{00000000-0005-0000-0000-0000D8320000}"/>
    <cellStyle name="Normal 8 58" xfId="3356" xr:uid="{00000000-0005-0000-0000-0000D9320000}"/>
    <cellStyle name="Normal 8 59" xfId="13448" xr:uid="{00000000-0005-0000-0000-0000DA320000}"/>
    <cellStyle name="Normal 8 6" xfId="3357" xr:uid="{00000000-0005-0000-0000-0000DB320000}"/>
    <cellStyle name="Normal 8 7" xfId="3358" xr:uid="{00000000-0005-0000-0000-0000DC320000}"/>
    <cellStyle name="Normal 8 8" xfId="3359" xr:uid="{00000000-0005-0000-0000-0000DD320000}"/>
    <cellStyle name="Normal 8 9" xfId="3360" xr:uid="{00000000-0005-0000-0000-0000DE320000}"/>
    <cellStyle name="Normal 80" xfId="13449" xr:uid="{00000000-0005-0000-0000-0000DF320000}"/>
    <cellStyle name="Normal 81" xfId="13450" xr:uid="{00000000-0005-0000-0000-0000E0320000}"/>
    <cellStyle name="Normal 82" xfId="13451" xr:uid="{00000000-0005-0000-0000-0000E1320000}"/>
    <cellStyle name="Normal 83" xfId="13452" xr:uid="{00000000-0005-0000-0000-0000E2320000}"/>
    <cellStyle name="Normal 84" xfId="13453" xr:uid="{00000000-0005-0000-0000-0000E3320000}"/>
    <cellStyle name="Normal 85" xfId="13454" xr:uid="{00000000-0005-0000-0000-0000E4320000}"/>
    <cellStyle name="Normal 86" xfId="13455" xr:uid="{00000000-0005-0000-0000-0000E5320000}"/>
    <cellStyle name="Normal 87" xfId="13456" xr:uid="{00000000-0005-0000-0000-0000E6320000}"/>
    <cellStyle name="Normal 88" xfId="13457" xr:uid="{00000000-0005-0000-0000-0000E7320000}"/>
    <cellStyle name="Normal 89" xfId="13458" xr:uid="{00000000-0005-0000-0000-0000E8320000}"/>
    <cellStyle name="Normal 9" xfId="3361" xr:uid="{00000000-0005-0000-0000-0000E9320000}"/>
    <cellStyle name="Normal 9 10" xfId="3362" xr:uid="{00000000-0005-0000-0000-0000EA320000}"/>
    <cellStyle name="Normal 9 11" xfId="3363" xr:uid="{00000000-0005-0000-0000-0000EB320000}"/>
    <cellStyle name="Normal 9 12" xfId="3364" xr:uid="{00000000-0005-0000-0000-0000EC320000}"/>
    <cellStyle name="Normal 9 13" xfId="3365" xr:uid="{00000000-0005-0000-0000-0000ED320000}"/>
    <cellStyle name="Normal 9 14" xfId="3366" xr:uid="{00000000-0005-0000-0000-0000EE320000}"/>
    <cellStyle name="Normal 9 15" xfId="3367" xr:uid="{00000000-0005-0000-0000-0000EF320000}"/>
    <cellStyle name="Normal 9 16" xfId="3368" xr:uid="{00000000-0005-0000-0000-0000F0320000}"/>
    <cellStyle name="Normal 9 17" xfId="3369" xr:uid="{00000000-0005-0000-0000-0000F1320000}"/>
    <cellStyle name="Normal 9 18" xfId="3370" xr:uid="{00000000-0005-0000-0000-0000F2320000}"/>
    <cellStyle name="Normal 9 19" xfId="3371" xr:uid="{00000000-0005-0000-0000-0000F3320000}"/>
    <cellStyle name="Normal 9 2" xfId="3372" xr:uid="{00000000-0005-0000-0000-0000F4320000}"/>
    <cellStyle name="Normal 9 2 10" xfId="3373" xr:uid="{00000000-0005-0000-0000-0000F5320000}"/>
    <cellStyle name="Normal 9 2 10 2" xfId="13459" xr:uid="{00000000-0005-0000-0000-0000F6320000}"/>
    <cellStyle name="Normal 9 2 10 2 2" xfId="13460" xr:uid="{00000000-0005-0000-0000-0000F7320000}"/>
    <cellStyle name="Normal 9 2 10 3" xfId="13461" xr:uid="{00000000-0005-0000-0000-0000F8320000}"/>
    <cellStyle name="Normal 9 2 10 3 2" xfId="13462" xr:uid="{00000000-0005-0000-0000-0000F9320000}"/>
    <cellStyle name="Normal 9 2 10 4" xfId="13463" xr:uid="{00000000-0005-0000-0000-0000FA320000}"/>
    <cellStyle name="Normal 9 2 10 5" xfId="13464" xr:uid="{00000000-0005-0000-0000-0000FB320000}"/>
    <cellStyle name="Normal 9 2 2" xfId="3374" xr:uid="{00000000-0005-0000-0000-0000FC320000}"/>
    <cellStyle name="Normal 9 2 2 10" xfId="13465" xr:uid="{00000000-0005-0000-0000-0000FD320000}"/>
    <cellStyle name="Normal 9 2 2 10 2" xfId="13466" xr:uid="{00000000-0005-0000-0000-0000FE320000}"/>
    <cellStyle name="Normal 9 2 2 11" xfId="13467" xr:uid="{00000000-0005-0000-0000-0000FF320000}"/>
    <cellStyle name="Normal 9 2 2 12" xfId="13468" xr:uid="{00000000-0005-0000-0000-000000330000}"/>
    <cellStyle name="Normal 9 2 2 2" xfId="3375" xr:uid="{00000000-0005-0000-0000-000001330000}"/>
    <cellStyle name="Normal 9 2 2 3" xfId="3376" xr:uid="{00000000-0005-0000-0000-000002330000}"/>
    <cellStyle name="Normal 9 2 2 4" xfId="3377" xr:uid="{00000000-0005-0000-0000-000003330000}"/>
    <cellStyle name="Normal 9 2 2 5" xfId="3378" xr:uid="{00000000-0005-0000-0000-000004330000}"/>
    <cellStyle name="Normal 9 2 2 6" xfId="3379" xr:uid="{00000000-0005-0000-0000-000005330000}"/>
    <cellStyle name="Normal 9 2 2 7" xfId="3380" xr:uid="{00000000-0005-0000-0000-000006330000}"/>
    <cellStyle name="Normal 9 2 2 8" xfId="3381" xr:uid="{00000000-0005-0000-0000-000007330000}"/>
    <cellStyle name="Normal 9 2 2 9" xfId="13469" xr:uid="{00000000-0005-0000-0000-000008330000}"/>
    <cellStyle name="Normal 9 2 2 9 2" xfId="13470" xr:uid="{00000000-0005-0000-0000-000009330000}"/>
    <cellStyle name="Normal 9 2 3" xfId="3382" xr:uid="{00000000-0005-0000-0000-00000A330000}"/>
    <cellStyle name="Normal 9 2 4" xfId="3383" xr:uid="{00000000-0005-0000-0000-00000B330000}"/>
    <cellStyle name="Normal 9 2 5" xfId="3384" xr:uid="{00000000-0005-0000-0000-00000C330000}"/>
    <cellStyle name="Normal 9 2 5 2" xfId="13471" xr:uid="{00000000-0005-0000-0000-00000D330000}"/>
    <cellStyle name="Normal 9 2 5 2 2" xfId="13472" xr:uid="{00000000-0005-0000-0000-00000E330000}"/>
    <cellStyle name="Normal 9 2 5 3" xfId="13473" xr:uid="{00000000-0005-0000-0000-00000F330000}"/>
    <cellStyle name="Normal 9 2 5 3 2" xfId="13474" xr:uid="{00000000-0005-0000-0000-000010330000}"/>
    <cellStyle name="Normal 9 2 5 4" xfId="13475" xr:uid="{00000000-0005-0000-0000-000011330000}"/>
    <cellStyle name="Normal 9 2 5 5" xfId="13476" xr:uid="{00000000-0005-0000-0000-000012330000}"/>
    <cellStyle name="Normal 9 2 6" xfId="3385" xr:uid="{00000000-0005-0000-0000-000013330000}"/>
    <cellStyle name="Normal 9 2 6 2" xfId="13477" xr:uid="{00000000-0005-0000-0000-000014330000}"/>
    <cellStyle name="Normal 9 2 6 2 2" xfId="13478" xr:uid="{00000000-0005-0000-0000-000015330000}"/>
    <cellStyle name="Normal 9 2 6 3" xfId="13479" xr:uid="{00000000-0005-0000-0000-000016330000}"/>
    <cellStyle name="Normal 9 2 6 3 2" xfId="13480" xr:uid="{00000000-0005-0000-0000-000017330000}"/>
    <cellStyle name="Normal 9 2 6 4" xfId="13481" xr:uid="{00000000-0005-0000-0000-000018330000}"/>
    <cellStyle name="Normal 9 2 6 5" xfId="13482" xr:uid="{00000000-0005-0000-0000-000019330000}"/>
    <cellStyle name="Normal 9 2 7" xfId="3386" xr:uid="{00000000-0005-0000-0000-00001A330000}"/>
    <cellStyle name="Normal 9 2 7 2" xfId="13483" xr:uid="{00000000-0005-0000-0000-00001B330000}"/>
    <cellStyle name="Normal 9 2 7 2 2" xfId="13484" xr:uid="{00000000-0005-0000-0000-00001C330000}"/>
    <cellStyle name="Normal 9 2 7 3" xfId="13485" xr:uid="{00000000-0005-0000-0000-00001D330000}"/>
    <cellStyle name="Normal 9 2 7 3 2" xfId="13486" xr:uid="{00000000-0005-0000-0000-00001E330000}"/>
    <cellStyle name="Normal 9 2 7 4" xfId="13487" xr:uid="{00000000-0005-0000-0000-00001F330000}"/>
    <cellStyle name="Normal 9 2 7 5" xfId="13488" xr:uid="{00000000-0005-0000-0000-000020330000}"/>
    <cellStyle name="Normal 9 2 8" xfId="3387" xr:uid="{00000000-0005-0000-0000-000021330000}"/>
    <cellStyle name="Normal 9 2 8 2" xfId="13489" xr:uid="{00000000-0005-0000-0000-000022330000}"/>
    <cellStyle name="Normal 9 2 8 2 2" xfId="13490" xr:uid="{00000000-0005-0000-0000-000023330000}"/>
    <cellStyle name="Normal 9 2 8 3" xfId="13491" xr:uid="{00000000-0005-0000-0000-000024330000}"/>
    <cellStyle name="Normal 9 2 8 3 2" xfId="13492" xr:uid="{00000000-0005-0000-0000-000025330000}"/>
    <cellStyle name="Normal 9 2 8 4" xfId="13493" xr:uid="{00000000-0005-0000-0000-000026330000}"/>
    <cellStyle name="Normal 9 2 8 5" xfId="13494" xr:uid="{00000000-0005-0000-0000-000027330000}"/>
    <cellStyle name="Normal 9 2 9" xfId="3388" xr:uid="{00000000-0005-0000-0000-000028330000}"/>
    <cellStyle name="Normal 9 2 9 2" xfId="13495" xr:uid="{00000000-0005-0000-0000-000029330000}"/>
    <cellStyle name="Normal 9 2 9 2 2" xfId="13496" xr:uid="{00000000-0005-0000-0000-00002A330000}"/>
    <cellStyle name="Normal 9 2 9 3" xfId="13497" xr:uid="{00000000-0005-0000-0000-00002B330000}"/>
    <cellStyle name="Normal 9 2 9 3 2" xfId="13498" xr:uid="{00000000-0005-0000-0000-00002C330000}"/>
    <cellStyle name="Normal 9 2 9 4" xfId="13499" xr:uid="{00000000-0005-0000-0000-00002D330000}"/>
    <cellStyle name="Normal 9 2 9 5" xfId="13500" xr:uid="{00000000-0005-0000-0000-00002E330000}"/>
    <cellStyle name="Normal 9 20" xfId="3389" xr:uid="{00000000-0005-0000-0000-00002F330000}"/>
    <cellStyle name="Normal 9 21" xfId="3390" xr:uid="{00000000-0005-0000-0000-000030330000}"/>
    <cellStyle name="Normal 9 22" xfId="3391" xr:uid="{00000000-0005-0000-0000-000031330000}"/>
    <cellStyle name="Normal 9 23" xfId="3392" xr:uid="{00000000-0005-0000-0000-000032330000}"/>
    <cellStyle name="Normal 9 24" xfId="3393" xr:uid="{00000000-0005-0000-0000-000033330000}"/>
    <cellStyle name="Normal 9 25" xfId="3394" xr:uid="{00000000-0005-0000-0000-000034330000}"/>
    <cellStyle name="Normal 9 26" xfId="3395" xr:uid="{00000000-0005-0000-0000-000035330000}"/>
    <cellStyle name="Normal 9 27" xfId="3396" xr:uid="{00000000-0005-0000-0000-000036330000}"/>
    <cellStyle name="Normal 9 28" xfId="3397" xr:uid="{00000000-0005-0000-0000-000037330000}"/>
    <cellStyle name="Normal 9 29" xfId="3398" xr:uid="{00000000-0005-0000-0000-000038330000}"/>
    <cellStyle name="Normal 9 3" xfId="3399" xr:uid="{00000000-0005-0000-0000-000039330000}"/>
    <cellStyle name="Normal 9 3 10" xfId="3400" xr:uid="{00000000-0005-0000-0000-00003A330000}"/>
    <cellStyle name="Normal 9 3 10 2" xfId="13501" xr:uid="{00000000-0005-0000-0000-00003B330000}"/>
    <cellStyle name="Normal 9 3 10 2 2" xfId="13502" xr:uid="{00000000-0005-0000-0000-00003C330000}"/>
    <cellStyle name="Normal 9 3 10 3" xfId="13503" xr:uid="{00000000-0005-0000-0000-00003D330000}"/>
    <cellStyle name="Normal 9 3 10 3 2" xfId="13504" xr:uid="{00000000-0005-0000-0000-00003E330000}"/>
    <cellStyle name="Normal 9 3 10 4" xfId="13505" xr:uid="{00000000-0005-0000-0000-00003F330000}"/>
    <cellStyle name="Normal 9 3 10 5" xfId="13506" xr:uid="{00000000-0005-0000-0000-000040330000}"/>
    <cellStyle name="Normal 9 3 2" xfId="3401" xr:uid="{00000000-0005-0000-0000-000041330000}"/>
    <cellStyle name="Normal 9 3 2 10" xfId="13507" xr:uid="{00000000-0005-0000-0000-000042330000}"/>
    <cellStyle name="Normal 9 3 2 10 2" xfId="13508" xr:uid="{00000000-0005-0000-0000-000043330000}"/>
    <cellStyle name="Normal 9 3 2 11" xfId="13509" xr:uid="{00000000-0005-0000-0000-000044330000}"/>
    <cellStyle name="Normal 9 3 2 12" xfId="13510" xr:uid="{00000000-0005-0000-0000-000045330000}"/>
    <cellStyle name="Normal 9 3 2 2" xfId="3402" xr:uid="{00000000-0005-0000-0000-000046330000}"/>
    <cellStyle name="Normal 9 3 2 3" xfId="3403" xr:uid="{00000000-0005-0000-0000-000047330000}"/>
    <cellStyle name="Normal 9 3 2 4" xfId="3404" xr:uid="{00000000-0005-0000-0000-000048330000}"/>
    <cellStyle name="Normal 9 3 2 5" xfId="3405" xr:uid="{00000000-0005-0000-0000-000049330000}"/>
    <cellStyle name="Normal 9 3 2 6" xfId="3406" xr:uid="{00000000-0005-0000-0000-00004A330000}"/>
    <cellStyle name="Normal 9 3 2 7" xfId="3407" xr:uid="{00000000-0005-0000-0000-00004B330000}"/>
    <cellStyle name="Normal 9 3 2 8" xfId="3408" xr:uid="{00000000-0005-0000-0000-00004C330000}"/>
    <cellStyle name="Normal 9 3 2 9" xfId="13511" xr:uid="{00000000-0005-0000-0000-00004D330000}"/>
    <cellStyle name="Normal 9 3 2 9 2" xfId="13512" xr:uid="{00000000-0005-0000-0000-00004E330000}"/>
    <cellStyle name="Normal 9 3 3" xfId="3409" xr:uid="{00000000-0005-0000-0000-00004F330000}"/>
    <cellStyle name="Normal 9 3 4" xfId="3410" xr:uid="{00000000-0005-0000-0000-000050330000}"/>
    <cellStyle name="Normal 9 3 5" xfId="3411" xr:uid="{00000000-0005-0000-0000-000051330000}"/>
    <cellStyle name="Normal 9 3 5 2" xfId="13513" xr:uid="{00000000-0005-0000-0000-000052330000}"/>
    <cellStyle name="Normal 9 3 5 2 2" xfId="13514" xr:uid="{00000000-0005-0000-0000-000053330000}"/>
    <cellStyle name="Normal 9 3 5 3" xfId="13515" xr:uid="{00000000-0005-0000-0000-000054330000}"/>
    <cellStyle name="Normal 9 3 5 3 2" xfId="13516" xr:uid="{00000000-0005-0000-0000-000055330000}"/>
    <cellStyle name="Normal 9 3 5 4" xfId="13517" xr:uid="{00000000-0005-0000-0000-000056330000}"/>
    <cellStyle name="Normal 9 3 5 5" xfId="13518" xr:uid="{00000000-0005-0000-0000-000057330000}"/>
    <cellStyle name="Normal 9 3 6" xfId="3412" xr:uid="{00000000-0005-0000-0000-000058330000}"/>
    <cellStyle name="Normal 9 3 6 2" xfId="13519" xr:uid="{00000000-0005-0000-0000-000059330000}"/>
    <cellStyle name="Normal 9 3 6 2 2" xfId="13520" xr:uid="{00000000-0005-0000-0000-00005A330000}"/>
    <cellStyle name="Normal 9 3 6 3" xfId="13521" xr:uid="{00000000-0005-0000-0000-00005B330000}"/>
    <cellStyle name="Normal 9 3 6 3 2" xfId="13522" xr:uid="{00000000-0005-0000-0000-00005C330000}"/>
    <cellStyle name="Normal 9 3 6 4" xfId="13523" xr:uid="{00000000-0005-0000-0000-00005D330000}"/>
    <cellStyle name="Normal 9 3 6 5" xfId="13524" xr:uid="{00000000-0005-0000-0000-00005E330000}"/>
    <cellStyle name="Normal 9 3 7" xfId="3413" xr:uid="{00000000-0005-0000-0000-00005F330000}"/>
    <cellStyle name="Normal 9 3 7 2" xfId="13525" xr:uid="{00000000-0005-0000-0000-000060330000}"/>
    <cellStyle name="Normal 9 3 7 2 2" xfId="13526" xr:uid="{00000000-0005-0000-0000-000061330000}"/>
    <cellStyle name="Normal 9 3 7 3" xfId="13527" xr:uid="{00000000-0005-0000-0000-000062330000}"/>
    <cellStyle name="Normal 9 3 7 3 2" xfId="13528" xr:uid="{00000000-0005-0000-0000-000063330000}"/>
    <cellStyle name="Normal 9 3 7 4" xfId="13529" xr:uid="{00000000-0005-0000-0000-000064330000}"/>
    <cellStyle name="Normal 9 3 7 5" xfId="13530" xr:uid="{00000000-0005-0000-0000-000065330000}"/>
    <cellStyle name="Normal 9 3 8" xfId="3414" xr:uid="{00000000-0005-0000-0000-000066330000}"/>
    <cellStyle name="Normal 9 3 8 2" xfId="13531" xr:uid="{00000000-0005-0000-0000-000067330000}"/>
    <cellStyle name="Normal 9 3 8 2 2" xfId="13532" xr:uid="{00000000-0005-0000-0000-000068330000}"/>
    <cellStyle name="Normal 9 3 8 3" xfId="13533" xr:uid="{00000000-0005-0000-0000-000069330000}"/>
    <cellStyle name="Normal 9 3 8 3 2" xfId="13534" xr:uid="{00000000-0005-0000-0000-00006A330000}"/>
    <cellStyle name="Normal 9 3 8 4" xfId="13535" xr:uid="{00000000-0005-0000-0000-00006B330000}"/>
    <cellStyle name="Normal 9 3 8 5" xfId="13536" xr:uid="{00000000-0005-0000-0000-00006C330000}"/>
    <cellStyle name="Normal 9 3 9" xfId="3415" xr:uid="{00000000-0005-0000-0000-00006D330000}"/>
    <cellStyle name="Normal 9 3 9 2" xfId="13537" xr:uid="{00000000-0005-0000-0000-00006E330000}"/>
    <cellStyle name="Normal 9 3 9 2 2" xfId="13538" xr:uid="{00000000-0005-0000-0000-00006F330000}"/>
    <cellStyle name="Normal 9 3 9 3" xfId="13539" xr:uid="{00000000-0005-0000-0000-000070330000}"/>
    <cellStyle name="Normal 9 3 9 3 2" xfId="13540" xr:uid="{00000000-0005-0000-0000-000071330000}"/>
    <cellStyle name="Normal 9 3 9 4" xfId="13541" xr:uid="{00000000-0005-0000-0000-000072330000}"/>
    <cellStyle name="Normal 9 3 9 5" xfId="13542" xr:uid="{00000000-0005-0000-0000-000073330000}"/>
    <cellStyle name="Normal 9 30" xfId="3416" xr:uid="{00000000-0005-0000-0000-000074330000}"/>
    <cellStyle name="Normal 9 31" xfId="3417" xr:uid="{00000000-0005-0000-0000-000075330000}"/>
    <cellStyle name="Normal 9 32" xfId="3418" xr:uid="{00000000-0005-0000-0000-000076330000}"/>
    <cellStyle name="Normal 9 33" xfId="3419" xr:uid="{00000000-0005-0000-0000-000077330000}"/>
    <cellStyle name="Normal 9 34" xfId="3420" xr:uid="{00000000-0005-0000-0000-000078330000}"/>
    <cellStyle name="Normal 9 35" xfId="3421" xr:uid="{00000000-0005-0000-0000-000079330000}"/>
    <cellStyle name="Normal 9 36" xfId="3422" xr:uid="{00000000-0005-0000-0000-00007A330000}"/>
    <cellStyle name="Normal 9 37" xfId="3423" xr:uid="{00000000-0005-0000-0000-00007B330000}"/>
    <cellStyle name="Normal 9 38" xfId="3424" xr:uid="{00000000-0005-0000-0000-00007C330000}"/>
    <cellStyle name="Normal 9 39" xfId="3425" xr:uid="{00000000-0005-0000-0000-00007D330000}"/>
    <cellStyle name="Normal 9 4" xfId="3426" xr:uid="{00000000-0005-0000-0000-00007E330000}"/>
    <cellStyle name="Normal 9 4 10" xfId="3427" xr:uid="{00000000-0005-0000-0000-00007F330000}"/>
    <cellStyle name="Normal 9 4 10 2" xfId="13543" xr:uid="{00000000-0005-0000-0000-000080330000}"/>
    <cellStyle name="Normal 9 4 10 2 2" xfId="13544" xr:uid="{00000000-0005-0000-0000-000081330000}"/>
    <cellStyle name="Normal 9 4 10 3" xfId="13545" xr:uid="{00000000-0005-0000-0000-000082330000}"/>
    <cellStyle name="Normal 9 4 10 3 2" xfId="13546" xr:uid="{00000000-0005-0000-0000-000083330000}"/>
    <cellStyle name="Normal 9 4 10 4" xfId="13547" xr:uid="{00000000-0005-0000-0000-000084330000}"/>
    <cellStyle name="Normal 9 4 10 5" xfId="13548" xr:uid="{00000000-0005-0000-0000-000085330000}"/>
    <cellStyle name="Normal 9 4 2" xfId="3428" xr:uid="{00000000-0005-0000-0000-000086330000}"/>
    <cellStyle name="Normal 9 4 2 10" xfId="13549" xr:uid="{00000000-0005-0000-0000-000087330000}"/>
    <cellStyle name="Normal 9 4 2 10 2" xfId="13550" xr:uid="{00000000-0005-0000-0000-000088330000}"/>
    <cellStyle name="Normal 9 4 2 11" xfId="13551" xr:uid="{00000000-0005-0000-0000-000089330000}"/>
    <cellStyle name="Normal 9 4 2 12" xfId="13552" xr:uid="{00000000-0005-0000-0000-00008A330000}"/>
    <cellStyle name="Normal 9 4 2 2" xfId="3429" xr:uid="{00000000-0005-0000-0000-00008B330000}"/>
    <cellStyle name="Normal 9 4 2 3" xfId="3430" xr:uid="{00000000-0005-0000-0000-00008C330000}"/>
    <cellStyle name="Normal 9 4 2 4" xfId="3431" xr:uid="{00000000-0005-0000-0000-00008D330000}"/>
    <cellStyle name="Normal 9 4 2 5" xfId="3432" xr:uid="{00000000-0005-0000-0000-00008E330000}"/>
    <cellStyle name="Normal 9 4 2 6" xfId="3433" xr:uid="{00000000-0005-0000-0000-00008F330000}"/>
    <cellStyle name="Normal 9 4 2 7" xfId="3434" xr:uid="{00000000-0005-0000-0000-000090330000}"/>
    <cellStyle name="Normal 9 4 2 8" xfId="3435" xr:uid="{00000000-0005-0000-0000-000091330000}"/>
    <cellStyle name="Normal 9 4 2 9" xfId="13553" xr:uid="{00000000-0005-0000-0000-000092330000}"/>
    <cellStyle name="Normal 9 4 2 9 2" xfId="13554" xr:uid="{00000000-0005-0000-0000-000093330000}"/>
    <cellStyle name="Normal 9 4 3" xfId="3436" xr:uid="{00000000-0005-0000-0000-000094330000}"/>
    <cellStyle name="Normal 9 4 4" xfId="3437" xr:uid="{00000000-0005-0000-0000-000095330000}"/>
    <cellStyle name="Normal 9 4 5" xfId="3438" xr:uid="{00000000-0005-0000-0000-000096330000}"/>
    <cellStyle name="Normal 9 4 5 2" xfId="13555" xr:uid="{00000000-0005-0000-0000-000097330000}"/>
    <cellStyle name="Normal 9 4 5 2 2" xfId="13556" xr:uid="{00000000-0005-0000-0000-000098330000}"/>
    <cellStyle name="Normal 9 4 5 3" xfId="13557" xr:uid="{00000000-0005-0000-0000-000099330000}"/>
    <cellStyle name="Normal 9 4 5 3 2" xfId="13558" xr:uid="{00000000-0005-0000-0000-00009A330000}"/>
    <cellStyle name="Normal 9 4 5 4" xfId="13559" xr:uid="{00000000-0005-0000-0000-00009B330000}"/>
    <cellStyle name="Normal 9 4 5 5" xfId="13560" xr:uid="{00000000-0005-0000-0000-00009C330000}"/>
    <cellStyle name="Normal 9 4 6" xfId="3439" xr:uid="{00000000-0005-0000-0000-00009D330000}"/>
    <cellStyle name="Normal 9 4 6 2" xfId="13561" xr:uid="{00000000-0005-0000-0000-00009E330000}"/>
    <cellStyle name="Normal 9 4 6 2 2" xfId="13562" xr:uid="{00000000-0005-0000-0000-00009F330000}"/>
    <cellStyle name="Normal 9 4 6 3" xfId="13563" xr:uid="{00000000-0005-0000-0000-0000A0330000}"/>
    <cellStyle name="Normal 9 4 6 3 2" xfId="13564" xr:uid="{00000000-0005-0000-0000-0000A1330000}"/>
    <cellStyle name="Normal 9 4 6 4" xfId="13565" xr:uid="{00000000-0005-0000-0000-0000A2330000}"/>
    <cellStyle name="Normal 9 4 6 5" xfId="13566" xr:uid="{00000000-0005-0000-0000-0000A3330000}"/>
    <cellStyle name="Normal 9 4 7" xfId="3440" xr:uid="{00000000-0005-0000-0000-0000A4330000}"/>
    <cellStyle name="Normal 9 4 7 2" xfId="13567" xr:uid="{00000000-0005-0000-0000-0000A5330000}"/>
    <cellStyle name="Normal 9 4 7 2 2" xfId="13568" xr:uid="{00000000-0005-0000-0000-0000A6330000}"/>
    <cellStyle name="Normal 9 4 7 3" xfId="13569" xr:uid="{00000000-0005-0000-0000-0000A7330000}"/>
    <cellStyle name="Normal 9 4 7 3 2" xfId="13570" xr:uid="{00000000-0005-0000-0000-0000A8330000}"/>
    <cellStyle name="Normal 9 4 7 4" xfId="13571" xr:uid="{00000000-0005-0000-0000-0000A9330000}"/>
    <cellStyle name="Normal 9 4 7 5" xfId="13572" xr:uid="{00000000-0005-0000-0000-0000AA330000}"/>
    <cellStyle name="Normal 9 4 8" xfId="3441" xr:uid="{00000000-0005-0000-0000-0000AB330000}"/>
    <cellStyle name="Normal 9 4 8 2" xfId="13573" xr:uid="{00000000-0005-0000-0000-0000AC330000}"/>
    <cellStyle name="Normal 9 4 8 2 2" xfId="13574" xr:uid="{00000000-0005-0000-0000-0000AD330000}"/>
    <cellStyle name="Normal 9 4 8 3" xfId="13575" xr:uid="{00000000-0005-0000-0000-0000AE330000}"/>
    <cellStyle name="Normal 9 4 8 3 2" xfId="13576" xr:uid="{00000000-0005-0000-0000-0000AF330000}"/>
    <cellStyle name="Normal 9 4 8 4" xfId="13577" xr:uid="{00000000-0005-0000-0000-0000B0330000}"/>
    <cellStyle name="Normal 9 4 8 5" xfId="13578" xr:uid="{00000000-0005-0000-0000-0000B1330000}"/>
    <cellStyle name="Normal 9 4 9" xfId="3442" xr:uid="{00000000-0005-0000-0000-0000B2330000}"/>
    <cellStyle name="Normal 9 4 9 2" xfId="13579" xr:uid="{00000000-0005-0000-0000-0000B3330000}"/>
    <cellStyle name="Normal 9 4 9 2 2" xfId="13580" xr:uid="{00000000-0005-0000-0000-0000B4330000}"/>
    <cellStyle name="Normal 9 4 9 3" xfId="13581" xr:uid="{00000000-0005-0000-0000-0000B5330000}"/>
    <cellStyle name="Normal 9 4 9 3 2" xfId="13582" xr:uid="{00000000-0005-0000-0000-0000B6330000}"/>
    <cellStyle name="Normal 9 4 9 4" xfId="13583" xr:uid="{00000000-0005-0000-0000-0000B7330000}"/>
    <cellStyle name="Normal 9 4 9 5" xfId="13584" xr:uid="{00000000-0005-0000-0000-0000B8330000}"/>
    <cellStyle name="Normal 9 40" xfId="3443" xr:uid="{00000000-0005-0000-0000-0000B9330000}"/>
    <cellStyle name="Normal 9 41" xfId="3444" xr:uid="{00000000-0005-0000-0000-0000BA330000}"/>
    <cellStyle name="Normal 9 42" xfId="3445" xr:uid="{00000000-0005-0000-0000-0000BB330000}"/>
    <cellStyle name="Normal 9 43" xfId="3446" xr:uid="{00000000-0005-0000-0000-0000BC330000}"/>
    <cellStyle name="Normal 9 44" xfId="3447" xr:uid="{00000000-0005-0000-0000-0000BD330000}"/>
    <cellStyle name="Normal 9 45" xfId="3448" xr:uid="{00000000-0005-0000-0000-0000BE330000}"/>
    <cellStyle name="Normal 9 45 10" xfId="13585" xr:uid="{00000000-0005-0000-0000-0000BF330000}"/>
    <cellStyle name="Normal 9 45 10 2" xfId="13586" xr:uid="{00000000-0005-0000-0000-0000C0330000}"/>
    <cellStyle name="Normal 9 45 11" xfId="13587" xr:uid="{00000000-0005-0000-0000-0000C1330000}"/>
    <cellStyle name="Normal 9 45 12" xfId="13588" xr:uid="{00000000-0005-0000-0000-0000C2330000}"/>
    <cellStyle name="Normal 9 45 2" xfId="3449" xr:uid="{00000000-0005-0000-0000-0000C3330000}"/>
    <cellStyle name="Normal 9 45 3" xfId="3450" xr:uid="{00000000-0005-0000-0000-0000C4330000}"/>
    <cellStyle name="Normal 9 45 4" xfId="3451" xr:uid="{00000000-0005-0000-0000-0000C5330000}"/>
    <cellStyle name="Normal 9 45 5" xfId="3452" xr:uid="{00000000-0005-0000-0000-0000C6330000}"/>
    <cellStyle name="Normal 9 45 6" xfId="3453" xr:uid="{00000000-0005-0000-0000-0000C7330000}"/>
    <cellStyle name="Normal 9 45 7" xfId="3454" xr:uid="{00000000-0005-0000-0000-0000C8330000}"/>
    <cellStyle name="Normal 9 45 8" xfId="3455" xr:uid="{00000000-0005-0000-0000-0000C9330000}"/>
    <cellStyle name="Normal 9 45 9" xfId="13589" xr:uid="{00000000-0005-0000-0000-0000CA330000}"/>
    <cellStyle name="Normal 9 45 9 2" xfId="13590" xr:uid="{00000000-0005-0000-0000-0000CB330000}"/>
    <cellStyle name="Normal 9 46" xfId="3456" xr:uid="{00000000-0005-0000-0000-0000CC330000}"/>
    <cellStyle name="Normal 9 47" xfId="3457" xr:uid="{00000000-0005-0000-0000-0000CD330000}"/>
    <cellStyle name="Normal 9 47 2" xfId="13591" xr:uid="{00000000-0005-0000-0000-0000CE330000}"/>
    <cellStyle name="Normal 9 47 2 2" xfId="13592" xr:uid="{00000000-0005-0000-0000-0000CF330000}"/>
    <cellStyle name="Normal 9 47 3" xfId="13593" xr:uid="{00000000-0005-0000-0000-0000D0330000}"/>
    <cellStyle name="Normal 9 47 3 2" xfId="13594" xr:uid="{00000000-0005-0000-0000-0000D1330000}"/>
    <cellStyle name="Normal 9 47 4" xfId="13595" xr:uid="{00000000-0005-0000-0000-0000D2330000}"/>
    <cellStyle name="Normal 9 47 5" xfId="13596" xr:uid="{00000000-0005-0000-0000-0000D3330000}"/>
    <cellStyle name="Normal 9 48" xfId="3458" xr:uid="{00000000-0005-0000-0000-0000D4330000}"/>
    <cellStyle name="Normal 9 48 2" xfId="13597" xr:uid="{00000000-0005-0000-0000-0000D5330000}"/>
    <cellStyle name="Normal 9 48 2 2" xfId="13598" xr:uid="{00000000-0005-0000-0000-0000D6330000}"/>
    <cellStyle name="Normal 9 48 3" xfId="13599" xr:uid="{00000000-0005-0000-0000-0000D7330000}"/>
    <cellStyle name="Normal 9 48 3 2" xfId="13600" xr:uid="{00000000-0005-0000-0000-0000D8330000}"/>
    <cellStyle name="Normal 9 48 4" xfId="13601" xr:uid="{00000000-0005-0000-0000-0000D9330000}"/>
    <cellStyle name="Normal 9 48 5" xfId="13602" xr:uid="{00000000-0005-0000-0000-0000DA330000}"/>
    <cellStyle name="Normal 9 49" xfId="3459" xr:uid="{00000000-0005-0000-0000-0000DB330000}"/>
    <cellStyle name="Normal 9 49 2" xfId="13603" xr:uid="{00000000-0005-0000-0000-0000DC330000}"/>
    <cellStyle name="Normal 9 49 2 2" xfId="13604" xr:uid="{00000000-0005-0000-0000-0000DD330000}"/>
    <cellStyle name="Normal 9 49 3" xfId="13605" xr:uid="{00000000-0005-0000-0000-0000DE330000}"/>
    <cellStyle name="Normal 9 49 3 2" xfId="13606" xr:uid="{00000000-0005-0000-0000-0000DF330000}"/>
    <cellStyle name="Normal 9 49 4" xfId="13607" xr:uid="{00000000-0005-0000-0000-0000E0330000}"/>
    <cellStyle name="Normal 9 49 5" xfId="13608" xr:uid="{00000000-0005-0000-0000-0000E1330000}"/>
    <cellStyle name="Normal 9 5" xfId="3460" xr:uid="{00000000-0005-0000-0000-0000E2330000}"/>
    <cellStyle name="Normal 9 5 10" xfId="3461" xr:uid="{00000000-0005-0000-0000-0000E3330000}"/>
    <cellStyle name="Normal 9 5 10 2" xfId="13609" xr:uid="{00000000-0005-0000-0000-0000E4330000}"/>
    <cellStyle name="Normal 9 5 10 2 2" xfId="13610" xr:uid="{00000000-0005-0000-0000-0000E5330000}"/>
    <cellStyle name="Normal 9 5 10 3" xfId="13611" xr:uid="{00000000-0005-0000-0000-0000E6330000}"/>
    <cellStyle name="Normal 9 5 10 3 2" xfId="13612" xr:uid="{00000000-0005-0000-0000-0000E7330000}"/>
    <cellStyle name="Normal 9 5 10 4" xfId="13613" xr:uid="{00000000-0005-0000-0000-0000E8330000}"/>
    <cellStyle name="Normal 9 5 10 5" xfId="13614" xr:uid="{00000000-0005-0000-0000-0000E9330000}"/>
    <cellStyle name="Normal 9 5 2" xfId="3462" xr:uid="{00000000-0005-0000-0000-0000EA330000}"/>
    <cellStyle name="Normal 9 5 2 10" xfId="13615" xr:uid="{00000000-0005-0000-0000-0000EB330000}"/>
    <cellStyle name="Normal 9 5 2 10 2" xfId="13616" xr:uid="{00000000-0005-0000-0000-0000EC330000}"/>
    <cellStyle name="Normal 9 5 2 11" xfId="13617" xr:uid="{00000000-0005-0000-0000-0000ED330000}"/>
    <cellStyle name="Normal 9 5 2 12" xfId="13618" xr:uid="{00000000-0005-0000-0000-0000EE330000}"/>
    <cellStyle name="Normal 9 5 2 2" xfId="3463" xr:uid="{00000000-0005-0000-0000-0000EF330000}"/>
    <cellStyle name="Normal 9 5 2 3" xfId="3464" xr:uid="{00000000-0005-0000-0000-0000F0330000}"/>
    <cellStyle name="Normal 9 5 2 4" xfId="3465" xr:uid="{00000000-0005-0000-0000-0000F1330000}"/>
    <cellStyle name="Normal 9 5 2 5" xfId="3466" xr:uid="{00000000-0005-0000-0000-0000F2330000}"/>
    <cellStyle name="Normal 9 5 2 6" xfId="3467" xr:uid="{00000000-0005-0000-0000-0000F3330000}"/>
    <cellStyle name="Normal 9 5 2 7" xfId="3468" xr:uid="{00000000-0005-0000-0000-0000F4330000}"/>
    <cellStyle name="Normal 9 5 2 8" xfId="3469" xr:uid="{00000000-0005-0000-0000-0000F5330000}"/>
    <cellStyle name="Normal 9 5 2 9" xfId="13619" xr:uid="{00000000-0005-0000-0000-0000F6330000}"/>
    <cellStyle name="Normal 9 5 2 9 2" xfId="13620" xr:uid="{00000000-0005-0000-0000-0000F7330000}"/>
    <cellStyle name="Normal 9 5 3" xfId="3470" xr:uid="{00000000-0005-0000-0000-0000F8330000}"/>
    <cellStyle name="Normal 9 5 4" xfId="3471" xr:uid="{00000000-0005-0000-0000-0000F9330000}"/>
    <cellStyle name="Normal 9 5 5" xfId="3472" xr:uid="{00000000-0005-0000-0000-0000FA330000}"/>
    <cellStyle name="Normal 9 5 5 2" xfId="13621" xr:uid="{00000000-0005-0000-0000-0000FB330000}"/>
    <cellStyle name="Normal 9 5 5 2 2" xfId="13622" xr:uid="{00000000-0005-0000-0000-0000FC330000}"/>
    <cellStyle name="Normal 9 5 5 3" xfId="13623" xr:uid="{00000000-0005-0000-0000-0000FD330000}"/>
    <cellStyle name="Normal 9 5 5 3 2" xfId="13624" xr:uid="{00000000-0005-0000-0000-0000FE330000}"/>
    <cellStyle name="Normal 9 5 5 4" xfId="13625" xr:uid="{00000000-0005-0000-0000-0000FF330000}"/>
    <cellStyle name="Normal 9 5 5 5" xfId="13626" xr:uid="{00000000-0005-0000-0000-000000340000}"/>
    <cellStyle name="Normal 9 5 6" xfId="3473" xr:uid="{00000000-0005-0000-0000-000001340000}"/>
    <cellStyle name="Normal 9 5 6 2" xfId="13627" xr:uid="{00000000-0005-0000-0000-000002340000}"/>
    <cellStyle name="Normal 9 5 6 2 2" xfId="13628" xr:uid="{00000000-0005-0000-0000-000003340000}"/>
    <cellStyle name="Normal 9 5 6 3" xfId="13629" xr:uid="{00000000-0005-0000-0000-000004340000}"/>
    <cellStyle name="Normal 9 5 6 3 2" xfId="13630" xr:uid="{00000000-0005-0000-0000-000005340000}"/>
    <cellStyle name="Normal 9 5 6 4" xfId="13631" xr:uid="{00000000-0005-0000-0000-000006340000}"/>
    <cellStyle name="Normal 9 5 6 5" xfId="13632" xr:uid="{00000000-0005-0000-0000-000007340000}"/>
    <cellStyle name="Normal 9 5 7" xfId="3474" xr:uid="{00000000-0005-0000-0000-000008340000}"/>
    <cellStyle name="Normal 9 5 7 2" xfId="13633" xr:uid="{00000000-0005-0000-0000-000009340000}"/>
    <cellStyle name="Normal 9 5 7 2 2" xfId="13634" xr:uid="{00000000-0005-0000-0000-00000A340000}"/>
    <cellStyle name="Normal 9 5 7 3" xfId="13635" xr:uid="{00000000-0005-0000-0000-00000B340000}"/>
    <cellStyle name="Normal 9 5 7 3 2" xfId="13636" xr:uid="{00000000-0005-0000-0000-00000C340000}"/>
    <cellStyle name="Normal 9 5 7 4" xfId="13637" xr:uid="{00000000-0005-0000-0000-00000D340000}"/>
    <cellStyle name="Normal 9 5 7 5" xfId="13638" xr:uid="{00000000-0005-0000-0000-00000E340000}"/>
    <cellStyle name="Normal 9 5 8" xfId="3475" xr:uid="{00000000-0005-0000-0000-00000F340000}"/>
    <cellStyle name="Normal 9 5 8 2" xfId="13639" xr:uid="{00000000-0005-0000-0000-000010340000}"/>
    <cellStyle name="Normal 9 5 8 2 2" xfId="13640" xr:uid="{00000000-0005-0000-0000-000011340000}"/>
    <cellStyle name="Normal 9 5 8 3" xfId="13641" xr:uid="{00000000-0005-0000-0000-000012340000}"/>
    <cellStyle name="Normal 9 5 8 3 2" xfId="13642" xr:uid="{00000000-0005-0000-0000-000013340000}"/>
    <cellStyle name="Normal 9 5 8 4" xfId="13643" xr:uid="{00000000-0005-0000-0000-000014340000}"/>
    <cellStyle name="Normal 9 5 8 5" xfId="13644" xr:uid="{00000000-0005-0000-0000-000015340000}"/>
    <cellStyle name="Normal 9 5 9" xfId="3476" xr:uid="{00000000-0005-0000-0000-000016340000}"/>
    <cellStyle name="Normal 9 5 9 2" xfId="13645" xr:uid="{00000000-0005-0000-0000-000017340000}"/>
    <cellStyle name="Normal 9 5 9 2 2" xfId="13646" xr:uid="{00000000-0005-0000-0000-000018340000}"/>
    <cellStyle name="Normal 9 5 9 3" xfId="13647" xr:uid="{00000000-0005-0000-0000-000019340000}"/>
    <cellStyle name="Normal 9 5 9 3 2" xfId="13648" xr:uid="{00000000-0005-0000-0000-00001A340000}"/>
    <cellStyle name="Normal 9 5 9 4" xfId="13649" xr:uid="{00000000-0005-0000-0000-00001B340000}"/>
    <cellStyle name="Normal 9 5 9 5" xfId="13650" xr:uid="{00000000-0005-0000-0000-00001C340000}"/>
    <cellStyle name="Normal 9 50" xfId="3477" xr:uid="{00000000-0005-0000-0000-00001D340000}"/>
    <cellStyle name="Normal 9 50 2" xfId="13651" xr:uid="{00000000-0005-0000-0000-00001E340000}"/>
    <cellStyle name="Normal 9 50 2 2" xfId="13652" xr:uid="{00000000-0005-0000-0000-00001F340000}"/>
    <cellStyle name="Normal 9 50 3" xfId="13653" xr:uid="{00000000-0005-0000-0000-000020340000}"/>
    <cellStyle name="Normal 9 50 3 2" xfId="13654" xr:uid="{00000000-0005-0000-0000-000021340000}"/>
    <cellStyle name="Normal 9 50 4" xfId="13655" xr:uid="{00000000-0005-0000-0000-000022340000}"/>
    <cellStyle name="Normal 9 50 5" xfId="13656" xr:uid="{00000000-0005-0000-0000-000023340000}"/>
    <cellStyle name="Normal 9 51" xfId="3478" xr:uid="{00000000-0005-0000-0000-000024340000}"/>
    <cellStyle name="Normal 9 51 2" xfId="13657" xr:uid="{00000000-0005-0000-0000-000025340000}"/>
    <cellStyle name="Normal 9 51 2 2" xfId="13658" xr:uid="{00000000-0005-0000-0000-000026340000}"/>
    <cellStyle name="Normal 9 51 3" xfId="13659" xr:uid="{00000000-0005-0000-0000-000027340000}"/>
    <cellStyle name="Normal 9 51 3 2" xfId="13660" xr:uid="{00000000-0005-0000-0000-000028340000}"/>
    <cellStyle name="Normal 9 51 4" xfId="13661" xr:uid="{00000000-0005-0000-0000-000029340000}"/>
    <cellStyle name="Normal 9 51 5" xfId="13662" xr:uid="{00000000-0005-0000-0000-00002A340000}"/>
    <cellStyle name="Normal 9 52" xfId="3479" xr:uid="{00000000-0005-0000-0000-00002B340000}"/>
    <cellStyle name="Normal 9 52 2" xfId="13663" xr:uid="{00000000-0005-0000-0000-00002C340000}"/>
    <cellStyle name="Normal 9 52 2 2" xfId="13664" xr:uid="{00000000-0005-0000-0000-00002D340000}"/>
    <cellStyle name="Normal 9 52 3" xfId="13665" xr:uid="{00000000-0005-0000-0000-00002E340000}"/>
    <cellStyle name="Normal 9 52 3 2" xfId="13666" xr:uid="{00000000-0005-0000-0000-00002F340000}"/>
    <cellStyle name="Normal 9 52 4" xfId="13667" xr:uid="{00000000-0005-0000-0000-000030340000}"/>
    <cellStyle name="Normal 9 52 5" xfId="13668" xr:uid="{00000000-0005-0000-0000-000031340000}"/>
    <cellStyle name="Normal 9 53" xfId="13669" xr:uid="{00000000-0005-0000-0000-000032340000}"/>
    <cellStyle name="Normal 9 6" xfId="3480" xr:uid="{00000000-0005-0000-0000-000033340000}"/>
    <cellStyle name="Normal 9 6 10" xfId="3481" xr:uid="{00000000-0005-0000-0000-000034340000}"/>
    <cellStyle name="Normal 9 6 10 2" xfId="13670" xr:uid="{00000000-0005-0000-0000-000035340000}"/>
    <cellStyle name="Normal 9 6 10 2 2" xfId="13671" xr:uid="{00000000-0005-0000-0000-000036340000}"/>
    <cellStyle name="Normal 9 6 10 3" xfId="13672" xr:uid="{00000000-0005-0000-0000-000037340000}"/>
    <cellStyle name="Normal 9 6 10 3 2" xfId="13673" xr:uid="{00000000-0005-0000-0000-000038340000}"/>
    <cellStyle name="Normal 9 6 10 4" xfId="13674" xr:uid="{00000000-0005-0000-0000-000039340000}"/>
    <cellStyle name="Normal 9 6 10 5" xfId="13675" xr:uid="{00000000-0005-0000-0000-00003A340000}"/>
    <cellStyle name="Normal 9 6 2" xfId="3482" xr:uid="{00000000-0005-0000-0000-00003B340000}"/>
    <cellStyle name="Normal 9 6 2 10" xfId="13676" xr:uid="{00000000-0005-0000-0000-00003C340000}"/>
    <cellStyle name="Normal 9 6 2 10 2" xfId="13677" xr:uid="{00000000-0005-0000-0000-00003D340000}"/>
    <cellStyle name="Normal 9 6 2 11" xfId="13678" xr:uid="{00000000-0005-0000-0000-00003E340000}"/>
    <cellStyle name="Normal 9 6 2 12" xfId="13679" xr:uid="{00000000-0005-0000-0000-00003F340000}"/>
    <cellStyle name="Normal 9 6 2 2" xfId="3483" xr:uid="{00000000-0005-0000-0000-000040340000}"/>
    <cellStyle name="Normal 9 6 2 3" xfId="3484" xr:uid="{00000000-0005-0000-0000-000041340000}"/>
    <cellStyle name="Normal 9 6 2 4" xfId="3485" xr:uid="{00000000-0005-0000-0000-000042340000}"/>
    <cellStyle name="Normal 9 6 2 5" xfId="3486" xr:uid="{00000000-0005-0000-0000-000043340000}"/>
    <cellStyle name="Normal 9 6 2 6" xfId="3487" xr:uid="{00000000-0005-0000-0000-000044340000}"/>
    <cellStyle name="Normal 9 6 2 7" xfId="3488" xr:uid="{00000000-0005-0000-0000-000045340000}"/>
    <cellStyle name="Normal 9 6 2 8" xfId="3489" xr:uid="{00000000-0005-0000-0000-000046340000}"/>
    <cellStyle name="Normal 9 6 2 9" xfId="13680" xr:uid="{00000000-0005-0000-0000-000047340000}"/>
    <cellStyle name="Normal 9 6 2 9 2" xfId="13681" xr:uid="{00000000-0005-0000-0000-000048340000}"/>
    <cellStyle name="Normal 9 6 3" xfId="3490" xr:uid="{00000000-0005-0000-0000-000049340000}"/>
    <cellStyle name="Normal 9 6 4" xfId="3491" xr:uid="{00000000-0005-0000-0000-00004A340000}"/>
    <cellStyle name="Normal 9 6 5" xfId="3492" xr:uid="{00000000-0005-0000-0000-00004B340000}"/>
    <cellStyle name="Normal 9 6 5 2" xfId="13682" xr:uid="{00000000-0005-0000-0000-00004C340000}"/>
    <cellStyle name="Normal 9 6 5 2 2" xfId="13683" xr:uid="{00000000-0005-0000-0000-00004D340000}"/>
    <cellStyle name="Normal 9 6 5 3" xfId="13684" xr:uid="{00000000-0005-0000-0000-00004E340000}"/>
    <cellStyle name="Normal 9 6 5 3 2" xfId="13685" xr:uid="{00000000-0005-0000-0000-00004F340000}"/>
    <cellStyle name="Normal 9 6 5 4" xfId="13686" xr:uid="{00000000-0005-0000-0000-000050340000}"/>
    <cellStyle name="Normal 9 6 5 5" xfId="13687" xr:uid="{00000000-0005-0000-0000-000051340000}"/>
    <cellStyle name="Normal 9 6 6" xfId="3493" xr:uid="{00000000-0005-0000-0000-000052340000}"/>
    <cellStyle name="Normal 9 6 6 2" xfId="13688" xr:uid="{00000000-0005-0000-0000-000053340000}"/>
    <cellStyle name="Normal 9 6 6 2 2" xfId="13689" xr:uid="{00000000-0005-0000-0000-000054340000}"/>
    <cellStyle name="Normal 9 6 6 3" xfId="13690" xr:uid="{00000000-0005-0000-0000-000055340000}"/>
    <cellStyle name="Normal 9 6 6 3 2" xfId="13691" xr:uid="{00000000-0005-0000-0000-000056340000}"/>
    <cellStyle name="Normal 9 6 6 4" xfId="13692" xr:uid="{00000000-0005-0000-0000-000057340000}"/>
    <cellStyle name="Normal 9 6 6 5" xfId="13693" xr:uid="{00000000-0005-0000-0000-000058340000}"/>
    <cellStyle name="Normal 9 6 7" xfId="3494" xr:uid="{00000000-0005-0000-0000-000059340000}"/>
    <cellStyle name="Normal 9 6 7 2" xfId="13694" xr:uid="{00000000-0005-0000-0000-00005A340000}"/>
    <cellStyle name="Normal 9 6 7 2 2" xfId="13695" xr:uid="{00000000-0005-0000-0000-00005B340000}"/>
    <cellStyle name="Normal 9 6 7 3" xfId="13696" xr:uid="{00000000-0005-0000-0000-00005C340000}"/>
    <cellStyle name="Normal 9 6 7 3 2" xfId="13697" xr:uid="{00000000-0005-0000-0000-00005D340000}"/>
    <cellStyle name="Normal 9 6 7 4" xfId="13698" xr:uid="{00000000-0005-0000-0000-00005E340000}"/>
    <cellStyle name="Normal 9 6 7 5" xfId="13699" xr:uid="{00000000-0005-0000-0000-00005F340000}"/>
    <cellStyle name="Normal 9 6 8" xfId="3495" xr:uid="{00000000-0005-0000-0000-000060340000}"/>
    <cellStyle name="Normal 9 6 8 2" xfId="13700" xr:uid="{00000000-0005-0000-0000-000061340000}"/>
    <cellStyle name="Normal 9 6 8 2 2" xfId="13701" xr:uid="{00000000-0005-0000-0000-000062340000}"/>
    <cellStyle name="Normal 9 6 8 3" xfId="13702" xr:uid="{00000000-0005-0000-0000-000063340000}"/>
    <cellStyle name="Normal 9 6 8 3 2" xfId="13703" xr:uid="{00000000-0005-0000-0000-000064340000}"/>
    <cellStyle name="Normal 9 6 8 4" xfId="13704" xr:uid="{00000000-0005-0000-0000-000065340000}"/>
    <cellStyle name="Normal 9 6 8 5" xfId="13705" xr:uid="{00000000-0005-0000-0000-000066340000}"/>
    <cellStyle name="Normal 9 6 9" xfId="3496" xr:uid="{00000000-0005-0000-0000-000067340000}"/>
    <cellStyle name="Normal 9 6 9 2" xfId="13706" xr:uid="{00000000-0005-0000-0000-000068340000}"/>
    <cellStyle name="Normal 9 6 9 2 2" xfId="13707" xr:uid="{00000000-0005-0000-0000-000069340000}"/>
    <cellStyle name="Normal 9 6 9 3" xfId="13708" xr:uid="{00000000-0005-0000-0000-00006A340000}"/>
    <cellStyle name="Normal 9 6 9 3 2" xfId="13709" xr:uid="{00000000-0005-0000-0000-00006B340000}"/>
    <cellStyle name="Normal 9 6 9 4" xfId="13710" xr:uid="{00000000-0005-0000-0000-00006C340000}"/>
    <cellStyle name="Normal 9 6 9 5" xfId="13711" xr:uid="{00000000-0005-0000-0000-00006D340000}"/>
    <cellStyle name="Normal 9 7" xfId="3497" xr:uid="{00000000-0005-0000-0000-00006E340000}"/>
    <cellStyle name="Normal 9 7 10" xfId="3498" xr:uid="{00000000-0005-0000-0000-00006F340000}"/>
    <cellStyle name="Normal 9 7 10 2" xfId="13712" xr:uid="{00000000-0005-0000-0000-000070340000}"/>
    <cellStyle name="Normal 9 7 10 2 2" xfId="13713" xr:uid="{00000000-0005-0000-0000-000071340000}"/>
    <cellStyle name="Normal 9 7 10 3" xfId="13714" xr:uid="{00000000-0005-0000-0000-000072340000}"/>
    <cellStyle name="Normal 9 7 10 3 2" xfId="13715" xr:uid="{00000000-0005-0000-0000-000073340000}"/>
    <cellStyle name="Normal 9 7 10 4" xfId="13716" xr:uid="{00000000-0005-0000-0000-000074340000}"/>
    <cellStyle name="Normal 9 7 10 5" xfId="13717" xr:uid="{00000000-0005-0000-0000-000075340000}"/>
    <cellStyle name="Normal 9 7 2" xfId="3499" xr:uid="{00000000-0005-0000-0000-000076340000}"/>
    <cellStyle name="Normal 9 7 2 10" xfId="13718" xr:uid="{00000000-0005-0000-0000-000077340000}"/>
    <cellStyle name="Normal 9 7 2 10 2" xfId="13719" xr:uid="{00000000-0005-0000-0000-000078340000}"/>
    <cellStyle name="Normal 9 7 2 11" xfId="13720" xr:uid="{00000000-0005-0000-0000-000079340000}"/>
    <cellStyle name="Normal 9 7 2 12" xfId="13721" xr:uid="{00000000-0005-0000-0000-00007A340000}"/>
    <cellStyle name="Normal 9 7 2 2" xfId="3500" xr:uid="{00000000-0005-0000-0000-00007B340000}"/>
    <cellStyle name="Normal 9 7 2 3" xfId="3501" xr:uid="{00000000-0005-0000-0000-00007C340000}"/>
    <cellStyle name="Normal 9 7 2 4" xfId="3502" xr:uid="{00000000-0005-0000-0000-00007D340000}"/>
    <cellStyle name="Normal 9 7 2 5" xfId="3503" xr:uid="{00000000-0005-0000-0000-00007E340000}"/>
    <cellStyle name="Normal 9 7 2 6" xfId="3504" xr:uid="{00000000-0005-0000-0000-00007F340000}"/>
    <cellStyle name="Normal 9 7 2 7" xfId="3505" xr:uid="{00000000-0005-0000-0000-000080340000}"/>
    <cellStyle name="Normal 9 7 2 8" xfId="3506" xr:uid="{00000000-0005-0000-0000-000081340000}"/>
    <cellStyle name="Normal 9 7 2 9" xfId="13722" xr:uid="{00000000-0005-0000-0000-000082340000}"/>
    <cellStyle name="Normal 9 7 2 9 2" xfId="13723" xr:uid="{00000000-0005-0000-0000-000083340000}"/>
    <cellStyle name="Normal 9 7 3" xfId="3507" xr:uid="{00000000-0005-0000-0000-000084340000}"/>
    <cellStyle name="Normal 9 7 4" xfId="3508" xr:uid="{00000000-0005-0000-0000-000085340000}"/>
    <cellStyle name="Normal 9 7 5" xfId="3509" xr:uid="{00000000-0005-0000-0000-000086340000}"/>
    <cellStyle name="Normal 9 7 5 2" xfId="13724" xr:uid="{00000000-0005-0000-0000-000087340000}"/>
    <cellStyle name="Normal 9 7 5 2 2" xfId="13725" xr:uid="{00000000-0005-0000-0000-000088340000}"/>
    <cellStyle name="Normal 9 7 5 3" xfId="13726" xr:uid="{00000000-0005-0000-0000-000089340000}"/>
    <cellStyle name="Normal 9 7 5 3 2" xfId="13727" xr:uid="{00000000-0005-0000-0000-00008A340000}"/>
    <cellStyle name="Normal 9 7 5 4" xfId="13728" xr:uid="{00000000-0005-0000-0000-00008B340000}"/>
    <cellStyle name="Normal 9 7 5 5" xfId="13729" xr:uid="{00000000-0005-0000-0000-00008C340000}"/>
    <cellStyle name="Normal 9 7 6" xfId="3510" xr:uid="{00000000-0005-0000-0000-00008D340000}"/>
    <cellStyle name="Normal 9 7 6 2" xfId="13730" xr:uid="{00000000-0005-0000-0000-00008E340000}"/>
    <cellStyle name="Normal 9 7 6 2 2" xfId="13731" xr:uid="{00000000-0005-0000-0000-00008F340000}"/>
    <cellStyle name="Normal 9 7 6 3" xfId="13732" xr:uid="{00000000-0005-0000-0000-000090340000}"/>
    <cellStyle name="Normal 9 7 6 3 2" xfId="13733" xr:uid="{00000000-0005-0000-0000-000091340000}"/>
    <cellStyle name="Normal 9 7 6 4" xfId="13734" xr:uid="{00000000-0005-0000-0000-000092340000}"/>
    <cellStyle name="Normal 9 7 6 5" xfId="13735" xr:uid="{00000000-0005-0000-0000-000093340000}"/>
    <cellStyle name="Normal 9 7 7" xfId="3511" xr:uid="{00000000-0005-0000-0000-000094340000}"/>
    <cellStyle name="Normal 9 7 7 2" xfId="13736" xr:uid="{00000000-0005-0000-0000-000095340000}"/>
    <cellStyle name="Normal 9 7 7 2 2" xfId="13737" xr:uid="{00000000-0005-0000-0000-000096340000}"/>
    <cellStyle name="Normal 9 7 7 3" xfId="13738" xr:uid="{00000000-0005-0000-0000-000097340000}"/>
    <cellStyle name="Normal 9 7 7 3 2" xfId="13739" xr:uid="{00000000-0005-0000-0000-000098340000}"/>
    <cellStyle name="Normal 9 7 7 4" xfId="13740" xr:uid="{00000000-0005-0000-0000-000099340000}"/>
    <cellStyle name="Normal 9 7 7 5" xfId="13741" xr:uid="{00000000-0005-0000-0000-00009A340000}"/>
    <cellStyle name="Normal 9 7 8" xfId="3512" xr:uid="{00000000-0005-0000-0000-00009B340000}"/>
    <cellStyle name="Normal 9 7 8 2" xfId="13742" xr:uid="{00000000-0005-0000-0000-00009C340000}"/>
    <cellStyle name="Normal 9 7 8 2 2" xfId="13743" xr:uid="{00000000-0005-0000-0000-00009D340000}"/>
    <cellStyle name="Normal 9 7 8 3" xfId="13744" xr:uid="{00000000-0005-0000-0000-00009E340000}"/>
    <cellStyle name="Normal 9 7 8 3 2" xfId="13745" xr:uid="{00000000-0005-0000-0000-00009F340000}"/>
    <cellStyle name="Normal 9 7 8 4" xfId="13746" xr:uid="{00000000-0005-0000-0000-0000A0340000}"/>
    <cellStyle name="Normal 9 7 8 5" xfId="13747" xr:uid="{00000000-0005-0000-0000-0000A1340000}"/>
    <cellStyle name="Normal 9 7 9" xfId="3513" xr:uid="{00000000-0005-0000-0000-0000A2340000}"/>
    <cellStyle name="Normal 9 7 9 2" xfId="13748" xr:uid="{00000000-0005-0000-0000-0000A3340000}"/>
    <cellStyle name="Normal 9 7 9 2 2" xfId="13749" xr:uid="{00000000-0005-0000-0000-0000A4340000}"/>
    <cellStyle name="Normal 9 7 9 3" xfId="13750" xr:uid="{00000000-0005-0000-0000-0000A5340000}"/>
    <cellStyle name="Normal 9 7 9 3 2" xfId="13751" xr:uid="{00000000-0005-0000-0000-0000A6340000}"/>
    <cellStyle name="Normal 9 7 9 4" xfId="13752" xr:uid="{00000000-0005-0000-0000-0000A7340000}"/>
    <cellStyle name="Normal 9 7 9 5" xfId="13753" xr:uid="{00000000-0005-0000-0000-0000A8340000}"/>
    <cellStyle name="Normal 9 8" xfId="3514" xr:uid="{00000000-0005-0000-0000-0000A9340000}"/>
    <cellStyle name="Normal 9 9" xfId="3515" xr:uid="{00000000-0005-0000-0000-0000AA340000}"/>
    <cellStyle name="Normal 90" xfId="13754" xr:uid="{00000000-0005-0000-0000-0000AB340000}"/>
    <cellStyle name="Normal 91" xfId="13755" xr:uid="{00000000-0005-0000-0000-0000AC340000}"/>
    <cellStyle name="Normal 92" xfId="13756" xr:uid="{00000000-0005-0000-0000-0000AD340000}"/>
    <cellStyle name="Normal 93" xfId="13757" xr:uid="{00000000-0005-0000-0000-0000AE340000}"/>
    <cellStyle name="Normal 94" xfId="13758" xr:uid="{00000000-0005-0000-0000-0000AF340000}"/>
    <cellStyle name="Normal 95" xfId="13759" xr:uid="{00000000-0005-0000-0000-0000B0340000}"/>
    <cellStyle name="Normal 95 2" xfId="13760" xr:uid="{00000000-0005-0000-0000-0000B1340000}"/>
    <cellStyle name="Normal 96" xfId="13761" xr:uid="{00000000-0005-0000-0000-0000B2340000}"/>
    <cellStyle name="Normal 96 2" xfId="13762" xr:uid="{00000000-0005-0000-0000-0000B3340000}"/>
    <cellStyle name="Normal 96 3" xfId="13763" xr:uid="{00000000-0005-0000-0000-0000B4340000}"/>
    <cellStyle name="Normal 97" xfId="13789" xr:uid="{00000000-0005-0000-0000-0000B5340000}"/>
    <cellStyle name="Normal_modelo ACTA OBRA y MODIFICACION" xfId="36" xr:uid="{00000000-0005-0000-0000-0000B6340000}"/>
    <cellStyle name="Normal_PTO OFICIAL PREPLIEGO (CORREGIDO) 2" xfId="27" xr:uid="{00000000-0005-0000-0000-0000B7340000}"/>
    <cellStyle name="Notas 2" xfId="3516" xr:uid="{00000000-0005-0000-0000-0000B8340000}"/>
    <cellStyle name="Notas 2 2" xfId="3517" xr:uid="{00000000-0005-0000-0000-0000B9340000}"/>
    <cellStyle name="Notas 2 3" xfId="3518" xr:uid="{00000000-0005-0000-0000-0000BA340000}"/>
    <cellStyle name="Notas 2 4" xfId="3519" xr:uid="{00000000-0005-0000-0000-0000BB340000}"/>
    <cellStyle name="Notas 3" xfId="3520" xr:uid="{00000000-0005-0000-0000-0000BC340000}"/>
    <cellStyle name="Notas 3 2" xfId="3521" xr:uid="{00000000-0005-0000-0000-0000BD340000}"/>
    <cellStyle name="Notas 3 3" xfId="3522" xr:uid="{00000000-0005-0000-0000-0000BE340000}"/>
    <cellStyle name="Notas 3 4" xfId="3523" xr:uid="{00000000-0005-0000-0000-0000BF340000}"/>
    <cellStyle name="Notas 4" xfId="3524" xr:uid="{00000000-0005-0000-0000-0000C0340000}"/>
    <cellStyle name="Notas 4 2" xfId="3525" xr:uid="{00000000-0005-0000-0000-0000C1340000}"/>
    <cellStyle name="Notas 4 3" xfId="3526" xr:uid="{00000000-0005-0000-0000-0000C2340000}"/>
    <cellStyle name="Notas 4 4" xfId="3527" xr:uid="{00000000-0005-0000-0000-0000C3340000}"/>
    <cellStyle name="Notas 5" xfId="3528" xr:uid="{00000000-0005-0000-0000-0000C4340000}"/>
    <cellStyle name="Notas 5 2" xfId="3529" xr:uid="{00000000-0005-0000-0000-0000C5340000}"/>
    <cellStyle name="Notas 5 3" xfId="3530" xr:uid="{00000000-0005-0000-0000-0000C6340000}"/>
    <cellStyle name="Notas 5 4" xfId="3531" xr:uid="{00000000-0005-0000-0000-0000C7340000}"/>
    <cellStyle name="Notas 6" xfId="3532" xr:uid="{00000000-0005-0000-0000-0000C8340000}"/>
    <cellStyle name="Notas 6 2" xfId="3533" xr:uid="{00000000-0005-0000-0000-0000C9340000}"/>
    <cellStyle name="Notas 6 3" xfId="3534" xr:uid="{00000000-0005-0000-0000-0000CA340000}"/>
    <cellStyle name="Notas 6 4" xfId="3535" xr:uid="{00000000-0005-0000-0000-0000CB340000}"/>
    <cellStyle name="Note" xfId="3536" xr:uid="{00000000-0005-0000-0000-0000CC340000}"/>
    <cellStyle name="Note 2" xfId="3537" xr:uid="{00000000-0005-0000-0000-0000CD340000}"/>
    <cellStyle name="Note 2 2" xfId="3538" xr:uid="{00000000-0005-0000-0000-0000CE340000}"/>
    <cellStyle name="Note 2 3" xfId="3539" xr:uid="{00000000-0005-0000-0000-0000CF340000}"/>
    <cellStyle name="Note 2 4" xfId="3540" xr:uid="{00000000-0005-0000-0000-0000D0340000}"/>
    <cellStyle name="Note 2 5" xfId="3541" xr:uid="{00000000-0005-0000-0000-0000D1340000}"/>
    <cellStyle name="Note 2 6" xfId="3542" xr:uid="{00000000-0005-0000-0000-0000D2340000}"/>
    <cellStyle name="Note 2 7" xfId="3543" xr:uid="{00000000-0005-0000-0000-0000D3340000}"/>
    <cellStyle name="Note 3" xfId="3544" xr:uid="{00000000-0005-0000-0000-0000D4340000}"/>
    <cellStyle name="Note 4" xfId="3545" xr:uid="{00000000-0005-0000-0000-0000D5340000}"/>
    <cellStyle name="Note 5" xfId="3546" xr:uid="{00000000-0005-0000-0000-0000D6340000}"/>
    <cellStyle name="Output" xfId="3547" xr:uid="{00000000-0005-0000-0000-0000D7340000}"/>
    <cellStyle name="Percent" xfId="3548" xr:uid="{00000000-0005-0000-0000-0000D8340000}"/>
    <cellStyle name="Porcentaje" xfId="3" builtinId="5"/>
    <cellStyle name="Porcentaje 2" xfId="32" xr:uid="{00000000-0005-0000-0000-0000DA340000}"/>
    <cellStyle name="Porcentaje 2 2" xfId="10" xr:uid="{00000000-0005-0000-0000-0000DB340000}"/>
    <cellStyle name="Porcentaje 2 3" xfId="3549" xr:uid="{00000000-0005-0000-0000-0000DC340000}"/>
    <cellStyle name="Porcentaje 3" xfId="3550" xr:uid="{00000000-0005-0000-0000-0000DD340000}"/>
    <cellStyle name="Porcentaje 3 2" xfId="3551" xr:uid="{00000000-0005-0000-0000-0000DE340000}"/>
    <cellStyle name="Porcentaje 3 3" xfId="13764" xr:uid="{00000000-0005-0000-0000-0000DF340000}"/>
    <cellStyle name="Porcentaje 4" xfId="3552" xr:uid="{00000000-0005-0000-0000-0000E0340000}"/>
    <cellStyle name="Porcentaje 5" xfId="3553" xr:uid="{00000000-0005-0000-0000-0000E1340000}"/>
    <cellStyle name="Porcentaje 6" xfId="43" xr:uid="{00000000-0005-0000-0000-0000E2340000}"/>
    <cellStyle name="Porcentual 2" xfId="6" xr:uid="{00000000-0005-0000-0000-0000E3340000}"/>
    <cellStyle name="Porcentual 2 10" xfId="3554" xr:uid="{00000000-0005-0000-0000-0000E4340000}"/>
    <cellStyle name="Porcentual 2 10 2" xfId="3555" xr:uid="{00000000-0005-0000-0000-0000E5340000}"/>
    <cellStyle name="Porcentual 2 10 3" xfId="3556" xr:uid="{00000000-0005-0000-0000-0000E6340000}"/>
    <cellStyle name="Porcentual 2 10 4" xfId="3557" xr:uid="{00000000-0005-0000-0000-0000E7340000}"/>
    <cellStyle name="Porcentual 2 11" xfId="3558" xr:uid="{00000000-0005-0000-0000-0000E8340000}"/>
    <cellStyle name="Porcentual 2 11 2" xfId="3559" xr:uid="{00000000-0005-0000-0000-0000E9340000}"/>
    <cellStyle name="Porcentual 2 11 3" xfId="3560" xr:uid="{00000000-0005-0000-0000-0000EA340000}"/>
    <cellStyle name="Porcentual 2 11 4" xfId="3561" xr:uid="{00000000-0005-0000-0000-0000EB340000}"/>
    <cellStyle name="Porcentual 2 12" xfId="3562" xr:uid="{00000000-0005-0000-0000-0000EC340000}"/>
    <cellStyle name="Porcentual 2 12 2" xfId="3563" xr:uid="{00000000-0005-0000-0000-0000ED340000}"/>
    <cellStyle name="Porcentual 2 12 3" xfId="3564" xr:uid="{00000000-0005-0000-0000-0000EE340000}"/>
    <cellStyle name="Porcentual 2 12 4" xfId="3565" xr:uid="{00000000-0005-0000-0000-0000EF340000}"/>
    <cellStyle name="Porcentual 2 13" xfId="3566" xr:uid="{00000000-0005-0000-0000-0000F0340000}"/>
    <cellStyle name="Porcentual 2 13 2" xfId="3567" xr:uid="{00000000-0005-0000-0000-0000F1340000}"/>
    <cellStyle name="Porcentual 2 13 3" xfId="3568" xr:uid="{00000000-0005-0000-0000-0000F2340000}"/>
    <cellStyle name="Porcentual 2 13 4" xfId="3569" xr:uid="{00000000-0005-0000-0000-0000F3340000}"/>
    <cellStyle name="Porcentual 2 14" xfId="3570" xr:uid="{00000000-0005-0000-0000-0000F4340000}"/>
    <cellStyle name="Porcentual 2 14 2" xfId="3571" xr:uid="{00000000-0005-0000-0000-0000F5340000}"/>
    <cellStyle name="Porcentual 2 14 3" xfId="3572" xr:uid="{00000000-0005-0000-0000-0000F6340000}"/>
    <cellStyle name="Porcentual 2 14 4" xfId="3573" xr:uid="{00000000-0005-0000-0000-0000F7340000}"/>
    <cellStyle name="Porcentual 2 15" xfId="3574" xr:uid="{00000000-0005-0000-0000-0000F8340000}"/>
    <cellStyle name="Porcentual 2 15 2" xfId="3575" xr:uid="{00000000-0005-0000-0000-0000F9340000}"/>
    <cellStyle name="Porcentual 2 15 3" xfId="3576" xr:uid="{00000000-0005-0000-0000-0000FA340000}"/>
    <cellStyle name="Porcentual 2 15 4" xfId="3577" xr:uid="{00000000-0005-0000-0000-0000FB340000}"/>
    <cellStyle name="Porcentual 2 16" xfId="3578" xr:uid="{00000000-0005-0000-0000-0000FC340000}"/>
    <cellStyle name="Porcentual 2 16 2" xfId="3579" xr:uid="{00000000-0005-0000-0000-0000FD340000}"/>
    <cellStyle name="Porcentual 2 16 3" xfId="3580" xr:uid="{00000000-0005-0000-0000-0000FE340000}"/>
    <cellStyle name="Porcentual 2 16 4" xfId="3581" xr:uid="{00000000-0005-0000-0000-0000FF340000}"/>
    <cellStyle name="Porcentual 2 17" xfId="3582" xr:uid="{00000000-0005-0000-0000-000000350000}"/>
    <cellStyle name="Porcentual 2 17 2" xfId="3583" xr:uid="{00000000-0005-0000-0000-000001350000}"/>
    <cellStyle name="Porcentual 2 17 3" xfId="3584" xr:uid="{00000000-0005-0000-0000-000002350000}"/>
    <cellStyle name="Porcentual 2 17 4" xfId="3585" xr:uid="{00000000-0005-0000-0000-000003350000}"/>
    <cellStyle name="Porcentual 2 18" xfId="3586" xr:uid="{00000000-0005-0000-0000-000004350000}"/>
    <cellStyle name="Porcentual 2 18 2" xfId="3587" xr:uid="{00000000-0005-0000-0000-000005350000}"/>
    <cellStyle name="Porcentual 2 18 3" xfId="3588" xr:uid="{00000000-0005-0000-0000-000006350000}"/>
    <cellStyle name="Porcentual 2 18 4" xfId="3589" xr:uid="{00000000-0005-0000-0000-000007350000}"/>
    <cellStyle name="Porcentual 2 19" xfId="3590" xr:uid="{00000000-0005-0000-0000-000008350000}"/>
    <cellStyle name="Porcentual 2 19 2" xfId="3591" xr:uid="{00000000-0005-0000-0000-000009350000}"/>
    <cellStyle name="Porcentual 2 19 3" xfId="3592" xr:uid="{00000000-0005-0000-0000-00000A350000}"/>
    <cellStyle name="Porcentual 2 19 4" xfId="3593" xr:uid="{00000000-0005-0000-0000-00000B350000}"/>
    <cellStyle name="Porcentual 2 2" xfId="3594" xr:uid="{00000000-0005-0000-0000-00000C350000}"/>
    <cellStyle name="Porcentual 2 2 2" xfId="3595" xr:uid="{00000000-0005-0000-0000-00000D350000}"/>
    <cellStyle name="Porcentual 2 2 3" xfId="3596" xr:uid="{00000000-0005-0000-0000-00000E350000}"/>
    <cellStyle name="Porcentual 2 2 4" xfId="3597" xr:uid="{00000000-0005-0000-0000-00000F350000}"/>
    <cellStyle name="Porcentual 2 2 5" xfId="3598" xr:uid="{00000000-0005-0000-0000-000010350000}"/>
    <cellStyle name="Porcentual 2 2 6" xfId="13765" xr:uid="{00000000-0005-0000-0000-000011350000}"/>
    <cellStyle name="Porcentual 2 20" xfId="3599" xr:uid="{00000000-0005-0000-0000-000012350000}"/>
    <cellStyle name="Porcentual 2 20 2" xfId="3600" xr:uid="{00000000-0005-0000-0000-000013350000}"/>
    <cellStyle name="Porcentual 2 20 3" xfId="3601" xr:uid="{00000000-0005-0000-0000-000014350000}"/>
    <cellStyle name="Porcentual 2 20 4" xfId="3602" xr:uid="{00000000-0005-0000-0000-000015350000}"/>
    <cellStyle name="Porcentual 2 21" xfId="3603" xr:uid="{00000000-0005-0000-0000-000016350000}"/>
    <cellStyle name="Porcentual 2 21 2" xfId="3604" xr:uid="{00000000-0005-0000-0000-000017350000}"/>
    <cellStyle name="Porcentual 2 21 3" xfId="3605" xr:uid="{00000000-0005-0000-0000-000018350000}"/>
    <cellStyle name="Porcentual 2 21 4" xfId="3606" xr:uid="{00000000-0005-0000-0000-000019350000}"/>
    <cellStyle name="Porcentual 2 22" xfId="3607" xr:uid="{00000000-0005-0000-0000-00001A350000}"/>
    <cellStyle name="Porcentual 2 22 2" xfId="3608" xr:uid="{00000000-0005-0000-0000-00001B350000}"/>
    <cellStyle name="Porcentual 2 22 3" xfId="3609" xr:uid="{00000000-0005-0000-0000-00001C350000}"/>
    <cellStyle name="Porcentual 2 22 4" xfId="3610" xr:uid="{00000000-0005-0000-0000-00001D350000}"/>
    <cellStyle name="Porcentual 2 23" xfId="3611" xr:uid="{00000000-0005-0000-0000-00001E350000}"/>
    <cellStyle name="Porcentual 2 23 2" xfId="3612" xr:uid="{00000000-0005-0000-0000-00001F350000}"/>
    <cellStyle name="Porcentual 2 23 3" xfId="3613" xr:uid="{00000000-0005-0000-0000-000020350000}"/>
    <cellStyle name="Porcentual 2 23 4" xfId="3614" xr:uid="{00000000-0005-0000-0000-000021350000}"/>
    <cellStyle name="Porcentual 2 24" xfId="3615" xr:uid="{00000000-0005-0000-0000-000022350000}"/>
    <cellStyle name="Porcentual 2 24 2" xfId="3616" xr:uid="{00000000-0005-0000-0000-000023350000}"/>
    <cellStyle name="Porcentual 2 24 3" xfId="3617" xr:uid="{00000000-0005-0000-0000-000024350000}"/>
    <cellStyle name="Porcentual 2 24 4" xfId="3618" xr:uid="{00000000-0005-0000-0000-000025350000}"/>
    <cellStyle name="Porcentual 2 25" xfId="3619" xr:uid="{00000000-0005-0000-0000-000026350000}"/>
    <cellStyle name="Porcentual 2 25 2" xfId="3620" xr:uid="{00000000-0005-0000-0000-000027350000}"/>
    <cellStyle name="Porcentual 2 25 3" xfId="3621" xr:uid="{00000000-0005-0000-0000-000028350000}"/>
    <cellStyle name="Porcentual 2 25 4" xfId="3622" xr:uid="{00000000-0005-0000-0000-000029350000}"/>
    <cellStyle name="Porcentual 2 26" xfId="3623" xr:uid="{00000000-0005-0000-0000-00002A350000}"/>
    <cellStyle name="Porcentual 2 26 2" xfId="3624" xr:uid="{00000000-0005-0000-0000-00002B350000}"/>
    <cellStyle name="Porcentual 2 26 3" xfId="3625" xr:uid="{00000000-0005-0000-0000-00002C350000}"/>
    <cellStyle name="Porcentual 2 26 4" xfId="3626" xr:uid="{00000000-0005-0000-0000-00002D350000}"/>
    <cellStyle name="Porcentual 2 27" xfId="3627" xr:uid="{00000000-0005-0000-0000-00002E350000}"/>
    <cellStyle name="Porcentual 2 27 2" xfId="3628" xr:uid="{00000000-0005-0000-0000-00002F350000}"/>
    <cellStyle name="Porcentual 2 27 3" xfId="3629" xr:uid="{00000000-0005-0000-0000-000030350000}"/>
    <cellStyle name="Porcentual 2 27 4" xfId="3630" xr:uid="{00000000-0005-0000-0000-000031350000}"/>
    <cellStyle name="Porcentual 2 28" xfId="3631" xr:uid="{00000000-0005-0000-0000-000032350000}"/>
    <cellStyle name="Porcentual 2 28 2" xfId="3632" xr:uid="{00000000-0005-0000-0000-000033350000}"/>
    <cellStyle name="Porcentual 2 28 3" xfId="3633" xr:uid="{00000000-0005-0000-0000-000034350000}"/>
    <cellStyle name="Porcentual 2 28 4" xfId="3634" xr:uid="{00000000-0005-0000-0000-000035350000}"/>
    <cellStyle name="Porcentual 2 29" xfId="3635" xr:uid="{00000000-0005-0000-0000-000036350000}"/>
    <cellStyle name="Porcentual 2 29 2" xfId="3636" xr:uid="{00000000-0005-0000-0000-000037350000}"/>
    <cellStyle name="Porcentual 2 29 3" xfId="3637" xr:uid="{00000000-0005-0000-0000-000038350000}"/>
    <cellStyle name="Porcentual 2 29 4" xfId="3638" xr:uid="{00000000-0005-0000-0000-000039350000}"/>
    <cellStyle name="Porcentual 2 3" xfId="3639" xr:uid="{00000000-0005-0000-0000-00003A350000}"/>
    <cellStyle name="Porcentual 2 3 2" xfId="3640" xr:uid="{00000000-0005-0000-0000-00003B350000}"/>
    <cellStyle name="Porcentual 2 3 3" xfId="3641" xr:uid="{00000000-0005-0000-0000-00003C350000}"/>
    <cellStyle name="Porcentual 2 3 4" xfId="3642" xr:uid="{00000000-0005-0000-0000-00003D350000}"/>
    <cellStyle name="Porcentual 2 30" xfId="3643" xr:uid="{00000000-0005-0000-0000-00003E350000}"/>
    <cellStyle name="Porcentual 2 30 2" xfId="3644" xr:uid="{00000000-0005-0000-0000-00003F350000}"/>
    <cellStyle name="Porcentual 2 30 3" xfId="3645" xr:uid="{00000000-0005-0000-0000-000040350000}"/>
    <cellStyle name="Porcentual 2 30 4" xfId="3646" xr:uid="{00000000-0005-0000-0000-000041350000}"/>
    <cellStyle name="Porcentual 2 31" xfId="3647" xr:uid="{00000000-0005-0000-0000-000042350000}"/>
    <cellStyle name="Porcentual 2 31 2" xfId="3648" xr:uid="{00000000-0005-0000-0000-000043350000}"/>
    <cellStyle name="Porcentual 2 31 3" xfId="3649" xr:uid="{00000000-0005-0000-0000-000044350000}"/>
    <cellStyle name="Porcentual 2 31 4" xfId="3650" xr:uid="{00000000-0005-0000-0000-000045350000}"/>
    <cellStyle name="Porcentual 2 32" xfId="3651" xr:uid="{00000000-0005-0000-0000-000046350000}"/>
    <cellStyle name="Porcentual 2 32 2" xfId="3652" xr:uid="{00000000-0005-0000-0000-000047350000}"/>
    <cellStyle name="Porcentual 2 32 3" xfId="3653" xr:uid="{00000000-0005-0000-0000-000048350000}"/>
    <cellStyle name="Porcentual 2 32 4" xfId="3654" xr:uid="{00000000-0005-0000-0000-000049350000}"/>
    <cellStyle name="Porcentual 2 33" xfId="3655" xr:uid="{00000000-0005-0000-0000-00004A350000}"/>
    <cellStyle name="Porcentual 2 33 2" xfId="3656" xr:uid="{00000000-0005-0000-0000-00004B350000}"/>
    <cellStyle name="Porcentual 2 33 3" xfId="3657" xr:uid="{00000000-0005-0000-0000-00004C350000}"/>
    <cellStyle name="Porcentual 2 33 4" xfId="3658" xr:uid="{00000000-0005-0000-0000-00004D350000}"/>
    <cellStyle name="Porcentual 2 34" xfId="3659" xr:uid="{00000000-0005-0000-0000-00004E350000}"/>
    <cellStyle name="Porcentual 2 34 2" xfId="3660" xr:uid="{00000000-0005-0000-0000-00004F350000}"/>
    <cellStyle name="Porcentual 2 34 3" xfId="3661" xr:uid="{00000000-0005-0000-0000-000050350000}"/>
    <cellStyle name="Porcentual 2 34 4" xfId="3662" xr:uid="{00000000-0005-0000-0000-000051350000}"/>
    <cellStyle name="Porcentual 2 35" xfId="3663" xr:uid="{00000000-0005-0000-0000-000052350000}"/>
    <cellStyle name="Porcentual 2 35 2" xfId="3664" xr:uid="{00000000-0005-0000-0000-000053350000}"/>
    <cellStyle name="Porcentual 2 35 3" xfId="3665" xr:uid="{00000000-0005-0000-0000-000054350000}"/>
    <cellStyle name="Porcentual 2 35 4" xfId="3666" xr:uid="{00000000-0005-0000-0000-000055350000}"/>
    <cellStyle name="Porcentual 2 36" xfId="3667" xr:uid="{00000000-0005-0000-0000-000056350000}"/>
    <cellStyle name="Porcentual 2 36 2" xfId="3668" xr:uid="{00000000-0005-0000-0000-000057350000}"/>
    <cellStyle name="Porcentual 2 36 3" xfId="3669" xr:uid="{00000000-0005-0000-0000-000058350000}"/>
    <cellStyle name="Porcentual 2 36 4" xfId="3670" xr:uid="{00000000-0005-0000-0000-000059350000}"/>
    <cellStyle name="Porcentual 2 37" xfId="3671" xr:uid="{00000000-0005-0000-0000-00005A350000}"/>
    <cellStyle name="Porcentual 2 37 2" xfId="3672" xr:uid="{00000000-0005-0000-0000-00005B350000}"/>
    <cellStyle name="Porcentual 2 37 3" xfId="3673" xr:uid="{00000000-0005-0000-0000-00005C350000}"/>
    <cellStyle name="Porcentual 2 37 4" xfId="3674" xr:uid="{00000000-0005-0000-0000-00005D350000}"/>
    <cellStyle name="Porcentual 2 38" xfId="3675" xr:uid="{00000000-0005-0000-0000-00005E350000}"/>
    <cellStyle name="Porcentual 2 38 2" xfId="3676" xr:uid="{00000000-0005-0000-0000-00005F350000}"/>
    <cellStyle name="Porcentual 2 38 3" xfId="3677" xr:uid="{00000000-0005-0000-0000-000060350000}"/>
    <cellStyle name="Porcentual 2 38 4" xfId="3678" xr:uid="{00000000-0005-0000-0000-000061350000}"/>
    <cellStyle name="Porcentual 2 39" xfId="3679" xr:uid="{00000000-0005-0000-0000-000062350000}"/>
    <cellStyle name="Porcentual 2 39 2" xfId="3680" xr:uid="{00000000-0005-0000-0000-000063350000}"/>
    <cellStyle name="Porcentual 2 39 3" xfId="3681" xr:uid="{00000000-0005-0000-0000-000064350000}"/>
    <cellStyle name="Porcentual 2 39 4" xfId="3682" xr:uid="{00000000-0005-0000-0000-000065350000}"/>
    <cellStyle name="Porcentual 2 4" xfId="3683" xr:uid="{00000000-0005-0000-0000-000066350000}"/>
    <cellStyle name="Porcentual 2 4 2" xfId="3684" xr:uid="{00000000-0005-0000-0000-000067350000}"/>
    <cellStyle name="Porcentual 2 4 3" xfId="3685" xr:uid="{00000000-0005-0000-0000-000068350000}"/>
    <cellStyle name="Porcentual 2 4 4" xfId="3686" xr:uid="{00000000-0005-0000-0000-000069350000}"/>
    <cellStyle name="Porcentual 2 40" xfId="3687" xr:uid="{00000000-0005-0000-0000-00006A350000}"/>
    <cellStyle name="Porcentual 2 40 2" xfId="3688" xr:uid="{00000000-0005-0000-0000-00006B350000}"/>
    <cellStyle name="Porcentual 2 40 3" xfId="3689" xr:uid="{00000000-0005-0000-0000-00006C350000}"/>
    <cellStyle name="Porcentual 2 40 4" xfId="3690" xr:uid="{00000000-0005-0000-0000-00006D350000}"/>
    <cellStyle name="Porcentual 2 5" xfId="3691" xr:uid="{00000000-0005-0000-0000-00006E350000}"/>
    <cellStyle name="Porcentual 2 5 2" xfId="3692" xr:uid="{00000000-0005-0000-0000-00006F350000}"/>
    <cellStyle name="Porcentual 2 5 3" xfId="3693" xr:uid="{00000000-0005-0000-0000-000070350000}"/>
    <cellStyle name="Porcentual 2 5 4" xfId="3694" xr:uid="{00000000-0005-0000-0000-000071350000}"/>
    <cellStyle name="Porcentual 2 6" xfId="3695" xr:uid="{00000000-0005-0000-0000-000072350000}"/>
    <cellStyle name="Porcentual 2 6 2" xfId="3696" xr:uid="{00000000-0005-0000-0000-000073350000}"/>
    <cellStyle name="Porcentual 2 6 3" xfId="3697" xr:uid="{00000000-0005-0000-0000-000074350000}"/>
    <cellStyle name="Porcentual 2 6 4" xfId="3698" xr:uid="{00000000-0005-0000-0000-000075350000}"/>
    <cellStyle name="Porcentual 2 7" xfId="3699" xr:uid="{00000000-0005-0000-0000-000076350000}"/>
    <cellStyle name="Porcentual 2 7 2" xfId="3700" xr:uid="{00000000-0005-0000-0000-000077350000}"/>
    <cellStyle name="Porcentual 2 7 3" xfId="3701" xr:uid="{00000000-0005-0000-0000-000078350000}"/>
    <cellStyle name="Porcentual 2 7 4" xfId="3702" xr:uid="{00000000-0005-0000-0000-000079350000}"/>
    <cellStyle name="Porcentual 2 8" xfId="3703" xr:uid="{00000000-0005-0000-0000-00007A350000}"/>
    <cellStyle name="Porcentual 2 8 2" xfId="3704" xr:uid="{00000000-0005-0000-0000-00007B350000}"/>
    <cellStyle name="Porcentual 2 8 3" xfId="3705" xr:uid="{00000000-0005-0000-0000-00007C350000}"/>
    <cellStyle name="Porcentual 2 8 4" xfId="3706" xr:uid="{00000000-0005-0000-0000-00007D350000}"/>
    <cellStyle name="Porcentual 2 9" xfId="3707" xr:uid="{00000000-0005-0000-0000-00007E350000}"/>
    <cellStyle name="Porcentual 2 9 2" xfId="3708" xr:uid="{00000000-0005-0000-0000-00007F350000}"/>
    <cellStyle name="Porcentual 2 9 3" xfId="3709" xr:uid="{00000000-0005-0000-0000-000080350000}"/>
    <cellStyle name="Porcentual 2 9 4" xfId="3710" xr:uid="{00000000-0005-0000-0000-000081350000}"/>
    <cellStyle name="Porcentual 3" xfId="3711" xr:uid="{00000000-0005-0000-0000-000082350000}"/>
    <cellStyle name="Porcentual 3 2" xfId="3712" xr:uid="{00000000-0005-0000-0000-000083350000}"/>
    <cellStyle name="Porcentual 3 3" xfId="3713" xr:uid="{00000000-0005-0000-0000-000084350000}"/>
    <cellStyle name="Porcentual 3 4" xfId="3714" xr:uid="{00000000-0005-0000-0000-000085350000}"/>
    <cellStyle name="Porcentual 3 5" xfId="3715" xr:uid="{00000000-0005-0000-0000-000086350000}"/>
    <cellStyle name="Porcentual 4" xfId="3716" xr:uid="{00000000-0005-0000-0000-000087350000}"/>
    <cellStyle name="Porcentual 4 10" xfId="13766" xr:uid="{00000000-0005-0000-0000-000088350000}"/>
    <cellStyle name="Porcentual 4 2" xfId="3717" xr:uid="{00000000-0005-0000-0000-000089350000}"/>
    <cellStyle name="Porcentual 4 2 2" xfId="3718" xr:uid="{00000000-0005-0000-0000-00008A350000}"/>
    <cellStyle name="Porcentual 4 2 3" xfId="3719" xr:uid="{00000000-0005-0000-0000-00008B350000}"/>
    <cellStyle name="Porcentual 4 2 4" xfId="3720" xr:uid="{00000000-0005-0000-0000-00008C350000}"/>
    <cellStyle name="Porcentual 4 3" xfId="3721" xr:uid="{00000000-0005-0000-0000-00008D350000}"/>
    <cellStyle name="Porcentual 4 4" xfId="3722" xr:uid="{00000000-0005-0000-0000-00008E350000}"/>
    <cellStyle name="Porcentual 4 5" xfId="3723" xr:uid="{00000000-0005-0000-0000-00008F350000}"/>
    <cellStyle name="Porcentual 4 6" xfId="3809" xr:uid="{00000000-0005-0000-0000-000090350000}"/>
    <cellStyle name="Porcentual 4 6 2" xfId="13767" xr:uid="{00000000-0005-0000-0000-000091350000}"/>
    <cellStyle name="Porcentual 4 6 2 2" xfId="13768" xr:uid="{00000000-0005-0000-0000-000092350000}"/>
    <cellStyle name="Porcentual 4 6 3" xfId="13769" xr:uid="{00000000-0005-0000-0000-000093350000}"/>
    <cellStyle name="Porcentual 4 6 4" xfId="13770" xr:uid="{00000000-0005-0000-0000-000094350000}"/>
    <cellStyle name="Porcentual 4 6 5" xfId="13771" xr:uid="{00000000-0005-0000-0000-000095350000}"/>
    <cellStyle name="Porcentual 4 7" xfId="13772" xr:uid="{00000000-0005-0000-0000-000096350000}"/>
    <cellStyle name="Porcentual 4 7 2" xfId="13773" xr:uid="{00000000-0005-0000-0000-000097350000}"/>
    <cellStyle name="Porcentual 4 8" xfId="13774" xr:uid="{00000000-0005-0000-0000-000098350000}"/>
    <cellStyle name="Porcentual 4 9" xfId="13775" xr:uid="{00000000-0005-0000-0000-000099350000}"/>
    <cellStyle name="Porcentual 5" xfId="3724" xr:uid="{00000000-0005-0000-0000-00009A350000}"/>
    <cellStyle name="Porcentual 5 2" xfId="3725" xr:uid="{00000000-0005-0000-0000-00009B350000}"/>
    <cellStyle name="Porcentual 5 3" xfId="3726" xr:uid="{00000000-0005-0000-0000-00009C350000}"/>
    <cellStyle name="Porcentual 5 4" xfId="3727" xr:uid="{00000000-0005-0000-0000-00009D350000}"/>
    <cellStyle name="Porcentual 5 5" xfId="13776" xr:uid="{00000000-0005-0000-0000-00009E350000}"/>
    <cellStyle name="Porcentual 5 6" xfId="13777" xr:uid="{00000000-0005-0000-0000-00009F350000}"/>
    <cellStyle name="Porcentual 5 7" xfId="13778" xr:uid="{00000000-0005-0000-0000-0000A0350000}"/>
    <cellStyle name="Porcentual 6" xfId="3728" xr:uid="{00000000-0005-0000-0000-0000A1350000}"/>
    <cellStyle name="Porcentual 6 10" xfId="3729" xr:uid="{00000000-0005-0000-0000-0000A2350000}"/>
    <cellStyle name="Porcentual 6 2" xfId="3730" xr:uid="{00000000-0005-0000-0000-0000A3350000}"/>
    <cellStyle name="Porcentual 6 3" xfId="3731" xr:uid="{00000000-0005-0000-0000-0000A4350000}"/>
    <cellStyle name="Porcentual 6 4" xfId="3732" xr:uid="{00000000-0005-0000-0000-0000A5350000}"/>
    <cellStyle name="Porcentual 6 5" xfId="3733" xr:uid="{00000000-0005-0000-0000-0000A6350000}"/>
    <cellStyle name="Porcentual 6 6" xfId="3734" xr:uid="{00000000-0005-0000-0000-0000A7350000}"/>
    <cellStyle name="Porcentual 6 7" xfId="3735" xr:uid="{00000000-0005-0000-0000-0000A8350000}"/>
    <cellStyle name="Porcentual 6 8" xfId="3736" xr:uid="{00000000-0005-0000-0000-0000A9350000}"/>
    <cellStyle name="Porcentual 6 9" xfId="3737" xr:uid="{00000000-0005-0000-0000-0000AA350000}"/>
    <cellStyle name="Porcentual 7" xfId="3738" xr:uid="{00000000-0005-0000-0000-0000AB350000}"/>
    <cellStyle name="Porcentual 7 2" xfId="13779" xr:uid="{00000000-0005-0000-0000-0000AC350000}"/>
    <cellStyle name="Porcentual 7 3" xfId="13780" xr:uid="{00000000-0005-0000-0000-0000AD350000}"/>
    <cellStyle name="resaltado" xfId="3739" xr:uid="{00000000-0005-0000-0000-0000AE350000}"/>
    <cellStyle name="Salida 2" xfId="3740" xr:uid="{00000000-0005-0000-0000-0000AF350000}"/>
    <cellStyle name="Salida 3" xfId="3741" xr:uid="{00000000-0005-0000-0000-0000B0350000}"/>
    <cellStyle name="Salida 4" xfId="3742" xr:uid="{00000000-0005-0000-0000-0000B1350000}"/>
    <cellStyle name="Salida 5" xfId="3743" xr:uid="{00000000-0005-0000-0000-0000B2350000}"/>
    <cellStyle name="Salida 6" xfId="3744" xr:uid="{00000000-0005-0000-0000-0000B3350000}"/>
    <cellStyle name="Texto de advertencia 2" xfId="3745" xr:uid="{00000000-0005-0000-0000-0000B4350000}"/>
    <cellStyle name="Texto de advertencia 3" xfId="3746" xr:uid="{00000000-0005-0000-0000-0000B5350000}"/>
    <cellStyle name="Texto de advertencia 4" xfId="3747" xr:uid="{00000000-0005-0000-0000-0000B6350000}"/>
    <cellStyle name="Texto de advertencia 5" xfId="3748" xr:uid="{00000000-0005-0000-0000-0000B7350000}"/>
    <cellStyle name="Texto de advertencia 6" xfId="3749" xr:uid="{00000000-0005-0000-0000-0000B8350000}"/>
    <cellStyle name="Texto explicativo 2" xfId="3750" xr:uid="{00000000-0005-0000-0000-0000B9350000}"/>
    <cellStyle name="Texto explicativo 3" xfId="3751" xr:uid="{00000000-0005-0000-0000-0000BA350000}"/>
    <cellStyle name="Texto explicativo 4" xfId="3752" xr:uid="{00000000-0005-0000-0000-0000BB350000}"/>
    <cellStyle name="Texto explicativo 5" xfId="3753" xr:uid="{00000000-0005-0000-0000-0000BC350000}"/>
    <cellStyle name="Texto explicativo 6" xfId="3754" xr:uid="{00000000-0005-0000-0000-0000BD350000}"/>
    <cellStyle name="Title" xfId="3755" xr:uid="{00000000-0005-0000-0000-0000BE350000}"/>
    <cellStyle name="Título 1 2" xfId="3756" xr:uid="{00000000-0005-0000-0000-0000BF350000}"/>
    <cellStyle name="Título 1 3" xfId="3757" xr:uid="{00000000-0005-0000-0000-0000C0350000}"/>
    <cellStyle name="Título 1 4" xfId="3758" xr:uid="{00000000-0005-0000-0000-0000C1350000}"/>
    <cellStyle name="Título 1 5" xfId="3759" xr:uid="{00000000-0005-0000-0000-0000C2350000}"/>
    <cellStyle name="Título 1 6" xfId="3760" xr:uid="{00000000-0005-0000-0000-0000C3350000}"/>
    <cellStyle name="Título 2 2" xfId="3761" xr:uid="{00000000-0005-0000-0000-0000C4350000}"/>
    <cellStyle name="Título 2 3" xfId="3762" xr:uid="{00000000-0005-0000-0000-0000C5350000}"/>
    <cellStyle name="Título 2 4" xfId="3763" xr:uid="{00000000-0005-0000-0000-0000C6350000}"/>
    <cellStyle name="Título 2 5" xfId="3764" xr:uid="{00000000-0005-0000-0000-0000C7350000}"/>
    <cellStyle name="Título 2 6" xfId="3765" xr:uid="{00000000-0005-0000-0000-0000C8350000}"/>
    <cellStyle name="Título 3 2" xfId="3766" xr:uid="{00000000-0005-0000-0000-0000C9350000}"/>
    <cellStyle name="Título 3 2 2" xfId="13781" xr:uid="{00000000-0005-0000-0000-0000CA350000}"/>
    <cellStyle name="Título 3 3" xfId="3767" xr:uid="{00000000-0005-0000-0000-0000CB350000}"/>
    <cellStyle name="Título 3 3 2" xfId="13782" xr:uid="{00000000-0005-0000-0000-0000CC350000}"/>
    <cellStyle name="Título 3 4" xfId="3768" xr:uid="{00000000-0005-0000-0000-0000CD350000}"/>
    <cellStyle name="Título 3 4 2" xfId="13783" xr:uid="{00000000-0005-0000-0000-0000CE350000}"/>
    <cellStyle name="Título 3 5" xfId="3769" xr:uid="{00000000-0005-0000-0000-0000CF350000}"/>
    <cellStyle name="Título 3 5 2" xfId="13784" xr:uid="{00000000-0005-0000-0000-0000D0350000}"/>
    <cellStyle name="Título 3 6" xfId="3770" xr:uid="{00000000-0005-0000-0000-0000D1350000}"/>
    <cellStyle name="Título 3 6 2" xfId="13785" xr:uid="{00000000-0005-0000-0000-0000D2350000}"/>
    <cellStyle name="Título 4" xfId="3771" xr:uid="{00000000-0005-0000-0000-0000D3350000}"/>
    <cellStyle name="Título 5" xfId="3772" xr:uid="{00000000-0005-0000-0000-0000D4350000}"/>
    <cellStyle name="Título 6" xfId="3773" xr:uid="{00000000-0005-0000-0000-0000D5350000}"/>
    <cellStyle name="Título 7" xfId="3774" xr:uid="{00000000-0005-0000-0000-0000D6350000}"/>
    <cellStyle name="Título 8" xfId="3775" xr:uid="{00000000-0005-0000-0000-0000D7350000}"/>
    <cellStyle name="Total 2" xfId="3776" xr:uid="{00000000-0005-0000-0000-0000D8350000}"/>
    <cellStyle name="Total 3" xfId="3777" xr:uid="{00000000-0005-0000-0000-0000D9350000}"/>
    <cellStyle name="Total 4" xfId="3778" xr:uid="{00000000-0005-0000-0000-0000DA350000}"/>
    <cellStyle name="Total 5" xfId="3779" xr:uid="{00000000-0005-0000-0000-0000DB350000}"/>
    <cellStyle name="Total 6" xfId="3780" xr:uid="{00000000-0005-0000-0000-0000DC350000}"/>
    <cellStyle name="Warning Text" xfId="3781" xr:uid="{00000000-0005-0000-0000-0000DD350000}"/>
  </cellStyles>
  <dxfs count="120">
    <dxf>
      <numFmt numFmtId="173" formatCode="0.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1"/>
        <name val="Calibri"/>
        <scheme val="minor"/>
      </font>
    </dxf>
    <dxf>
      <font>
        <color rgb="FFFF0000"/>
      </font>
    </dxf>
    <dxf>
      <font>
        <color rgb="FFFF0000"/>
      </font>
    </dxf>
    <dxf>
      <font>
        <color rgb="FFFF0000"/>
      </font>
    </dxf>
    <dxf>
      <font>
        <color rgb="FFFF0000"/>
      </font>
    </dxf>
    <dxf>
      <font>
        <color rgb="FFFF0000"/>
      </font>
    </dxf>
    <dxf>
      <numFmt numFmtId="173" formatCode="0.000%"/>
      <protection locked="1" hidden="0"/>
    </dxf>
    <dxf>
      <numFmt numFmtId="174" formatCode="_-* #,##0_-;\-* #,##0_-;_-* &quot;-&quot;??_-;_-@_-"/>
      <protection locked="1" hidden="0"/>
    </dxf>
    <dxf>
      <protection locked="1" hidden="0"/>
    </dxf>
    <dxf>
      <protection locked="1" hidden="0"/>
    </dxf>
    <dxf>
      <protection locked="1" hidden="0"/>
    </dxf>
    <dxf>
      <font>
        <color rgb="FFFF0000"/>
      </font>
    </dxf>
    <dxf>
      <font>
        <color rgb="FFFF0000"/>
      </font>
    </dxf>
    <dxf>
      <fill>
        <patternFill patternType="none">
          <bgColor auto="1"/>
        </patternFill>
      </fill>
      <border>
        <left/>
        <right/>
        <top/>
        <bottom/>
        <vertical/>
        <horizontal/>
      </border>
    </dxf>
    <dxf>
      <fill>
        <patternFill patternType="none">
          <bgColor auto="1"/>
        </patternFill>
      </fill>
      <border>
        <left/>
        <right/>
        <top/>
        <bottom/>
        <vertical/>
        <horizontal/>
      </border>
    </dxf>
    <dxf>
      <font>
        <color rgb="FFFF0000"/>
      </font>
    </dxf>
    <dxf>
      <fill>
        <patternFill patternType="none">
          <bgColor auto="1"/>
        </patternFill>
      </fill>
      <border>
        <left/>
        <right/>
        <top/>
        <bottom/>
        <vertical/>
        <horizontal/>
      </border>
    </dxf>
    <dxf>
      <fill>
        <patternFill patternType="none">
          <bgColor auto="1"/>
        </patternFill>
      </fill>
      <border>
        <left/>
        <right/>
        <top/>
        <bottom/>
        <vertical/>
        <horizontal/>
      </border>
    </dxf>
    <dxf>
      <font>
        <color rgb="FF9C0006"/>
      </font>
      <fill>
        <patternFill>
          <bgColor rgb="FFFFC7CE"/>
        </patternFill>
      </fill>
    </dxf>
    <dxf>
      <font>
        <color rgb="FF9C0006"/>
      </font>
      <fill>
        <patternFill>
          <bgColor rgb="FFFFC7CE"/>
        </patternFill>
      </fill>
    </dxf>
    <dxf>
      <font>
        <color rgb="FFFF0000"/>
      </font>
    </dxf>
    <dxf>
      <font>
        <color rgb="FFFF0000"/>
      </font>
    </dxf>
    <dxf>
      <numFmt numFmtId="173" formatCode="0.000%"/>
      <protection locked="1" hidden="0"/>
    </dxf>
    <dxf>
      <numFmt numFmtId="174" formatCode="_-* #,##0_-;\-* #,##0_-;_-* &quot;-&quot;??_-;_-@_-"/>
      <protection locked="1" hidden="0"/>
    </dxf>
    <dxf>
      <protection locked="1" hidden="0"/>
    </dxf>
    <dxf>
      <protection locked="1" hidden="0"/>
    </dxf>
    <dxf>
      <protection locked="1" hidden="0"/>
    </dxf>
    <dxf>
      <numFmt numFmtId="173" formatCode="0.000%"/>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font>
        <b/>
        <i val="0"/>
        <strike val="0"/>
        <condense val="0"/>
        <extend val="0"/>
        <outline val="0"/>
        <shadow val="0"/>
        <u val="none"/>
        <vertAlign val="baseline"/>
        <sz val="11"/>
        <color theme="1"/>
        <name val="Calibri"/>
        <scheme val="minor"/>
      </font>
      <protection locked="1" hidden="0"/>
    </dxf>
    <dxf>
      <numFmt numFmtId="171" formatCode="_-&quot;$&quot;* #,##0_-;\-&quot;$&quot;* #,##0_-;_-&quot;$&quot;* &quot;-&quot;??_-;_-@_-"/>
      <alignment horizontal="left" vertical="bottom" textRotation="0" wrapText="0" indent="0" justifyLastLine="0" shrinkToFit="0" readingOrder="0"/>
      <protection locked="1" hidden="0"/>
    </dxf>
    <dxf>
      <numFmt numFmtId="14" formatCode="0.00%"/>
      <alignment horizontal="center" vertical="center" textRotation="0" wrapText="0" indent="0" justifyLastLine="0" shrinkToFit="0" readingOrder="0"/>
      <protection locked="1" hidden="0"/>
    </dxf>
    <dxf>
      <numFmt numFmtId="172" formatCode="_(* #,##0_);_(* \(#,##0\);_(* &quot;-&quot;??_);_(@_)"/>
      <alignment horizontal="center" vertical="center" textRotation="0" wrapText="0" indent="0" justifyLastLine="0" shrinkToFit="0" readingOrder="0"/>
      <protection locked="1" hidden="0"/>
    </dxf>
    <dxf>
      <alignment horizontal="left" vertical="bottom" textRotation="0" wrapText="0" indent="0" justifyLastLine="0" shrinkToFit="0" readingOrder="0"/>
      <protection locked="1" hidden="0"/>
    </dxf>
    <dxf>
      <alignment horizontal="left" vertical="bottom" textRotation="0" wrapText="0" indent="0" justifyLastLine="0" shrinkToFit="0" readingOrder="0"/>
      <protection locked="1" hidden="0"/>
    </dxf>
    <dxf>
      <font>
        <b/>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protection locked="1" hidden="0"/>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bgColor rgb="FFFF0000"/>
        </patternFill>
      </fill>
    </dxf>
    <dxf>
      <font>
        <color rgb="FFFF0000"/>
      </font>
      <fill>
        <patternFill>
          <bgColor rgb="FFFF0000"/>
        </patternFill>
      </fill>
    </dxf>
    <dxf>
      <font>
        <color rgb="FFFF0000"/>
      </font>
    </dxf>
    <dxf>
      <font>
        <color rgb="FFFF0000"/>
      </font>
    </dxf>
    <dxf>
      <font>
        <color rgb="FFFF0000"/>
      </font>
    </dxf>
    <dxf>
      <fill>
        <patternFill>
          <bgColor rgb="FFFFFFCC"/>
        </patternFill>
      </fill>
    </dxf>
    <dxf>
      <font>
        <color rgb="FFFF0000"/>
      </font>
    </dxf>
    <dxf>
      <fill>
        <patternFill>
          <bgColor rgb="FFFFFFCC"/>
        </patternFill>
      </fill>
    </dxf>
    <dxf>
      <font>
        <color rgb="FFFF0000"/>
      </font>
    </dxf>
    <dxf>
      <font>
        <color auto="1"/>
      </font>
    </dxf>
    <dxf>
      <font>
        <color rgb="FFFF0000"/>
      </font>
    </dxf>
    <dxf>
      <font>
        <color auto="1"/>
      </font>
    </dxf>
    <dxf>
      <font>
        <color rgb="FFFF0000"/>
      </font>
    </dxf>
    <dxf>
      <font>
        <color rgb="FFFF0000"/>
      </font>
    </dxf>
    <dxf>
      <font>
        <color rgb="FFFF0000"/>
      </font>
    </dxf>
    <dxf>
      <font>
        <color rgb="FFFF0000"/>
      </font>
    </dxf>
    <dxf>
      <font>
        <color rgb="FFFF0000"/>
      </font>
    </dxf>
    <dxf>
      <fill>
        <patternFill>
          <bgColor rgb="FFFFFFCC"/>
        </patternFill>
      </fill>
    </dxf>
    <dxf>
      <font>
        <color rgb="FFFF0000"/>
      </font>
    </dxf>
    <dxf>
      <numFmt numFmtId="14" formatCode="0.00%"/>
    </dxf>
    <dxf>
      <numFmt numFmtId="0" formatCode="General"/>
    </dxf>
    <dxf>
      <fill>
        <patternFill>
          <bgColor rgb="FFFFFFCC"/>
        </patternFill>
      </fill>
    </dxf>
    <dxf>
      <font>
        <color rgb="FFFF0000"/>
      </font>
    </dxf>
    <dxf>
      <fill>
        <patternFill>
          <bgColor rgb="FFFFFFCC"/>
        </patternFill>
      </fill>
    </dxf>
    <dxf>
      <font>
        <color rgb="FFFF0000"/>
      </font>
    </dxf>
    <dxf>
      <font>
        <color rgb="FFFF0000"/>
      </font>
      <fill>
        <patternFill>
          <bgColor rgb="FFFF0000"/>
        </patternFill>
      </fill>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ill>
        <patternFill>
          <bgColor rgb="FFFFFFCC"/>
        </patternFill>
      </fill>
    </dxf>
    <dxf>
      <font>
        <color rgb="FFFF0000"/>
      </font>
    </dxf>
    <dxf>
      <font>
        <color rgb="FFFF0000"/>
      </font>
      <fill>
        <patternFill>
          <bgColor rgb="FFFF0000"/>
        </patternFill>
      </fill>
    </dxf>
    <dxf>
      <font>
        <color rgb="FFFF0000"/>
      </font>
    </dxf>
    <dxf>
      <font>
        <color rgb="FFFF0000"/>
      </font>
    </dxf>
    <dxf>
      <fill>
        <patternFill>
          <bgColor rgb="FFFF0000"/>
        </patternFill>
      </fill>
    </dxf>
  </dxfs>
  <tableStyles count="0" defaultTableStyle="TableStyleMedium2" defaultPivotStyle="PivotStyleLight16"/>
  <colors>
    <mruColors>
      <color rgb="FFFFFFCC"/>
      <color rgb="FF9A0000"/>
      <color rgb="FF82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microsoft.com/office/2017/10/relationships/person" Target="persons/perso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46</xdr:col>
      <xdr:colOff>2019300</xdr:colOff>
      <xdr:row>164</xdr:row>
      <xdr:rowOff>28576</xdr:rowOff>
    </xdr:from>
    <xdr:to>
      <xdr:col>46</xdr:col>
      <xdr:colOff>2247900</xdr:colOff>
      <xdr:row>164</xdr:row>
      <xdr:rowOff>123826</xdr:rowOff>
    </xdr:to>
    <xdr:sp macro="" textlink="">
      <xdr:nvSpPr>
        <xdr:cNvPr id="4" name="Flecha: a la derecha 3">
          <a:extLst>
            <a:ext uri="{FF2B5EF4-FFF2-40B4-BE49-F238E27FC236}">
              <a16:creationId xmlns:a16="http://schemas.microsoft.com/office/drawing/2014/main" id="{00000000-0008-0000-0000-000004000000}"/>
            </a:ext>
          </a:extLst>
        </xdr:cNvPr>
        <xdr:cNvSpPr/>
      </xdr:nvSpPr>
      <xdr:spPr>
        <a:xfrm>
          <a:off x="49577625" y="199759652551"/>
          <a:ext cx="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47</xdr:col>
      <xdr:colOff>219075</xdr:colOff>
      <xdr:row>152</xdr:row>
      <xdr:rowOff>28575</xdr:rowOff>
    </xdr:from>
    <xdr:to>
      <xdr:col>47</xdr:col>
      <xdr:colOff>447675</xdr:colOff>
      <xdr:row>152</xdr:row>
      <xdr:rowOff>123825</xdr:rowOff>
    </xdr:to>
    <xdr:sp macro="" textlink="">
      <xdr:nvSpPr>
        <xdr:cNvPr id="5" name="Flecha: a la derecha 4">
          <a:extLst>
            <a:ext uri="{FF2B5EF4-FFF2-40B4-BE49-F238E27FC236}">
              <a16:creationId xmlns:a16="http://schemas.microsoft.com/office/drawing/2014/main" id="{00000000-0008-0000-0000-000005000000}"/>
            </a:ext>
          </a:extLst>
        </xdr:cNvPr>
        <xdr:cNvSpPr/>
      </xdr:nvSpPr>
      <xdr:spPr>
        <a:xfrm>
          <a:off x="49796700" y="199751775375"/>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11</xdr:col>
      <xdr:colOff>1498947</xdr:colOff>
      <xdr:row>113</xdr:row>
      <xdr:rowOff>54427</xdr:rowOff>
    </xdr:from>
    <xdr:to>
      <xdr:col>13</xdr:col>
      <xdr:colOff>108857</xdr:colOff>
      <xdr:row>118</xdr:row>
      <xdr:rowOff>190499</xdr:rowOff>
    </xdr:to>
    <xdr:sp macro="" textlink="">
      <xdr:nvSpPr>
        <xdr:cNvPr id="8" name="Rectángulo 6">
          <a:extLst>
            <a:ext uri="{FF2B5EF4-FFF2-40B4-BE49-F238E27FC236}">
              <a16:creationId xmlns:a16="http://schemas.microsoft.com/office/drawing/2014/main" id="{00000000-0008-0000-0000-000008000000}"/>
            </a:ext>
          </a:extLst>
        </xdr:cNvPr>
        <xdr:cNvSpPr/>
      </xdr:nvSpPr>
      <xdr:spPr>
        <a:xfrm>
          <a:off x="18222126" y="22125213"/>
          <a:ext cx="1508231" cy="1224643"/>
        </a:xfrm>
        <a:custGeom>
          <a:avLst/>
          <a:gdLst>
            <a:gd name="connsiteX0" fmla="*/ 0 w 739588"/>
            <a:gd name="connsiteY0" fmla="*/ 0 h 605118"/>
            <a:gd name="connsiteX1" fmla="*/ 739588 w 739588"/>
            <a:gd name="connsiteY1" fmla="*/ 0 h 605118"/>
            <a:gd name="connsiteX2" fmla="*/ 739588 w 739588"/>
            <a:gd name="connsiteY2" fmla="*/ 605118 h 605118"/>
            <a:gd name="connsiteX3" fmla="*/ 0 w 739588"/>
            <a:gd name="connsiteY3" fmla="*/ 605118 h 605118"/>
            <a:gd name="connsiteX4" fmla="*/ 0 w 739588"/>
            <a:gd name="connsiteY4" fmla="*/ 0 h 605118"/>
            <a:gd name="connsiteX0" fmla="*/ 0 w 997323"/>
            <a:gd name="connsiteY0" fmla="*/ 201706 h 605118"/>
            <a:gd name="connsiteX1" fmla="*/ 997323 w 997323"/>
            <a:gd name="connsiteY1" fmla="*/ 0 h 605118"/>
            <a:gd name="connsiteX2" fmla="*/ 997323 w 997323"/>
            <a:gd name="connsiteY2" fmla="*/ 605118 h 605118"/>
            <a:gd name="connsiteX3" fmla="*/ 257735 w 997323"/>
            <a:gd name="connsiteY3" fmla="*/ 605118 h 605118"/>
            <a:gd name="connsiteX4" fmla="*/ 0 w 997323"/>
            <a:gd name="connsiteY4" fmla="*/ 201706 h 605118"/>
            <a:gd name="connsiteX0" fmla="*/ 0 w 997323"/>
            <a:gd name="connsiteY0" fmla="*/ 201706 h 605118"/>
            <a:gd name="connsiteX1" fmla="*/ 997323 w 997323"/>
            <a:gd name="connsiteY1" fmla="*/ 0 h 605118"/>
            <a:gd name="connsiteX2" fmla="*/ 997323 w 997323"/>
            <a:gd name="connsiteY2" fmla="*/ 605118 h 605118"/>
            <a:gd name="connsiteX3" fmla="*/ 11206 w 997323"/>
            <a:gd name="connsiteY3" fmla="*/ 392206 h 605118"/>
            <a:gd name="connsiteX4" fmla="*/ 0 w 997323"/>
            <a:gd name="connsiteY4" fmla="*/ 201706 h 60511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7323" h="605118">
              <a:moveTo>
                <a:pt x="0" y="201706"/>
              </a:moveTo>
              <a:lnTo>
                <a:pt x="997323" y="0"/>
              </a:lnTo>
              <a:lnTo>
                <a:pt x="997323" y="605118"/>
              </a:lnTo>
              <a:lnTo>
                <a:pt x="11206" y="392206"/>
              </a:lnTo>
              <a:lnTo>
                <a:pt x="0" y="201706"/>
              </a:lnTo>
              <a:close/>
            </a:path>
          </a:pathLst>
        </a:custGeom>
        <a:solidFill>
          <a:schemeClr val="bg1">
            <a:lumMod val="9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13</xdr:col>
      <xdr:colOff>139073</xdr:colOff>
      <xdr:row>113</xdr:row>
      <xdr:rowOff>40821</xdr:rowOff>
    </xdr:from>
    <xdr:to>
      <xdr:col>15</xdr:col>
      <xdr:colOff>693964</xdr:colOff>
      <xdr:row>118</xdr:row>
      <xdr:rowOff>181995</xdr:rowOff>
    </xdr:to>
    <xdr:sp macro="" textlink="">
      <xdr:nvSpPr>
        <xdr:cNvPr id="9" name="Rectángulo 8">
          <a:extLst>
            <a:ext uri="{FF2B5EF4-FFF2-40B4-BE49-F238E27FC236}">
              <a16:creationId xmlns:a16="http://schemas.microsoft.com/office/drawing/2014/main" id="{00000000-0008-0000-0000-000009000000}"/>
            </a:ext>
          </a:extLst>
        </xdr:cNvPr>
        <xdr:cNvSpPr/>
      </xdr:nvSpPr>
      <xdr:spPr>
        <a:xfrm>
          <a:off x="19760573" y="22111607"/>
          <a:ext cx="5439855" cy="1229745"/>
        </a:xfrm>
        <a:prstGeom prst="rect">
          <a:avLst/>
        </a:prstGeom>
        <a:solidFill>
          <a:srgbClr val="D9D9D9">
            <a:alpha val="30980"/>
          </a:srgb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mc:AlternateContent xmlns:mc="http://schemas.openxmlformats.org/markup-compatibility/2006">
    <mc:Choice xmlns:a14="http://schemas.microsoft.com/office/drawing/2010/main" Requires="a14">
      <xdr:twoCellAnchor>
        <xdr:from>
          <xdr:col>8</xdr:col>
          <xdr:colOff>838200</xdr:colOff>
          <xdr:row>10</xdr:row>
          <xdr:rowOff>107950</xdr:rowOff>
        </xdr:from>
        <xdr:to>
          <xdr:col>10</xdr:col>
          <xdr:colOff>666750</xdr:colOff>
          <xdr:row>14</xdr:row>
          <xdr:rowOff>31750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s-CO" sz="1800" b="0" i="0" u="none" strike="noStrike" baseline="0">
                  <a:solidFill>
                    <a:srgbClr val="000000"/>
                  </a:solidFill>
                  <a:latin typeface="Arial"/>
                  <a:cs typeface="Arial"/>
                </a:rPr>
                <a:t>Calcular FM</a:t>
              </a:r>
            </a:p>
          </xdr:txBody>
        </xdr:sp>
        <xdr:clientData fPrintsWithSheet="0"/>
      </xdr:twoCellAnchor>
    </mc:Choice>
    <mc:Fallback/>
  </mc:AlternateContent>
  <xdr:twoCellAnchor editAs="oneCell">
    <xdr:from>
      <xdr:col>9</xdr:col>
      <xdr:colOff>322867</xdr:colOff>
      <xdr:row>2</xdr:row>
      <xdr:rowOff>216017</xdr:rowOff>
    </xdr:from>
    <xdr:to>
      <xdr:col>12</xdr:col>
      <xdr:colOff>24510</xdr:colOff>
      <xdr:row>8</xdr:row>
      <xdr:rowOff>145674</xdr:rowOff>
    </xdr:to>
    <xdr:pic>
      <xdr:nvPicPr>
        <xdr:cNvPr id="10" name="2 Imagen">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940691" y="798723"/>
          <a:ext cx="2727231" cy="17225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597013</xdr:colOff>
      <xdr:row>2</xdr:row>
      <xdr:rowOff>88726</xdr:rowOff>
    </xdr:from>
    <xdr:to>
      <xdr:col>1</xdr:col>
      <xdr:colOff>3238499</xdr:colOff>
      <xdr:row>5</xdr:row>
      <xdr:rowOff>71437</xdr:rowOff>
    </xdr:to>
    <xdr:pic>
      <xdr:nvPicPr>
        <xdr:cNvPr id="2" name="2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49451" y="469726"/>
          <a:ext cx="2641486" cy="1697211"/>
        </a:xfrm>
        <a:prstGeom prst="rect">
          <a:avLst/>
        </a:prstGeom>
        <a:noFill/>
        <a:ln>
          <a:noFill/>
        </a:ln>
      </xdr:spPr>
    </xdr:pic>
    <xdr:clientData/>
  </xdr:twoCellAnchor>
  <xdr:twoCellAnchor>
    <xdr:from>
      <xdr:col>1</xdr:col>
      <xdr:colOff>2019300</xdr:colOff>
      <xdr:row>192</xdr:row>
      <xdr:rowOff>28576</xdr:rowOff>
    </xdr:from>
    <xdr:to>
      <xdr:col>1</xdr:col>
      <xdr:colOff>2247900</xdr:colOff>
      <xdr:row>192</xdr:row>
      <xdr:rowOff>123826</xdr:rowOff>
    </xdr:to>
    <xdr:sp macro="" textlink="">
      <xdr:nvSpPr>
        <xdr:cNvPr id="3" name="Flecha: a la derecha 2">
          <a:extLst>
            <a:ext uri="{FF2B5EF4-FFF2-40B4-BE49-F238E27FC236}">
              <a16:creationId xmlns:a16="http://schemas.microsoft.com/office/drawing/2014/main" id="{00000000-0008-0000-0100-000003000000}"/>
            </a:ext>
          </a:extLst>
        </xdr:cNvPr>
        <xdr:cNvSpPr/>
      </xdr:nvSpPr>
      <xdr:spPr>
        <a:xfrm>
          <a:off x="54521100" y="32480251"/>
          <a:ext cx="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219075</xdr:colOff>
      <xdr:row>180</xdr:row>
      <xdr:rowOff>28575</xdr:rowOff>
    </xdr:from>
    <xdr:to>
      <xdr:col>2</xdr:col>
      <xdr:colOff>447675</xdr:colOff>
      <xdr:row>180</xdr:row>
      <xdr:rowOff>123825</xdr:rowOff>
    </xdr:to>
    <xdr:sp macro="" textlink="">
      <xdr:nvSpPr>
        <xdr:cNvPr id="4" name="Flecha: a la derecha 3">
          <a:extLst>
            <a:ext uri="{FF2B5EF4-FFF2-40B4-BE49-F238E27FC236}">
              <a16:creationId xmlns:a16="http://schemas.microsoft.com/office/drawing/2014/main" id="{00000000-0008-0000-0100-000004000000}"/>
            </a:ext>
          </a:extLst>
        </xdr:cNvPr>
        <xdr:cNvSpPr/>
      </xdr:nvSpPr>
      <xdr:spPr>
        <a:xfrm>
          <a:off x="54740175" y="29851350"/>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523874</xdr:colOff>
      <xdr:row>77</xdr:row>
      <xdr:rowOff>154787</xdr:rowOff>
    </xdr:from>
    <xdr:to>
      <xdr:col>2</xdr:col>
      <xdr:colOff>613833</xdr:colOff>
      <xdr:row>77</xdr:row>
      <xdr:rowOff>169334</xdr:rowOff>
    </xdr:to>
    <xdr:cxnSp macro="">
      <xdr:nvCxnSpPr>
        <xdr:cNvPr id="3" name="Conector recto 2">
          <a:extLst>
            <a:ext uri="{FF2B5EF4-FFF2-40B4-BE49-F238E27FC236}">
              <a16:creationId xmlns:a16="http://schemas.microsoft.com/office/drawing/2014/main" id="{00000000-0008-0000-0200-000003000000}"/>
            </a:ext>
          </a:extLst>
        </xdr:cNvPr>
        <xdr:cNvCxnSpPr/>
      </xdr:nvCxnSpPr>
      <xdr:spPr>
        <a:xfrm>
          <a:off x="873124" y="14802120"/>
          <a:ext cx="240770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719667</xdr:colOff>
      <xdr:row>77</xdr:row>
      <xdr:rowOff>148167</xdr:rowOff>
    </xdr:from>
    <xdr:to>
      <xdr:col>7</xdr:col>
      <xdr:colOff>444500</xdr:colOff>
      <xdr:row>77</xdr:row>
      <xdr:rowOff>148167</xdr:rowOff>
    </xdr:to>
    <xdr:cxnSp macro="">
      <xdr:nvCxnSpPr>
        <xdr:cNvPr id="4" name="Conector recto 3">
          <a:extLst>
            <a:ext uri="{FF2B5EF4-FFF2-40B4-BE49-F238E27FC236}">
              <a16:creationId xmlns:a16="http://schemas.microsoft.com/office/drawing/2014/main" id="{00000000-0008-0000-0200-000004000000}"/>
            </a:ext>
          </a:extLst>
        </xdr:cNvPr>
        <xdr:cNvCxnSpPr/>
      </xdr:nvCxnSpPr>
      <xdr:spPr>
        <a:xfrm>
          <a:off x="4095750" y="14795500"/>
          <a:ext cx="303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3869532</xdr:colOff>
      <xdr:row>0</xdr:row>
      <xdr:rowOff>190503</xdr:rowOff>
    </xdr:from>
    <xdr:to>
      <xdr:col>3</xdr:col>
      <xdr:colOff>235970</xdr:colOff>
      <xdr:row>0</xdr:row>
      <xdr:rowOff>1059657</xdr:rowOff>
    </xdr:to>
    <xdr:pic>
      <xdr:nvPicPr>
        <xdr:cNvPr id="5" name="2 Imagen" descr="Descripción: ESCUDO A COLOR RETOCADO">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6720" y="190503"/>
          <a:ext cx="1273967" cy="86915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15874</xdr:colOff>
      <xdr:row>78</xdr:row>
      <xdr:rowOff>175954</xdr:rowOff>
    </xdr:from>
    <xdr:to>
      <xdr:col>2</xdr:col>
      <xdr:colOff>105833</xdr:colOff>
      <xdr:row>79</xdr:row>
      <xdr:rowOff>1</xdr:rowOff>
    </xdr:to>
    <xdr:cxnSp macro="">
      <xdr:nvCxnSpPr>
        <xdr:cNvPr id="2" name="Conector recto 1">
          <a:extLst>
            <a:ext uri="{FF2B5EF4-FFF2-40B4-BE49-F238E27FC236}">
              <a16:creationId xmlns:a16="http://schemas.microsoft.com/office/drawing/2014/main" id="{00000000-0008-0000-0300-000002000000}"/>
            </a:ext>
          </a:extLst>
        </xdr:cNvPr>
        <xdr:cNvCxnSpPr/>
      </xdr:nvCxnSpPr>
      <xdr:spPr>
        <a:xfrm>
          <a:off x="365124" y="22390371"/>
          <a:ext cx="3423709" cy="14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31750</xdr:colOff>
      <xdr:row>78</xdr:row>
      <xdr:rowOff>158751</xdr:rowOff>
    </xdr:from>
    <xdr:to>
      <xdr:col>6</xdr:col>
      <xdr:colOff>328083</xdr:colOff>
      <xdr:row>78</xdr:row>
      <xdr:rowOff>158751</xdr:rowOff>
    </xdr:to>
    <xdr:cxnSp macro="">
      <xdr:nvCxnSpPr>
        <xdr:cNvPr id="3" name="Conector recto 2">
          <a:extLst>
            <a:ext uri="{FF2B5EF4-FFF2-40B4-BE49-F238E27FC236}">
              <a16:creationId xmlns:a16="http://schemas.microsoft.com/office/drawing/2014/main" id="{00000000-0008-0000-0300-000003000000}"/>
            </a:ext>
          </a:extLst>
        </xdr:cNvPr>
        <xdr:cNvCxnSpPr/>
      </xdr:nvCxnSpPr>
      <xdr:spPr>
        <a:xfrm>
          <a:off x="4508500" y="22373168"/>
          <a:ext cx="35136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383382</xdr:colOff>
      <xdr:row>1</xdr:row>
      <xdr:rowOff>190503</xdr:rowOff>
    </xdr:from>
    <xdr:to>
      <xdr:col>3</xdr:col>
      <xdr:colOff>617537</xdr:colOff>
      <xdr:row>1</xdr:row>
      <xdr:rowOff>1059657</xdr:rowOff>
    </xdr:to>
    <xdr:pic>
      <xdr:nvPicPr>
        <xdr:cNvPr id="4" name="2 Imagen" descr="Descripción: ESCUDO A COLOR RETOCADO">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74320" y="190503"/>
          <a:ext cx="1273967" cy="86915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2019300</xdr:colOff>
      <xdr:row>25</xdr:row>
      <xdr:rowOff>28576</xdr:rowOff>
    </xdr:from>
    <xdr:to>
      <xdr:col>3</xdr:col>
      <xdr:colOff>2247900</xdr:colOff>
      <xdr:row>25</xdr:row>
      <xdr:rowOff>123826</xdr:rowOff>
    </xdr:to>
    <xdr:sp macro="" textlink="">
      <xdr:nvSpPr>
        <xdr:cNvPr id="2" name="Flecha: a la derecha 1">
          <a:extLst>
            <a:ext uri="{FF2B5EF4-FFF2-40B4-BE49-F238E27FC236}">
              <a16:creationId xmlns:a16="http://schemas.microsoft.com/office/drawing/2014/main" id="{00000000-0008-0000-0700-000002000000}"/>
            </a:ext>
          </a:extLst>
        </xdr:cNvPr>
        <xdr:cNvSpPr/>
      </xdr:nvSpPr>
      <xdr:spPr>
        <a:xfrm>
          <a:off x="3867150" y="4543426"/>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219075</xdr:colOff>
      <xdr:row>13</xdr:row>
      <xdr:rowOff>47625</xdr:rowOff>
    </xdr:from>
    <xdr:to>
      <xdr:col>4</xdr:col>
      <xdr:colOff>447675</xdr:colOff>
      <xdr:row>13</xdr:row>
      <xdr:rowOff>142875</xdr:rowOff>
    </xdr:to>
    <xdr:sp macro="" textlink="">
      <xdr:nvSpPr>
        <xdr:cNvPr id="3" name="Flecha: a la derecha 2">
          <a:extLst>
            <a:ext uri="{FF2B5EF4-FFF2-40B4-BE49-F238E27FC236}">
              <a16:creationId xmlns:a16="http://schemas.microsoft.com/office/drawing/2014/main" id="{00000000-0008-0000-0700-000003000000}"/>
            </a:ext>
          </a:extLst>
        </xdr:cNvPr>
        <xdr:cNvSpPr/>
      </xdr:nvSpPr>
      <xdr:spPr>
        <a:xfrm>
          <a:off x="5629275" y="1514475"/>
          <a:ext cx="228600" cy="952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8</xdr:col>
      <xdr:colOff>188899</xdr:colOff>
      <xdr:row>6</xdr:row>
      <xdr:rowOff>11206</xdr:rowOff>
    </xdr:from>
    <xdr:to>
      <xdr:col>15</xdr:col>
      <xdr:colOff>124314</xdr:colOff>
      <xdr:row>30</xdr:row>
      <xdr:rowOff>93805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9075164" y="123265"/>
          <a:ext cx="5695238" cy="5864835"/>
        </a:xfrm>
        <a:prstGeom prst="rect">
          <a:avLst/>
        </a:prstGeom>
      </xdr:spPr>
    </xdr:pic>
    <xdr:clientData/>
  </xdr:twoCellAnchor>
  <xdr:twoCellAnchor editAs="oneCell">
    <xdr:from>
      <xdr:col>0</xdr:col>
      <xdr:colOff>0</xdr:colOff>
      <xdr:row>0</xdr:row>
      <xdr:rowOff>11205</xdr:rowOff>
    </xdr:from>
    <xdr:to>
      <xdr:col>1</xdr:col>
      <xdr:colOff>233453</xdr:colOff>
      <xdr:row>6</xdr:row>
      <xdr:rowOff>35296</xdr:rowOff>
    </xdr:to>
    <xdr:pic>
      <xdr:nvPicPr>
        <xdr:cNvPr id="5" name="Picture 1" descr="Resultado de imagen para empresa para la seguridad urbana">
          <a:extLst>
            <a:ext uri="{FF2B5EF4-FFF2-40B4-BE49-F238E27FC236}">
              <a16:creationId xmlns:a16="http://schemas.microsoft.com/office/drawing/2014/main" id="{00000000-0008-0000-0700-00000500000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647" t="53133" r="18758" b="12349"/>
        <a:stretch/>
      </xdr:blipFill>
      <xdr:spPr bwMode="auto">
        <a:xfrm>
          <a:off x="0" y="0"/>
          <a:ext cx="1385978" cy="1031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2762244</xdr:colOff>
      <xdr:row>1</xdr:row>
      <xdr:rowOff>40820</xdr:rowOff>
    </xdr:from>
    <xdr:to>
      <xdr:col>6</xdr:col>
      <xdr:colOff>4531172</xdr:colOff>
      <xdr:row>1</xdr:row>
      <xdr:rowOff>952499</xdr:rowOff>
    </xdr:to>
    <xdr:pic>
      <xdr:nvPicPr>
        <xdr:cNvPr id="2" name="0 Imagen">
          <a:extLst>
            <a:ext uri="{FF2B5EF4-FFF2-40B4-BE49-F238E27FC236}">
              <a16:creationId xmlns:a16="http://schemas.microsoft.com/office/drawing/2014/main" id="{00000000-0008-0000-08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19" y="240845"/>
          <a:ext cx="1768928" cy="91167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152400</xdr:colOff>
      <xdr:row>10</xdr:row>
      <xdr:rowOff>142875</xdr:rowOff>
    </xdr:from>
    <xdr:to>
      <xdr:col>5</xdr:col>
      <xdr:colOff>447675</xdr:colOff>
      <xdr:row>11</xdr:row>
      <xdr:rowOff>209550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2000000}"/>
            </a:ext>
          </a:extLst>
        </xdr:cNvPr>
        <xdr:cNvSpPr/>
      </xdr:nvSpPr>
      <xdr:spPr bwMode="auto">
        <a:xfrm>
          <a:off x="3486150" y="1809750"/>
          <a:ext cx="2952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10</xdr:row>
      <xdr:rowOff>142875</xdr:rowOff>
    </xdr:from>
    <xdr:to>
      <xdr:col>9</xdr:col>
      <xdr:colOff>447675</xdr:colOff>
      <xdr:row>11</xdr:row>
      <xdr:rowOff>209550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3000000}"/>
            </a:ext>
          </a:extLst>
        </xdr:cNvPr>
        <xdr:cNvSpPr/>
      </xdr:nvSpPr>
      <xdr:spPr bwMode="auto">
        <a:xfrm>
          <a:off x="6534150" y="1809750"/>
          <a:ext cx="29527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98</xdr:row>
      <xdr:rowOff>142875</xdr:rowOff>
    </xdr:from>
    <xdr:ext cx="295275" cy="23791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4000000}"/>
            </a:ext>
          </a:extLst>
        </xdr:cNvPr>
        <xdr:cNvSpPr/>
      </xdr:nvSpPr>
      <xdr:spPr bwMode="auto">
        <a:xfrm>
          <a:off x="3486150" y="16973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98</xdr:row>
      <xdr:rowOff>142875</xdr:rowOff>
    </xdr:from>
    <xdr:ext cx="295275" cy="23791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5000000}"/>
            </a:ext>
          </a:extLst>
        </xdr:cNvPr>
        <xdr:cNvSpPr/>
      </xdr:nvSpPr>
      <xdr:spPr bwMode="auto">
        <a:xfrm>
          <a:off x="6534150" y="16973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185</xdr:row>
      <xdr:rowOff>142875</xdr:rowOff>
    </xdr:from>
    <xdr:ext cx="295275" cy="23791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6000000}"/>
            </a:ext>
          </a:extLst>
        </xdr:cNvPr>
        <xdr:cNvSpPr/>
      </xdr:nvSpPr>
      <xdr:spPr bwMode="auto">
        <a:xfrm>
          <a:off x="3486150" y="31842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185</xdr:row>
      <xdr:rowOff>142875</xdr:rowOff>
    </xdr:from>
    <xdr:ext cx="295275" cy="23791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7000000}"/>
            </a:ext>
          </a:extLst>
        </xdr:cNvPr>
        <xdr:cNvSpPr/>
      </xdr:nvSpPr>
      <xdr:spPr bwMode="auto">
        <a:xfrm>
          <a:off x="6534150" y="31842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279</xdr:row>
      <xdr:rowOff>142875</xdr:rowOff>
    </xdr:from>
    <xdr:ext cx="295275" cy="23791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8000000}"/>
            </a:ext>
          </a:extLst>
        </xdr:cNvPr>
        <xdr:cNvSpPr/>
      </xdr:nvSpPr>
      <xdr:spPr bwMode="auto">
        <a:xfrm>
          <a:off x="3486150" y="48034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279</xdr:row>
      <xdr:rowOff>142875</xdr:rowOff>
    </xdr:from>
    <xdr:ext cx="295275" cy="23791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9000000}"/>
            </a:ext>
          </a:extLst>
        </xdr:cNvPr>
        <xdr:cNvSpPr/>
      </xdr:nvSpPr>
      <xdr:spPr bwMode="auto">
        <a:xfrm>
          <a:off x="6534150" y="48034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371</xdr:row>
      <xdr:rowOff>142875</xdr:rowOff>
    </xdr:from>
    <xdr:ext cx="295275" cy="23791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A000000}"/>
            </a:ext>
          </a:extLst>
        </xdr:cNvPr>
        <xdr:cNvSpPr/>
      </xdr:nvSpPr>
      <xdr:spPr bwMode="auto">
        <a:xfrm>
          <a:off x="3486150" y="63598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371</xdr:row>
      <xdr:rowOff>142875</xdr:rowOff>
    </xdr:from>
    <xdr:ext cx="295275" cy="23791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B000000}"/>
            </a:ext>
          </a:extLst>
        </xdr:cNvPr>
        <xdr:cNvSpPr/>
      </xdr:nvSpPr>
      <xdr:spPr bwMode="auto">
        <a:xfrm>
          <a:off x="6534150" y="63598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465</xdr:row>
      <xdr:rowOff>142875</xdr:rowOff>
    </xdr:from>
    <xdr:ext cx="295275" cy="23791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C000000}"/>
            </a:ext>
          </a:extLst>
        </xdr:cNvPr>
        <xdr:cNvSpPr/>
      </xdr:nvSpPr>
      <xdr:spPr bwMode="auto">
        <a:xfrm>
          <a:off x="3486150" y="79571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465</xdr:row>
      <xdr:rowOff>142875</xdr:rowOff>
    </xdr:from>
    <xdr:ext cx="295275" cy="23791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D000000}"/>
            </a:ext>
          </a:extLst>
        </xdr:cNvPr>
        <xdr:cNvSpPr/>
      </xdr:nvSpPr>
      <xdr:spPr bwMode="auto">
        <a:xfrm>
          <a:off x="6534150" y="79571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559</xdr:row>
      <xdr:rowOff>142875</xdr:rowOff>
    </xdr:from>
    <xdr:ext cx="295275" cy="237911"/>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E000000}"/>
            </a:ext>
          </a:extLst>
        </xdr:cNvPr>
        <xdr:cNvSpPr/>
      </xdr:nvSpPr>
      <xdr:spPr bwMode="auto">
        <a:xfrm>
          <a:off x="3486150" y="95811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559</xdr:row>
      <xdr:rowOff>142875</xdr:rowOff>
    </xdr:from>
    <xdr:ext cx="295275" cy="237911"/>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F000000}"/>
            </a:ext>
          </a:extLst>
        </xdr:cNvPr>
        <xdr:cNvSpPr/>
      </xdr:nvSpPr>
      <xdr:spPr bwMode="auto">
        <a:xfrm>
          <a:off x="6534150" y="95811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653</xdr:row>
      <xdr:rowOff>142875</xdr:rowOff>
    </xdr:from>
    <xdr:ext cx="295275" cy="23791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0000000}"/>
            </a:ext>
          </a:extLst>
        </xdr:cNvPr>
        <xdr:cNvSpPr/>
      </xdr:nvSpPr>
      <xdr:spPr bwMode="auto">
        <a:xfrm>
          <a:off x="3486150" y="1119949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653</xdr:row>
      <xdr:rowOff>142875</xdr:rowOff>
    </xdr:from>
    <xdr:ext cx="295275" cy="23791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1000000}"/>
            </a:ext>
          </a:extLst>
        </xdr:cNvPr>
        <xdr:cNvSpPr/>
      </xdr:nvSpPr>
      <xdr:spPr bwMode="auto">
        <a:xfrm>
          <a:off x="6534150" y="1119949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747</xdr:row>
      <xdr:rowOff>142875</xdr:rowOff>
    </xdr:from>
    <xdr:ext cx="295275" cy="237911"/>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2000000}"/>
            </a:ext>
          </a:extLst>
        </xdr:cNvPr>
        <xdr:cNvSpPr/>
      </xdr:nvSpPr>
      <xdr:spPr bwMode="auto">
        <a:xfrm>
          <a:off x="3486150" y="1279493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747</xdr:row>
      <xdr:rowOff>142875</xdr:rowOff>
    </xdr:from>
    <xdr:ext cx="295275" cy="237911"/>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3000000}"/>
            </a:ext>
          </a:extLst>
        </xdr:cNvPr>
        <xdr:cNvSpPr/>
      </xdr:nvSpPr>
      <xdr:spPr bwMode="auto">
        <a:xfrm>
          <a:off x="6534150" y="1279493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841</xdr:row>
      <xdr:rowOff>142875</xdr:rowOff>
    </xdr:from>
    <xdr:ext cx="295275" cy="237911"/>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4000000}"/>
            </a:ext>
          </a:extLst>
        </xdr:cNvPr>
        <xdr:cNvSpPr/>
      </xdr:nvSpPr>
      <xdr:spPr bwMode="auto">
        <a:xfrm>
          <a:off x="3486150" y="14386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841</xdr:row>
      <xdr:rowOff>142875</xdr:rowOff>
    </xdr:from>
    <xdr:ext cx="295275" cy="237911"/>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5000000}"/>
            </a:ext>
          </a:extLst>
        </xdr:cNvPr>
        <xdr:cNvSpPr/>
      </xdr:nvSpPr>
      <xdr:spPr bwMode="auto">
        <a:xfrm>
          <a:off x="6534150" y="14386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935</xdr:row>
      <xdr:rowOff>142875</xdr:rowOff>
    </xdr:from>
    <xdr:ext cx="295275" cy="237911"/>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6000000}"/>
            </a:ext>
          </a:extLst>
        </xdr:cNvPr>
        <xdr:cNvSpPr/>
      </xdr:nvSpPr>
      <xdr:spPr bwMode="auto">
        <a:xfrm>
          <a:off x="3486150" y="16001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935</xdr:row>
      <xdr:rowOff>142875</xdr:rowOff>
    </xdr:from>
    <xdr:ext cx="295275" cy="237911"/>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7000000}"/>
            </a:ext>
          </a:extLst>
        </xdr:cNvPr>
        <xdr:cNvSpPr/>
      </xdr:nvSpPr>
      <xdr:spPr bwMode="auto">
        <a:xfrm>
          <a:off x="6534150" y="16001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1028</xdr:row>
      <xdr:rowOff>142875</xdr:rowOff>
    </xdr:from>
    <xdr:ext cx="295275" cy="237911"/>
    <xdr:sp macro="" textlink="">
      <xdr:nvSpPr>
        <xdr:cNvPr id="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8000000}"/>
            </a:ext>
          </a:extLst>
        </xdr:cNvPr>
        <xdr:cNvSpPr/>
      </xdr:nvSpPr>
      <xdr:spPr bwMode="auto">
        <a:xfrm>
          <a:off x="3486150" y="175764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1028</xdr:row>
      <xdr:rowOff>142875</xdr:rowOff>
    </xdr:from>
    <xdr:ext cx="295275" cy="237911"/>
    <xdr:sp macro="" textlink="">
      <xdr:nvSpPr>
        <xdr:cNvPr id="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9000000}"/>
            </a:ext>
          </a:extLst>
        </xdr:cNvPr>
        <xdr:cNvSpPr/>
      </xdr:nvSpPr>
      <xdr:spPr bwMode="auto">
        <a:xfrm>
          <a:off x="6534150" y="175764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1117</xdr:row>
      <xdr:rowOff>142875</xdr:rowOff>
    </xdr:from>
    <xdr:ext cx="295275" cy="237911"/>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A000000}"/>
            </a:ext>
          </a:extLst>
        </xdr:cNvPr>
        <xdr:cNvSpPr/>
      </xdr:nvSpPr>
      <xdr:spPr bwMode="auto">
        <a:xfrm>
          <a:off x="3486150" y="190757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1117</xdr:row>
      <xdr:rowOff>142875</xdr:rowOff>
    </xdr:from>
    <xdr:ext cx="295275" cy="237911"/>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B000000}"/>
            </a:ext>
          </a:extLst>
        </xdr:cNvPr>
        <xdr:cNvSpPr/>
      </xdr:nvSpPr>
      <xdr:spPr bwMode="auto">
        <a:xfrm>
          <a:off x="6534150" y="190757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1210</xdr:row>
      <xdr:rowOff>142875</xdr:rowOff>
    </xdr:from>
    <xdr:ext cx="295275" cy="237911"/>
    <xdr:sp macro="" textlink="">
      <xdr:nvSpPr>
        <xdr:cNvPr id="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C000000}"/>
            </a:ext>
          </a:extLst>
        </xdr:cNvPr>
        <xdr:cNvSpPr/>
      </xdr:nvSpPr>
      <xdr:spPr bwMode="auto">
        <a:xfrm>
          <a:off x="3486150" y="206568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1210</xdr:row>
      <xdr:rowOff>142875</xdr:rowOff>
    </xdr:from>
    <xdr:ext cx="295275" cy="237911"/>
    <xdr:sp macro="" textlink="">
      <xdr:nvSpPr>
        <xdr:cNvPr id="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D000000}"/>
            </a:ext>
          </a:extLst>
        </xdr:cNvPr>
        <xdr:cNvSpPr/>
      </xdr:nvSpPr>
      <xdr:spPr bwMode="auto">
        <a:xfrm>
          <a:off x="6534150" y="206568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1305</xdr:row>
      <xdr:rowOff>142875</xdr:rowOff>
    </xdr:from>
    <xdr:ext cx="295275" cy="237911"/>
    <xdr:sp macro="" textlink="">
      <xdr:nvSpPr>
        <xdr:cNvPr id="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1E000000}"/>
            </a:ext>
          </a:extLst>
        </xdr:cNvPr>
        <xdr:cNvSpPr/>
      </xdr:nvSpPr>
      <xdr:spPr bwMode="auto">
        <a:xfrm>
          <a:off x="3486150" y="22249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1305</xdr:row>
      <xdr:rowOff>142875</xdr:rowOff>
    </xdr:from>
    <xdr:ext cx="295275" cy="237911"/>
    <xdr:sp macro="" textlink="">
      <xdr:nvSpPr>
        <xdr:cNvPr id="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1F000000}"/>
            </a:ext>
          </a:extLst>
        </xdr:cNvPr>
        <xdr:cNvSpPr/>
      </xdr:nvSpPr>
      <xdr:spPr bwMode="auto">
        <a:xfrm>
          <a:off x="6534150" y="22249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1398</xdr:row>
      <xdr:rowOff>142875</xdr:rowOff>
    </xdr:from>
    <xdr:ext cx="295275" cy="237911"/>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0000000}"/>
            </a:ext>
          </a:extLst>
        </xdr:cNvPr>
        <xdr:cNvSpPr/>
      </xdr:nvSpPr>
      <xdr:spPr bwMode="auto">
        <a:xfrm>
          <a:off x="3486150" y="238801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1398</xdr:row>
      <xdr:rowOff>142875</xdr:rowOff>
    </xdr:from>
    <xdr:ext cx="295275" cy="237911"/>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1000000}"/>
            </a:ext>
          </a:extLst>
        </xdr:cNvPr>
        <xdr:cNvSpPr/>
      </xdr:nvSpPr>
      <xdr:spPr bwMode="auto">
        <a:xfrm>
          <a:off x="6534150" y="238801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1488</xdr:row>
      <xdr:rowOff>142875</xdr:rowOff>
    </xdr:from>
    <xdr:ext cx="295275" cy="237911"/>
    <xdr:sp macro="" textlink="">
      <xdr:nvSpPr>
        <xdr:cNvPr id="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2000000}"/>
            </a:ext>
          </a:extLst>
        </xdr:cNvPr>
        <xdr:cNvSpPr/>
      </xdr:nvSpPr>
      <xdr:spPr bwMode="auto">
        <a:xfrm>
          <a:off x="3486150" y="253965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1488</xdr:row>
      <xdr:rowOff>142875</xdr:rowOff>
    </xdr:from>
    <xdr:ext cx="295275" cy="237911"/>
    <xdr:sp macro="" textlink="">
      <xdr:nvSpPr>
        <xdr:cNvPr id="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3000000}"/>
            </a:ext>
          </a:extLst>
        </xdr:cNvPr>
        <xdr:cNvSpPr/>
      </xdr:nvSpPr>
      <xdr:spPr bwMode="auto">
        <a:xfrm>
          <a:off x="6534150" y="253965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1576</xdr:row>
      <xdr:rowOff>142875</xdr:rowOff>
    </xdr:from>
    <xdr:ext cx="295275" cy="237911"/>
    <xdr:sp macro="" textlink="">
      <xdr:nvSpPr>
        <xdr:cNvPr id="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4000000}"/>
            </a:ext>
          </a:extLst>
        </xdr:cNvPr>
        <xdr:cNvSpPr/>
      </xdr:nvSpPr>
      <xdr:spPr bwMode="auto">
        <a:xfrm>
          <a:off x="3486150" y="268890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1576</xdr:row>
      <xdr:rowOff>142875</xdr:rowOff>
    </xdr:from>
    <xdr:ext cx="295275" cy="237911"/>
    <xdr:sp macro="" textlink="">
      <xdr:nvSpPr>
        <xdr:cNvPr id="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5000000}"/>
            </a:ext>
          </a:extLst>
        </xdr:cNvPr>
        <xdr:cNvSpPr/>
      </xdr:nvSpPr>
      <xdr:spPr bwMode="auto">
        <a:xfrm>
          <a:off x="6534150" y="268890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1664</xdr:row>
      <xdr:rowOff>142875</xdr:rowOff>
    </xdr:from>
    <xdr:ext cx="295275" cy="237911"/>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6000000}"/>
            </a:ext>
          </a:extLst>
        </xdr:cNvPr>
        <xdr:cNvSpPr/>
      </xdr:nvSpPr>
      <xdr:spPr bwMode="auto">
        <a:xfrm>
          <a:off x="3486150" y="283635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1664</xdr:row>
      <xdr:rowOff>142875</xdr:rowOff>
    </xdr:from>
    <xdr:ext cx="295275" cy="237911"/>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7000000}"/>
            </a:ext>
          </a:extLst>
        </xdr:cNvPr>
        <xdr:cNvSpPr/>
      </xdr:nvSpPr>
      <xdr:spPr bwMode="auto">
        <a:xfrm>
          <a:off x="6534150" y="283635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1755</xdr:row>
      <xdr:rowOff>142875</xdr:rowOff>
    </xdr:from>
    <xdr:ext cx="295275" cy="237911"/>
    <xdr:sp macro="" textlink="">
      <xdr:nvSpPr>
        <xdr:cNvPr id="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8000000}"/>
            </a:ext>
          </a:extLst>
        </xdr:cNvPr>
        <xdr:cNvSpPr/>
      </xdr:nvSpPr>
      <xdr:spPr bwMode="auto">
        <a:xfrm>
          <a:off x="3486150" y="299104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1755</xdr:row>
      <xdr:rowOff>142875</xdr:rowOff>
    </xdr:from>
    <xdr:ext cx="295275" cy="237911"/>
    <xdr:sp macro="" textlink="">
      <xdr:nvSpPr>
        <xdr:cNvPr id="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9000000}"/>
            </a:ext>
          </a:extLst>
        </xdr:cNvPr>
        <xdr:cNvSpPr/>
      </xdr:nvSpPr>
      <xdr:spPr bwMode="auto">
        <a:xfrm>
          <a:off x="6534150" y="299104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1846</xdr:row>
      <xdr:rowOff>142875</xdr:rowOff>
    </xdr:from>
    <xdr:ext cx="295275" cy="237911"/>
    <xdr:sp macro="" textlink="">
      <xdr:nvSpPr>
        <xdr:cNvPr id="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A000000}"/>
            </a:ext>
          </a:extLst>
        </xdr:cNvPr>
        <xdr:cNvSpPr/>
      </xdr:nvSpPr>
      <xdr:spPr bwMode="auto">
        <a:xfrm>
          <a:off x="3486150" y="314553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1846</xdr:row>
      <xdr:rowOff>142875</xdr:rowOff>
    </xdr:from>
    <xdr:ext cx="295275" cy="237911"/>
    <xdr:sp macro="" textlink="">
      <xdr:nvSpPr>
        <xdr:cNvPr id="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B000000}"/>
            </a:ext>
          </a:extLst>
        </xdr:cNvPr>
        <xdr:cNvSpPr/>
      </xdr:nvSpPr>
      <xdr:spPr bwMode="auto">
        <a:xfrm>
          <a:off x="6534150" y="314553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1937</xdr:row>
      <xdr:rowOff>142875</xdr:rowOff>
    </xdr:from>
    <xdr:ext cx="295275" cy="237911"/>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C000000}"/>
            </a:ext>
          </a:extLst>
        </xdr:cNvPr>
        <xdr:cNvSpPr/>
      </xdr:nvSpPr>
      <xdr:spPr bwMode="auto">
        <a:xfrm>
          <a:off x="3486150" y="330012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1937</xdr:row>
      <xdr:rowOff>142875</xdr:rowOff>
    </xdr:from>
    <xdr:ext cx="295275" cy="237911"/>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D000000}"/>
            </a:ext>
          </a:extLst>
        </xdr:cNvPr>
        <xdr:cNvSpPr/>
      </xdr:nvSpPr>
      <xdr:spPr bwMode="auto">
        <a:xfrm>
          <a:off x="6534150" y="330012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2028</xdr:row>
      <xdr:rowOff>142875</xdr:rowOff>
    </xdr:from>
    <xdr:ext cx="295275" cy="237911"/>
    <xdr:sp macro="" textlink="">
      <xdr:nvSpPr>
        <xdr:cNvPr id="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2E000000}"/>
            </a:ext>
          </a:extLst>
        </xdr:cNvPr>
        <xdr:cNvSpPr/>
      </xdr:nvSpPr>
      <xdr:spPr bwMode="auto">
        <a:xfrm>
          <a:off x="3486150" y="345490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2028</xdr:row>
      <xdr:rowOff>142875</xdr:rowOff>
    </xdr:from>
    <xdr:ext cx="295275" cy="237911"/>
    <xdr:sp macro="" textlink="">
      <xdr:nvSpPr>
        <xdr:cNvPr id="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2F000000}"/>
            </a:ext>
          </a:extLst>
        </xdr:cNvPr>
        <xdr:cNvSpPr/>
      </xdr:nvSpPr>
      <xdr:spPr bwMode="auto">
        <a:xfrm>
          <a:off x="6534150" y="345490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2119</xdr:row>
      <xdr:rowOff>142875</xdr:rowOff>
    </xdr:from>
    <xdr:ext cx="295275" cy="237911"/>
    <xdr:sp macro="" textlink="">
      <xdr:nvSpPr>
        <xdr:cNvPr id="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0000000}"/>
            </a:ext>
          </a:extLst>
        </xdr:cNvPr>
        <xdr:cNvSpPr/>
      </xdr:nvSpPr>
      <xdr:spPr bwMode="auto">
        <a:xfrm>
          <a:off x="3486150" y="36093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2119</xdr:row>
      <xdr:rowOff>142875</xdr:rowOff>
    </xdr:from>
    <xdr:ext cx="295275" cy="237911"/>
    <xdr:sp macro="" textlink="">
      <xdr:nvSpPr>
        <xdr:cNvPr id="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1000000}"/>
            </a:ext>
          </a:extLst>
        </xdr:cNvPr>
        <xdr:cNvSpPr/>
      </xdr:nvSpPr>
      <xdr:spPr bwMode="auto">
        <a:xfrm>
          <a:off x="6534150" y="36093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2210</xdr:row>
      <xdr:rowOff>142875</xdr:rowOff>
    </xdr:from>
    <xdr:ext cx="295275" cy="237911"/>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2000000}"/>
            </a:ext>
          </a:extLst>
        </xdr:cNvPr>
        <xdr:cNvSpPr/>
      </xdr:nvSpPr>
      <xdr:spPr bwMode="auto">
        <a:xfrm>
          <a:off x="3486150" y="376370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2210</xdr:row>
      <xdr:rowOff>142875</xdr:rowOff>
    </xdr:from>
    <xdr:ext cx="295275" cy="237911"/>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3000000}"/>
            </a:ext>
          </a:extLst>
        </xdr:cNvPr>
        <xdr:cNvSpPr/>
      </xdr:nvSpPr>
      <xdr:spPr bwMode="auto">
        <a:xfrm>
          <a:off x="6534150" y="3763708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2304</xdr:row>
      <xdr:rowOff>142875</xdr:rowOff>
    </xdr:from>
    <xdr:ext cx="295275" cy="237911"/>
    <xdr:sp macro="" textlink="">
      <xdr:nvSpPr>
        <xdr:cNvPr id="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4000000}"/>
            </a:ext>
          </a:extLst>
        </xdr:cNvPr>
        <xdr:cNvSpPr/>
      </xdr:nvSpPr>
      <xdr:spPr bwMode="auto">
        <a:xfrm>
          <a:off x="3486150" y="39247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2304</xdr:row>
      <xdr:rowOff>142875</xdr:rowOff>
    </xdr:from>
    <xdr:ext cx="295275" cy="237911"/>
    <xdr:sp macro="" textlink="">
      <xdr:nvSpPr>
        <xdr:cNvPr id="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5000000}"/>
            </a:ext>
          </a:extLst>
        </xdr:cNvPr>
        <xdr:cNvSpPr/>
      </xdr:nvSpPr>
      <xdr:spPr bwMode="auto">
        <a:xfrm>
          <a:off x="6534150" y="39247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2398</xdr:row>
      <xdr:rowOff>142875</xdr:rowOff>
    </xdr:from>
    <xdr:ext cx="295275" cy="237911"/>
    <xdr:sp macro="" textlink="">
      <xdr:nvSpPr>
        <xdr:cNvPr id="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6000000}"/>
            </a:ext>
          </a:extLst>
        </xdr:cNvPr>
        <xdr:cNvSpPr/>
      </xdr:nvSpPr>
      <xdr:spPr bwMode="auto">
        <a:xfrm>
          <a:off x="3486150" y="408403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2398</xdr:row>
      <xdr:rowOff>142875</xdr:rowOff>
    </xdr:from>
    <xdr:ext cx="295275" cy="237911"/>
    <xdr:sp macro="" textlink="">
      <xdr:nvSpPr>
        <xdr:cNvPr id="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7000000}"/>
            </a:ext>
          </a:extLst>
        </xdr:cNvPr>
        <xdr:cNvSpPr/>
      </xdr:nvSpPr>
      <xdr:spPr bwMode="auto">
        <a:xfrm>
          <a:off x="6534150" y="408403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2492</xdr:row>
      <xdr:rowOff>142875</xdr:rowOff>
    </xdr:from>
    <xdr:ext cx="295275" cy="237911"/>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8000000}"/>
            </a:ext>
          </a:extLst>
        </xdr:cNvPr>
        <xdr:cNvSpPr/>
      </xdr:nvSpPr>
      <xdr:spPr bwMode="auto">
        <a:xfrm>
          <a:off x="3486150" y="424291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2492</xdr:row>
      <xdr:rowOff>142875</xdr:rowOff>
    </xdr:from>
    <xdr:ext cx="295275" cy="237911"/>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9000000}"/>
            </a:ext>
          </a:extLst>
        </xdr:cNvPr>
        <xdr:cNvSpPr/>
      </xdr:nvSpPr>
      <xdr:spPr bwMode="auto">
        <a:xfrm>
          <a:off x="6534150" y="424291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2586</xdr:row>
      <xdr:rowOff>142875</xdr:rowOff>
    </xdr:from>
    <xdr:ext cx="295275" cy="237911"/>
    <xdr:sp macro="" textlink="">
      <xdr:nvSpPr>
        <xdr:cNvPr id="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A000000}"/>
            </a:ext>
          </a:extLst>
        </xdr:cNvPr>
        <xdr:cNvSpPr/>
      </xdr:nvSpPr>
      <xdr:spPr bwMode="auto">
        <a:xfrm>
          <a:off x="3486150" y="440255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2586</xdr:row>
      <xdr:rowOff>142875</xdr:rowOff>
    </xdr:from>
    <xdr:ext cx="295275" cy="237911"/>
    <xdr:sp macro="" textlink="">
      <xdr:nvSpPr>
        <xdr:cNvPr id="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B000000}"/>
            </a:ext>
          </a:extLst>
        </xdr:cNvPr>
        <xdr:cNvSpPr/>
      </xdr:nvSpPr>
      <xdr:spPr bwMode="auto">
        <a:xfrm>
          <a:off x="6534150" y="440255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2680</xdr:row>
      <xdr:rowOff>142875</xdr:rowOff>
    </xdr:from>
    <xdr:ext cx="295275" cy="237911"/>
    <xdr:sp macro="" textlink="">
      <xdr:nvSpPr>
        <xdr:cNvPr id="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C000000}"/>
            </a:ext>
          </a:extLst>
        </xdr:cNvPr>
        <xdr:cNvSpPr/>
      </xdr:nvSpPr>
      <xdr:spPr bwMode="auto">
        <a:xfrm>
          <a:off x="3486150" y="45618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2680</xdr:row>
      <xdr:rowOff>142875</xdr:rowOff>
    </xdr:from>
    <xdr:ext cx="295275" cy="237911"/>
    <xdr:sp macro="" textlink="">
      <xdr:nvSpPr>
        <xdr:cNvPr id="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D000000}"/>
            </a:ext>
          </a:extLst>
        </xdr:cNvPr>
        <xdr:cNvSpPr/>
      </xdr:nvSpPr>
      <xdr:spPr bwMode="auto">
        <a:xfrm>
          <a:off x="6534150" y="456180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2771</xdr:row>
      <xdr:rowOff>142875</xdr:rowOff>
    </xdr:from>
    <xdr:ext cx="295275" cy="237911"/>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3E000000}"/>
            </a:ext>
          </a:extLst>
        </xdr:cNvPr>
        <xdr:cNvSpPr/>
      </xdr:nvSpPr>
      <xdr:spPr bwMode="auto">
        <a:xfrm>
          <a:off x="3486150" y="47184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2771</xdr:row>
      <xdr:rowOff>142875</xdr:rowOff>
    </xdr:from>
    <xdr:ext cx="295275" cy="237911"/>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3F000000}"/>
            </a:ext>
          </a:extLst>
        </xdr:cNvPr>
        <xdr:cNvSpPr/>
      </xdr:nvSpPr>
      <xdr:spPr bwMode="auto">
        <a:xfrm>
          <a:off x="6534150" y="47184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2862</xdr:row>
      <xdr:rowOff>142875</xdr:rowOff>
    </xdr:from>
    <xdr:ext cx="295275" cy="237911"/>
    <xdr:sp macro="" textlink="">
      <xdr:nvSpPr>
        <xdr:cNvPr id="6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0000000}"/>
            </a:ext>
          </a:extLst>
        </xdr:cNvPr>
        <xdr:cNvSpPr/>
      </xdr:nvSpPr>
      <xdr:spPr bwMode="auto">
        <a:xfrm>
          <a:off x="3486150" y="487318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2862</xdr:row>
      <xdr:rowOff>142875</xdr:rowOff>
    </xdr:from>
    <xdr:ext cx="295275" cy="237911"/>
    <xdr:sp macro="" textlink="">
      <xdr:nvSpPr>
        <xdr:cNvPr id="6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1000000}"/>
            </a:ext>
          </a:extLst>
        </xdr:cNvPr>
        <xdr:cNvSpPr/>
      </xdr:nvSpPr>
      <xdr:spPr bwMode="auto">
        <a:xfrm>
          <a:off x="6534150" y="487318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2948</xdr:row>
      <xdr:rowOff>142875</xdr:rowOff>
    </xdr:from>
    <xdr:ext cx="295275" cy="237911"/>
    <xdr:sp macro="" textlink="">
      <xdr:nvSpPr>
        <xdr:cNvPr id="6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2000000}"/>
            </a:ext>
          </a:extLst>
        </xdr:cNvPr>
        <xdr:cNvSpPr/>
      </xdr:nvSpPr>
      <xdr:spPr bwMode="auto">
        <a:xfrm>
          <a:off x="3486150" y="501862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2948</xdr:row>
      <xdr:rowOff>142875</xdr:rowOff>
    </xdr:from>
    <xdr:ext cx="295275" cy="237911"/>
    <xdr:sp macro="" textlink="">
      <xdr:nvSpPr>
        <xdr:cNvPr id="6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3000000}"/>
            </a:ext>
          </a:extLst>
        </xdr:cNvPr>
        <xdr:cNvSpPr/>
      </xdr:nvSpPr>
      <xdr:spPr bwMode="auto">
        <a:xfrm>
          <a:off x="6534150" y="501862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3034</xdr:row>
      <xdr:rowOff>142875</xdr:rowOff>
    </xdr:from>
    <xdr:ext cx="295275" cy="237911"/>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4000000}"/>
            </a:ext>
          </a:extLst>
        </xdr:cNvPr>
        <xdr:cNvSpPr/>
      </xdr:nvSpPr>
      <xdr:spPr bwMode="auto">
        <a:xfrm>
          <a:off x="3486150" y="51628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3034</xdr:row>
      <xdr:rowOff>142875</xdr:rowOff>
    </xdr:from>
    <xdr:ext cx="295275" cy="237911"/>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5000000}"/>
            </a:ext>
          </a:extLst>
        </xdr:cNvPr>
        <xdr:cNvSpPr/>
      </xdr:nvSpPr>
      <xdr:spPr bwMode="auto">
        <a:xfrm>
          <a:off x="6534150" y="51628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3120</xdr:row>
      <xdr:rowOff>142875</xdr:rowOff>
    </xdr:from>
    <xdr:ext cx="295275" cy="237911"/>
    <xdr:sp macro="" textlink="">
      <xdr:nvSpPr>
        <xdr:cNvPr id="7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6000000}"/>
            </a:ext>
          </a:extLst>
        </xdr:cNvPr>
        <xdr:cNvSpPr/>
      </xdr:nvSpPr>
      <xdr:spPr bwMode="auto">
        <a:xfrm>
          <a:off x="3486150" y="530704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3120</xdr:row>
      <xdr:rowOff>142875</xdr:rowOff>
    </xdr:from>
    <xdr:ext cx="295275" cy="237911"/>
    <xdr:sp macro="" textlink="">
      <xdr:nvSpPr>
        <xdr:cNvPr id="7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7000000}"/>
            </a:ext>
          </a:extLst>
        </xdr:cNvPr>
        <xdr:cNvSpPr/>
      </xdr:nvSpPr>
      <xdr:spPr bwMode="auto">
        <a:xfrm>
          <a:off x="6534150" y="530704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3208</xdr:row>
      <xdr:rowOff>142875</xdr:rowOff>
    </xdr:from>
    <xdr:ext cx="295275" cy="237911"/>
    <xdr:sp macro="" textlink="">
      <xdr:nvSpPr>
        <xdr:cNvPr id="7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8000000}"/>
            </a:ext>
          </a:extLst>
        </xdr:cNvPr>
        <xdr:cNvSpPr/>
      </xdr:nvSpPr>
      <xdr:spPr bwMode="auto">
        <a:xfrm>
          <a:off x="3486150" y="545620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3208</xdr:row>
      <xdr:rowOff>142875</xdr:rowOff>
    </xdr:from>
    <xdr:ext cx="295275" cy="237911"/>
    <xdr:sp macro="" textlink="">
      <xdr:nvSpPr>
        <xdr:cNvPr id="7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9000000}"/>
            </a:ext>
          </a:extLst>
        </xdr:cNvPr>
        <xdr:cNvSpPr/>
      </xdr:nvSpPr>
      <xdr:spPr bwMode="auto">
        <a:xfrm>
          <a:off x="6534150" y="545620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3294</xdr:row>
      <xdr:rowOff>142875</xdr:rowOff>
    </xdr:from>
    <xdr:ext cx="295275" cy="237911"/>
    <xdr:sp macro="" textlink="">
      <xdr:nvSpPr>
        <xdr:cNvPr id="7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A000000}"/>
            </a:ext>
          </a:extLst>
        </xdr:cNvPr>
        <xdr:cNvSpPr/>
      </xdr:nvSpPr>
      <xdr:spPr bwMode="auto">
        <a:xfrm>
          <a:off x="3486150" y="560212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3294</xdr:row>
      <xdr:rowOff>142875</xdr:rowOff>
    </xdr:from>
    <xdr:ext cx="295275" cy="237911"/>
    <xdr:sp macro="" textlink="">
      <xdr:nvSpPr>
        <xdr:cNvPr id="7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B000000}"/>
            </a:ext>
          </a:extLst>
        </xdr:cNvPr>
        <xdr:cNvSpPr/>
      </xdr:nvSpPr>
      <xdr:spPr bwMode="auto">
        <a:xfrm>
          <a:off x="6534150" y="560212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3383</xdr:row>
      <xdr:rowOff>142875</xdr:rowOff>
    </xdr:from>
    <xdr:ext cx="295275" cy="237911"/>
    <xdr:sp macro="" textlink="">
      <xdr:nvSpPr>
        <xdr:cNvPr id="7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C000000}"/>
            </a:ext>
          </a:extLst>
        </xdr:cNvPr>
        <xdr:cNvSpPr/>
      </xdr:nvSpPr>
      <xdr:spPr bwMode="auto">
        <a:xfrm>
          <a:off x="3486150" y="5751195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3383</xdr:row>
      <xdr:rowOff>142875</xdr:rowOff>
    </xdr:from>
    <xdr:ext cx="295275" cy="237911"/>
    <xdr:sp macro="" textlink="">
      <xdr:nvSpPr>
        <xdr:cNvPr id="7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D000000}"/>
            </a:ext>
          </a:extLst>
        </xdr:cNvPr>
        <xdr:cNvSpPr/>
      </xdr:nvSpPr>
      <xdr:spPr bwMode="auto">
        <a:xfrm>
          <a:off x="6534150" y="5751195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3472</xdr:row>
      <xdr:rowOff>142875</xdr:rowOff>
    </xdr:from>
    <xdr:ext cx="295275" cy="237911"/>
    <xdr:sp macro="" textlink="">
      <xdr:nvSpPr>
        <xdr:cNvPr id="7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4E000000}"/>
            </a:ext>
          </a:extLst>
        </xdr:cNvPr>
        <xdr:cNvSpPr/>
      </xdr:nvSpPr>
      <xdr:spPr bwMode="auto">
        <a:xfrm>
          <a:off x="3486150" y="590026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3472</xdr:row>
      <xdr:rowOff>142875</xdr:rowOff>
    </xdr:from>
    <xdr:ext cx="295275" cy="237911"/>
    <xdr:sp macro="" textlink="">
      <xdr:nvSpPr>
        <xdr:cNvPr id="7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4F000000}"/>
            </a:ext>
          </a:extLst>
        </xdr:cNvPr>
        <xdr:cNvSpPr/>
      </xdr:nvSpPr>
      <xdr:spPr bwMode="auto">
        <a:xfrm>
          <a:off x="6534150" y="5900261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3561</xdr:row>
      <xdr:rowOff>142875</xdr:rowOff>
    </xdr:from>
    <xdr:ext cx="295275" cy="237911"/>
    <xdr:sp macro="" textlink="">
      <xdr:nvSpPr>
        <xdr:cNvPr id="8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0000000}"/>
            </a:ext>
          </a:extLst>
        </xdr:cNvPr>
        <xdr:cNvSpPr/>
      </xdr:nvSpPr>
      <xdr:spPr bwMode="auto">
        <a:xfrm>
          <a:off x="3486150" y="60519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3561</xdr:row>
      <xdr:rowOff>142875</xdr:rowOff>
    </xdr:from>
    <xdr:ext cx="295275" cy="237911"/>
    <xdr:sp macro="" textlink="">
      <xdr:nvSpPr>
        <xdr:cNvPr id="8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1000000}"/>
            </a:ext>
          </a:extLst>
        </xdr:cNvPr>
        <xdr:cNvSpPr/>
      </xdr:nvSpPr>
      <xdr:spPr bwMode="auto">
        <a:xfrm>
          <a:off x="6534150" y="605199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3650</xdr:row>
      <xdr:rowOff>142875</xdr:rowOff>
    </xdr:from>
    <xdr:ext cx="295275" cy="237911"/>
    <xdr:sp macro="" textlink="">
      <xdr:nvSpPr>
        <xdr:cNvPr id="8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2000000}"/>
            </a:ext>
          </a:extLst>
        </xdr:cNvPr>
        <xdr:cNvSpPr/>
      </xdr:nvSpPr>
      <xdr:spPr bwMode="auto">
        <a:xfrm>
          <a:off x="3486150" y="620287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3650</xdr:row>
      <xdr:rowOff>142875</xdr:rowOff>
    </xdr:from>
    <xdr:ext cx="295275" cy="237911"/>
    <xdr:sp macro="" textlink="">
      <xdr:nvSpPr>
        <xdr:cNvPr id="8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3000000}"/>
            </a:ext>
          </a:extLst>
        </xdr:cNvPr>
        <xdr:cNvSpPr/>
      </xdr:nvSpPr>
      <xdr:spPr bwMode="auto">
        <a:xfrm>
          <a:off x="6534150" y="620287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3742</xdr:row>
      <xdr:rowOff>142875</xdr:rowOff>
    </xdr:from>
    <xdr:ext cx="295275" cy="237911"/>
    <xdr:sp macro="" textlink="">
      <xdr:nvSpPr>
        <xdr:cNvPr id="8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4000000}"/>
            </a:ext>
          </a:extLst>
        </xdr:cNvPr>
        <xdr:cNvSpPr/>
      </xdr:nvSpPr>
      <xdr:spPr bwMode="auto">
        <a:xfrm>
          <a:off x="3486150" y="635812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3742</xdr:row>
      <xdr:rowOff>142875</xdr:rowOff>
    </xdr:from>
    <xdr:ext cx="295275" cy="237911"/>
    <xdr:sp macro="" textlink="">
      <xdr:nvSpPr>
        <xdr:cNvPr id="8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5000000}"/>
            </a:ext>
          </a:extLst>
        </xdr:cNvPr>
        <xdr:cNvSpPr/>
      </xdr:nvSpPr>
      <xdr:spPr bwMode="auto">
        <a:xfrm>
          <a:off x="6534150" y="6358128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3828</xdr:row>
      <xdr:rowOff>142875</xdr:rowOff>
    </xdr:from>
    <xdr:ext cx="295275" cy="237911"/>
    <xdr:sp macro="" textlink="">
      <xdr:nvSpPr>
        <xdr:cNvPr id="8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6000000}"/>
            </a:ext>
          </a:extLst>
        </xdr:cNvPr>
        <xdr:cNvSpPr/>
      </xdr:nvSpPr>
      <xdr:spPr bwMode="auto">
        <a:xfrm>
          <a:off x="3486150" y="65039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3828</xdr:row>
      <xdr:rowOff>142875</xdr:rowOff>
    </xdr:from>
    <xdr:ext cx="295275" cy="237911"/>
    <xdr:sp macro="" textlink="">
      <xdr:nvSpPr>
        <xdr:cNvPr id="8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7000000}"/>
            </a:ext>
          </a:extLst>
        </xdr:cNvPr>
        <xdr:cNvSpPr/>
      </xdr:nvSpPr>
      <xdr:spPr bwMode="auto">
        <a:xfrm>
          <a:off x="6534150" y="65039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3917</xdr:row>
      <xdr:rowOff>142875</xdr:rowOff>
    </xdr:from>
    <xdr:ext cx="295275" cy="237911"/>
    <xdr:sp macro="" textlink="">
      <xdr:nvSpPr>
        <xdr:cNvPr id="8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8000000}"/>
            </a:ext>
          </a:extLst>
        </xdr:cNvPr>
        <xdr:cNvSpPr/>
      </xdr:nvSpPr>
      <xdr:spPr bwMode="auto">
        <a:xfrm>
          <a:off x="3486150" y="665483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3917</xdr:row>
      <xdr:rowOff>142875</xdr:rowOff>
    </xdr:from>
    <xdr:ext cx="295275" cy="237911"/>
    <xdr:sp macro="" textlink="">
      <xdr:nvSpPr>
        <xdr:cNvPr id="8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9000000}"/>
            </a:ext>
          </a:extLst>
        </xdr:cNvPr>
        <xdr:cNvSpPr/>
      </xdr:nvSpPr>
      <xdr:spPr bwMode="auto">
        <a:xfrm>
          <a:off x="6534150" y="665483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4009</xdr:row>
      <xdr:rowOff>142875</xdr:rowOff>
    </xdr:from>
    <xdr:ext cx="295275" cy="237911"/>
    <xdr:sp macro="" textlink="">
      <xdr:nvSpPr>
        <xdr:cNvPr id="9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A000000}"/>
            </a:ext>
          </a:extLst>
        </xdr:cNvPr>
        <xdr:cNvSpPr/>
      </xdr:nvSpPr>
      <xdr:spPr bwMode="auto">
        <a:xfrm>
          <a:off x="3486150" y="68087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4009</xdr:row>
      <xdr:rowOff>142875</xdr:rowOff>
    </xdr:from>
    <xdr:ext cx="295275" cy="237911"/>
    <xdr:sp macro="" textlink="">
      <xdr:nvSpPr>
        <xdr:cNvPr id="9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B000000}"/>
            </a:ext>
          </a:extLst>
        </xdr:cNvPr>
        <xdr:cNvSpPr/>
      </xdr:nvSpPr>
      <xdr:spPr bwMode="auto">
        <a:xfrm>
          <a:off x="6534150" y="680875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4105</xdr:row>
      <xdr:rowOff>142875</xdr:rowOff>
    </xdr:from>
    <xdr:ext cx="295275" cy="237911"/>
    <xdr:sp macro="" textlink="">
      <xdr:nvSpPr>
        <xdr:cNvPr id="9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C000000}"/>
            </a:ext>
          </a:extLst>
        </xdr:cNvPr>
        <xdr:cNvSpPr/>
      </xdr:nvSpPr>
      <xdr:spPr bwMode="auto">
        <a:xfrm>
          <a:off x="3486150" y="697049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4105</xdr:row>
      <xdr:rowOff>142875</xdr:rowOff>
    </xdr:from>
    <xdr:ext cx="295275" cy="237911"/>
    <xdr:sp macro="" textlink="">
      <xdr:nvSpPr>
        <xdr:cNvPr id="9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D000000}"/>
            </a:ext>
          </a:extLst>
        </xdr:cNvPr>
        <xdr:cNvSpPr/>
      </xdr:nvSpPr>
      <xdr:spPr bwMode="auto">
        <a:xfrm>
          <a:off x="6534150" y="697049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4196</xdr:row>
      <xdr:rowOff>142875</xdr:rowOff>
    </xdr:from>
    <xdr:ext cx="295275" cy="237911"/>
    <xdr:sp macro="" textlink="">
      <xdr:nvSpPr>
        <xdr:cNvPr id="9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5E000000}"/>
            </a:ext>
          </a:extLst>
        </xdr:cNvPr>
        <xdr:cNvSpPr/>
      </xdr:nvSpPr>
      <xdr:spPr bwMode="auto">
        <a:xfrm>
          <a:off x="3486150" y="71246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4196</xdr:row>
      <xdr:rowOff>142875</xdr:rowOff>
    </xdr:from>
    <xdr:ext cx="295275" cy="237911"/>
    <xdr:sp macro="" textlink="">
      <xdr:nvSpPr>
        <xdr:cNvPr id="9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5F000000}"/>
            </a:ext>
          </a:extLst>
        </xdr:cNvPr>
        <xdr:cNvSpPr/>
      </xdr:nvSpPr>
      <xdr:spPr bwMode="auto">
        <a:xfrm>
          <a:off x="6534150" y="712460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4281</xdr:row>
      <xdr:rowOff>142875</xdr:rowOff>
    </xdr:from>
    <xdr:ext cx="295275" cy="237911"/>
    <xdr:sp macro="" textlink="">
      <xdr:nvSpPr>
        <xdr:cNvPr id="9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0000000}"/>
            </a:ext>
          </a:extLst>
        </xdr:cNvPr>
        <xdr:cNvSpPr/>
      </xdr:nvSpPr>
      <xdr:spPr bwMode="auto">
        <a:xfrm>
          <a:off x="3486150" y="726747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4281</xdr:row>
      <xdr:rowOff>142875</xdr:rowOff>
    </xdr:from>
    <xdr:ext cx="295275" cy="237911"/>
    <xdr:sp macro="" textlink="">
      <xdr:nvSpPr>
        <xdr:cNvPr id="9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1000000}"/>
            </a:ext>
          </a:extLst>
        </xdr:cNvPr>
        <xdr:cNvSpPr/>
      </xdr:nvSpPr>
      <xdr:spPr bwMode="auto">
        <a:xfrm>
          <a:off x="6534150" y="726747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4366</xdr:row>
      <xdr:rowOff>142875</xdr:rowOff>
    </xdr:from>
    <xdr:ext cx="295275" cy="237911"/>
    <xdr:sp macro="" textlink="">
      <xdr:nvSpPr>
        <xdr:cNvPr id="9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2000000}"/>
            </a:ext>
          </a:extLst>
        </xdr:cNvPr>
        <xdr:cNvSpPr/>
      </xdr:nvSpPr>
      <xdr:spPr bwMode="auto">
        <a:xfrm>
          <a:off x="3486150" y="741006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4366</xdr:row>
      <xdr:rowOff>142875</xdr:rowOff>
    </xdr:from>
    <xdr:ext cx="295275" cy="237911"/>
    <xdr:sp macro="" textlink="">
      <xdr:nvSpPr>
        <xdr:cNvPr id="9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3000000}"/>
            </a:ext>
          </a:extLst>
        </xdr:cNvPr>
        <xdr:cNvSpPr/>
      </xdr:nvSpPr>
      <xdr:spPr bwMode="auto">
        <a:xfrm>
          <a:off x="6534150" y="741006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4451</xdr:row>
      <xdr:rowOff>142875</xdr:rowOff>
    </xdr:from>
    <xdr:ext cx="295275" cy="237911"/>
    <xdr:sp macro="" textlink="">
      <xdr:nvSpPr>
        <xdr:cNvPr id="10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4000000}"/>
            </a:ext>
          </a:extLst>
        </xdr:cNvPr>
        <xdr:cNvSpPr/>
      </xdr:nvSpPr>
      <xdr:spPr bwMode="auto">
        <a:xfrm>
          <a:off x="3486150" y="755265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4451</xdr:row>
      <xdr:rowOff>142875</xdr:rowOff>
    </xdr:from>
    <xdr:ext cx="295275" cy="237911"/>
    <xdr:sp macro="" textlink="">
      <xdr:nvSpPr>
        <xdr:cNvPr id="10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5000000}"/>
            </a:ext>
          </a:extLst>
        </xdr:cNvPr>
        <xdr:cNvSpPr/>
      </xdr:nvSpPr>
      <xdr:spPr bwMode="auto">
        <a:xfrm>
          <a:off x="6534150" y="7552658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4536</xdr:row>
      <xdr:rowOff>142875</xdr:rowOff>
    </xdr:from>
    <xdr:ext cx="295275" cy="237911"/>
    <xdr:sp macro="" textlink="">
      <xdr:nvSpPr>
        <xdr:cNvPr id="10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6000000}"/>
            </a:ext>
          </a:extLst>
        </xdr:cNvPr>
        <xdr:cNvSpPr/>
      </xdr:nvSpPr>
      <xdr:spPr bwMode="auto">
        <a:xfrm>
          <a:off x="3486150" y="76966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4536</xdr:row>
      <xdr:rowOff>142875</xdr:rowOff>
    </xdr:from>
    <xdr:ext cx="295275" cy="237911"/>
    <xdr:sp macro="" textlink="">
      <xdr:nvSpPr>
        <xdr:cNvPr id="10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7000000}"/>
            </a:ext>
          </a:extLst>
        </xdr:cNvPr>
        <xdr:cNvSpPr/>
      </xdr:nvSpPr>
      <xdr:spPr bwMode="auto">
        <a:xfrm>
          <a:off x="6534150" y="7696676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4621</xdr:row>
      <xdr:rowOff>142875</xdr:rowOff>
    </xdr:from>
    <xdr:ext cx="295275" cy="237911"/>
    <xdr:sp macro="" textlink="">
      <xdr:nvSpPr>
        <xdr:cNvPr id="10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8000000}"/>
            </a:ext>
          </a:extLst>
        </xdr:cNvPr>
        <xdr:cNvSpPr/>
      </xdr:nvSpPr>
      <xdr:spPr bwMode="auto">
        <a:xfrm>
          <a:off x="3486150" y="784107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4621</xdr:row>
      <xdr:rowOff>142875</xdr:rowOff>
    </xdr:from>
    <xdr:ext cx="295275" cy="237911"/>
    <xdr:sp macro="" textlink="">
      <xdr:nvSpPr>
        <xdr:cNvPr id="10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9000000}"/>
            </a:ext>
          </a:extLst>
        </xdr:cNvPr>
        <xdr:cNvSpPr/>
      </xdr:nvSpPr>
      <xdr:spPr bwMode="auto">
        <a:xfrm>
          <a:off x="6534150" y="784107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4711</xdr:row>
      <xdr:rowOff>142875</xdr:rowOff>
    </xdr:from>
    <xdr:ext cx="295275" cy="237911"/>
    <xdr:sp macro="" textlink="">
      <xdr:nvSpPr>
        <xdr:cNvPr id="10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A000000}"/>
            </a:ext>
          </a:extLst>
        </xdr:cNvPr>
        <xdr:cNvSpPr/>
      </xdr:nvSpPr>
      <xdr:spPr bwMode="auto">
        <a:xfrm>
          <a:off x="3486150" y="800109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4711</xdr:row>
      <xdr:rowOff>142875</xdr:rowOff>
    </xdr:from>
    <xdr:ext cx="295275" cy="237911"/>
    <xdr:sp macro="" textlink="">
      <xdr:nvSpPr>
        <xdr:cNvPr id="10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B000000}"/>
            </a:ext>
          </a:extLst>
        </xdr:cNvPr>
        <xdr:cNvSpPr/>
      </xdr:nvSpPr>
      <xdr:spPr bwMode="auto">
        <a:xfrm>
          <a:off x="6534150" y="8001095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4787</xdr:row>
      <xdr:rowOff>0</xdr:rowOff>
    </xdr:from>
    <xdr:ext cx="295275" cy="237911"/>
    <xdr:sp macro="" textlink="">
      <xdr:nvSpPr>
        <xdr:cNvPr id="10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C000000}"/>
            </a:ext>
          </a:extLst>
        </xdr:cNvPr>
        <xdr:cNvSpPr/>
      </xdr:nvSpPr>
      <xdr:spPr bwMode="auto">
        <a:xfrm>
          <a:off x="3486150" y="812758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4787</xdr:row>
      <xdr:rowOff>0</xdr:rowOff>
    </xdr:from>
    <xdr:ext cx="295275" cy="237911"/>
    <xdr:sp macro="" textlink="">
      <xdr:nvSpPr>
        <xdr:cNvPr id="10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D000000}"/>
            </a:ext>
          </a:extLst>
        </xdr:cNvPr>
        <xdr:cNvSpPr/>
      </xdr:nvSpPr>
      <xdr:spPr bwMode="auto">
        <a:xfrm>
          <a:off x="6534150" y="8127587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4796</xdr:row>
      <xdr:rowOff>142875</xdr:rowOff>
    </xdr:from>
    <xdr:ext cx="295275" cy="237911"/>
    <xdr:sp macro="" textlink="">
      <xdr:nvSpPr>
        <xdr:cNvPr id="11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6E000000}"/>
            </a:ext>
          </a:extLst>
        </xdr:cNvPr>
        <xdr:cNvSpPr/>
      </xdr:nvSpPr>
      <xdr:spPr bwMode="auto">
        <a:xfrm>
          <a:off x="3486150" y="814397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4796</xdr:row>
      <xdr:rowOff>142875</xdr:rowOff>
    </xdr:from>
    <xdr:ext cx="295275" cy="237911"/>
    <xdr:sp macro="" textlink="">
      <xdr:nvSpPr>
        <xdr:cNvPr id="11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6F000000}"/>
            </a:ext>
          </a:extLst>
        </xdr:cNvPr>
        <xdr:cNvSpPr/>
      </xdr:nvSpPr>
      <xdr:spPr bwMode="auto">
        <a:xfrm>
          <a:off x="6534150" y="8143970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4880</xdr:row>
      <xdr:rowOff>142875</xdr:rowOff>
    </xdr:from>
    <xdr:ext cx="295275" cy="237911"/>
    <xdr:sp macro="" textlink="">
      <xdr:nvSpPr>
        <xdr:cNvPr id="11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0000000}"/>
            </a:ext>
          </a:extLst>
        </xdr:cNvPr>
        <xdr:cNvSpPr/>
      </xdr:nvSpPr>
      <xdr:spPr bwMode="auto">
        <a:xfrm>
          <a:off x="3486150" y="82870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4880</xdr:row>
      <xdr:rowOff>142875</xdr:rowOff>
    </xdr:from>
    <xdr:ext cx="295275" cy="237911"/>
    <xdr:sp macro="" textlink="">
      <xdr:nvSpPr>
        <xdr:cNvPr id="11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1000000}"/>
            </a:ext>
          </a:extLst>
        </xdr:cNvPr>
        <xdr:cNvSpPr/>
      </xdr:nvSpPr>
      <xdr:spPr bwMode="auto">
        <a:xfrm>
          <a:off x="6534150" y="8287035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4966</xdr:row>
      <xdr:rowOff>142875</xdr:rowOff>
    </xdr:from>
    <xdr:ext cx="295275" cy="237911"/>
    <xdr:sp macro="" textlink="">
      <xdr:nvSpPr>
        <xdr:cNvPr id="11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2000000}"/>
            </a:ext>
          </a:extLst>
        </xdr:cNvPr>
        <xdr:cNvSpPr/>
      </xdr:nvSpPr>
      <xdr:spPr bwMode="auto">
        <a:xfrm>
          <a:off x="3486150" y="8432863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4966</xdr:row>
      <xdr:rowOff>142875</xdr:rowOff>
    </xdr:from>
    <xdr:ext cx="295275" cy="237911"/>
    <xdr:sp macro="" textlink="">
      <xdr:nvSpPr>
        <xdr:cNvPr id="11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3000000}"/>
            </a:ext>
          </a:extLst>
        </xdr:cNvPr>
        <xdr:cNvSpPr/>
      </xdr:nvSpPr>
      <xdr:spPr bwMode="auto">
        <a:xfrm>
          <a:off x="6534150" y="8432863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5050</xdr:row>
      <xdr:rowOff>142875</xdr:rowOff>
    </xdr:from>
    <xdr:ext cx="295275" cy="237911"/>
    <xdr:sp macro="" textlink="">
      <xdr:nvSpPr>
        <xdr:cNvPr id="11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4000000}"/>
            </a:ext>
          </a:extLst>
        </xdr:cNvPr>
        <xdr:cNvSpPr/>
      </xdr:nvSpPr>
      <xdr:spPr bwMode="auto">
        <a:xfrm>
          <a:off x="3486150" y="8576310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5050</xdr:row>
      <xdr:rowOff>142875</xdr:rowOff>
    </xdr:from>
    <xdr:ext cx="295275" cy="237911"/>
    <xdr:sp macro="" textlink="">
      <xdr:nvSpPr>
        <xdr:cNvPr id="11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5000000}"/>
            </a:ext>
          </a:extLst>
        </xdr:cNvPr>
        <xdr:cNvSpPr/>
      </xdr:nvSpPr>
      <xdr:spPr bwMode="auto">
        <a:xfrm>
          <a:off x="6534150" y="8576310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5135</xdr:row>
      <xdr:rowOff>142875</xdr:rowOff>
    </xdr:from>
    <xdr:ext cx="295275" cy="237911"/>
    <xdr:sp macro="" textlink="">
      <xdr:nvSpPr>
        <xdr:cNvPr id="11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6000000}"/>
            </a:ext>
          </a:extLst>
        </xdr:cNvPr>
        <xdr:cNvSpPr/>
      </xdr:nvSpPr>
      <xdr:spPr bwMode="auto">
        <a:xfrm>
          <a:off x="3486150" y="872175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5135</xdr:row>
      <xdr:rowOff>142875</xdr:rowOff>
    </xdr:from>
    <xdr:ext cx="295275" cy="237911"/>
    <xdr:sp macro="" textlink="">
      <xdr:nvSpPr>
        <xdr:cNvPr id="11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7000000}"/>
            </a:ext>
          </a:extLst>
        </xdr:cNvPr>
        <xdr:cNvSpPr/>
      </xdr:nvSpPr>
      <xdr:spPr bwMode="auto">
        <a:xfrm>
          <a:off x="6534150" y="872175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5221</xdr:row>
      <xdr:rowOff>142875</xdr:rowOff>
    </xdr:from>
    <xdr:ext cx="295275" cy="237911"/>
    <xdr:sp macro="" textlink="">
      <xdr:nvSpPr>
        <xdr:cNvPr id="12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8000000}"/>
            </a:ext>
          </a:extLst>
        </xdr:cNvPr>
        <xdr:cNvSpPr/>
      </xdr:nvSpPr>
      <xdr:spPr bwMode="auto">
        <a:xfrm>
          <a:off x="3486150" y="88681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5221</xdr:row>
      <xdr:rowOff>142875</xdr:rowOff>
    </xdr:from>
    <xdr:ext cx="295275" cy="237911"/>
    <xdr:sp macro="" textlink="">
      <xdr:nvSpPr>
        <xdr:cNvPr id="12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9000000}"/>
            </a:ext>
          </a:extLst>
        </xdr:cNvPr>
        <xdr:cNvSpPr/>
      </xdr:nvSpPr>
      <xdr:spPr bwMode="auto">
        <a:xfrm>
          <a:off x="6534150" y="886815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5305</xdr:row>
      <xdr:rowOff>142875</xdr:rowOff>
    </xdr:from>
    <xdr:ext cx="295275" cy="237911"/>
    <xdr:sp macro="" textlink="">
      <xdr:nvSpPr>
        <xdr:cNvPr id="12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A000000}"/>
            </a:ext>
          </a:extLst>
        </xdr:cNvPr>
        <xdr:cNvSpPr/>
      </xdr:nvSpPr>
      <xdr:spPr bwMode="auto">
        <a:xfrm>
          <a:off x="3486150" y="901036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5305</xdr:row>
      <xdr:rowOff>142875</xdr:rowOff>
    </xdr:from>
    <xdr:ext cx="295275" cy="237911"/>
    <xdr:sp macro="" textlink="">
      <xdr:nvSpPr>
        <xdr:cNvPr id="12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B000000}"/>
            </a:ext>
          </a:extLst>
        </xdr:cNvPr>
        <xdr:cNvSpPr/>
      </xdr:nvSpPr>
      <xdr:spPr bwMode="auto">
        <a:xfrm>
          <a:off x="6534150" y="901036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5389</xdr:row>
      <xdr:rowOff>142875</xdr:rowOff>
    </xdr:from>
    <xdr:ext cx="295275" cy="237911"/>
    <xdr:sp macro="" textlink="">
      <xdr:nvSpPr>
        <xdr:cNvPr id="12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C000000}"/>
            </a:ext>
          </a:extLst>
        </xdr:cNvPr>
        <xdr:cNvSpPr/>
      </xdr:nvSpPr>
      <xdr:spPr bwMode="auto">
        <a:xfrm>
          <a:off x="3486150" y="915333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5389</xdr:row>
      <xdr:rowOff>142875</xdr:rowOff>
    </xdr:from>
    <xdr:ext cx="295275" cy="237911"/>
    <xdr:sp macro="" textlink="">
      <xdr:nvSpPr>
        <xdr:cNvPr id="12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D000000}"/>
            </a:ext>
          </a:extLst>
        </xdr:cNvPr>
        <xdr:cNvSpPr/>
      </xdr:nvSpPr>
      <xdr:spPr bwMode="auto">
        <a:xfrm>
          <a:off x="6534150" y="9153334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5480</xdr:row>
      <xdr:rowOff>142875</xdr:rowOff>
    </xdr:from>
    <xdr:ext cx="295275" cy="237911"/>
    <xdr:sp macro="" textlink="">
      <xdr:nvSpPr>
        <xdr:cNvPr id="12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7E000000}"/>
            </a:ext>
          </a:extLst>
        </xdr:cNvPr>
        <xdr:cNvSpPr/>
      </xdr:nvSpPr>
      <xdr:spPr bwMode="auto">
        <a:xfrm>
          <a:off x="3486150" y="9308782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5480</xdr:row>
      <xdr:rowOff>142875</xdr:rowOff>
    </xdr:from>
    <xdr:ext cx="295275" cy="237911"/>
    <xdr:sp macro="" textlink="">
      <xdr:nvSpPr>
        <xdr:cNvPr id="12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7F000000}"/>
            </a:ext>
          </a:extLst>
        </xdr:cNvPr>
        <xdr:cNvSpPr/>
      </xdr:nvSpPr>
      <xdr:spPr bwMode="auto">
        <a:xfrm>
          <a:off x="6534150" y="9308782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5565</xdr:row>
      <xdr:rowOff>142875</xdr:rowOff>
    </xdr:from>
    <xdr:ext cx="295275" cy="237911"/>
    <xdr:sp macro="" textlink="">
      <xdr:nvSpPr>
        <xdr:cNvPr id="12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0000000}"/>
            </a:ext>
          </a:extLst>
        </xdr:cNvPr>
        <xdr:cNvSpPr/>
      </xdr:nvSpPr>
      <xdr:spPr bwMode="auto">
        <a:xfrm>
          <a:off x="3486150" y="945280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5565</xdr:row>
      <xdr:rowOff>142875</xdr:rowOff>
    </xdr:from>
    <xdr:ext cx="295275" cy="237911"/>
    <xdr:sp macro="" textlink="">
      <xdr:nvSpPr>
        <xdr:cNvPr id="12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1000000}"/>
            </a:ext>
          </a:extLst>
        </xdr:cNvPr>
        <xdr:cNvSpPr/>
      </xdr:nvSpPr>
      <xdr:spPr bwMode="auto">
        <a:xfrm>
          <a:off x="6534150" y="9452800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5650</xdr:row>
      <xdr:rowOff>142875</xdr:rowOff>
    </xdr:from>
    <xdr:ext cx="295275" cy="237911"/>
    <xdr:sp macro="" textlink="">
      <xdr:nvSpPr>
        <xdr:cNvPr id="13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2000000}"/>
            </a:ext>
          </a:extLst>
        </xdr:cNvPr>
        <xdr:cNvSpPr/>
      </xdr:nvSpPr>
      <xdr:spPr bwMode="auto">
        <a:xfrm>
          <a:off x="3486150" y="960300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5650</xdr:row>
      <xdr:rowOff>142875</xdr:rowOff>
    </xdr:from>
    <xdr:ext cx="295275" cy="237911"/>
    <xdr:sp macro="" textlink="">
      <xdr:nvSpPr>
        <xdr:cNvPr id="13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3000000}"/>
            </a:ext>
          </a:extLst>
        </xdr:cNvPr>
        <xdr:cNvSpPr/>
      </xdr:nvSpPr>
      <xdr:spPr bwMode="auto">
        <a:xfrm>
          <a:off x="6534150" y="9603009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5733</xdr:row>
      <xdr:rowOff>142875</xdr:rowOff>
    </xdr:from>
    <xdr:ext cx="295275" cy="237911"/>
    <xdr:sp macro="" textlink="">
      <xdr:nvSpPr>
        <xdr:cNvPr id="13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4000000}"/>
            </a:ext>
          </a:extLst>
        </xdr:cNvPr>
        <xdr:cNvSpPr/>
      </xdr:nvSpPr>
      <xdr:spPr bwMode="auto">
        <a:xfrm>
          <a:off x="3486150" y="974436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5733</xdr:row>
      <xdr:rowOff>142875</xdr:rowOff>
    </xdr:from>
    <xdr:ext cx="295275" cy="237911"/>
    <xdr:sp macro="" textlink="">
      <xdr:nvSpPr>
        <xdr:cNvPr id="13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5000000}"/>
            </a:ext>
          </a:extLst>
        </xdr:cNvPr>
        <xdr:cNvSpPr/>
      </xdr:nvSpPr>
      <xdr:spPr bwMode="auto">
        <a:xfrm>
          <a:off x="6534150" y="9744360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5816</xdr:row>
      <xdr:rowOff>142875</xdr:rowOff>
    </xdr:from>
    <xdr:ext cx="295275" cy="237911"/>
    <xdr:sp macro="" textlink="">
      <xdr:nvSpPr>
        <xdr:cNvPr id="13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6000000}"/>
            </a:ext>
          </a:extLst>
        </xdr:cNvPr>
        <xdr:cNvSpPr/>
      </xdr:nvSpPr>
      <xdr:spPr bwMode="auto">
        <a:xfrm>
          <a:off x="3486150" y="988380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5816</xdr:row>
      <xdr:rowOff>142875</xdr:rowOff>
    </xdr:from>
    <xdr:ext cx="295275" cy="237911"/>
    <xdr:sp macro="" textlink="">
      <xdr:nvSpPr>
        <xdr:cNvPr id="13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7000000}"/>
            </a:ext>
          </a:extLst>
        </xdr:cNvPr>
        <xdr:cNvSpPr/>
      </xdr:nvSpPr>
      <xdr:spPr bwMode="auto">
        <a:xfrm>
          <a:off x="6534150" y="988380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5899</xdr:row>
      <xdr:rowOff>142875</xdr:rowOff>
    </xdr:from>
    <xdr:ext cx="295275" cy="237911"/>
    <xdr:sp macro="" textlink="">
      <xdr:nvSpPr>
        <xdr:cNvPr id="13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8000000}"/>
            </a:ext>
          </a:extLst>
        </xdr:cNvPr>
        <xdr:cNvSpPr/>
      </xdr:nvSpPr>
      <xdr:spPr bwMode="auto">
        <a:xfrm>
          <a:off x="3486150" y="1002325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5899</xdr:row>
      <xdr:rowOff>142875</xdr:rowOff>
    </xdr:from>
    <xdr:ext cx="295275" cy="237911"/>
    <xdr:sp macro="" textlink="">
      <xdr:nvSpPr>
        <xdr:cNvPr id="13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9000000}"/>
            </a:ext>
          </a:extLst>
        </xdr:cNvPr>
        <xdr:cNvSpPr/>
      </xdr:nvSpPr>
      <xdr:spPr bwMode="auto">
        <a:xfrm>
          <a:off x="6534150" y="10023252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5982</xdr:row>
      <xdr:rowOff>142875</xdr:rowOff>
    </xdr:from>
    <xdr:ext cx="295275" cy="237911"/>
    <xdr:sp macro="" textlink="">
      <xdr:nvSpPr>
        <xdr:cNvPr id="13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A000000}"/>
            </a:ext>
          </a:extLst>
        </xdr:cNvPr>
        <xdr:cNvSpPr/>
      </xdr:nvSpPr>
      <xdr:spPr bwMode="auto">
        <a:xfrm>
          <a:off x="3486150" y="101626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5982</xdr:row>
      <xdr:rowOff>142875</xdr:rowOff>
    </xdr:from>
    <xdr:ext cx="295275" cy="237911"/>
    <xdr:sp macro="" textlink="">
      <xdr:nvSpPr>
        <xdr:cNvPr id="13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B000000}"/>
            </a:ext>
          </a:extLst>
        </xdr:cNvPr>
        <xdr:cNvSpPr/>
      </xdr:nvSpPr>
      <xdr:spPr bwMode="auto">
        <a:xfrm>
          <a:off x="6534150" y="101626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6065</xdr:row>
      <xdr:rowOff>142875</xdr:rowOff>
    </xdr:from>
    <xdr:ext cx="295275" cy="237911"/>
    <xdr:sp macro="" textlink="">
      <xdr:nvSpPr>
        <xdr:cNvPr id="14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C000000}"/>
            </a:ext>
          </a:extLst>
        </xdr:cNvPr>
        <xdr:cNvSpPr/>
      </xdr:nvSpPr>
      <xdr:spPr bwMode="auto">
        <a:xfrm>
          <a:off x="3486150" y="103021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6065</xdr:row>
      <xdr:rowOff>142875</xdr:rowOff>
    </xdr:from>
    <xdr:ext cx="295275" cy="237911"/>
    <xdr:sp macro="" textlink="">
      <xdr:nvSpPr>
        <xdr:cNvPr id="14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D000000}"/>
            </a:ext>
          </a:extLst>
        </xdr:cNvPr>
        <xdr:cNvSpPr/>
      </xdr:nvSpPr>
      <xdr:spPr bwMode="auto">
        <a:xfrm>
          <a:off x="6534150" y="10302144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6149</xdr:row>
      <xdr:rowOff>142875</xdr:rowOff>
    </xdr:from>
    <xdr:ext cx="295275" cy="237911"/>
    <xdr:sp macro="" textlink="">
      <xdr:nvSpPr>
        <xdr:cNvPr id="14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8E000000}"/>
            </a:ext>
          </a:extLst>
        </xdr:cNvPr>
        <xdr:cNvSpPr/>
      </xdr:nvSpPr>
      <xdr:spPr bwMode="auto">
        <a:xfrm>
          <a:off x="3486150" y="1044530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6149</xdr:row>
      <xdr:rowOff>142875</xdr:rowOff>
    </xdr:from>
    <xdr:ext cx="295275" cy="237911"/>
    <xdr:sp macro="" textlink="">
      <xdr:nvSpPr>
        <xdr:cNvPr id="14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8F000000}"/>
            </a:ext>
          </a:extLst>
        </xdr:cNvPr>
        <xdr:cNvSpPr/>
      </xdr:nvSpPr>
      <xdr:spPr bwMode="auto">
        <a:xfrm>
          <a:off x="6534150" y="10445305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6234</xdr:row>
      <xdr:rowOff>142875</xdr:rowOff>
    </xdr:from>
    <xdr:ext cx="295275" cy="237911"/>
    <xdr:sp macro="" textlink="">
      <xdr:nvSpPr>
        <xdr:cNvPr id="14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0000000}"/>
            </a:ext>
          </a:extLst>
        </xdr:cNvPr>
        <xdr:cNvSpPr/>
      </xdr:nvSpPr>
      <xdr:spPr bwMode="auto">
        <a:xfrm>
          <a:off x="3486150" y="1059056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6234</xdr:row>
      <xdr:rowOff>142875</xdr:rowOff>
    </xdr:from>
    <xdr:ext cx="295275" cy="237911"/>
    <xdr:sp macro="" textlink="">
      <xdr:nvSpPr>
        <xdr:cNvPr id="14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1000000}"/>
            </a:ext>
          </a:extLst>
        </xdr:cNvPr>
        <xdr:cNvSpPr/>
      </xdr:nvSpPr>
      <xdr:spPr bwMode="auto">
        <a:xfrm>
          <a:off x="6534150" y="10590561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6319</xdr:row>
      <xdr:rowOff>142875</xdr:rowOff>
    </xdr:from>
    <xdr:ext cx="295275" cy="237911"/>
    <xdr:sp macro="" textlink="">
      <xdr:nvSpPr>
        <xdr:cNvPr id="14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2000000}"/>
            </a:ext>
          </a:extLst>
        </xdr:cNvPr>
        <xdr:cNvSpPr/>
      </xdr:nvSpPr>
      <xdr:spPr bwMode="auto">
        <a:xfrm>
          <a:off x="3486150" y="1073724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6319</xdr:row>
      <xdr:rowOff>142875</xdr:rowOff>
    </xdr:from>
    <xdr:ext cx="295275" cy="237911"/>
    <xdr:sp macro="" textlink="">
      <xdr:nvSpPr>
        <xdr:cNvPr id="14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3000000}"/>
            </a:ext>
          </a:extLst>
        </xdr:cNvPr>
        <xdr:cNvSpPr/>
      </xdr:nvSpPr>
      <xdr:spPr bwMode="auto">
        <a:xfrm>
          <a:off x="6534150" y="10737246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6407</xdr:row>
      <xdr:rowOff>142875</xdr:rowOff>
    </xdr:from>
    <xdr:ext cx="295275" cy="237911"/>
    <xdr:sp macro="" textlink="">
      <xdr:nvSpPr>
        <xdr:cNvPr id="14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4000000}"/>
            </a:ext>
          </a:extLst>
        </xdr:cNvPr>
        <xdr:cNvSpPr/>
      </xdr:nvSpPr>
      <xdr:spPr bwMode="auto">
        <a:xfrm>
          <a:off x="3486150" y="108865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6407</xdr:row>
      <xdr:rowOff>142875</xdr:rowOff>
    </xdr:from>
    <xdr:ext cx="295275" cy="237911"/>
    <xdr:sp macro="" textlink="">
      <xdr:nvSpPr>
        <xdr:cNvPr id="14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5000000}"/>
            </a:ext>
          </a:extLst>
        </xdr:cNvPr>
        <xdr:cNvSpPr/>
      </xdr:nvSpPr>
      <xdr:spPr bwMode="auto">
        <a:xfrm>
          <a:off x="6534150" y="10886598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6495</xdr:row>
      <xdr:rowOff>142875</xdr:rowOff>
    </xdr:from>
    <xdr:ext cx="295275" cy="237911"/>
    <xdr:sp macro="" textlink="">
      <xdr:nvSpPr>
        <xdr:cNvPr id="15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6000000}"/>
            </a:ext>
          </a:extLst>
        </xdr:cNvPr>
        <xdr:cNvSpPr/>
      </xdr:nvSpPr>
      <xdr:spPr bwMode="auto">
        <a:xfrm>
          <a:off x="3486150" y="1103661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6495</xdr:row>
      <xdr:rowOff>142875</xdr:rowOff>
    </xdr:from>
    <xdr:ext cx="295275" cy="237911"/>
    <xdr:sp macro="" textlink="">
      <xdr:nvSpPr>
        <xdr:cNvPr id="15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7000000}"/>
            </a:ext>
          </a:extLst>
        </xdr:cNvPr>
        <xdr:cNvSpPr/>
      </xdr:nvSpPr>
      <xdr:spPr bwMode="auto">
        <a:xfrm>
          <a:off x="6534150" y="110366175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6583</xdr:row>
      <xdr:rowOff>142875</xdr:rowOff>
    </xdr:from>
    <xdr:ext cx="295275" cy="237911"/>
    <xdr:sp macro="" textlink="">
      <xdr:nvSpPr>
        <xdr:cNvPr id="15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8000000}"/>
            </a:ext>
          </a:extLst>
        </xdr:cNvPr>
        <xdr:cNvSpPr/>
      </xdr:nvSpPr>
      <xdr:spPr bwMode="auto">
        <a:xfrm>
          <a:off x="3486150" y="1118587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6583</xdr:row>
      <xdr:rowOff>142875</xdr:rowOff>
    </xdr:from>
    <xdr:ext cx="295275" cy="237911"/>
    <xdr:sp macro="" textlink="">
      <xdr:nvSpPr>
        <xdr:cNvPr id="15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9000000}"/>
            </a:ext>
          </a:extLst>
        </xdr:cNvPr>
        <xdr:cNvSpPr/>
      </xdr:nvSpPr>
      <xdr:spPr bwMode="auto">
        <a:xfrm>
          <a:off x="6534150" y="111858742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6671</xdr:row>
      <xdr:rowOff>142875</xdr:rowOff>
    </xdr:from>
    <xdr:ext cx="295275" cy="237911"/>
    <xdr:sp macro="" textlink="">
      <xdr:nvSpPr>
        <xdr:cNvPr id="15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A000000}"/>
            </a:ext>
          </a:extLst>
        </xdr:cNvPr>
        <xdr:cNvSpPr/>
      </xdr:nvSpPr>
      <xdr:spPr bwMode="auto">
        <a:xfrm>
          <a:off x="3486150" y="1133817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6671</xdr:row>
      <xdr:rowOff>142875</xdr:rowOff>
    </xdr:from>
    <xdr:ext cx="295275" cy="237911"/>
    <xdr:sp macro="" textlink="">
      <xdr:nvSpPr>
        <xdr:cNvPr id="15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B000000}"/>
            </a:ext>
          </a:extLst>
        </xdr:cNvPr>
        <xdr:cNvSpPr/>
      </xdr:nvSpPr>
      <xdr:spPr bwMode="auto">
        <a:xfrm>
          <a:off x="6534150" y="11338179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6756</xdr:row>
      <xdr:rowOff>142875</xdr:rowOff>
    </xdr:from>
    <xdr:ext cx="295275" cy="237911"/>
    <xdr:sp macro="" textlink="">
      <xdr:nvSpPr>
        <xdr:cNvPr id="15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C000000}"/>
            </a:ext>
          </a:extLst>
        </xdr:cNvPr>
        <xdr:cNvSpPr/>
      </xdr:nvSpPr>
      <xdr:spPr bwMode="auto">
        <a:xfrm>
          <a:off x="3486150" y="11484387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6756</xdr:row>
      <xdr:rowOff>142875</xdr:rowOff>
    </xdr:from>
    <xdr:ext cx="295275" cy="237911"/>
    <xdr:sp macro="" textlink="">
      <xdr:nvSpPr>
        <xdr:cNvPr id="15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D000000}"/>
            </a:ext>
          </a:extLst>
        </xdr:cNvPr>
        <xdr:cNvSpPr/>
      </xdr:nvSpPr>
      <xdr:spPr bwMode="auto">
        <a:xfrm>
          <a:off x="6534150" y="11484387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6854</xdr:row>
      <xdr:rowOff>142875</xdr:rowOff>
    </xdr:from>
    <xdr:ext cx="295275" cy="237911"/>
    <xdr:sp macro="" textlink="">
      <xdr:nvSpPr>
        <xdr:cNvPr id="158"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9E000000}"/>
            </a:ext>
          </a:extLst>
        </xdr:cNvPr>
        <xdr:cNvSpPr/>
      </xdr:nvSpPr>
      <xdr:spPr bwMode="auto">
        <a:xfrm>
          <a:off x="3486150" y="11654313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6854</xdr:row>
      <xdr:rowOff>142875</xdr:rowOff>
    </xdr:from>
    <xdr:ext cx="295275" cy="237911"/>
    <xdr:sp macro="" textlink="">
      <xdr:nvSpPr>
        <xdr:cNvPr id="159"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9F000000}"/>
            </a:ext>
          </a:extLst>
        </xdr:cNvPr>
        <xdr:cNvSpPr/>
      </xdr:nvSpPr>
      <xdr:spPr bwMode="auto">
        <a:xfrm>
          <a:off x="6534150" y="1165431375"/>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6952</xdr:row>
      <xdr:rowOff>142875</xdr:rowOff>
    </xdr:from>
    <xdr:ext cx="295275" cy="237911"/>
    <xdr:sp macro="" textlink="">
      <xdr:nvSpPr>
        <xdr:cNvPr id="160"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A0000000}"/>
            </a:ext>
          </a:extLst>
        </xdr:cNvPr>
        <xdr:cNvSpPr/>
      </xdr:nvSpPr>
      <xdr:spPr bwMode="auto">
        <a:xfrm>
          <a:off x="3486150" y="1182471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6952</xdr:row>
      <xdr:rowOff>142875</xdr:rowOff>
    </xdr:from>
    <xdr:ext cx="295275" cy="237911"/>
    <xdr:sp macro="" textlink="">
      <xdr:nvSpPr>
        <xdr:cNvPr id="161"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A1000000}"/>
            </a:ext>
          </a:extLst>
        </xdr:cNvPr>
        <xdr:cNvSpPr/>
      </xdr:nvSpPr>
      <xdr:spPr bwMode="auto">
        <a:xfrm>
          <a:off x="6534150" y="11824716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7038</xdr:row>
      <xdr:rowOff>142875</xdr:rowOff>
    </xdr:from>
    <xdr:ext cx="295275" cy="237911"/>
    <xdr:sp macro="" textlink="">
      <xdr:nvSpPr>
        <xdr:cNvPr id="16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A2000000}"/>
            </a:ext>
          </a:extLst>
        </xdr:cNvPr>
        <xdr:cNvSpPr/>
      </xdr:nvSpPr>
      <xdr:spPr bwMode="auto">
        <a:xfrm>
          <a:off x="3486150" y="11971782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7038</xdr:row>
      <xdr:rowOff>142875</xdr:rowOff>
    </xdr:from>
    <xdr:ext cx="295275" cy="237911"/>
    <xdr:sp macro="" textlink="">
      <xdr:nvSpPr>
        <xdr:cNvPr id="16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A3000000}"/>
            </a:ext>
          </a:extLst>
        </xdr:cNvPr>
        <xdr:cNvSpPr/>
      </xdr:nvSpPr>
      <xdr:spPr bwMode="auto">
        <a:xfrm>
          <a:off x="6534150" y="1197178200"/>
          <a:ext cx="295275" cy="23791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inst"/>
      <sheetName val="L.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persons/person.xml><?xml version="1.0" encoding="utf-8"?>
<personList xmlns="http://schemas.microsoft.com/office/spreadsheetml/2018/threadedcomments" xmlns:x="http://schemas.openxmlformats.org/spreadsheetml/2006/main">
  <person displayName="Municipio De Medellin" id="{8A629045-4796-4B2D-A356-29BD956DE3D7}" userId="Municipio De Medellin" providerId="Non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111" displayName="Tabla1111" ref="AJ149:AM157" totalsRowShown="0" headerRowDxfId="39" dataDxfId="38">
  <autoFilter ref="AJ149:AM157" xr:uid="{00000000-0009-0000-0100-000001000000}"/>
  <tableColumns count="4">
    <tableColumn id="1" xr3:uid="{00000000-0010-0000-0000-000001000000}" name="IMPUESTOS TASAS Y CONTRIBUCIONES" dataDxfId="37"/>
    <tableColumn id="5" xr3:uid="{00000000-0010-0000-0000-000005000000}" name="Base" dataDxfId="36" dataCellStyle="Millares"/>
    <tableColumn id="6" xr3:uid="{00000000-0010-0000-0000-000006000000}" name="Tarifa" dataDxfId="35" dataCellStyle="Porcentaje"/>
    <tableColumn id="8" xr3:uid="{00000000-0010-0000-0000-000008000000}" name="Columna1" dataDxfId="34">
      <calculatedColumnFormula>+CONCATENATE("&lt;="&amp;""&amp;(Tabla1111[[#This Row],[Base]]*$X$144))</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13" displayName="Tabla213" ref="W148:X153" totalsRowShown="0" headerRowDxfId="33" dataDxfId="32">
  <autoFilter ref="W148:X153" xr:uid="{00000000-0009-0000-0100-000002000000}"/>
  <tableColumns count="2">
    <tableColumn id="1" xr3:uid="{00000000-0010-0000-0100-000001000000}" name="Clase de riesgo" dataDxfId="31"/>
    <tableColumn id="2" xr3:uid="{00000000-0010-0000-0100-000002000000}" name="Valor Inicial"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114" displayName="Tabla114" ref="Z148:AB150" totalsRowShown="0" headerRowDxfId="29" dataDxfId="28">
  <autoFilter ref="Z148:AB150" xr:uid="{00000000-0009-0000-0100-000003000000}"/>
  <tableColumns count="3">
    <tableColumn id="1" xr3:uid="{00000000-0010-0000-0200-000001000000}" name="Desde" dataDxfId="27"/>
    <tableColumn id="2" xr3:uid="{00000000-0010-0000-0200-000002000000}" name="Hasta" dataDxfId="26" dataCellStyle="Millares">
      <calculatedColumnFormula>+X144*2</calculatedColumnFormula>
    </tableColumn>
    <tableColumn id="3" xr3:uid="{00000000-0010-0000-0200-000003000000}" name="Dotación" dataDxfId="25" dataCellStyle="Porcentaje">
      <calculatedColumnFormula>(150000*3)/12/Tabla114[[#This Row],[Hasta]]</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la1146" displayName="Tabla1146" ref="B175:D177" totalsRowShown="0" headerRowDxfId="13" dataDxfId="12">
  <tableColumns count="3">
    <tableColumn id="1" xr3:uid="{00000000-0010-0000-0300-000001000000}" name="Desde" dataDxfId="11"/>
    <tableColumn id="2" xr3:uid="{00000000-0010-0000-0300-000002000000}" name="Hasta" dataDxfId="10" dataCellStyle="Millares">
      <calculatedColumnFormula>+#REF!*2</calculatedColumnFormula>
    </tableColumn>
    <tableColumn id="3" xr3:uid="{00000000-0010-0000-0300-000003000000}" name="Dotación" dataDxfId="9" dataCellStyle="Porcentaje">
      <calculatedColumnFormula>(150000*3)/12/Tabla1146[[#This Row],[Hasta]]</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2" displayName="Tabla2" ref="D1048565:E1048570" totalsRowShown="0" headerRowDxfId="3" dataDxfId="2">
  <autoFilter ref="D1048565:E1048570" xr:uid="{00000000-0009-0000-0100-000004000000}"/>
  <tableColumns count="2">
    <tableColumn id="1" xr3:uid="{00000000-0010-0000-0400-000001000000}" name="Clase de riesgo" dataDxfId="1"/>
    <tableColumn id="2" xr3:uid="{00000000-0010-0000-0400-000002000000}" name="Valor Inicial"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Z152" dT="2022-09-13T19:50:07.27" personId="{8A629045-4796-4B2D-A356-29BD956DE3D7}" id="{6DB3EF26-AFDA-4F3C-BBB9-ED39E8D65D2B}">
    <text>Estos valores se actualizan con la tabla de dotación que esta en el archivo de factor prestacional costos directos, se tienen en cuenta los valores que estan subrayados en azul claro</text>
  </threadedComment>
  <threadedComment ref="AA159" dT="2022-09-15T16:10:43.45" personId="{8A629045-4796-4B2D-A356-29BD956DE3D7}" id="{3BDFE2E4-9C8F-4EB6-8A40-3B75A076396A}">
    <text>Se divide por el valor promedio de un salario profesional</text>
  </threadedComment>
</ThreadedComments>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table" Target="../tables/table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1.xml"/><Relationship Id="rId9"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dimension ref="A1:BU255"/>
  <sheetViews>
    <sheetView showGridLines="0" defaultGridColor="0" colorId="9" zoomScale="85" zoomScaleNormal="85" zoomScaleSheetLayoutView="90" workbookViewId="0">
      <pane ySplit="2" topLeftCell="A3" activePane="bottomLeft" state="frozen"/>
      <selection pane="bottomLeft" activeCell="O37" sqref="O37"/>
    </sheetView>
  </sheetViews>
  <sheetFormatPr baseColWidth="10" defaultRowHeight="14.5"/>
  <cols>
    <col min="1" max="1" width="5.81640625" style="2" customWidth="1"/>
    <col min="2" max="2" width="60" style="2" customWidth="1"/>
    <col min="3" max="3" width="22.54296875" style="2" customWidth="1"/>
    <col min="4" max="4" width="15.7265625" style="2" customWidth="1"/>
    <col min="5" max="5" width="17.7265625" style="2" customWidth="1"/>
    <col min="6" max="6" width="18" style="2" customWidth="1"/>
    <col min="7" max="7" width="14.54296875" style="2" customWidth="1"/>
    <col min="8" max="8" width="12.26953125" style="2" customWidth="1"/>
    <col min="9" max="9" width="22.54296875" style="2" customWidth="1"/>
    <col min="10" max="10" width="9.26953125" style="2" customWidth="1"/>
    <col min="11" max="11" width="13.453125" style="2" customWidth="1"/>
    <col min="12" max="12" width="22.7265625" style="2" customWidth="1"/>
    <col min="13" max="13" width="20.81640625" style="2" customWidth="1"/>
    <col min="14" max="14" width="45.81640625" style="2" customWidth="1"/>
    <col min="15" max="15" width="53.453125" style="2" bestFit="1" customWidth="1"/>
    <col min="16" max="16" width="51.453125" style="2" bestFit="1" customWidth="1"/>
    <col min="17" max="17" width="18.453125" style="2" customWidth="1"/>
    <col min="18" max="18" width="17.54296875" style="2" customWidth="1"/>
    <col min="19" max="19" width="18.54296875" style="2" customWidth="1"/>
    <col min="20" max="20" width="15.54296875" style="2" customWidth="1"/>
    <col min="21" max="21" width="11.453125" style="2"/>
    <col min="22" max="22" width="74.26953125" style="2" customWidth="1"/>
    <col min="23" max="23" width="23.81640625" style="2" customWidth="1"/>
    <col min="24" max="24" width="16.453125" style="2" customWidth="1"/>
    <col min="25" max="25" width="16.1796875" style="2" customWidth="1"/>
    <col min="26" max="26" width="49.54296875" style="2" customWidth="1"/>
    <col min="27" max="27" width="15.1796875" bestFit="1" customWidth="1"/>
    <col min="28" max="28" width="51.54296875" bestFit="1" customWidth="1"/>
    <col min="29" max="29" width="20.7265625" customWidth="1"/>
    <col min="30" max="30" width="21.1796875" customWidth="1"/>
    <col min="36" max="36" width="77.453125" bestFit="1" customWidth="1"/>
    <col min="37" max="37" width="11.26953125" bestFit="1" customWidth="1"/>
    <col min="38" max="38" width="12.1796875" bestFit="1" customWidth="1"/>
    <col min="39" max="39" width="16" bestFit="1" customWidth="1"/>
    <col min="41" max="41" width="23.1796875" bestFit="1" customWidth="1"/>
    <col min="42" max="42" width="20.54296875" bestFit="1" customWidth="1"/>
    <col min="43" max="43" width="7.54296875" customWidth="1"/>
    <col min="47" max="47" width="22" customWidth="1"/>
    <col min="49" max="49" width="15.26953125" bestFit="1" customWidth="1"/>
    <col min="51" max="51" width="23.7265625" customWidth="1"/>
    <col min="52" max="52" width="28.7265625" customWidth="1"/>
    <col min="67" max="67" width="22" bestFit="1" customWidth="1"/>
    <col min="68" max="68" width="18.1796875" customWidth="1"/>
    <col min="69" max="69" width="17.453125" bestFit="1" customWidth="1"/>
    <col min="70" max="70" width="26.453125" bestFit="1" customWidth="1"/>
    <col min="71" max="71" width="17" customWidth="1"/>
    <col min="72" max="72" width="14.453125" bestFit="1" customWidth="1"/>
    <col min="73" max="73" width="14.453125" customWidth="1"/>
    <col min="96" max="96" width="52.7265625" customWidth="1"/>
    <col min="97" max="97" width="20.54296875" customWidth="1"/>
  </cols>
  <sheetData>
    <row r="1" spans="1:24" ht="21">
      <c r="A1" s="70"/>
      <c r="B1" s="71" t="s">
        <v>0</v>
      </c>
      <c r="C1" s="858" t="s">
        <v>868</v>
      </c>
      <c r="D1" s="859"/>
      <c r="E1" s="859"/>
      <c r="F1" s="859"/>
      <c r="G1" s="859"/>
      <c r="H1" s="859"/>
      <c r="I1" s="859"/>
      <c r="J1" s="859"/>
      <c r="K1" s="859"/>
      <c r="L1" s="859"/>
      <c r="M1" s="562"/>
      <c r="N1" s="20"/>
      <c r="O1" s="20"/>
      <c r="P1" s="20"/>
      <c r="Q1" s="20"/>
      <c r="R1" s="20"/>
      <c r="S1" s="20"/>
      <c r="T1" s="20"/>
      <c r="U1" s="20"/>
      <c r="V1" s="20"/>
      <c r="W1" s="20"/>
      <c r="X1" s="20"/>
    </row>
    <row r="2" spans="1:24" ht="24.75" customHeight="1" thickBot="1">
      <c r="B2" s="800" t="s">
        <v>878</v>
      </c>
      <c r="C2" s="728" t="s">
        <v>820</v>
      </c>
      <c r="D2" s="729"/>
      <c r="E2" s="801">
        <v>45463</v>
      </c>
      <c r="X2" s="20"/>
    </row>
    <row r="3" spans="1:24" ht="18" customHeight="1" thickBot="1">
      <c r="A3" s="20"/>
      <c r="B3" s="922"/>
      <c r="C3" s="923"/>
      <c r="D3" s="923"/>
      <c r="E3" s="923"/>
      <c r="F3" s="923"/>
      <c r="G3" s="923"/>
      <c r="H3" s="923"/>
      <c r="I3" s="923"/>
      <c r="J3" s="923"/>
      <c r="K3" s="923"/>
      <c r="L3" s="923"/>
      <c r="M3" s="561"/>
      <c r="N3" s="20"/>
      <c r="O3" s="20"/>
      <c r="P3" s="20"/>
      <c r="Q3" s="20"/>
      <c r="R3" s="20"/>
      <c r="S3" s="20"/>
      <c r="T3" s="20"/>
      <c r="U3" s="20"/>
      <c r="V3" s="20"/>
      <c r="W3" s="20"/>
      <c r="X3" s="20"/>
    </row>
    <row r="4" spans="1:24" ht="45" customHeight="1" thickBot="1">
      <c r="B4" s="763" t="s">
        <v>1</v>
      </c>
      <c r="C4" s="808" t="s">
        <v>886</v>
      </c>
      <c r="D4" s="809"/>
      <c r="E4" s="809"/>
      <c r="F4" s="809"/>
      <c r="G4" s="809"/>
      <c r="H4" s="809"/>
      <c r="I4" s="810"/>
      <c r="N4" s="20"/>
      <c r="O4" s="20"/>
      <c r="P4" s="20"/>
      <c r="Q4" s="20"/>
      <c r="R4" s="20"/>
      <c r="S4" s="20"/>
      <c r="T4" s="20"/>
      <c r="U4" s="20"/>
      <c r="V4" s="20"/>
      <c r="W4" s="20"/>
      <c r="X4" s="20"/>
    </row>
    <row r="5" spans="1:24" ht="30" customHeight="1" thickBot="1">
      <c r="B5" s="764" t="s">
        <v>2</v>
      </c>
      <c r="C5" s="765">
        <v>5</v>
      </c>
      <c r="D5" s="90"/>
      <c r="E5" s="912" t="s">
        <v>860</v>
      </c>
      <c r="F5" s="913"/>
      <c r="G5" s="914" t="s">
        <v>861</v>
      </c>
      <c r="H5" s="915"/>
      <c r="I5" s="90"/>
      <c r="J5" s="90"/>
      <c r="K5" s="90"/>
      <c r="L5" s="20"/>
      <c r="M5" s="20"/>
      <c r="N5" s="20"/>
      <c r="O5" s="20"/>
      <c r="P5" s="20"/>
      <c r="Q5" s="20"/>
      <c r="R5" s="20"/>
      <c r="S5" s="20"/>
      <c r="T5" s="20"/>
      <c r="U5" s="20"/>
      <c r="V5" s="20"/>
      <c r="W5" s="20"/>
      <c r="X5" s="20"/>
    </row>
    <row r="6" spans="1:24" ht="10" customHeight="1" thickBot="1">
      <c r="B6" s="90"/>
      <c r="C6" s="90"/>
      <c r="D6" s="90"/>
      <c r="E6" s="90"/>
      <c r="F6" s="90"/>
      <c r="G6" s="90"/>
      <c r="H6" s="90"/>
      <c r="I6" s="90"/>
      <c r="J6" s="90"/>
      <c r="K6" s="90"/>
      <c r="L6" s="20"/>
      <c r="M6" s="20"/>
      <c r="N6" s="20"/>
      <c r="O6" s="20"/>
      <c r="P6" s="20"/>
      <c r="Q6" s="20"/>
      <c r="R6" s="20"/>
      <c r="S6" s="20"/>
      <c r="T6" s="20"/>
      <c r="U6" s="20"/>
      <c r="V6" s="20"/>
      <c r="W6" s="20"/>
      <c r="X6" s="20"/>
    </row>
    <row r="7" spans="1:24" ht="20.149999999999999" customHeight="1">
      <c r="B7" s="698" t="s">
        <v>663</v>
      </c>
      <c r="C7" s="69">
        <f t="shared" ref="C7:C13" ca="1" si="0">+L75</f>
        <v>388745000</v>
      </c>
      <c r="D7" s="90"/>
      <c r="E7" s="90"/>
      <c r="F7" s="90"/>
      <c r="G7" s="90"/>
      <c r="H7" s="90"/>
      <c r="I7" s="90"/>
      <c r="J7" s="90"/>
      <c r="K7" s="90"/>
      <c r="L7" s="20"/>
      <c r="M7" s="20"/>
      <c r="N7" s="20"/>
      <c r="O7" s="20"/>
      <c r="P7" s="20"/>
      <c r="Q7" s="20"/>
      <c r="R7" s="20"/>
      <c r="S7" s="20"/>
      <c r="T7" s="20"/>
      <c r="U7" s="20"/>
      <c r="V7" s="20"/>
      <c r="W7" s="20"/>
      <c r="X7" s="20"/>
    </row>
    <row r="8" spans="1:24" ht="20.149999999999999" customHeight="1">
      <c r="B8" s="674" t="s">
        <v>664</v>
      </c>
      <c r="C8" s="69">
        <f t="shared" si="0"/>
        <v>342914992</v>
      </c>
      <c r="D8" s="90"/>
      <c r="E8" s="90"/>
      <c r="F8" s="90"/>
      <c r="G8" s="90"/>
      <c r="H8" s="90"/>
      <c r="I8" s="90"/>
      <c r="J8" s="90"/>
      <c r="L8" s="20"/>
      <c r="M8" s="20"/>
      <c r="N8" s="20"/>
      <c r="O8" s="20"/>
      <c r="P8" s="20"/>
      <c r="Q8" s="20"/>
      <c r="R8" s="20"/>
      <c r="S8" s="20"/>
      <c r="T8" s="20"/>
      <c r="U8" s="20"/>
      <c r="V8" s="20"/>
      <c r="W8" s="20"/>
      <c r="X8" s="20"/>
    </row>
    <row r="9" spans="1:24" ht="20.149999999999999" customHeight="1">
      <c r="B9" s="674" t="s">
        <v>669</v>
      </c>
      <c r="C9" s="69">
        <f t="shared" ca="1" si="0"/>
        <v>731659992</v>
      </c>
      <c r="D9" s="90"/>
      <c r="E9" s="90"/>
      <c r="F9" s="90"/>
      <c r="G9" s="90"/>
      <c r="H9" s="90"/>
      <c r="I9" s="782"/>
      <c r="J9" s="90"/>
      <c r="K9" s="90"/>
      <c r="L9" s="20"/>
      <c r="M9" s="20"/>
      <c r="N9" s="20"/>
      <c r="O9" s="20"/>
      <c r="P9" s="20"/>
      <c r="Q9" s="20"/>
      <c r="R9" s="20"/>
      <c r="S9" s="20"/>
      <c r="T9" s="20"/>
      <c r="U9" s="20"/>
      <c r="V9" s="20"/>
      <c r="W9" s="20"/>
      <c r="X9" s="20"/>
    </row>
    <row r="10" spans="1:24" ht="20.149999999999999" customHeight="1" thickBot="1">
      <c r="B10" s="675" t="s">
        <v>665</v>
      </c>
      <c r="C10" s="69">
        <f t="shared" ca="1" si="0"/>
        <v>139015398</v>
      </c>
      <c r="D10" s="90"/>
      <c r="E10" s="90"/>
      <c r="F10" s="90"/>
      <c r="G10" s="90"/>
      <c r="H10" s="90"/>
      <c r="I10" s="90"/>
      <c r="J10" s="90"/>
      <c r="K10" s="90"/>
      <c r="L10" s="20"/>
      <c r="M10" s="20"/>
      <c r="N10" s="20"/>
      <c r="O10" s="20"/>
      <c r="P10" s="20"/>
      <c r="Q10" s="20"/>
      <c r="R10" s="20"/>
      <c r="S10" s="20"/>
      <c r="T10" s="20"/>
      <c r="U10" s="20"/>
      <c r="V10" s="20"/>
      <c r="W10" s="20"/>
      <c r="X10" s="20"/>
    </row>
    <row r="11" spans="1:24" ht="20.149999999999999" customHeight="1" thickBot="1">
      <c r="B11" s="674" t="s">
        <v>666</v>
      </c>
      <c r="C11" s="69">
        <f t="shared" ca="1" si="0"/>
        <v>870675390</v>
      </c>
      <c r="D11" s="90"/>
      <c r="E11" s="90"/>
      <c r="F11" s="90"/>
      <c r="G11" s="90"/>
      <c r="H11" s="90"/>
      <c r="I11" s="90"/>
      <c r="J11" s="90"/>
      <c r="K11" s="90"/>
      <c r="L11" s="20"/>
      <c r="M11" s="20"/>
      <c r="N11" s="20"/>
      <c r="O11" s="20"/>
      <c r="P11" s="20"/>
      <c r="Q11" s="20"/>
      <c r="R11" s="20"/>
      <c r="S11" s="20"/>
      <c r="T11" s="20"/>
      <c r="U11" s="20"/>
      <c r="V11" s="20"/>
      <c r="W11" s="20"/>
      <c r="X11" s="20"/>
    </row>
    <row r="12" spans="1:24" ht="20.149999999999999" customHeight="1" thickBot="1">
      <c r="B12" s="676" t="s">
        <v>667</v>
      </c>
      <c r="C12" s="69">
        <f t="shared" ca="1" si="0"/>
        <v>2805619</v>
      </c>
      <c r="D12" s="90"/>
      <c r="E12" s="924" t="s">
        <v>846</v>
      </c>
      <c r="F12" s="925"/>
      <c r="G12" s="926">
        <f ca="1">+IFERROR(C13/'Paso 2 Calculo Factor Multiplic'!L3,"")</f>
        <v>671.9084684615384</v>
      </c>
      <c r="H12" s="927"/>
      <c r="I12" s="90"/>
      <c r="J12" s="90"/>
      <c r="K12" s="90"/>
      <c r="L12" s="20"/>
      <c r="N12" s="20"/>
      <c r="O12" s="20"/>
      <c r="P12" s="20"/>
      <c r="Q12" s="20"/>
      <c r="R12" s="20"/>
      <c r="S12" s="20"/>
      <c r="T12" s="20"/>
      <c r="U12" s="20"/>
      <c r="V12" s="20"/>
      <c r="W12" s="20"/>
      <c r="X12" s="20"/>
    </row>
    <row r="13" spans="1:24" ht="20.149999999999999" customHeight="1" thickBot="1">
      <c r="B13" s="675" t="s">
        <v>668</v>
      </c>
      <c r="C13" s="69">
        <f t="shared" ca="1" si="0"/>
        <v>873481009</v>
      </c>
      <c r="D13" s="90"/>
      <c r="E13" s="20"/>
      <c r="F13" s="20"/>
      <c r="G13" s="20"/>
      <c r="H13" s="20"/>
      <c r="I13" s="20"/>
      <c r="J13" s="90"/>
      <c r="K13" s="90"/>
      <c r="L13" s="20"/>
      <c r="M13" s="20"/>
      <c r="N13" s="20"/>
      <c r="O13" s="20"/>
      <c r="P13" s="20"/>
      <c r="Q13" s="20"/>
      <c r="R13" s="20"/>
      <c r="S13" s="20"/>
      <c r="T13" s="20"/>
      <c r="U13" s="20"/>
      <c r="V13" s="20"/>
      <c r="W13" s="20"/>
      <c r="X13" s="20"/>
    </row>
    <row r="14" spans="1:24" ht="10" customHeight="1" thickBot="1">
      <c r="B14" s="90"/>
      <c r="C14" s="90"/>
      <c r="D14" s="90"/>
      <c r="E14" s="90"/>
      <c r="F14" s="90"/>
      <c r="G14" s="90"/>
      <c r="H14" s="90"/>
      <c r="I14" s="90"/>
      <c r="J14" s="90"/>
      <c r="K14" s="90"/>
      <c r="L14" s="20"/>
      <c r="M14" s="20"/>
      <c r="N14" s="20"/>
      <c r="O14" s="20"/>
      <c r="P14" s="20"/>
      <c r="Q14" s="20"/>
      <c r="R14" s="20"/>
      <c r="S14" s="20"/>
      <c r="T14" s="20"/>
      <c r="U14" s="20"/>
      <c r="W14" s="20"/>
      <c r="X14" s="20"/>
    </row>
    <row r="15" spans="1:24" ht="20.149999999999999" customHeight="1" thickBot="1">
      <c r="B15" s="793" t="s">
        <v>3</v>
      </c>
      <c r="C15" s="1" t="s">
        <v>27</v>
      </c>
      <c r="D15" s="90"/>
      <c r="E15" s="916" t="s">
        <v>862</v>
      </c>
      <c r="F15" s="917"/>
      <c r="G15" s="918">
        <v>1500</v>
      </c>
      <c r="H15" s="919"/>
      <c r="I15" s="90"/>
      <c r="J15" s="90"/>
      <c r="K15" s="90"/>
      <c r="L15" s="20"/>
      <c r="M15" s="20"/>
      <c r="N15" s="20"/>
      <c r="O15" s="20"/>
      <c r="P15" s="20"/>
      <c r="Q15" s="20"/>
      <c r="R15" s="20"/>
      <c r="S15" s="20"/>
      <c r="T15" s="20"/>
      <c r="U15" s="20"/>
      <c r="W15" s="20"/>
      <c r="X15" s="20"/>
    </row>
    <row r="16" spans="1:24" ht="10" customHeight="1" thickBot="1">
      <c r="B16" s="20"/>
      <c r="C16" s="20"/>
      <c r="D16" s="20"/>
      <c r="E16" s="20"/>
      <c r="F16" s="20"/>
      <c r="G16" s="20"/>
      <c r="H16" s="20"/>
      <c r="I16" s="20"/>
      <c r="J16" s="20"/>
      <c r="K16" s="20"/>
      <c r="L16" s="20"/>
      <c r="M16" s="20"/>
      <c r="N16" s="20"/>
      <c r="O16" s="20"/>
      <c r="P16" s="20"/>
      <c r="Q16" s="20"/>
      <c r="R16" s="20"/>
      <c r="S16" s="20"/>
      <c r="T16" s="20"/>
      <c r="U16" s="20"/>
      <c r="W16" s="20"/>
      <c r="X16" s="20"/>
    </row>
    <row r="17" spans="1:26" ht="17.25" customHeight="1">
      <c r="B17" s="928"/>
      <c r="C17" s="929"/>
      <c r="D17" s="930"/>
      <c r="E17" s="930"/>
      <c r="F17" s="930"/>
      <c r="G17" s="930"/>
      <c r="H17" s="930"/>
      <c r="I17" s="930"/>
      <c r="J17" s="930"/>
      <c r="K17" s="931"/>
      <c r="L17" s="932"/>
      <c r="M17" s="20"/>
      <c r="N17" s="20"/>
      <c r="O17" s="20"/>
      <c r="P17" s="20"/>
      <c r="Q17" s="20"/>
      <c r="R17" s="20"/>
      <c r="S17" s="20"/>
      <c r="T17" s="20"/>
      <c r="U17" s="20"/>
      <c r="W17" s="20"/>
      <c r="X17" s="20"/>
      <c r="Z17"/>
    </row>
    <row r="18" spans="1:26" s="4" customFormat="1" ht="30" customHeight="1">
      <c r="A18" s="3"/>
      <c r="B18" s="902" t="s">
        <v>522</v>
      </c>
      <c r="C18" s="903"/>
      <c r="D18" s="904"/>
      <c r="E18" s="904"/>
      <c r="F18" s="904"/>
      <c r="G18" s="904"/>
      <c r="H18" s="904"/>
      <c r="I18" s="904"/>
      <c r="J18" s="904"/>
      <c r="K18" s="905"/>
      <c r="L18" s="906"/>
      <c r="M18" s="91"/>
      <c r="N18" s="20"/>
      <c r="O18" s="20"/>
      <c r="P18" s="20"/>
      <c r="Q18" s="20"/>
      <c r="R18" s="20"/>
      <c r="S18" s="20"/>
      <c r="T18" s="20"/>
      <c r="U18" s="3"/>
      <c r="V18" s="2"/>
      <c r="W18" s="20"/>
      <c r="X18" s="3"/>
      <c r="Y18" s="3"/>
    </row>
    <row r="19" spans="1:26" ht="25" customHeight="1">
      <c r="B19" s="72" t="s">
        <v>4</v>
      </c>
      <c r="C19" s="73" t="s">
        <v>5</v>
      </c>
      <c r="D19" s="74" t="s">
        <v>6</v>
      </c>
      <c r="E19" s="73" t="s">
        <v>7</v>
      </c>
      <c r="F19" s="73" t="s">
        <v>102</v>
      </c>
      <c r="G19" s="73" t="s">
        <v>8</v>
      </c>
      <c r="H19" s="74" t="s">
        <v>10</v>
      </c>
      <c r="I19" s="74" t="s">
        <v>596</v>
      </c>
      <c r="J19" s="73" t="s">
        <v>765</v>
      </c>
      <c r="K19" s="540" t="s">
        <v>570</v>
      </c>
      <c r="L19" s="75" t="s">
        <v>11</v>
      </c>
      <c r="M19" s="91"/>
      <c r="N19" s="20"/>
      <c r="O19" s="20"/>
      <c r="P19" s="20"/>
      <c r="Q19" s="20"/>
      <c r="R19" s="20"/>
      <c r="S19" s="20"/>
      <c r="T19" s="20"/>
      <c r="U19" s="20"/>
      <c r="W19" s="20"/>
      <c r="Z19"/>
    </row>
    <row r="20" spans="1:26" ht="15" customHeight="1">
      <c r="B20" s="5" t="s">
        <v>827</v>
      </c>
      <c r="C20" s="6" t="s">
        <v>887</v>
      </c>
      <c r="D20" s="7" t="s">
        <v>76</v>
      </c>
      <c r="E20" s="7">
        <v>1</v>
      </c>
      <c r="F20" s="8">
        <v>1</v>
      </c>
      <c r="G20" s="9">
        <v>7000000</v>
      </c>
      <c r="H20" s="7">
        <v>5</v>
      </c>
      <c r="I20" s="76">
        <f>IFERROR(E20*F20*G20*H20,"")</f>
        <v>35000000</v>
      </c>
      <c r="J20" s="567">
        <f>+IFERROR(ROUND(((IF(G20&lt;($X$144*2),$X$146/G20,0%))+IF(G20&lt;($X$144*2),$AB$149/G20,0%)+$AW$155+$AW$156+$AW$157+$AW$158+$AW$159+$AW$161+$AW$162+$AW$168+IF(AND(G20&lt;$Y$144,$C$15="si"),"0%",13.5%)+(IFERROR(VLOOKUP(D20,Tabla213[],2,FALSE),0%))),2),"")</f>
        <v>1.59</v>
      </c>
      <c r="K20" s="567">
        <f ca="1">+IF(AND(D20='Paso 2 Calculo Factor Multiplic'!$C$11,'Paso 2 Calculo Factor Multiplic'!$C$8='Paso 1 Calculo del Presupuesto'!M20),'Paso 2 Calculo Factor Multiplic'!$C$46,IF(AND(D20='Paso 2 Calculo Factor Multiplic'!$D$11,'Paso 2 Calculo Factor Multiplic'!$D$8='Paso 1 Calculo del Presupuesto'!M20),'Paso 2 Calculo Factor Multiplic'!$D$46,IF(AND(D20='Paso 2 Calculo Factor Multiplic'!$E$11,'Paso 2 Calculo Factor Multiplic'!$E$8='Paso 1 Calculo del Presupuesto'!M20),'Paso 2 Calculo Factor Multiplic'!$E$46,IF(AND(D20='Paso 2 Calculo Factor Multiplic'!$F$11,'Paso 2 Calculo Factor Multiplic'!$F$8='Paso 1 Calculo del Presupuesto'!M20),'Paso 2 Calculo Factor Multiplic'!$F$46,IF(AND(D20='Paso 2 Calculo Factor Multiplic'!$G$11,'Paso 2 Calculo Factor Multiplic'!$G$8='Paso 1 Calculo del Presupuesto'!M20),'Paso 2 Calculo Factor Multiplic'!$G$46,"")))))</f>
        <v>2.0299999999999998</v>
      </c>
      <c r="L20" s="76">
        <f ca="1">+IFERROR(E20*F20*G20*H20*K20,"")</f>
        <v>71050000</v>
      </c>
      <c r="M20" s="635" t="str">
        <f>(IFERROR(LOOKUP(G20,'Paso 2 Calculo Factor Multiplic'!$I$1048550:$J$1048552,'Paso 2 Calculo Factor Multiplic'!$K$1048550:$K$1048552),""))</f>
        <v xml:space="preserve">&gt; 2 SMMLV &lt; 10 SMMLV </v>
      </c>
      <c r="N20" s="20"/>
      <c r="O20" s="20"/>
      <c r="P20" s="20"/>
      <c r="Q20" s="20"/>
      <c r="R20" s="20"/>
      <c r="S20" s="20"/>
      <c r="T20" s="20"/>
      <c r="U20" s="20"/>
      <c r="W20" s="20"/>
      <c r="Z20"/>
    </row>
    <row r="21" spans="1:26">
      <c r="B21" s="5" t="s">
        <v>829</v>
      </c>
      <c r="C21" s="6" t="s">
        <v>888</v>
      </c>
      <c r="D21" s="7" t="s">
        <v>76</v>
      </c>
      <c r="E21" s="7">
        <v>1</v>
      </c>
      <c r="F21" s="8">
        <v>1</v>
      </c>
      <c r="G21" s="9">
        <v>5500000</v>
      </c>
      <c r="H21" s="7">
        <v>5</v>
      </c>
      <c r="I21" s="76">
        <f>IFERROR(E21*F21*G21*H21,"")</f>
        <v>27500000</v>
      </c>
      <c r="J21" s="567">
        <f>+IFERROR(ROUND(((IF(G21&lt;($X$144*2),$X$146/G21,0%))+IF(G21&lt;($X$144*2),$AB$149/G21,0%)+$AW$155+$AW$156+$AW$157+$AW$158+$AW$159+$AW$161+$AW$162+$AW$168+IF(AND(G21&lt;$Y$144,$C$15="si"),"0%",13.5%)+(IFERROR(VLOOKUP(D21,Tabla213[],2,FALSE),0%))),2),"")</f>
        <v>1.59</v>
      </c>
      <c r="K21" s="567">
        <f ca="1">+IF(AND(D21='Paso 2 Calculo Factor Multiplic'!$C$11,'Paso 2 Calculo Factor Multiplic'!$C$8='Paso 1 Calculo del Presupuesto'!M21),'Paso 2 Calculo Factor Multiplic'!$C$46,IF(AND(D21='Paso 2 Calculo Factor Multiplic'!$D$11,'Paso 2 Calculo Factor Multiplic'!$D$8='Paso 1 Calculo del Presupuesto'!M21),'Paso 2 Calculo Factor Multiplic'!$D$46,IF(AND(D21='Paso 2 Calculo Factor Multiplic'!$E$11,'Paso 2 Calculo Factor Multiplic'!$E$8='Paso 1 Calculo del Presupuesto'!M21),'Paso 2 Calculo Factor Multiplic'!$E$46,IF(AND(D21='Paso 2 Calculo Factor Multiplic'!$F$11,'Paso 2 Calculo Factor Multiplic'!$F$8='Paso 1 Calculo del Presupuesto'!M21),'Paso 2 Calculo Factor Multiplic'!$F$46,IF(AND(D21='Paso 2 Calculo Factor Multiplic'!$G$11,'Paso 2 Calculo Factor Multiplic'!$G$8='Paso 1 Calculo del Presupuesto'!M21),'Paso 2 Calculo Factor Multiplic'!$G$46,"")))))</f>
        <v>2.0299999999999998</v>
      </c>
      <c r="L21" s="76">
        <f ca="1">+IFERROR(E21*F21*G21*H21*K21,"")</f>
        <v>55824999.999999993</v>
      </c>
      <c r="M21" s="635" t="str">
        <f>IFERROR(LOOKUP(G21,'Paso 2 Calculo Factor Multiplic'!$I$1048550:$J$1048552,'Paso 2 Calculo Factor Multiplic'!$K$1048550:$K$1048552),"")</f>
        <v xml:space="preserve">&gt; 2 SMMLV &lt; 10 SMMLV </v>
      </c>
      <c r="N21" s="20"/>
      <c r="O21" s="20"/>
      <c r="P21" s="20"/>
      <c r="Q21" s="20"/>
      <c r="R21" s="20"/>
      <c r="S21" s="20"/>
      <c r="T21" s="20"/>
      <c r="U21" s="20"/>
      <c r="W21" s="20"/>
      <c r="Z21"/>
    </row>
    <row r="22" spans="1:26" ht="15.75" customHeight="1">
      <c r="B22" s="5" t="s">
        <v>829</v>
      </c>
      <c r="C22" s="6" t="s">
        <v>887</v>
      </c>
      <c r="D22" s="7" t="s">
        <v>76</v>
      </c>
      <c r="E22" s="7">
        <v>1</v>
      </c>
      <c r="F22" s="8">
        <v>1</v>
      </c>
      <c r="G22" s="9">
        <v>5500000</v>
      </c>
      <c r="H22" s="7">
        <v>5</v>
      </c>
      <c r="I22" s="76">
        <f t="shared" ref="I22:I44" si="1">IFERROR(E22*F22*G22*H22,"")</f>
        <v>27500000</v>
      </c>
      <c r="J22" s="567">
        <f>+IFERROR(ROUND(((IF(G22&lt;($X$144*2),$X$146/G22,0%))+IF(G22&lt;($X$144*2),$AB$149/G22,0%)+$AW$155+$AW$156+$AW$157+$AW$158+$AW$159+$AW$161+$AW$162+$AW$168+IF(AND(G22&lt;$Y$144,$C$15="si"),"0%",13.5%)+(IFERROR(VLOOKUP(D22,Tabla213[],2,FALSE),0%))),2),"")</f>
        <v>1.59</v>
      </c>
      <c r="K22" s="567">
        <f ca="1">+IF(AND(D22='Paso 2 Calculo Factor Multiplic'!$C$11,'Paso 2 Calculo Factor Multiplic'!$C$8='Paso 1 Calculo del Presupuesto'!M22),'Paso 2 Calculo Factor Multiplic'!$C$46,IF(AND(D22='Paso 2 Calculo Factor Multiplic'!$D$11,'Paso 2 Calculo Factor Multiplic'!$D$8='Paso 1 Calculo del Presupuesto'!M22),'Paso 2 Calculo Factor Multiplic'!$D$46,IF(AND(D22='Paso 2 Calculo Factor Multiplic'!$E$11,'Paso 2 Calculo Factor Multiplic'!$E$8='Paso 1 Calculo del Presupuesto'!M22),'Paso 2 Calculo Factor Multiplic'!$E$46,IF(AND(D22='Paso 2 Calculo Factor Multiplic'!$F$11,'Paso 2 Calculo Factor Multiplic'!$F$8='Paso 1 Calculo del Presupuesto'!M22),'Paso 2 Calculo Factor Multiplic'!$F$46,IF(AND(D22='Paso 2 Calculo Factor Multiplic'!$G$11,'Paso 2 Calculo Factor Multiplic'!$G$8='Paso 1 Calculo del Presupuesto'!M22),'Paso 2 Calculo Factor Multiplic'!$G$46,"")))))</f>
        <v>2.0299999999999998</v>
      </c>
      <c r="L22" s="76">
        <f ca="1">+IFERROR(E22*F22*G22*H22*K22,"")</f>
        <v>55824999.999999993</v>
      </c>
      <c r="M22" s="635" t="str">
        <f>IFERROR(LOOKUP(G22,'Paso 2 Calculo Factor Multiplic'!$I$1048550:$J$1048552,'Paso 2 Calculo Factor Multiplic'!$K$1048550:$K$1048552),"")</f>
        <v xml:space="preserve">&gt; 2 SMMLV &lt; 10 SMMLV </v>
      </c>
      <c r="N22" s="20"/>
      <c r="O22" s="20"/>
      <c r="P22" s="20"/>
      <c r="Q22" s="20"/>
      <c r="R22" s="20"/>
      <c r="S22" s="20"/>
      <c r="T22" s="20"/>
      <c r="U22" s="20"/>
      <c r="W22" s="20"/>
      <c r="Z22"/>
    </row>
    <row r="23" spans="1:26">
      <c r="B23" s="5" t="s">
        <v>832</v>
      </c>
      <c r="C23" s="6" t="s">
        <v>889</v>
      </c>
      <c r="D23" s="7" t="s">
        <v>76</v>
      </c>
      <c r="E23" s="7">
        <v>1</v>
      </c>
      <c r="F23" s="8">
        <v>1</v>
      </c>
      <c r="G23" s="9">
        <v>4000000</v>
      </c>
      <c r="H23" s="7">
        <v>5</v>
      </c>
      <c r="I23" s="76">
        <f t="shared" si="1"/>
        <v>20000000</v>
      </c>
      <c r="J23" s="567">
        <f>+IFERROR(ROUND(((IF(G23&lt;($X$144*2),$X$146/G23,0%))+IF(G23&lt;($X$144*2),$AB$149/G23,0%)+$AW$155+$AW$156+$AW$157+$AW$158+$AW$159+$AW$161+$AW$162+$AW$168+IF(AND(G23&lt;$Y$144,$C$15="si"),"0%",13.5%)+(IFERROR(VLOOKUP(D23,Tabla213[],2,FALSE),0%))),2),"")</f>
        <v>1.59</v>
      </c>
      <c r="K23" s="567">
        <f ca="1">+IF(AND(D23='Paso 2 Calculo Factor Multiplic'!$C$11,'Paso 2 Calculo Factor Multiplic'!$C$8='Paso 1 Calculo del Presupuesto'!M23),'Paso 2 Calculo Factor Multiplic'!$C$46,IF(AND(D23='Paso 2 Calculo Factor Multiplic'!$D$11,'Paso 2 Calculo Factor Multiplic'!$D$8='Paso 1 Calculo del Presupuesto'!M23),'Paso 2 Calculo Factor Multiplic'!$D$46,IF(AND(D23='Paso 2 Calculo Factor Multiplic'!$E$11,'Paso 2 Calculo Factor Multiplic'!$E$8='Paso 1 Calculo del Presupuesto'!M23),'Paso 2 Calculo Factor Multiplic'!$E$46,IF(AND(D23='Paso 2 Calculo Factor Multiplic'!$F$11,'Paso 2 Calculo Factor Multiplic'!$F$8='Paso 1 Calculo del Presupuesto'!M23),'Paso 2 Calculo Factor Multiplic'!$F$46,IF(AND(D23='Paso 2 Calculo Factor Multiplic'!$G$11,'Paso 2 Calculo Factor Multiplic'!$G$8='Paso 1 Calculo del Presupuesto'!M23),'Paso 2 Calculo Factor Multiplic'!$G$46,"")))))</f>
        <v>2.0299999999999998</v>
      </c>
      <c r="L23" s="76">
        <f t="shared" ref="L23:L40" ca="1" si="2">+IFERROR(E23*F23*G23*H23*K23,"")</f>
        <v>40599999.999999993</v>
      </c>
      <c r="M23" s="635" t="str">
        <f>IFERROR(LOOKUP(G23,'Paso 2 Calculo Factor Multiplic'!$I$1048550:$J$1048552,'Paso 2 Calculo Factor Multiplic'!$K$1048550:$K$1048552),"")</f>
        <v xml:space="preserve">&gt; 2 SMMLV &lt; 10 SMMLV </v>
      </c>
      <c r="N23" s="20"/>
      <c r="O23" s="20"/>
      <c r="P23" s="20"/>
      <c r="Q23" s="20"/>
      <c r="R23" s="20"/>
      <c r="S23" s="20"/>
      <c r="T23" s="20"/>
      <c r="U23" s="20"/>
      <c r="W23" s="20"/>
      <c r="Z23"/>
    </row>
    <row r="24" spans="1:26">
      <c r="B24" s="5" t="s">
        <v>834</v>
      </c>
      <c r="C24" s="6" t="s">
        <v>890</v>
      </c>
      <c r="D24" s="7" t="s">
        <v>76</v>
      </c>
      <c r="E24" s="7">
        <v>2</v>
      </c>
      <c r="F24" s="8">
        <v>1</v>
      </c>
      <c r="G24" s="9">
        <v>4000000</v>
      </c>
      <c r="H24" s="7">
        <v>5</v>
      </c>
      <c r="I24" s="76">
        <f t="shared" si="1"/>
        <v>40000000</v>
      </c>
      <c r="J24" s="567">
        <f>+IFERROR(ROUND(((IF(G24&lt;($X$144*2),$X$146/G24,0%))+IF(G24&lt;($X$144*2),$AB$149/G24,0%)+$AW$155+$AW$156+$AW$157+$AW$158+$AW$159+$AW$161+$AW$162+$AW$168+IF(AND(G24&lt;$Y$144,$C$15="si"),"0%",13.5%)+(IFERROR(VLOOKUP(D24,Tabla213[],2,FALSE),0%))),2),"")</f>
        <v>1.59</v>
      </c>
      <c r="K24" s="567">
        <f ca="1">+IF(AND(D24='Paso 2 Calculo Factor Multiplic'!$C$11,'Paso 2 Calculo Factor Multiplic'!$C$8='Paso 1 Calculo del Presupuesto'!M24),'Paso 2 Calculo Factor Multiplic'!$C$46,IF(AND(D24='Paso 2 Calculo Factor Multiplic'!$D$11,'Paso 2 Calculo Factor Multiplic'!$D$8='Paso 1 Calculo del Presupuesto'!M24),'Paso 2 Calculo Factor Multiplic'!$D$46,IF(AND(D24='Paso 2 Calculo Factor Multiplic'!$E$11,'Paso 2 Calculo Factor Multiplic'!$E$8='Paso 1 Calculo del Presupuesto'!M24),'Paso 2 Calculo Factor Multiplic'!$E$46,IF(AND(D24='Paso 2 Calculo Factor Multiplic'!$F$11,'Paso 2 Calculo Factor Multiplic'!$F$8='Paso 1 Calculo del Presupuesto'!M24),'Paso 2 Calculo Factor Multiplic'!$F$46,IF(AND(D24='Paso 2 Calculo Factor Multiplic'!$G$11,'Paso 2 Calculo Factor Multiplic'!$G$8='Paso 1 Calculo del Presupuesto'!M24),'Paso 2 Calculo Factor Multiplic'!$G$46,"")))))</f>
        <v>2.0299999999999998</v>
      </c>
      <c r="L24" s="76">
        <f ca="1">+IFERROR(E24*F24*G24*H24*K24,"")</f>
        <v>81199999.999999985</v>
      </c>
      <c r="M24" s="635" t="str">
        <f>IFERROR(LOOKUP(G24,'Paso 2 Calculo Factor Multiplic'!$I$1048550:$J$1048552,'Paso 2 Calculo Factor Multiplic'!$K$1048550:$K$1048552),"")</f>
        <v xml:space="preserve">&gt; 2 SMMLV &lt; 10 SMMLV </v>
      </c>
      <c r="N24" s="20"/>
      <c r="O24" s="20"/>
      <c r="P24" s="20"/>
      <c r="Q24" s="20"/>
      <c r="R24" s="20"/>
      <c r="S24" s="20"/>
      <c r="T24" s="20"/>
      <c r="U24" s="20"/>
      <c r="W24" s="20"/>
      <c r="Z24"/>
    </row>
    <row r="25" spans="1:26">
      <c r="B25" s="5" t="s">
        <v>714</v>
      </c>
      <c r="C25" s="6" t="s">
        <v>891</v>
      </c>
      <c r="D25" s="7" t="s">
        <v>76</v>
      </c>
      <c r="E25" s="7">
        <v>1</v>
      </c>
      <c r="F25" s="8">
        <v>1</v>
      </c>
      <c r="G25" s="9">
        <v>2650000</v>
      </c>
      <c r="H25" s="7">
        <v>5</v>
      </c>
      <c r="I25" s="76">
        <f t="shared" si="1"/>
        <v>13250000</v>
      </c>
      <c r="J25" s="567">
        <f>+IFERROR(ROUND(((IF(G25&lt;($X$144*2),$X$146/G25,0%))+IF(G25&lt;($X$144*2),$AB$149/G25,0%)+$AW$155+$AW$156+$AW$157+$AW$158+$AW$159+$AW$161+$AW$162+$AW$168+IF(AND(G25&lt;$Y$144,$C$15="si"),"0%",13.5%)+(IFERROR(VLOOKUP(D25,Tabla213[],2,FALSE),0%))),2),"")</f>
        <v>1.59</v>
      </c>
      <c r="K25" s="567">
        <f ca="1">+IF(AND(D25='Paso 2 Calculo Factor Multiplic'!$C$11,'Paso 2 Calculo Factor Multiplic'!$C$8='Paso 1 Calculo del Presupuesto'!M25),'Paso 2 Calculo Factor Multiplic'!$C$46,IF(AND(D25='Paso 2 Calculo Factor Multiplic'!$D$11,'Paso 2 Calculo Factor Multiplic'!$D$8='Paso 1 Calculo del Presupuesto'!M25),'Paso 2 Calculo Factor Multiplic'!$D$46,IF(AND(D25='Paso 2 Calculo Factor Multiplic'!$E$11,'Paso 2 Calculo Factor Multiplic'!$E$8='Paso 1 Calculo del Presupuesto'!M25),'Paso 2 Calculo Factor Multiplic'!$E$46,IF(AND(D25='Paso 2 Calculo Factor Multiplic'!$F$11,'Paso 2 Calculo Factor Multiplic'!$F$8='Paso 1 Calculo del Presupuesto'!M25),'Paso 2 Calculo Factor Multiplic'!$F$46,IF(AND(D25='Paso 2 Calculo Factor Multiplic'!$G$11,'Paso 2 Calculo Factor Multiplic'!$G$8='Paso 1 Calculo del Presupuesto'!M25),'Paso 2 Calculo Factor Multiplic'!$G$46,"")))))</f>
        <v>2.0299999999999998</v>
      </c>
      <c r="L25" s="76">
        <f t="shared" ca="1" si="2"/>
        <v>26897499.999999996</v>
      </c>
      <c r="M25" s="635" t="str">
        <f>IFERROR(LOOKUP(G25,'Paso 2 Calculo Factor Multiplic'!$I$1048550:$J$1048552,'Paso 2 Calculo Factor Multiplic'!$K$1048550:$K$1048552),"")</f>
        <v xml:space="preserve">&gt; 2 SMMLV &lt; 10 SMMLV </v>
      </c>
      <c r="N25" s="20"/>
      <c r="O25" s="20"/>
      <c r="P25" s="20"/>
      <c r="Q25" s="20"/>
      <c r="R25" s="20"/>
      <c r="S25" s="20"/>
      <c r="T25" s="20"/>
      <c r="U25" s="20"/>
      <c r="W25" s="20"/>
      <c r="Z25"/>
    </row>
    <row r="26" spans="1:26">
      <c r="B26" s="5" t="s">
        <v>714</v>
      </c>
      <c r="C26" s="6" t="s">
        <v>892</v>
      </c>
      <c r="D26" s="7" t="s">
        <v>76</v>
      </c>
      <c r="E26" s="7">
        <v>1</v>
      </c>
      <c r="F26" s="8">
        <v>1</v>
      </c>
      <c r="G26" s="9">
        <v>2650000</v>
      </c>
      <c r="H26" s="7">
        <v>5</v>
      </c>
      <c r="I26" s="76">
        <f>IFERROR(E26*F26*G26*H26,"")</f>
        <v>13250000</v>
      </c>
      <c r="J26" s="567">
        <f>+IFERROR(ROUND(((IF(G26&lt;($X$144*2),$X$146/G26,0%))+IF(G26&lt;($X$144*2),$AB$149/G26,0%)+$AW$155+$AW$156+$AW$157+$AW$158+$AW$159+$AW$161+$AW$162+$AW$168+IF(AND(G26&lt;$Y$144,$C$15="si"),"0%",13.5%)+(IFERROR(VLOOKUP(D26,Tabla213[],2,FALSE),0%))),2),"")</f>
        <v>1.59</v>
      </c>
      <c r="K26" s="567">
        <f ca="1">+IF(AND(D26='Paso 2 Calculo Factor Multiplic'!$C$11,'Paso 2 Calculo Factor Multiplic'!$C$8='Paso 1 Calculo del Presupuesto'!M26),'Paso 2 Calculo Factor Multiplic'!$C$46,IF(AND(D26='Paso 2 Calculo Factor Multiplic'!$D$11,'Paso 2 Calculo Factor Multiplic'!$D$8='Paso 1 Calculo del Presupuesto'!M26),'Paso 2 Calculo Factor Multiplic'!$D$46,IF(AND(D26='Paso 2 Calculo Factor Multiplic'!$E$11,'Paso 2 Calculo Factor Multiplic'!$E$8='Paso 1 Calculo del Presupuesto'!M26),'Paso 2 Calculo Factor Multiplic'!$E$46,IF(AND(D26='Paso 2 Calculo Factor Multiplic'!$F$11,'Paso 2 Calculo Factor Multiplic'!$F$8='Paso 1 Calculo del Presupuesto'!M26),'Paso 2 Calculo Factor Multiplic'!$F$46,IF(AND(D26='Paso 2 Calculo Factor Multiplic'!$G$11,'Paso 2 Calculo Factor Multiplic'!$G$8='Paso 1 Calculo del Presupuesto'!M26),'Paso 2 Calculo Factor Multiplic'!$G$46,"")))))</f>
        <v>2.0299999999999998</v>
      </c>
      <c r="L26" s="76">
        <f ca="1">+IFERROR(E26*F26*G26*H26*K26,"")</f>
        <v>26897499.999999996</v>
      </c>
      <c r="M26" s="635" t="str">
        <f>IFERROR(LOOKUP(G26,'Paso 2 Calculo Factor Multiplic'!$I$1048550:$J$1048552,'Paso 2 Calculo Factor Multiplic'!$K$1048550:$K$1048552),"")</f>
        <v xml:space="preserve">&gt; 2 SMMLV &lt; 10 SMMLV </v>
      </c>
      <c r="N26" s="20"/>
      <c r="O26" s="20"/>
      <c r="P26" s="20"/>
      <c r="Q26" s="20"/>
      <c r="R26" s="20"/>
      <c r="S26" s="20"/>
      <c r="T26" s="20"/>
      <c r="U26" s="20"/>
      <c r="W26" s="20"/>
      <c r="Z26"/>
    </row>
    <row r="27" spans="1:26">
      <c r="B27" s="5" t="s">
        <v>714</v>
      </c>
      <c r="C27" s="6" t="s">
        <v>893</v>
      </c>
      <c r="D27" s="7" t="s">
        <v>76</v>
      </c>
      <c r="E27" s="7">
        <v>1</v>
      </c>
      <c r="F27" s="8">
        <v>1</v>
      </c>
      <c r="G27" s="9">
        <v>3000000</v>
      </c>
      <c r="H27" s="7">
        <v>5</v>
      </c>
      <c r="I27" s="76">
        <f t="shared" si="1"/>
        <v>15000000</v>
      </c>
      <c r="J27" s="567">
        <f>+IFERROR(ROUND(((IF(G27&lt;($X$144*2),$X$146/G27,0%))+IF(G27&lt;($X$144*2),$AB$149/G27,0%)+$AW$155+$AW$156+$AW$157+$AW$158+$AW$159+$AW$161+$AW$162+$AW$168+IF(AND(G27&lt;$Y$144,$C$15="si"),"0%",13.5%)+(IFERROR(VLOOKUP(D27,Tabla213[],2,FALSE),0%))),2),"")</f>
        <v>1.59</v>
      </c>
      <c r="K27" s="567">
        <f ca="1">+IF(AND(D27='Paso 2 Calculo Factor Multiplic'!$C$11,'Paso 2 Calculo Factor Multiplic'!$C$8='Paso 1 Calculo del Presupuesto'!M27),'Paso 2 Calculo Factor Multiplic'!$C$46,IF(AND(D27='Paso 2 Calculo Factor Multiplic'!$D$11,'Paso 2 Calculo Factor Multiplic'!$D$8='Paso 1 Calculo del Presupuesto'!M27),'Paso 2 Calculo Factor Multiplic'!$D$46,IF(AND(D27='Paso 2 Calculo Factor Multiplic'!$E$11,'Paso 2 Calculo Factor Multiplic'!$E$8='Paso 1 Calculo del Presupuesto'!M27),'Paso 2 Calculo Factor Multiplic'!$E$46,IF(AND(D27='Paso 2 Calculo Factor Multiplic'!$F$11,'Paso 2 Calculo Factor Multiplic'!$F$8='Paso 1 Calculo del Presupuesto'!M27),'Paso 2 Calculo Factor Multiplic'!$F$46,IF(AND(D27='Paso 2 Calculo Factor Multiplic'!$G$11,'Paso 2 Calculo Factor Multiplic'!$G$8='Paso 1 Calculo del Presupuesto'!M27),'Paso 2 Calculo Factor Multiplic'!$G$46,"")))))</f>
        <v>2.0299999999999998</v>
      </c>
      <c r="L27" s="76">
        <f t="shared" ca="1" si="2"/>
        <v>30449999.999999996</v>
      </c>
      <c r="M27" s="635" t="str">
        <f>IFERROR(LOOKUP(G27,'Paso 2 Calculo Factor Multiplic'!$I$1048550:$J$1048552,'Paso 2 Calculo Factor Multiplic'!$K$1048550:$K$1048552),"")</f>
        <v xml:space="preserve">&gt; 2 SMMLV &lt; 10 SMMLV </v>
      </c>
      <c r="N27" s="20"/>
      <c r="O27" s="20"/>
      <c r="P27" s="20"/>
      <c r="Q27" s="20"/>
      <c r="R27" s="20"/>
      <c r="S27" s="20"/>
      <c r="T27" s="20"/>
      <c r="U27" s="20"/>
      <c r="W27" s="20"/>
      <c r="Z27"/>
    </row>
    <row r="28" spans="1:26">
      <c r="B28" s="5"/>
      <c r="C28" s="6"/>
      <c r="D28" s="7"/>
      <c r="E28" s="7"/>
      <c r="F28" s="8"/>
      <c r="G28" s="9"/>
      <c r="H28" s="7"/>
      <c r="I28" s="76">
        <f t="shared" si="1"/>
        <v>0</v>
      </c>
      <c r="J28" s="567" t="str">
        <f>+IFERROR(ROUND(((IF(G28&lt;($X$144*2),$X$146/G28,0%))+IF(G28&lt;($X$144*2),$AB$149/G28,0%)+$AW$155+$AW$156+$AW$157+$AW$158+$AW$159+$AW$161+$AW$162+$AW$168+IF(AND(G28&lt;$Y$144,$C$15="si"),"0%",13.5%)+(IFERROR(VLOOKUP(D28,Tabla213[],2,FALSE),0%))),2),"")</f>
        <v/>
      </c>
      <c r="K28" s="567" t="str">
        <f>+IF(AND(D28='Paso 2 Calculo Factor Multiplic'!$C$11,'Paso 2 Calculo Factor Multiplic'!$C$8='Paso 1 Calculo del Presupuesto'!M28),'Paso 2 Calculo Factor Multiplic'!$C$46,IF(AND(D28='Paso 2 Calculo Factor Multiplic'!$D$11,'Paso 2 Calculo Factor Multiplic'!$D$8='Paso 1 Calculo del Presupuesto'!M28),'Paso 2 Calculo Factor Multiplic'!$D$46,IF(AND(D28='Paso 2 Calculo Factor Multiplic'!$E$11,'Paso 2 Calculo Factor Multiplic'!$E$8='Paso 1 Calculo del Presupuesto'!M28),'Paso 2 Calculo Factor Multiplic'!$E$46,IF(AND(D28='Paso 2 Calculo Factor Multiplic'!$F$11,'Paso 2 Calculo Factor Multiplic'!$F$8='Paso 1 Calculo del Presupuesto'!M28),'Paso 2 Calculo Factor Multiplic'!$F$46,IF(AND(D28='Paso 2 Calculo Factor Multiplic'!$G$11,'Paso 2 Calculo Factor Multiplic'!$G$8='Paso 1 Calculo del Presupuesto'!M28),'Paso 2 Calculo Factor Multiplic'!$G$46,"")))))</f>
        <v/>
      </c>
      <c r="L28" s="76" t="str">
        <f t="shared" si="2"/>
        <v/>
      </c>
      <c r="M28" s="635" t="str">
        <f>IFERROR(LOOKUP(G28,'Paso 2 Calculo Factor Multiplic'!$I$1048550:$J$1048552,'Paso 2 Calculo Factor Multiplic'!$K$1048550:$K$1048552),"")</f>
        <v/>
      </c>
      <c r="N28" s="20"/>
      <c r="O28" s="20"/>
      <c r="P28" s="20"/>
      <c r="Q28" s="20"/>
      <c r="R28" s="20"/>
      <c r="S28" s="20"/>
      <c r="T28" s="20"/>
      <c r="U28" s="20"/>
      <c r="W28" s="20"/>
      <c r="Z28"/>
    </row>
    <row r="29" spans="1:26">
      <c r="B29" s="5"/>
      <c r="C29" s="6"/>
      <c r="D29" s="7"/>
      <c r="E29" s="7"/>
      <c r="F29" s="8"/>
      <c r="G29" s="9"/>
      <c r="H29" s="7"/>
      <c r="I29" s="76">
        <f t="shared" si="1"/>
        <v>0</v>
      </c>
      <c r="J29" s="567" t="str">
        <f>+IFERROR(ROUND(((IF(G29&lt;($X$144*2),$X$146/G29,0%))+IF(G29&lt;($X$144*2),$AB$149/G29,0%)+$AW$155+$AW$156+$AW$157+$AW$158+$AW$159+$AW$161+$AW$162+$AW$168+IF(AND(G29&lt;$Y$144,$C$15="si"),"0%",13.5%)+(IFERROR(VLOOKUP(D29,Tabla213[],2,FALSE),0%))),2),"")</f>
        <v/>
      </c>
      <c r="K29" s="567" t="str">
        <f>+IF(AND(D29='Paso 2 Calculo Factor Multiplic'!$C$11,'Paso 2 Calculo Factor Multiplic'!$C$8='Paso 1 Calculo del Presupuesto'!M29),'Paso 2 Calculo Factor Multiplic'!$C$46,IF(AND(D29='Paso 2 Calculo Factor Multiplic'!$D$11,'Paso 2 Calculo Factor Multiplic'!$D$8='Paso 1 Calculo del Presupuesto'!M29),'Paso 2 Calculo Factor Multiplic'!$D$46,IF(AND(D29='Paso 2 Calculo Factor Multiplic'!$E$11,'Paso 2 Calculo Factor Multiplic'!$E$8='Paso 1 Calculo del Presupuesto'!M29),'Paso 2 Calculo Factor Multiplic'!$E$46,IF(AND(D29='Paso 2 Calculo Factor Multiplic'!$F$11,'Paso 2 Calculo Factor Multiplic'!$F$8='Paso 1 Calculo del Presupuesto'!M29),'Paso 2 Calculo Factor Multiplic'!$F$46,IF(AND(D29='Paso 2 Calculo Factor Multiplic'!$G$11,'Paso 2 Calculo Factor Multiplic'!$G$8='Paso 1 Calculo del Presupuesto'!M29),'Paso 2 Calculo Factor Multiplic'!$G$46,"")))))</f>
        <v/>
      </c>
      <c r="L29" s="76" t="str">
        <f t="shared" si="2"/>
        <v/>
      </c>
      <c r="M29" s="635" t="str">
        <f>IFERROR(LOOKUP(G29,'Paso 2 Calculo Factor Multiplic'!$I$1048550:$J$1048552,'Paso 2 Calculo Factor Multiplic'!$K$1048550:$K$1048552),"")</f>
        <v/>
      </c>
      <c r="N29" s="20"/>
      <c r="O29" s="20"/>
      <c r="P29" s="20"/>
      <c r="Q29" s="20"/>
      <c r="R29" s="20"/>
      <c r="S29" s="20"/>
      <c r="T29" s="20"/>
      <c r="U29" s="20"/>
      <c r="W29" s="20"/>
      <c r="Z29"/>
    </row>
    <row r="30" spans="1:26">
      <c r="B30" s="5"/>
      <c r="C30" s="6"/>
      <c r="D30" s="7"/>
      <c r="E30" s="7"/>
      <c r="F30" s="8"/>
      <c r="G30" s="9"/>
      <c r="H30" s="7"/>
      <c r="I30" s="76">
        <f>IFERROR(E30*F30*G30*H30,"")</f>
        <v>0</v>
      </c>
      <c r="J30" s="567" t="str">
        <f>+IFERROR(ROUND(((IF(G30&lt;($X$144*2),$X$146/G30,0%))+IF(G30&lt;($X$144*2),$AB$149/G30,0%)+$AW$155+$AW$156+$AW$157+$AW$158+$AW$159+$AW$161+$AW$162+$AW$168+IF(AND(G30&lt;$Y$144,$C$15="si"),"0%",13.5%)+(IFERROR(VLOOKUP(D30,Tabla213[],2,FALSE),0%))),2),"")</f>
        <v/>
      </c>
      <c r="K30" s="567" t="str">
        <f>+IF(AND(D30='Paso 2 Calculo Factor Multiplic'!$C$11,'Paso 2 Calculo Factor Multiplic'!$C$8='Paso 1 Calculo del Presupuesto'!M30),'Paso 2 Calculo Factor Multiplic'!$C$46,IF(AND(D30='Paso 2 Calculo Factor Multiplic'!$D$11,'Paso 2 Calculo Factor Multiplic'!$D$8='Paso 1 Calculo del Presupuesto'!M30),'Paso 2 Calculo Factor Multiplic'!$D$46,IF(AND(D30='Paso 2 Calculo Factor Multiplic'!$E$11,'Paso 2 Calculo Factor Multiplic'!$E$8='Paso 1 Calculo del Presupuesto'!M30),'Paso 2 Calculo Factor Multiplic'!$E$46,IF(AND(D30='Paso 2 Calculo Factor Multiplic'!$F$11,'Paso 2 Calculo Factor Multiplic'!$F$8='Paso 1 Calculo del Presupuesto'!M30),'Paso 2 Calculo Factor Multiplic'!$F$46,IF(AND(D30='Paso 2 Calculo Factor Multiplic'!$G$11,'Paso 2 Calculo Factor Multiplic'!$G$8='Paso 1 Calculo del Presupuesto'!M30),'Paso 2 Calculo Factor Multiplic'!$G$46,"")))))</f>
        <v/>
      </c>
      <c r="L30" s="76" t="str">
        <f>+IFERROR(E30*F30*G30*H30*K30,"")</f>
        <v/>
      </c>
      <c r="M30" s="635" t="str">
        <f>IFERROR(LOOKUP(G30,'Paso 2 Calculo Factor Multiplic'!$I$1048550:$J$1048552,'Paso 2 Calculo Factor Multiplic'!$K$1048550:$K$1048552),"")</f>
        <v/>
      </c>
      <c r="N30" s="20"/>
      <c r="O30" s="20"/>
      <c r="P30" s="20"/>
      <c r="Q30" s="20"/>
      <c r="R30" s="20"/>
      <c r="S30" s="20"/>
      <c r="T30" s="20"/>
      <c r="U30" s="20"/>
      <c r="V30" s="20"/>
      <c r="W30" s="20"/>
      <c r="Z30"/>
    </row>
    <row r="31" spans="1:26">
      <c r="B31" s="5"/>
      <c r="C31" s="6"/>
      <c r="D31" s="7"/>
      <c r="E31" s="7"/>
      <c r="F31" s="8"/>
      <c r="G31" s="9"/>
      <c r="H31" s="7"/>
      <c r="I31" s="76">
        <f t="shared" si="1"/>
        <v>0</v>
      </c>
      <c r="J31" s="567" t="str">
        <f>+IFERROR(ROUND(((IF(G31&lt;($X$144*2),$X$146/G31,0%))+IF(G31&lt;($X$144*2),$AB$149/G31,0%)+$AW$155+$AW$156+$AW$157+$AW$158+$AW$159+$AW$161+$AW$162+$AW$168+IF(AND(G31&lt;$Y$144,$C$15="si"),"0%",13.5%)+(IFERROR(VLOOKUP(D31,Tabla213[],2,FALSE),0%))),2),"")</f>
        <v/>
      </c>
      <c r="K31" s="567" t="str">
        <f>+IF(AND(D31='Paso 2 Calculo Factor Multiplic'!$C$11,'Paso 2 Calculo Factor Multiplic'!$C$8='Paso 1 Calculo del Presupuesto'!M31),'Paso 2 Calculo Factor Multiplic'!$C$46,IF(AND(D31='Paso 2 Calculo Factor Multiplic'!$D$11,'Paso 2 Calculo Factor Multiplic'!$D$8='Paso 1 Calculo del Presupuesto'!M31),'Paso 2 Calculo Factor Multiplic'!$D$46,IF(AND(D31='Paso 2 Calculo Factor Multiplic'!$E$11,'Paso 2 Calculo Factor Multiplic'!$E$8='Paso 1 Calculo del Presupuesto'!M31),'Paso 2 Calculo Factor Multiplic'!$E$46,IF(AND(D31='Paso 2 Calculo Factor Multiplic'!$F$11,'Paso 2 Calculo Factor Multiplic'!$F$8='Paso 1 Calculo del Presupuesto'!M31),'Paso 2 Calculo Factor Multiplic'!$F$46,IF(AND(D31='Paso 2 Calculo Factor Multiplic'!$G$11,'Paso 2 Calculo Factor Multiplic'!$G$8='Paso 1 Calculo del Presupuesto'!M31),'Paso 2 Calculo Factor Multiplic'!$G$46,"")))))</f>
        <v/>
      </c>
      <c r="L31" s="76" t="str">
        <f t="shared" si="2"/>
        <v/>
      </c>
      <c r="M31" s="635" t="str">
        <f>IFERROR(LOOKUP(G31,'Paso 2 Calculo Factor Multiplic'!$I$1048550:$J$1048552,'Paso 2 Calculo Factor Multiplic'!$K$1048550:$K$1048552),"")</f>
        <v/>
      </c>
      <c r="N31" s="20"/>
      <c r="O31" s="20"/>
      <c r="P31" s="20"/>
      <c r="Q31" s="20"/>
      <c r="R31" s="20"/>
      <c r="S31" s="20"/>
      <c r="T31" s="20"/>
      <c r="U31" s="20"/>
      <c r="V31" s="20"/>
      <c r="W31" s="20"/>
      <c r="Z31"/>
    </row>
    <row r="32" spans="1:26">
      <c r="B32" s="5"/>
      <c r="C32" s="6"/>
      <c r="D32" s="7"/>
      <c r="E32" s="7"/>
      <c r="F32" s="8"/>
      <c r="G32" s="9"/>
      <c r="H32" s="7"/>
      <c r="I32" s="76">
        <f>IFERROR(E32*F32*G32*H32,"")</f>
        <v>0</v>
      </c>
      <c r="J32" s="567" t="str">
        <f>+IFERROR(ROUND(((IF(G32&lt;($X$144*2),$X$146/G32,0%))+IF(G32&lt;($X$144*2),$AB$149/G32,0%)+$AW$155+$AW$156+$AW$157+$AW$158+$AW$159+$AW$161+$AW$162+$AW$168+IF(AND(G32&lt;$Y$144,$C$15="si"),"0%",13.5%)+(IFERROR(VLOOKUP(D32,Tabla213[],2,FALSE),0%))),2),"")</f>
        <v/>
      </c>
      <c r="K32" s="567" t="str">
        <f>+IF(AND(D32='Paso 2 Calculo Factor Multiplic'!$C$11,'Paso 2 Calculo Factor Multiplic'!$C$8='Paso 1 Calculo del Presupuesto'!M32),'Paso 2 Calculo Factor Multiplic'!$C$46,IF(AND(D32='Paso 2 Calculo Factor Multiplic'!$D$11,'Paso 2 Calculo Factor Multiplic'!$D$8='Paso 1 Calculo del Presupuesto'!M32),'Paso 2 Calculo Factor Multiplic'!$D$46,IF(AND(D32='Paso 2 Calculo Factor Multiplic'!$E$11,'Paso 2 Calculo Factor Multiplic'!$E$8='Paso 1 Calculo del Presupuesto'!M32),'Paso 2 Calculo Factor Multiplic'!$E$46,IF(AND(D32='Paso 2 Calculo Factor Multiplic'!$F$11,'Paso 2 Calculo Factor Multiplic'!$F$8='Paso 1 Calculo del Presupuesto'!M32),'Paso 2 Calculo Factor Multiplic'!$F$46,IF(AND(D32='Paso 2 Calculo Factor Multiplic'!$G$11,'Paso 2 Calculo Factor Multiplic'!$G$8='Paso 1 Calculo del Presupuesto'!M32),'Paso 2 Calculo Factor Multiplic'!$G$46,"")))))</f>
        <v/>
      </c>
      <c r="L32" s="76" t="str">
        <f>+IFERROR(E32*F32*G32*H32*K32,"")</f>
        <v/>
      </c>
      <c r="M32" s="626" t="str">
        <f>IFERROR(LOOKUP(G32,'Paso 2 Calculo Factor Multiplic'!$I$1048550:$J$1048552,'Paso 2 Calculo Factor Multiplic'!$K$1048550:$K$1048552),"")</f>
        <v/>
      </c>
      <c r="N32" s="20"/>
      <c r="O32" s="20"/>
      <c r="P32" s="20"/>
      <c r="Q32" s="20"/>
      <c r="R32" s="20"/>
      <c r="S32" s="20"/>
      <c r="T32" s="20"/>
      <c r="U32" s="20"/>
      <c r="V32" s="20"/>
      <c r="W32" s="20"/>
      <c r="Z32"/>
    </row>
    <row r="33" spans="1:26">
      <c r="B33" s="5"/>
      <c r="C33" s="6"/>
      <c r="D33" s="7"/>
      <c r="E33" s="7"/>
      <c r="F33" s="8"/>
      <c r="G33" s="9"/>
      <c r="H33" s="7"/>
      <c r="I33" s="76">
        <f t="shared" si="1"/>
        <v>0</v>
      </c>
      <c r="J33" s="567" t="str">
        <f>+IFERROR(ROUND(((IF(G33&lt;($X$144*2),$X$146/G33,0%))+IF(G33&lt;($X$144*2),$AB$149/G33,0%)+$AW$155+$AW$156+$AW$157+$AW$158+$AW$159+$AW$161+$AW$162+$AW$168+IF(AND(G33&lt;$Y$144,$C$15="si"),"0%",13.5%)+(IFERROR(VLOOKUP(D33,Tabla213[],2,FALSE),0%))),2),"")</f>
        <v/>
      </c>
      <c r="K33" s="567" t="str">
        <f>+IF(AND(D33='Paso 2 Calculo Factor Multiplic'!$C$11,'Paso 2 Calculo Factor Multiplic'!$C$8='Paso 1 Calculo del Presupuesto'!M33),'Paso 2 Calculo Factor Multiplic'!$C$46,IF(AND(D33='Paso 2 Calculo Factor Multiplic'!$D$11,'Paso 2 Calculo Factor Multiplic'!$D$8='Paso 1 Calculo del Presupuesto'!M33),'Paso 2 Calculo Factor Multiplic'!$D$46,IF(AND(D33='Paso 2 Calculo Factor Multiplic'!$E$11,'Paso 2 Calculo Factor Multiplic'!$E$8='Paso 1 Calculo del Presupuesto'!M33),'Paso 2 Calculo Factor Multiplic'!$E$46,IF(AND(D33='Paso 2 Calculo Factor Multiplic'!$F$11,'Paso 2 Calculo Factor Multiplic'!$F$8='Paso 1 Calculo del Presupuesto'!M33),'Paso 2 Calculo Factor Multiplic'!$F$46,IF(AND(D33='Paso 2 Calculo Factor Multiplic'!$G$11,'Paso 2 Calculo Factor Multiplic'!$G$8='Paso 1 Calculo del Presupuesto'!M33),'Paso 2 Calculo Factor Multiplic'!$G$46,"")))))</f>
        <v/>
      </c>
      <c r="L33" s="76" t="str">
        <f t="shared" si="2"/>
        <v/>
      </c>
      <c r="M33" s="626" t="str">
        <f>IFERROR(LOOKUP(G33,'Paso 2 Calculo Factor Multiplic'!$I$1048550:$J$1048552,'Paso 2 Calculo Factor Multiplic'!$K$1048550:$K$1048552),"")</f>
        <v/>
      </c>
      <c r="N33" s="20"/>
      <c r="O33" s="20"/>
      <c r="P33" s="20"/>
      <c r="Q33" s="20"/>
      <c r="R33" s="20"/>
      <c r="S33" s="20"/>
      <c r="T33" s="20"/>
      <c r="U33" s="20"/>
      <c r="V33" s="20"/>
      <c r="W33" s="20"/>
      <c r="Z33"/>
    </row>
    <row r="34" spans="1:26">
      <c r="B34" s="5"/>
      <c r="C34" s="6"/>
      <c r="D34" s="7"/>
      <c r="E34" s="7"/>
      <c r="F34" s="8"/>
      <c r="G34" s="9"/>
      <c r="H34" s="7"/>
      <c r="I34" s="76">
        <f t="shared" si="1"/>
        <v>0</v>
      </c>
      <c r="J34" s="567" t="str">
        <f>+IFERROR(ROUND(((IF(G34&lt;($X$144*2),$X$146/G34,0%))+IF(G34&lt;($X$144*2),$AB$149/G34,0%)+$AW$155+$AW$156+$AW$157+$AW$158+$AW$159+$AW$161+$AW$162+$AW$168+IF(AND(G34&lt;$Y$144,$C$15="si"),"0%",13.5%)+(IFERROR(VLOOKUP(D34,Tabla213[],2,FALSE),0%))),2),"")</f>
        <v/>
      </c>
      <c r="K34" s="567" t="str">
        <f>+IF(AND(D34='Paso 2 Calculo Factor Multiplic'!$C$11,'Paso 2 Calculo Factor Multiplic'!$C$8='Paso 1 Calculo del Presupuesto'!M34),'Paso 2 Calculo Factor Multiplic'!$C$46,IF(AND(D34='Paso 2 Calculo Factor Multiplic'!$D$11,'Paso 2 Calculo Factor Multiplic'!$D$8='Paso 1 Calculo del Presupuesto'!M34),'Paso 2 Calculo Factor Multiplic'!$D$46,IF(AND(D34='Paso 2 Calculo Factor Multiplic'!$E$11,'Paso 2 Calculo Factor Multiplic'!$E$8='Paso 1 Calculo del Presupuesto'!M34),'Paso 2 Calculo Factor Multiplic'!$E$46,IF(AND(D34='Paso 2 Calculo Factor Multiplic'!$F$11,'Paso 2 Calculo Factor Multiplic'!$F$8='Paso 1 Calculo del Presupuesto'!M34),'Paso 2 Calculo Factor Multiplic'!$F$46,IF(AND(D34='Paso 2 Calculo Factor Multiplic'!$G$11,'Paso 2 Calculo Factor Multiplic'!$G$8='Paso 1 Calculo del Presupuesto'!M34),'Paso 2 Calculo Factor Multiplic'!$G$46,"")))))</f>
        <v/>
      </c>
      <c r="L34" s="76" t="str">
        <f t="shared" si="2"/>
        <v/>
      </c>
      <c r="M34" s="626" t="str">
        <f>IFERROR(LOOKUP(G34,'Paso 2 Calculo Factor Multiplic'!$I$1048550:$J$1048552,'Paso 2 Calculo Factor Multiplic'!$K$1048550:$K$1048552),"")</f>
        <v/>
      </c>
      <c r="N34" s="20"/>
      <c r="O34" s="20"/>
      <c r="P34" s="20"/>
      <c r="Q34" s="20"/>
      <c r="R34" s="20"/>
      <c r="S34" s="20"/>
      <c r="T34" s="20"/>
      <c r="U34" s="20"/>
      <c r="V34" s="20"/>
      <c r="W34" s="20"/>
      <c r="Z34"/>
    </row>
    <row r="35" spans="1:26">
      <c r="B35" s="5"/>
      <c r="C35" s="6"/>
      <c r="D35" s="7"/>
      <c r="E35" s="7"/>
      <c r="F35" s="8"/>
      <c r="G35" s="9"/>
      <c r="H35" s="7"/>
      <c r="I35" s="76">
        <f t="shared" si="1"/>
        <v>0</v>
      </c>
      <c r="J35" s="567" t="str">
        <f>+IFERROR(ROUND(((IF(G35&lt;($X$144*2),$X$146/G35,0%))+IF(G35&lt;($X$144*2),$AB$149/G35,0%)+$AW$155+$AW$156+$AW$157+$AW$158+$AW$159+$AW$161+$AW$162+$AW$168+IF(AND(G35&lt;$Y$144,$C$15="si"),"0%",13.5%)+(IFERROR(VLOOKUP(D35,Tabla213[],2,FALSE),0%))),2),"")</f>
        <v/>
      </c>
      <c r="K35" s="567" t="str">
        <f>+IF(AND(D35='Paso 2 Calculo Factor Multiplic'!$C$11,'Paso 2 Calculo Factor Multiplic'!$C$8='Paso 1 Calculo del Presupuesto'!M35),'Paso 2 Calculo Factor Multiplic'!$C$46,IF(AND(D35='Paso 2 Calculo Factor Multiplic'!$D$11,'Paso 2 Calculo Factor Multiplic'!$D$8='Paso 1 Calculo del Presupuesto'!M35),'Paso 2 Calculo Factor Multiplic'!$D$46,IF(AND(D35='Paso 2 Calculo Factor Multiplic'!$E$11,'Paso 2 Calculo Factor Multiplic'!$E$8='Paso 1 Calculo del Presupuesto'!M35),'Paso 2 Calculo Factor Multiplic'!$E$46,IF(AND(D35='Paso 2 Calculo Factor Multiplic'!$F$11,'Paso 2 Calculo Factor Multiplic'!$F$8='Paso 1 Calculo del Presupuesto'!M35),'Paso 2 Calculo Factor Multiplic'!$F$46,IF(AND(D35='Paso 2 Calculo Factor Multiplic'!$G$11,'Paso 2 Calculo Factor Multiplic'!$G$8='Paso 1 Calculo del Presupuesto'!M35),'Paso 2 Calculo Factor Multiplic'!$G$46,"")))))</f>
        <v/>
      </c>
      <c r="L35" s="76" t="str">
        <f t="shared" si="2"/>
        <v/>
      </c>
      <c r="M35" s="626" t="str">
        <f>IFERROR(LOOKUP(G35,'Paso 2 Calculo Factor Multiplic'!$I$1048550:$J$1048552,'Paso 2 Calculo Factor Multiplic'!$K$1048550:$K$1048552),"")</f>
        <v/>
      </c>
      <c r="N35" s="20"/>
      <c r="O35" s="20"/>
      <c r="P35" s="20"/>
      <c r="Q35" s="20"/>
      <c r="R35" s="20"/>
      <c r="S35" s="20"/>
      <c r="T35" s="20"/>
      <c r="U35" s="20"/>
      <c r="V35" s="20"/>
      <c r="W35" s="20"/>
      <c r="Z35"/>
    </row>
    <row r="36" spans="1:26">
      <c r="B36" s="5"/>
      <c r="C36" s="6"/>
      <c r="D36" s="7"/>
      <c r="E36" s="7"/>
      <c r="F36" s="8"/>
      <c r="G36" s="9"/>
      <c r="H36" s="7"/>
      <c r="I36" s="76">
        <f t="shared" si="1"/>
        <v>0</v>
      </c>
      <c r="J36" s="567" t="str">
        <f>+IFERROR(ROUND(((IF(G36&lt;($X$144*2),$X$146/G36,0%))+IF(G36&lt;($X$144*2),$AB$149/G36,0%)+$AW$155+$AW$156+$AW$157+$AW$158+$AW$159+$AW$161+$AW$162+$AW$168+IF(AND(G36&lt;$Y$144,$C$15="si"),"0%",13.5%)+(IFERROR(VLOOKUP(D36,Tabla213[],2,FALSE),0%))),2),"")</f>
        <v/>
      </c>
      <c r="K36" s="567" t="str">
        <f>+IF(AND(D36='Paso 2 Calculo Factor Multiplic'!$C$11,'Paso 2 Calculo Factor Multiplic'!$C$8='Paso 1 Calculo del Presupuesto'!M36),'Paso 2 Calculo Factor Multiplic'!$C$46,IF(AND(D36='Paso 2 Calculo Factor Multiplic'!$D$11,'Paso 2 Calculo Factor Multiplic'!$D$8='Paso 1 Calculo del Presupuesto'!M36),'Paso 2 Calculo Factor Multiplic'!$D$46,IF(AND(D36='Paso 2 Calculo Factor Multiplic'!$E$11,'Paso 2 Calculo Factor Multiplic'!$E$8='Paso 1 Calculo del Presupuesto'!M36),'Paso 2 Calculo Factor Multiplic'!$E$46,IF(AND(D36='Paso 2 Calculo Factor Multiplic'!$F$11,'Paso 2 Calculo Factor Multiplic'!$F$8='Paso 1 Calculo del Presupuesto'!M36),'Paso 2 Calculo Factor Multiplic'!$F$46,IF(AND(D36='Paso 2 Calculo Factor Multiplic'!$G$11,'Paso 2 Calculo Factor Multiplic'!$G$8='Paso 1 Calculo del Presupuesto'!M36),'Paso 2 Calculo Factor Multiplic'!$G$46,"")))))</f>
        <v/>
      </c>
      <c r="L36" s="76" t="str">
        <f t="shared" si="2"/>
        <v/>
      </c>
      <c r="M36" s="626" t="str">
        <f>IFERROR(LOOKUP(G36,'Paso 2 Calculo Factor Multiplic'!$I$1048550:$J$1048552,'Paso 2 Calculo Factor Multiplic'!$K$1048550:$K$1048552),"")</f>
        <v/>
      </c>
      <c r="N36" s="20"/>
      <c r="O36" s="20"/>
      <c r="P36" s="20"/>
      <c r="Q36" s="20"/>
      <c r="R36" s="20"/>
      <c r="S36" s="20"/>
      <c r="T36" s="20"/>
      <c r="U36" s="20"/>
      <c r="V36" s="20"/>
      <c r="W36" s="20"/>
      <c r="Z36"/>
    </row>
    <row r="37" spans="1:26">
      <c r="B37" s="5"/>
      <c r="C37" s="6"/>
      <c r="D37" s="7"/>
      <c r="E37" s="7"/>
      <c r="F37" s="8"/>
      <c r="G37" s="9"/>
      <c r="H37" s="7"/>
      <c r="I37" s="76">
        <f t="shared" si="1"/>
        <v>0</v>
      </c>
      <c r="J37" s="567" t="str">
        <f>+IFERROR(ROUND(((IF(G37&lt;($X$144*2),$X$146/G37,0%))+IF(G37&lt;($X$144*2),$AB$149/G37,0%)+$AW$155+$AW$156+$AW$157+$AW$158+$AW$159+$AW$161+$AW$162+$AW$168+IF(AND(G37&lt;$Y$144,$C$15="si"),"0%",13.5%)+(IFERROR(VLOOKUP(D37,Tabla213[],2,FALSE),0%))),2),"")</f>
        <v/>
      </c>
      <c r="K37" s="567" t="str">
        <f>+IF(AND(D37='Paso 2 Calculo Factor Multiplic'!$C$11,'Paso 2 Calculo Factor Multiplic'!$C$8='Paso 1 Calculo del Presupuesto'!M37),'Paso 2 Calculo Factor Multiplic'!$C$46,IF(AND(D37='Paso 2 Calculo Factor Multiplic'!$D$11,'Paso 2 Calculo Factor Multiplic'!$D$8='Paso 1 Calculo del Presupuesto'!M37),'Paso 2 Calculo Factor Multiplic'!$D$46,IF(AND(D37='Paso 2 Calculo Factor Multiplic'!$E$11,'Paso 2 Calculo Factor Multiplic'!$E$8='Paso 1 Calculo del Presupuesto'!M37),'Paso 2 Calculo Factor Multiplic'!$E$46,IF(AND(D37='Paso 2 Calculo Factor Multiplic'!$F$11,'Paso 2 Calculo Factor Multiplic'!$F$8='Paso 1 Calculo del Presupuesto'!M37),'Paso 2 Calculo Factor Multiplic'!$F$46,IF(AND(D37='Paso 2 Calculo Factor Multiplic'!$G$11,'Paso 2 Calculo Factor Multiplic'!$G$8='Paso 1 Calculo del Presupuesto'!M37),'Paso 2 Calculo Factor Multiplic'!$G$46,"")))))</f>
        <v/>
      </c>
      <c r="L37" s="76" t="str">
        <f>+IFERROR(E37*F37*G37*H37*K37,"")</f>
        <v/>
      </c>
      <c r="M37" s="626" t="str">
        <f>IFERROR(LOOKUP(G37,'Paso 2 Calculo Factor Multiplic'!$I$1048550:$J$1048552,'Paso 2 Calculo Factor Multiplic'!$K$1048550:$K$1048552),"")</f>
        <v/>
      </c>
      <c r="N37" s="20"/>
      <c r="O37" s="20"/>
      <c r="P37" s="20"/>
      <c r="Q37" s="20"/>
      <c r="R37" s="20"/>
      <c r="S37" s="20"/>
      <c r="T37" s="20"/>
      <c r="U37" s="20"/>
      <c r="V37" s="20"/>
      <c r="W37" s="20"/>
      <c r="Z37"/>
    </row>
    <row r="38" spans="1:26">
      <c r="B38" s="5"/>
      <c r="C38" s="6"/>
      <c r="D38" s="7"/>
      <c r="E38" s="7"/>
      <c r="F38" s="8"/>
      <c r="G38" s="9"/>
      <c r="H38" s="7"/>
      <c r="I38" s="76">
        <f t="shared" si="1"/>
        <v>0</v>
      </c>
      <c r="J38" s="567" t="str">
        <f>+IFERROR(ROUND(((IF(G38&lt;($X$144*2),$X$146/G38,0%))+IF(G38&lt;($X$144*2),$AB$149/G38,0%)+$AW$155+$AW$156+$AW$157+$AW$158+$AW$159+$AW$161+$AW$162+$AW$168+IF(AND(G38&lt;$Y$144,$C$15="si"),"0%",13.5%)+(IFERROR(VLOOKUP(D38,Tabla213[],2,FALSE),0%))),2),"")</f>
        <v/>
      </c>
      <c r="K38" s="567" t="str">
        <f>+IF(AND(D38='Paso 2 Calculo Factor Multiplic'!$C$11,'Paso 2 Calculo Factor Multiplic'!$C$8='Paso 1 Calculo del Presupuesto'!M38),'Paso 2 Calculo Factor Multiplic'!$C$46,IF(AND(D38='Paso 2 Calculo Factor Multiplic'!$D$11,'Paso 2 Calculo Factor Multiplic'!$D$8='Paso 1 Calculo del Presupuesto'!M38),'Paso 2 Calculo Factor Multiplic'!$D$46,IF(AND(D38='Paso 2 Calculo Factor Multiplic'!$E$11,'Paso 2 Calculo Factor Multiplic'!$E$8='Paso 1 Calculo del Presupuesto'!M38),'Paso 2 Calculo Factor Multiplic'!$E$46,IF(AND(D38='Paso 2 Calculo Factor Multiplic'!$F$11,'Paso 2 Calculo Factor Multiplic'!$F$8='Paso 1 Calculo del Presupuesto'!M38),'Paso 2 Calculo Factor Multiplic'!$F$46,IF(AND(D38='Paso 2 Calculo Factor Multiplic'!$G$11,'Paso 2 Calculo Factor Multiplic'!$G$8='Paso 1 Calculo del Presupuesto'!M38),'Paso 2 Calculo Factor Multiplic'!$G$46,"")))))</f>
        <v/>
      </c>
      <c r="L38" s="76" t="str">
        <f t="shared" si="2"/>
        <v/>
      </c>
      <c r="M38" s="626" t="str">
        <f>IFERROR(LOOKUP(G38,'Paso 2 Calculo Factor Multiplic'!$I$1048550:$J$1048552,'Paso 2 Calculo Factor Multiplic'!$K$1048550:$K$1048552),"")</f>
        <v/>
      </c>
      <c r="N38" s="20"/>
      <c r="O38" s="20"/>
      <c r="P38" s="20"/>
      <c r="Q38" s="20"/>
      <c r="R38" s="20"/>
      <c r="S38" s="20"/>
      <c r="T38" s="20"/>
      <c r="U38" s="20"/>
      <c r="V38" s="20"/>
      <c r="W38" s="20"/>
      <c r="Z38"/>
    </row>
    <row r="39" spans="1:26">
      <c r="B39" s="5"/>
      <c r="C39" s="6"/>
      <c r="D39" s="7"/>
      <c r="E39" s="7"/>
      <c r="F39" s="8"/>
      <c r="G39" s="9"/>
      <c r="H39" s="7"/>
      <c r="I39" s="76">
        <f t="shared" si="1"/>
        <v>0</v>
      </c>
      <c r="J39" s="567" t="str">
        <f>+IFERROR(ROUND(((IF(G39&lt;($X$144*2),$X$146/G39,0%))+IF(G39&lt;($X$144*2),$AB$149/G39,0%)+$AW$155+$AW$156+$AW$157+$AW$158+$AW$159+$AW$161+$AW$162+$AW$168+IF(AND(G39&lt;$Y$144,$C$15="si"),"0%",13.5%)+(IFERROR(VLOOKUP(D39,Tabla213[],2,FALSE),0%))),2),"")</f>
        <v/>
      </c>
      <c r="K39" s="567" t="str">
        <f>+IF(AND(D39='Paso 2 Calculo Factor Multiplic'!$C$11,'Paso 2 Calculo Factor Multiplic'!$C$8='Paso 1 Calculo del Presupuesto'!M39),'Paso 2 Calculo Factor Multiplic'!$C$46,IF(AND(D39='Paso 2 Calculo Factor Multiplic'!$D$11,'Paso 2 Calculo Factor Multiplic'!$D$8='Paso 1 Calculo del Presupuesto'!M39),'Paso 2 Calculo Factor Multiplic'!$D$46,IF(AND(D39='Paso 2 Calculo Factor Multiplic'!$E$11,'Paso 2 Calculo Factor Multiplic'!$E$8='Paso 1 Calculo del Presupuesto'!M39),'Paso 2 Calculo Factor Multiplic'!$E$46,IF(AND(D39='Paso 2 Calculo Factor Multiplic'!$F$11,'Paso 2 Calculo Factor Multiplic'!$F$8='Paso 1 Calculo del Presupuesto'!M39),'Paso 2 Calculo Factor Multiplic'!$F$46,IF(AND(D39='Paso 2 Calculo Factor Multiplic'!$G$11,'Paso 2 Calculo Factor Multiplic'!$G$8='Paso 1 Calculo del Presupuesto'!M39),'Paso 2 Calculo Factor Multiplic'!$G$46,"")))))</f>
        <v/>
      </c>
      <c r="L39" s="76" t="str">
        <f t="shared" si="2"/>
        <v/>
      </c>
      <c r="M39" s="626" t="str">
        <f>IFERROR(LOOKUP(G39,'Paso 2 Calculo Factor Multiplic'!$I$1048550:$J$1048552,'Paso 2 Calculo Factor Multiplic'!$K$1048550:$K$1048552),"")</f>
        <v/>
      </c>
      <c r="N39" s="20"/>
      <c r="O39" s="20"/>
      <c r="P39" s="20"/>
      <c r="Q39" s="20"/>
      <c r="R39" s="20"/>
      <c r="S39" s="20"/>
      <c r="T39" s="20"/>
      <c r="U39" s="20"/>
      <c r="V39" s="20"/>
      <c r="W39" s="20"/>
      <c r="Z39"/>
    </row>
    <row r="40" spans="1:26">
      <c r="B40" s="5"/>
      <c r="C40" s="6"/>
      <c r="D40" s="7"/>
      <c r="E40" s="7"/>
      <c r="F40" s="8"/>
      <c r="G40" s="9"/>
      <c r="H40" s="7"/>
      <c r="I40" s="76">
        <f t="shared" si="1"/>
        <v>0</v>
      </c>
      <c r="J40" s="567" t="str">
        <f>+IFERROR(ROUND(((IF(G40&lt;($X$144*2),$X$146/G40,0%))+IF(G40&lt;($X$144*2),$AB$149/G40,0%)+$AW$155+$AW$156+$AW$157+$AW$158+$AW$159+$AW$161+$AW$162+$AW$168+IF(AND(G40&lt;$Y$144,$C$15="si"),"0%",13.5%)+(IFERROR(VLOOKUP(D40,Tabla213[],2,FALSE),0%))),2),"")</f>
        <v/>
      </c>
      <c r="K40" s="567" t="str">
        <f>+IF(AND(D40='Paso 2 Calculo Factor Multiplic'!$C$11,'Paso 2 Calculo Factor Multiplic'!$C$8='Paso 1 Calculo del Presupuesto'!M40),'Paso 2 Calculo Factor Multiplic'!$C$46,IF(AND(D40='Paso 2 Calculo Factor Multiplic'!$D$11,'Paso 2 Calculo Factor Multiplic'!$D$8='Paso 1 Calculo del Presupuesto'!M40),'Paso 2 Calculo Factor Multiplic'!$D$46,IF(AND(D40='Paso 2 Calculo Factor Multiplic'!$E$11,'Paso 2 Calculo Factor Multiplic'!$E$8='Paso 1 Calculo del Presupuesto'!M40),'Paso 2 Calculo Factor Multiplic'!$E$46,IF(AND(D40='Paso 2 Calculo Factor Multiplic'!$F$11,'Paso 2 Calculo Factor Multiplic'!$F$8='Paso 1 Calculo del Presupuesto'!M40),'Paso 2 Calculo Factor Multiplic'!$F$46,IF(AND(D40='Paso 2 Calculo Factor Multiplic'!$G$11,'Paso 2 Calculo Factor Multiplic'!$G$8='Paso 1 Calculo del Presupuesto'!M40),'Paso 2 Calculo Factor Multiplic'!$G$46,"")))))</f>
        <v/>
      </c>
      <c r="L40" s="76" t="str">
        <f t="shared" si="2"/>
        <v/>
      </c>
      <c r="M40" s="626" t="str">
        <f>IFERROR(LOOKUP(G40,'Paso 2 Calculo Factor Multiplic'!$I$1048550:$J$1048552,'Paso 2 Calculo Factor Multiplic'!$K$1048550:$K$1048552),"")</f>
        <v/>
      </c>
      <c r="N40" s="20"/>
      <c r="O40" s="20"/>
      <c r="P40" s="20"/>
      <c r="Q40" s="20"/>
      <c r="R40" s="20"/>
      <c r="S40" s="20"/>
      <c r="T40" s="20"/>
      <c r="U40" s="20"/>
      <c r="V40" s="20"/>
      <c r="W40" s="20"/>
      <c r="Z40"/>
    </row>
    <row r="41" spans="1:26">
      <c r="B41" s="5"/>
      <c r="C41" s="6"/>
      <c r="D41" s="7"/>
      <c r="E41" s="7"/>
      <c r="F41" s="8"/>
      <c r="G41" s="9"/>
      <c r="H41" s="7"/>
      <c r="I41" s="76">
        <f t="shared" si="1"/>
        <v>0</v>
      </c>
      <c r="J41" s="567" t="str">
        <f>+IFERROR(ROUND(((IF(G41&lt;($X$144*2),$X$146/G41,0%))+IF(G41&lt;($X$144*2),$AB$149/G41,0%)+$AW$155+$AW$156+$AW$157+$AW$158+$AW$159+$AW$161+$AW$162+$AW$168+IF(AND(G41&lt;$Y$144,$C$15="si"),"0%",13.5%)+(IFERROR(VLOOKUP(D41,Tabla213[],2,FALSE),0%))),2),"")</f>
        <v/>
      </c>
      <c r="K41" s="567" t="str">
        <f>+IF(AND(D41='Paso 2 Calculo Factor Multiplic'!$C$11,'Paso 2 Calculo Factor Multiplic'!$C$8='Paso 1 Calculo del Presupuesto'!M41),'Paso 2 Calculo Factor Multiplic'!$C$46,IF(AND(D41='Paso 2 Calculo Factor Multiplic'!$D$11,'Paso 2 Calculo Factor Multiplic'!$D$8='Paso 1 Calculo del Presupuesto'!M41),'Paso 2 Calculo Factor Multiplic'!$D$46,IF(AND(D41='Paso 2 Calculo Factor Multiplic'!$E$11,'Paso 2 Calculo Factor Multiplic'!$E$8='Paso 1 Calculo del Presupuesto'!M41),'Paso 2 Calculo Factor Multiplic'!$E$46,IF(AND(D41='Paso 2 Calculo Factor Multiplic'!$F$11,'Paso 2 Calculo Factor Multiplic'!$F$8='Paso 1 Calculo del Presupuesto'!M41),'Paso 2 Calculo Factor Multiplic'!$F$46,IF(AND(D41='Paso 2 Calculo Factor Multiplic'!$G$11,'Paso 2 Calculo Factor Multiplic'!$G$8='Paso 1 Calculo del Presupuesto'!M41),'Paso 2 Calculo Factor Multiplic'!$G$46,"")))))</f>
        <v/>
      </c>
      <c r="L41" s="76" t="str">
        <f>+IFERROR(E41*F41*G41*H41*K41,"")</f>
        <v/>
      </c>
      <c r="M41" s="626" t="str">
        <f>IFERROR(LOOKUP(G41,'Paso 2 Calculo Factor Multiplic'!$I$1048550:$J$1048552,'Paso 2 Calculo Factor Multiplic'!$K$1048550:$K$1048552),"")</f>
        <v/>
      </c>
      <c r="N41" s="805"/>
      <c r="O41" s="20"/>
      <c r="P41" s="20"/>
      <c r="Q41" s="20"/>
      <c r="R41" s="20"/>
      <c r="S41" s="20"/>
      <c r="T41" s="20"/>
      <c r="U41" s="20"/>
      <c r="V41" s="20"/>
      <c r="W41" s="20"/>
      <c r="Z41"/>
    </row>
    <row r="42" spans="1:26">
      <c r="B42" s="5"/>
      <c r="C42" s="6"/>
      <c r="D42" s="7"/>
      <c r="E42" s="7"/>
      <c r="F42" s="8"/>
      <c r="G42" s="9"/>
      <c r="H42" s="7"/>
      <c r="I42" s="76">
        <f>IFERROR(E42*F42*G42*H42,"")</f>
        <v>0</v>
      </c>
      <c r="J42" s="567" t="str">
        <f>+IFERROR(ROUND(((IF(G42&lt;($X$144*2),$X$146/G42,0%))+IF(G42&lt;($X$144*2),$AB$149/G42,0%)+$AW$155+$AW$156+$AW$157+$AW$158+$AW$159+$AW$161+$AW$162+$AW$168+IF(AND(G42&lt;$Y$144,$C$15="si"),"0%",13.5%)+(IFERROR(VLOOKUP(D42,Tabla213[],2,FALSE),0%))),2),"")</f>
        <v/>
      </c>
      <c r="K42" s="567" t="str">
        <f>+IF(AND(D42='Paso 2 Calculo Factor Multiplic'!$C$11,'Paso 2 Calculo Factor Multiplic'!$C$8='Paso 1 Calculo del Presupuesto'!M42),'Paso 2 Calculo Factor Multiplic'!$C$46,IF(AND(D42='Paso 2 Calculo Factor Multiplic'!$D$11,'Paso 2 Calculo Factor Multiplic'!$D$8='Paso 1 Calculo del Presupuesto'!M42),'Paso 2 Calculo Factor Multiplic'!$D$46,IF(AND(D42='Paso 2 Calculo Factor Multiplic'!$E$11,'Paso 2 Calculo Factor Multiplic'!$E$8='Paso 1 Calculo del Presupuesto'!M42),'Paso 2 Calculo Factor Multiplic'!$E$46,IF(AND(D42='Paso 2 Calculo Factor Multiplic'!$F$11,'Paso 2 Calculo Factor Multiplic'!$F$8='Paso 1 Calculo del Presupuesto'!M42),'Paso 2 Calculo Factor Multiplic'!$F$46,IF(AND(D42='Paso 2 Calculo Factor Multiplic'!$G$11,'Paso 2 Calculo Factor Multiplic'!$G$8='Paso 1 Calculo del Presupuesto'!M42),'Paso 2 Calculo Factor Multiplic'!$G$46,"")))))</f>
        <v/>
      </c>
      <c r="L42" s="76" t="str">
        <f>+IFERROR(E42*F42*G42*H42*K42,"")</f>
        <v/>
      </c>
      <c r="M42" s="626" t="str">
        <f>IFERROR(LOOKUP(G42,'Paso 2 Calculo Factor Multiplic'!$I$1048550:$J$1048552,'Paso 2 Calculo Factor Multiplic'!$K$1048550:$K$1048552),"")</f>
        <v/>
      </c>
      <c r="N42" s="20"/>
      <c r="O42" s="20"/>
      <c r="P42" s="20"/>
      <c r="Q42" s="20"/>
      <c r="R42" s="20"/>
      <c r="S42" s="20"/>
      <c r="T42" s="20"/>
      <c r="U42" s="20"/>
      <c r="V42" s="20"/>
      <c r="W42" s="20"/>
      <c r="Z42"/>
    </row>
    <row r="43" spans="1:26">
      <c r="B43" s="5"/>
      <c r="C43" s="6"/>
      <c r="D43" s="7"/>
      <c r="E43" s="7"/>
      <c r="F43" s="8"/>
      <c r="G43" s="9"/>
      <c r="H43" s="7"/>
      <c r="I43" s="76">
        <f t="shared" si="1"/>
        <v>0</v>
      </c>
      <c r="J43" s="567" t="str">
        <f>+IFERROR(ROUND(((IF(G43&lt;($X$144*2),$X$146/G43,0%))+IF(G43&lt;($X$144*2),$AB$149/G43,0%)+$AW$155+$AW$156+$AW$157+$AW$158+$AW$159+$AW$161+$AW$162+$AW$168+IF(AND(G43&lt;$Y$144,$C$15="si"),"0%",13.5%)+(IFERROR(VLOOKUP(D43,Tabla213[],2,FALSE),0%))),2),"")</f>
        <v/>
      </c>
      <c r="K43" s="567" t="str">
        <f>+IF(AND(D43='Paso 2 Calculo Factor Multiplic'!$C$11,'Paso 2 Calculo Factor Multiplic'!$C$8='Paso 1 Calculo del Presupuesto'!M43),'Paso 2 Calculo Factor Multiplic'!$C$46,IF(AND(D43='Paso 2 Calculo Factor Multiplic'!$D$11,'Paso 2 Calculo Factor Multiplic'!$D$8='Paso 1 Calculo del Presupuesto'!M43),'Paso 2 Calculo Factor Multiplic'!$D$46,IF(AND(D43='Paso 2 Calculo Factor Multiplic'!$E$11,'Paso 2 Calculo Factor Multiplic'!$E$8='Paso 1 Calculo del Presupuesto'!M43),'Paso 2 Calculo Factor Multiplic'!$E$46,IF(AND(D43='Paso 2 Calculo Factor Multiplic'!$F$11,'Paso 2 Calculo Factor Multiplic'!$F$8='Paso 1 Calculo del Presupuesto'!M43),'Paso 2 Calculo Factor Multiplic'!$F$46,IF(AND(D43='Paso 2 Calculo Factor Multiplic'!$G$11,'Paso 2 Calculo Factor Multiplic'!$G$8='Paso 1 Calculo del Presupuesto'!M43),'Paso 2 Calculo Factor Multiplic'!$G$46,"")))))</f>
        <v/>
      </c>
      <c r="L43" s="76" t="str">
        <f>+IFERROR(E43*F43*G43*H43*K43,"")</f>
        <v/>
      </c>
      <c r="M43" s="626" t="str">
        <f>IFERROR(LOOKUP(G43,'Paso 2 Calculo Factor Multiplic'!$I$1048550:$J$1048552,'Paso 2 Calculo Factor Multiplic'!$K$1048550:$K$1048552),"")</f>
        <v/>
      </c>
      <c r="N43" s="805"/>
      <c r="O43" s="20"/>
      <c r="P43" s="20"/>
      <c r="Q43" s="20"/>
      <c r="R43" s="20"/>
      <c r="S43" s="20"/>
      <c r="T43" s="20"/>
      <c r="U43" s="20"/>
      <c r="V43" s="20"/>
      <c r="W43" s="20"/>
      <c r="Z43"/>
    </row>
    <row r="44" spans="1:26">
      <c r="B44" s="5"/>
      <c r="C44" s="6"/>
      <c r="D44" s="7"/>
      <c r="E44" s="7"/>
      <c r="F44" s="8"/>
      <c r="G44" s="9"/>
      <c r="H44" s="7"/>
      <c r="I44" s="76">
        <f t="shared" si="1"/>
        <v>0</v>
      </c>
      <c r="J44" s="567" t="str">
        <f>+IFERROR(ROUND(((IF(G44&lt;($X$144*2),$X$146/G44,0%))+IF(G44&lt;($X$144*2),$AB$149/G44,0%)+$AW$155+$AW$156+$AW$157+$AW$158+$AW$159+$AW$161+$AW$162+$AW$168+IF(AND(G44&lt;$Y$144,$C$15="si"),"0%",13.5%)+(IFERROR(VLOOKUP(D44,Tabla213[],2,FALSE),0%))),2),"")</f>
        <v/>
      </c>
      <c r="K44" s="567" t="str">
        <f>+IF(AND(D44='Paso 2 Calculo Factor Multiplic'!$C$11,'Paso 2 Calculo Factor Multiplic'!$C$8='Paso 1 Calculo del Presupuesto'!M44),'Paso 2 Calculo Factor Multiplic'!$C$46,IF(AND(D44='Paso 2 Calculo Factor Multiplic'!$D$11,'Paso 2 Calculo Factor Multiplic'!$D$8='Paso 1 Calculo del Presupuesto'!M44),'Paso 2 Calculo Factor Multiplic'!$D$46,IF(AND(D44='Paso 2 Calculo Factor Multiplic'!$E$11,'Paso 2 Calculo Factor Multiplic'!$E$8='Paso 1 Calculo del Presupuesto'!M44),'Paso 2 Calculo Factor Multiplic'!$E$46,IF(AND(D44='Paso 2 Calculo Factor Multiplic'!$F$11,'Paso 2 Calculo Factor Multiplic'!$F$8='Paso 1 Calculo del Presupuesto'!M44),'Paso 2 Calculo Factor Multiplic'!$F$46,IF(AND(D44='Paso 2 Calculo Factor Multiplic'!$G$11,'Paso 2 Calculo Factor Multiplic'!$G$8='Paso 1 Calculo del Presupuesto'!M44),'Paso 2 Calculo Factor Multiplic'!$G$46,"")))))</f>
        <v/>
      </c>
      <c r="L44" s="76" t="str">
        <f>+IFERROR(E44*F44*G44*H44*K44,"")</f>
        <v/>
      </c>
      <c r="M44" s="626" t="str">
        <f>IFERROR(LOOKUP(G44,'Paso 2 Calculo Factor Multiplic'!$I$1048550:$J$1048552,'Paso 2 Calculo Factor Multiplic'!$K$1048550:$K$1048552),"")</f>
        <v/>
      </c>
      <c r="N44" s="804"/>
      <c r="O44" s="20"/>
      <c r="P44" s="20"/>
      <c r="Q44" s="20"/>
      <c r="R44" s="20"/>
      <c r="S44" s="20"/>
      <c r="T44" s="20"/>
      <c r="U44" s="20"/>
      <c r="V44" s="20"/>
      <c r="W44" s="20"/>
      <c r="Z44"/>
    </row>
    <row r="45" spans="1:26">
      <c r="B45" s="5"/>
      <c r="C45" s="6"/>
      <c r="D45" s="7"/>
      <c r="E45" s="7"/>
      <c r="F45" s="8"/>
      <c r="G45" s="9"/>
      <c r="H45" s="7"/>
      <c r="I45" s="76">
        <f>IFERROR(E45*F45*G45*H45,"")</f>
        <v>0</v>
      </c>
      <c r="J45" s="567" t="str">
        <f>+IFERROR(ROUND(((IF(G45&lt;($X$144*2),$X$146/G45,0%))+IF(G45&lt;($X$144*2),$AB$149/G45,0%)+$AW$155+$AW$156+$AW$157+$AW$158+$AW$159+$AW$161+$AW$162+$AW$168+IF(AND(G45&lt;$Y$144,$C$15="si"),"0%",13.5%)+(IFERROR(VLOOKUP(D45,Tabla213[],2,FALSE),0%))),2),"")</f>
        <v/>
      </c>
      <c r="K45" s="567" t="str">
        <f>+IF(AND(D45='Paso 2 Calculo Factor Multiplic'!$C$11,'Paso 2 Calculo Factor Multiplic'!$C$8='Paso 1 Calculo del Presupuesto'!M45),'Paso 2 Calculo Factor Multiplic'!$C$46,IF(AND(D45='Paso 2 Calculo Factor Multiplic'!$D$11,'Paso 2 Calculo Factor Multiplic'!$D$8='Paso 1 Calculo del Presupuesto'!M45),'Paso 2 Calculo Factor Multiplic'!$D$46,IF(AND(D45='Paso 2 Calculo Factor Multiplic'!$E$11,'Paso 2 Calculo Factor Multiplic'!$E$8='Paso 1 Calculo del Presupuesto'!M45),'Paso 2 Calculo Factor Multiplic'!$E$46,IF(AND(D45='Paso 2 Calculo Factor Multiplic'!$F$11,'Paso 2 Calculo Factor Multiplic'!$F$8='Paso 1 Calculo del Presupuesto'!M45),'Paso 2 Calculo Factor Multiplic'!$F$46,IF(AND(D45='Paso 2 Calculo Factor Multiplic'!$G$11,'Paso 2 Calculo Factor Multiplic'!$G$8='Paso 1 Calculo del Presupuesto'!M45),'Paso 2 Calculo Factor Multiplic'!$G$46,"")))))</f>
        <v/>
      </c>
      <c r="L45" s="76" t="str">
        <f>+IFERROR(E45*F45*G45*H45*K45,"")</f>
        <v/>
      </c>
      <c r="M45" s="626"/>
      <c r="N45" s="20"/>
      <c r="O45" s="20"/>
      <c r="P45" s="20"/>
      <c r="Q45" s="20"/>
      <c r="R45" s="20"/>
      <c r="S45" s="20"/>
      <c r="T45" s="20"/>
      <c r="U45" s="20"/>
      <c r="V45" s="20"/>
      <c r="W45" s="20"/>
      <c r="Z45"/>
    </row>
    <row r="46" spans="1:26" ht="25" customHeight="1">
      <c r="B46" s="910" t="str">
        <f>+CONCATENATE("Subtotal"," ",B18)</f>
        <v>Subtotal A - Costos directos de personal (Profesional, tecnólogo y técnico)</v>
      </c>
      <c r="C46" s="911"/>
      <c r="D46" s="911"/>
      <c r="E46" s="911"/>
      <c r="F46" s="911"/>
      <c r="G46" s="911"/>
      <c r="H46" s="911"/>
      <c r="I46" s="573">
        <f>SUM(I20:I44)</f>
        <v>191500000</v>
      </c>
      <c r="J46" s="920"/>
      <c r="K46" s="921"/>
      <c r="L46" s="77">
        <f ca="1">ROUND(SUM(L20:L44),0)</f>
        <v>388745000</v>
      </c>
      <c r="M46" s="626"/>
      <c r="Q46" s="20"/>
      <c r="R46" s="20"/>
      <c r="S46" s="20"/>
      <c r="T46" s="20"/>
      <c r="U46" s="20"/>
      <c r="V46" s="20"/>
      <c r="W46" s="20"/>
      <c r="Z46"/>
    </row>
    <row r="47" spans="1:26" s="4" customFormat="1" ht="30" customHeight="1">
      <c r="A47" s="3"/>
      <c r="B47" s="902" t="s">
        <v>559</v>
      </c>
      <c r="C47" s="903"/>
      <c r="D47" s="904"/>
      <c r="E47" s="904"/>
      <c r="F47" s="904"/>
      <c r="G47" s="904"/>
      <c r="H47" s="904"/>
      <c r="I47" s="904"/>
      <c r="J47" s="904"/>
      <c r="K47" s="905"/>
      <c r="L47" s="906"/>
      <c r="M47" s="626"/>
      <c r="N47" s="897" t="s">
        <v>13</v>
      </c>
      <c r="O47" s="897"/>
      <c r="P47" s="897"/>
      <c r="Q47" s="897"/>
      <c r="R47" s="897"/>
      <c r="S47" s="91"/>
      <c r="T47" s="91"/>
      <c r="U47" s="91"/>
      <c r="V47" s="91"/>
      <c r="W47" s="91"/>
      <c r="X47" s="3"/>
      <c r="Y47" s="3"/>
    </row>
    <row r="48" spans="1:26" ht="25" customHeight="1">
      <c r="B48" s="72" t="s">
        <v>4</v>
      </c>
      <c r="C48" s="73" t="s">
        <v>5</v>
      </c>
      <c r="D48" s="74" t="s">
        <v>14</v>
      </c>
      <c r="E48" s="898" t="s">
        <v>7</v>
      </c>
      <c r="F48" s="844"/>
      <c r="G48" s="907" t="s">
        <v>15</v>
      </c>
      <c r="H48" s="908"/>
      <c r="I48" s="908"/>
      <c r="J48" s="909"/>
      <c r="K48" s="74" t="s">
        <v>766</v>
      </c>
      <c r="L48" s="75" t="s">
        <v>11</v>
      </c>
      <c r="M48" s="626"/>
      <c r="N48" s="87" t="s">
        <v>16</v>
      </c>
      <c r="O48" s="88" t="s">
        <v>17</v>
      </c>
      <c r="P48" s="899" t="s">
        <v>18</v>
      </c>
      <c r="Q48" s="900"/>
      <c r="R48" s="901"/>
      <c r="S48" s="20"/>
      <c r="T48" s="20"/>
      <c r="U48" s="20"/>
      <c r="V48" s="20"/>
      <c r="W48" s="20"/>
      <c r="Z48"/>
    </row>
    <row r="49" spans="2:26" ht="26">
      <c r="B49" s="570" t="s">
        <v>793</v>
      </c>
      <c r="C49" s="560"/>
      <c r="D49" s="5" t="s">
        <v>602</v>
      </c>
      <c r="E49" s="869">
        <v>8</v>
      </c>
      <c r="F49" s="870"/>
      <c r="G49" s="840">
        <v>100000</v>
      </c>
      <c r="H49" s="841"/>
      <c r="I49" s="841"/>
      <c r="J49" s="842"/>
      <c r="K49" s="722">
        <v>5</v>
      </c>
      <c r="L49" s="644">
        <f>+G49*K49*E49</f>
        <v>4000000</v>
      </c>
      <c r="M49" s="626"/>
      <c r="N49" s="89" t="str">
        <f t="shared" ref="N49:N73" si="3">+B49</f>
        <v>Auxilio para alquiler de equipos de computo con software licenciado de acuerdo con la especificación requerida por la entidad.</v>
      </c>
      <c r="O49" s="569">
        <f t="shared" ref="O49:O73" si="4">+IFERROR(VLOOKUP(N49,$H$145:$J$161,2,FALSE),"")</f>
        <v>0</v>
      </c>
      <c r="P49" s="816" t="str">
        <f t="shared" ref="P49" si="5">+IFERROR(VLOOKUP(N49,$O$160:$Q$164,2,FALSE),"")</f>
        <v/>
      </c>
      <c r="Q49" s="817"/>
      <c r="R49" s="818"/>
      <c r="S49" s="20"/>
      <c r="T49" s="20"/>
      <c r="U49" s="20"/>
      <c r="V49" s="20"/>
      <c r="W49" s="20"/>
      <c r="Z49"/>
    </row>
    <row r="50" spans="2:26" ht="26">
      <c r="B50" s="570" t="s">
        <v>704</v>
      </c>
      <c r="C50" s="560"/>
      <c r="D50" s="5" t="s">
        <v>602</v>
      </c>
      <c r="E50" s="869">
        <v>1</v>
      </c>
      <c r="F50" s="870"/>
      <c r="G50" s="840">
        <v>100000</v>
      </c>
      <c r="H50" s="841"/>
      <c r="I50" s="841"/>
      <c r="J50" s="842"/>
      <c r="K50" s="722">
        <v>5</v>
      </c>
      <c r="L50" s="644">
        <f>+G50*K50*E50</f>
        <v>500000</v>
      </c>
      <c r="M50" s="626"/>
      <c r="N50" s="89" t="str">
        <f t="shared" si="3"/>
        <v>Auxilio para equipos de impresión, incluye suministro de tinta, de acuerdo con la especificación requerida por la entidad.</v>
      </c>
      <c r="O50" s="569">
        <f t="shared" si="4"/>
        <v>0</v>
      </c>
      <c r="P50" s="816" t="str">
        <f t="shared" ref="P50:P73" si="6">+IFERROR(VLOOKUP(N50,$O$160:$Q$164,2,FALSE),"")</f>
        <v/>
      </c>
      <c r="Q50" s="817"/>
      <c r="R50" s="818"/>
      <c r="S50" s="20"/>
      <c r="T50" s="20"/>
      <c r="U50" s="20"/>
      <c r="V50" s="20"/>
      <c r="W50" s="20"/>
      <c r="Z50"/>
    </row>
    <row r="51" spans="2:26">
      <c r="B51" s="570" t="s">
        <v>882</v>
      </c>
      <c r="C51" s="560"/>
      <c r="D51" s="5" t="s">
        <v>602</v>
      </c>
      <c r="E51" s="869">
        <v>1</v>
      </c>
      <c r="F51" s="870"/>
      <c r="G51" s="840">
        <v>50000</v>
      </c>
      <c r="H51" s="841"/>
      <c r="I51" s="841"/>
      <c r="J51" s="842"/>
      <c r="K51" s="722">
        <v>5</v>
      </c>
      <c r="L51" s="644">
        <f t="shared" ref="L51:L72" si="7">+G51*K51*E51</f>
        <v>250000</v>
      </c>
      <c r="M51" s="626"/>
      <c r="N51" s="89" t="str">
        <f t="shared" si="3"/>
        <v>Auxilio para gastos de papeleria, impresiones, fotocopias y otros.</v>
      </c>
      <c r="O51" s="569" t="str">
        <f t="shared" si="4"/>
        <v/>
      </c>
      <c r="P51" s="816" t="str">
        <f t="shared" si="6"/>
        <v/>
      </c>
      <c r="Q51" s="817"/>
      <c r="R51" s="818"/>
      <c r="S51" s="20"/>
      <c r="T51" s="20"/>
      <c r="U51" s="20"/>
      <c r="V51" s="20"/>
      <c r="W51" s="20"/>
      <c r="Z51"/>
    </row>
    <row r="52" spans="2:26" ht="26">
      <c r="B52" s="570" t="s">
        <v>703</v>
      </c>
      <c r="C52" s="560" t="s">
        <v>894</v>
      </c>
      <c r="D52" s="5" t="s">
        <v>602</v>
      </c>
      <c r="E52" s="869">
        <v>2</v>
      </c>
      <c r="F52" s="870"/>
      <c r="G52" s="840">
        <v>4500000</v>
      </c>
      <c r="H52" s="841"/>
      <c r="I52" s="841"/>
      <c r="J52" s="842"/>
      <c r="K52" s="722">
        <v>5</v>
      </c>
      <c r="L52" s="644">
        <f t="shared" si="7"/>
        <v>45000000</v>
      </c>
      <c r="M52" s="626"/>
      <c r="N52" s="89" t="str">
        <f t="shared" si="3"/>
        <v>Transporte: Vehículo con especificaciones definidas en el presupuesto, cuando es subcontratado con un tercero o con el personal.</v>
      </c>
      <c r="O52" s="569">
        <f t="shared" si="4"/>
        <v>0</v>
      </c>
      <c r="P52" s="816" t="str">
        <f t="shared" si="6"/>
        <v/>
      </c>
      <c r="Q52" s="817"/>
      <c r="R52" s="818"/>
      <c r="S52" s="20"/>
      <c r="T52" s="20"/>
      <c r="U52" s="20"/>
      <c r="V52" s="20"/>
      <c r="W52" s="20"/>
      <c r="Z52"/>
    </row>
    <row r="53" spans="2:26" ht="26">
      <c r="B53" s="570" t="s">
        <v>884</v>
      </c>
      <c r="C53" s="560"/>
      <c r="D53" s="5" t="s">
        <v>554</v>
      </c>
      <c r="E53" s="869">
        <v>8</v>
      </c>
      <c r="F53" s="870"/>
      <c r="G53" s="840">
        <v>100000</v>
      </c>
      <c r="H53" s="841"/>
      <c r="I53" s="841"/>
      <c r="J53" s="842"/>
      <c r="K53" s="803">
        <v>1</v>
      </c>
      <c r="L53" s="644">
        <f t="shared" si="7"/>
        <v>800000</v>
      </c>
      <c r="M53" s="626"/>
      <c r="N53" s="89" t="str">
        <f t="shared" si="3"/>
        <v>Chaqueta profesionales y personal de obra (según manual de identidad gráfica)</v>
      </c>
      <c r="O53" s="569" t="str">
        <f t="shared" si="4"/>
        <v/>
      </c>
      <c r="P53" s="816" t="str">
        <f t="shared" si="6"/>
        <v/>
      </c>
      <c r="Q53" s="817"/>
      <c r="R53" s="818"/>
      <c r="S53" s="20"/>
      <c r="T53" s="20"/>
      <c r="U53" s="20"/>
      <c r="V53" s="20"/>
      <c r="W53" s="20"/>
      <c r="Z53"/>
    </row>
    <row r="54" spans="2:26" ht="26">
      <c r="B54" s="570" t="s">
        <v>795</v>
      </c>
      <c r="C54" s="656" t="s">
        <v>895</v>
      </c>
      <c r="D54" s="5" t="s">
        <v>603</v>
      </c>
      <c r="E54" s="869">
        <v>1</v>
      </c>
      <c r="F54" s="870"/>
      <c r="G54" s="840">
        <v>40000000</v>
      </c>
      <c r="H54" s="841"/>
      <c r="I54" s="841"/>
      <c r="J54" s="842"/>
      <c r="K54" s="803">
        <v>1</v>
      </c>
      <c r="L54" s="644">
        <f t="shared" si="7"/>
        <v>40000000</v>
      </c>
      <c r="M54" s="626"/>
      <c r="N54" s="89" t="str">
        <f t="shared" si="3"/>
        <v>Estudios y asesorías juridicas, contables y técnicas especializadas.</v>
      </c>
      <c r="O54" s="569" t="str">
        <f t="shared" si="4"/>
        <v/>
      </c>
      <c r="P54" s="816" t="str">
        <f t="shared" si="6"/>
        <v/>
      </c>
      <c r="Q54" s="817"/>
      <c r="R54" s="818"/>
      <c r="S54" s="20"/>
      <c r="T54" s="20"/>
      <c r="U54" s="20"/>
      <c r="V54" s="20"/>
      <c r="W54" s="20"/>
      <c r="Z54"/>
    </row>
    <row r="55" spans="2:26" ht="26">
      <c r="B55" s="570" t="s">
        <v>795</v>
      </c>
      <c r="C55" s="656" t="s">
        <v>896</v>
      </c>
      <c r="D55" s="5" t="s">
        <v>603</v>
      </c>
      <c r="E55" s="869">
        <v>1</v>
      </c>
      <c r="F55" s="870"/>
      <c r="G55" s="840">
        <v>27000000</v>
      </c>
      <c r="H55" s="841"/>
      <c r="I55" s="841"/>
      <c r="J55" s="842"/>
      <c r="K55" s="803">
        <v>1</v>
      </c>
      <c r="L55" s="644">
        <f t="shared" si="7"/>
        <v>27000000</v>
      </c>
      <c r="M55" s="626"/>
      <c r="N55" s="89" t="str">
        <f t="shared" si="3"/>
        <v>Estudios y asesorías juridicas, contables y técnicas especializadas.</v>
      </c>
      <c r="O55" s="569" t="str">
        <f t="shared" si="4"/>
        <v/>
      </c>
      <c r="P55" s="816" t="str">
        <f t="shared" si="6"/>
        <v/>
      </c>
      <c r="Q55" s="817"/>
      <c r="R55" s="818"/>
      <c r="S55" s="20"/>
      <c r="T55" s="20"/>
      <c r="U55" s="20"/>
      <c r="V55" s="20"/>
      <c r="W55" s="20"/>
      <c r="Z55"/>
    </row>
    <row r="56" spans="2:26" ht="26">
      <c r="B56" s="570" t="s">
        <v>795</v>
      </c>
      <c r="C56" s="560" t="s">
        <v>897</v>
      </c>
      <c r="D56" s="5" t="s">
        <v>603</v>
      </c>
      <c r="E56" s="869">
        <v>1</v>
      </c>
      <c r="F56" s="870"/>
      <c r="G56" s="840">
        <v>15000000</v>
      </c>
      <c r="H56" s="841"/>
      <c r="I56" s="841"/>
      <c r="J56" s="842"/>
      <c r="K56" s="803">
        <v>1</v>
      </c>
      <c r="L56" s="644">
        <f t="shared" si="7"/>
        <v>15000000</v>
      </c>
      <c r="M56" s="627"/>
      <c r="N56" s="89" t="str">
        <f t="shared" si="3"/>
        <v>Estudios y asesorías juridicas, contables y técnicas especializadas.</v>
      </c>
      <c r="O56" s="569" t="str">
        <f t="shared" si="4"/>
        <v/>
      </c>
      <c r="P56" s="816" t="str">
        <f t="shared" si="6"/>
        <v/>
      </c>
      <c r="Q56" s="817"/>
      <c r="R56" s="818"/>
      <c r="S56" s="20"/>
      <c r="T56" s="20"/>
      <c r="U56" s="20"/>
      <c r="V56" s="20"/>
      <c r="W56" s="20"/>
      <c r="Z56"/>
    </row>
    <row r="57" spans="2:26" ht="26">
      <c r="B57" s="570" t="s">
        <v>795</v>
      </c>
      <c r="C57" s="560" t="s">
        <v>898</v>
      </c>
      <c r="D57" s="5" t="s">
        <v>603</v>
      </c>
      <c r="E57" s="869">
        <v>1</v>
      </c>
      <c r="F57" s="870"/>
      <c r="G57" s="840">
        <v>15000000</v>
      </c>
      <c r="H57" s="841"/>
      <c r="I57" s="841"/>
      <c r="J57" s="842"/>
      <c r="K57" s="803">
        <v>1</v>
      </c>
      <c r="L57" s="644">
        <f t="shared" si="7"/>
        <v>15000000</v>
      </c>
      <c r="M57" s="627"/>
      <c r="N57" s="89" t="str">
        <f t="shared" si="3"/>
        <v>Estudios y asesorías juridicas, contables y técnicas especializadas.</v>
      </c>
      <c r="O57" s="569" t="str">
        <f t="shared" si="4"/>
        <v/>
      </c>
      <c r="P57" s="816" t="str">
        <f t="shared" si="6"/>
        <v/>
      </c>
      <c r="Q57" s="817"/>
      <c r="R57" s="818"/>
      <c r="S57" s="20"/>
      <c r="T57" s="20"/>
      <c r="U57" s="20"/>
      <c r="V57" s="20"/>
      <c r="W57" s="20"/>
      <c r="Z57"/>
    </row>
    <row r="58" spans="2:26" ht="26">
      <c r="B58" s="570" t="s">
        <v>795</v>
      </c>
      <c r="C58" s="560" t="s">
        <v>899</v>
      </c>
      <c r="D58" s="5" t="s">
        <v>603</v>
      </c>
      <c r="E58" s="869">
        <v>1</v>
      </c>
      <c r="F58" s="870"/>
      <c r="G58" s="840">
        <v>15000000</v>
      </c>
      <c r="H58" s="841"/>
      <c r="I58" s="841"/>
      <c r="J58" s="842"/>
      <c r="K58" s="803">
        <v>1</v>
      </c>
      <c r="L58" s="644">
        <f t="shared" si="7"/>
        <v>15000000</v>
      </c>
      <c r="M58" s="627"/>
      <c r="N58" s="89" t="str">
        <f t="shared" si="3"/>
        <v>Estudios y asesorías juridicas, contables y técnicas especializadas.</v>
      </c>
      <c r="O58" s="569" t="str">
        <f t="shared" si="4"/>
        <v/>
      </c>
      <c r="P58" s="816" t="str">
        <f t="shared" si="6"/>
        <v/>
      </c>
      <c r="Q58" s="817"/>
      <c r="R58" s="818"/>
      <c r="S58" s="20"/>
      <c r="T58" s="20"/>
      <c r="U58" s="20"/>
      <c r="V58" s="20"/>
      <c r="W58" s="20"/>
      <c r="Z58"/>
    </row>
    <row r="59" spans="2:26" ht="38.5">
      <c r="B59" s="570" t="s">
        <v>795</v>
      </c>
      <c r="C59" s="560" t="s">
        <v>900</v>
      </c>
      <c r="D59" s="5" t="s">
        <v>603</v>
      </c>
      <c r="E59" s="869">
        <v>1</v>
      </c>
      <c r="F59" s="870"/>
      <c r="G59" s="840">
        <v>15000000</v>
      </c>
      <c r="H59" s="841"/>
      <c r="I59" s="841"/>
      <c r="J59" s="842"/>
      <c r="K59" s="803">
        <v>1</v>
      </c>
      <c r="L59" s="644">
        <f t="shared" si="7"/>
        <v>15000000</v>
      </c>
      <c r="M59" s="627"/>
      <c r="N59" s="89" t="str">
        <f t="shared" si="3"/>
        <v>Estudios y asesorías juridicas, contables y técnicas especializadas.</v>
      </c>
      <c r="O59" s="569" t="str">
        <f t="shared" si="4"/>
        <v/>
      </c>
      <c r="P59" s="816" t="str">
        <f t="shared" si="6"/>
        <v/>
      </c>
      <c r="Q59" s="817"/>
      <c r="R59" s="818"/>
      <c r="S59" s="20"/>
      <c r="T59" s="20"/>
      <c r="U59" s="20"/>
      <c r="V59" s="20"/>
      <c r="W59" s="20"/>
      <c r="Z59"/>
    </row>
    <row r="60" spans="2:26" ht="37.5">
      <c r="B60" s="570" t="s">
        <v>795</v>
      </c>
      <c r="C60" s="802" t="s">
        <v>901</v>
      </c>
      <c r="D60" s="5" t="s">
        <v>603</v>
      </c>
      <c r="E60" s="869">
        <v>1</v>
      </c>
      <c r="F60" s="870"/>
      <c r="G60" s="830">
        <v>5000000</v>
      </c>
      <c r="H60" s="831"/>
      <c r="I60" s="831"/>
      <c r="J60" s="832"/>
      <c r="K60" s="803">
        <v>1</v>
      </c>
      <c r="L60" s="644">
        <f>+G60*K60*E60</f>
        <v>5000000</v>
      </c>
      <c r="M60" s="627"/>
      <c r="N60" s="89" t="str">
        <f t="shared" si="3"/>
        <v>Estudios y asesorías juridicas, contables y técnicas especializadas.</v>
      </c>
      <c r="O60" s="569" t="str">
        <f t="shared" si="4"/>
        <v/>
      </c>
      <c r="P60" s="816" t="str">
        <f t="shared" si="6"/>
        <v/>
      </c>
      <c r="Q60" s="817"/>
      <c r="R60" s="818"/>
      <c r="S60" s="20"/>
      <c r="T60" s="20"/>
      <c r="U60" s="20"/>
      <c r="V60" s="20"/>
      <c r="W60" s="20"/>
      <c r="Z60"/>
    </row>
    <row r="61" spans="2:26" ht="51">
      <c r="B61" s="570" t="s">
        <v>795</v>
      </c>
      <c r="C61" s="560" t="s">
        <v>902</v>
      </c>
      <c r="D61" s="5" t="s">
        <v>603</v>
      </c>
      <c r="E61" s="869">
        <v>1</v>
      </c>
      <c r="F61" s="870"/>
      <c r="G61" s="840">
        <v>10000000</v>
      </c>
      <c r="H61" s="841"/>
      <c r="I61" s="841"/>
      <c r="J61" s="842"/>
      <c r="K61" s="803">
        <v>1</v>
      </c>
      <c r="L61" s="644">
        <f t="shared" si="7"/>
        <v>10000000</v>
      </c>
      <c r="M61" s="627"/>
      <c r="N61" s="89" t="str">
        <f t="shared" si="3"/>
        <v>Estudios y asesorías juridicas, contables y técnicas especializadas.</v>
      </c>
      <c r="O61" s="569" t="str">
        <f t="shared" si="4"/>
        <v/>
      </c>
      <c r="P61" s="816" t="str">
        <f t="shared" si="6"/>
        <v/>
      </c>
      <c r="Q61" s="817"/>
      <c r="R61" s="818"/>
      <c r="S61" s="20"/>
      <c r="T61" s="20"/>
      <c r="U61" s="20"/>
      <c r="V61" s="20"/>
      <c r="W61" s="20"/>
      <c r="Z61"/>
    </row>
    <row r="62" spans="2:26">
      <c r="B62" s="570" t="s">
        <v>795</v>
      </c>
      <c r="C62" s="560" t="s">
        <v>903</v>
      </c>
      <c r="D62" s="5" t="s">
        <v>603</v>
      </c>
      <c r="E62" s="867">
        <v>1</v>
      </c>
      <c r="F62" s="868"/>
      <c r="G62" s="830">
        <v>150364992</v>
      </c>
      <c r="H62" s="831"/>
      <c r="I62" s="831"/>
      <c r="J62" s="832"/>
      <c r="K62" s="537">
        <v>1</v>
      </c>
      <c r="L62" s="644">
        <f t="shared" si="7"/>
        <v>150364992</v>
      </c>
      <c r="M62" s="627"/>
      <c r="N62" s="89" t="str">
        <f t="shared" si="3"/>
        <v>Estudios y asesorías juridicas, contables y técnicas especializadas.</v>
      </c>
      <c r="O62" s="569" t="str">
        <f t="shared" si="4"/>
        <v/>
      </c>
      <c r="P62" s="816" t="str">
        <f t="shared" si="6"/>
        <v/>
      </c>
      <c r="Q62" s="817"/>
      <c r="R62" s="818"/>
      <c r="S62" s="20"/>
      <c r="T62" s="20"/>
      <c r="U62" s="20"/>
      <c r="V62" s="20"/>
      <c r="W62" s="20"/>
      <c r="Z62"/>
    </row>
    <row r="63" spans="2:26">
      <c r="B63" s="570"/>
      <c r="C63" s="560"/>
      <c r="D63" s="5"/>
      <c r="E63" s="867"/>
      <c r="F63" s="868"/>
      <c r="G63" s="830"/>
      <c r="H63" s="831"/>
      <c r="I63" s="831"/>
      <c r="J63" s="832"/>
      <c r="K63" s="537"/>
      <c r="L63" s="644">
        <f t="shared" si="7"/>
        <v>0</v>
      </c>
      <c r="M63" s="627"/>
      <c r="N63" s="89">
        <f t="shared" si="3"/>
        <v>0</v>
      </c>
      <c r="O63" s="569" t="str">
        <f t="shared" si="4"/>
        <v/>
      </c>
      <c r="P63" s="816" t="str">
        <f t="shared" si="6"/>
        <v/>
      </c>
      <c r="Q63" s="817"/>
      <c r="R63" s="818"/>
      <c r="S63" s="20"/>
      <c r="T63" s="20"/>
      <c r="U63" s="20"/>
      <c r="V63" s="20"/>
      <c r="W63" s="20"/>
      <c r="Z63"/>
    </row>
    <row r="64" spans="2:26">
      <c r="B64" s="570"/>
      <c r="C64" s="560"/>
      <c r="D64" s="5"/>
      <c r="E64" s="867"/>
      <c r="F64" s="868"/>
      <c r="G64" s="830"/>
      <c r="H64" s="831"/>
      <c r="I64" s="831"/>
      <c r="J64" s="832"/>
      <c r="K64" s="537"/>
      <c r="L64" s="644">
        <f t="shared" si="7"/>
        <v>0</v>
      </c>
      <c r="M64" s="627"/>
      <c r="N64" s="89">
        <f t="shared" si="3"/>
        <v>0</v>
      </c>
      <c r="O64" s="569" t="str">
        <f t="shared" si="4"/>
        <v/>
      </c>
      <c r="P64" s="816" t="str">
        <f t="shared" si="6"/>
        <v/>
      </c>
      <c r="Q64" s="817"/>
      <c r="R64" s="818"/>
      <c r="S64" s="20"/>
      <c r="T64" s="20"/>
      <c r="U64" s="20"/>
      <c r="V64" s="20"/>
      <c r="W64" s="20"/>
      <c r="Z64"/>
    </row>
    <row r="65" spans="2:26">
      <c r="B65" s="570"/>
      <c r="C65" s="560"/>
      <c r="D65" s="5"/>
      <c r="E65" s="867"/>
      <c r="F65" s="868"/>
      <c r="G65" s="830"/>
      <c r="H65" s="831"/>
      <c r="I65" s="831"/>
      <c r="J65" s="832"/>
      <c r="K65" s="537"/>
      <c r="L65" s="644">
        <f t="shared" si="7"/>
        <v>0</v>
      </c>
      <c r="M65" s="627"/>
      <c r="N65" s="89">
        <f t="shared" si="3"/>
        <v>0</v>
      </c>
      <c r="O65" s="569" t="str">
        <f t="shared" si="4"/>
        <v/>
      </c>
      <c r="P65" s="816" t="str">
        <f t="shared" si="6"/>
        <v/>
      </c>
      <c r="Q65" s="817"/>
      <c r="R65" s="818"/>
      <c r="S65" s="20"/>
      <c r="T65" s="20"/>
      <c r="U65" s="20"/>
      <c r="V65" s="20"/>
      <c r="W65" s="20"/>
      <c r="Z65"/>
    </row>
    <row r="66" spans="2:26">
      <c r="B66" s="570"/>
      <c r="C66" s="560"/>
      <c r="D66" s="5"/>
      <c r="E66" s="867"/>
      <c r="F66" s="868"/>
      <c r="G66" s="830"/>
      <c r="H66" s="831"/>
      <c r="I66" s="831"/>
      <c r="J66" s="832"/>
      <c r="K66" s="537"/>
      <c r="L66" s="644">
        <f t="shared" si="7"/>
        <v>0</v>
      </c>
      <c r="M66" s="627"/>
      <c r="N66" s="89">
        <f t="shared" si="3"/>
        <v>0</v>
      </c>
      <c r="O66" s="569" t="str">
        <f t="shared" si="4"/>
        <v/>
      </c>
      <c r="P66" s="816" t="str">
        <f t="shared" si="6"/>
        <v/>
      </c>
      <c r="Q66" s="817"/>
      <c r="R66" s="818"/>
      <c r="S66" s="20"/>
      <c r="T66" s="20"/>
      <c r="U66" s="20"/>
      <c r="V66" s="20"/>
      <c r="W66" s="20"/>
      <c r="Z66"/>
    </row>
    <row r="67" spans="2:26">
      <c r="B67" s="570"/>
      <c r="C67" s="560"/>
      <c r="D67" s="5"/>
      <c r="E67" s="867"/>
      <c r="F67" s="868"/>
      <c r="G67" s="830"/>
      <c r="H67" s="831"/>
      <c r="I67" s="831"/>
      <c r="J67" s="832"/>
      <c r="K67" s="537"/>
      <c r="L67" s="644">
        <f t="shared" si="7"/>
        <v>0</v>
      </c>
      <c r="M67" s="627"/>
      <c r="N67" s="89">
        <f t="shared" si="3"/>
        <v>0</v>
      </c>
      <c r="O67" s="569" t="str">
        <f t="shared" si="4"/>
        <v/>
      </c>
      <c r="P67" s="816" t="str">
        <f t="shared" si="6"/>
        <v/>
      </c>
      <c r="Q67" s="817"/>
      <c r="R67" s="818"/>
      <c r="S67" s="20"/>
      <c r="T67" s="20"/>
      <c r="U67" s="20"/>
      <c r="V67" s="20"/>
      <c r="W67" s="20"/>
      <c r="Z67"/>
    </row>
    <row r="68" spans="2:26">
      <c r="B68" s="570"/>
      <c r="C68" s="560"/>
      <c r="D68" s="5"/>
      <c r="E68" s="867"/>
      <c r="F68" s="868"/>
      <c r="G68" s="830"/>
      <c r="H68" s="831"/>
      <c r="I68" s="831"/>
      <c r="J68" s="832"/>
      <c r="K68" s="537"/>
      <c r="L68" s="644">
        <f t="shared" si="7"/>
        <v>0</v>
      </c>
      <c r="M68" s="627"/>
      <c r="N68" s="89">
        <f t="shared" si="3"/>
        <v>0</v>
      </c>
      <c r="O68" s="569" t="str">
        <f t="shared" si="4"/>
        <v/>
      </c>
      <c r="P68" s="816" t="str">
        <f t="shared" si="6"/>
        <v/>
      </c>
      <c r="Q68" s="817"/>
      <c r="R68" s="818"/>
      <c r="S68" s="20"/>
      <c r="T68" s="20"/>
      <c r="U68" s="20"/>
      <c r="V68" s="20"/>
      <c r="W68" s="20"/>
      <c r="Z68"/>
    </row>
    <row r="69" spans="2:26">
      <c r="B69" s="570"/>
      <c r="C69" s="560"/>
      <c r="D69" s="5"/>
      <c r="E69" s="867"/>
      <c r="F69" s="868"/>
      <c r="G69" s="830"/>
      <c r="H69" s="831"/>
      <c r="I69" s="831"/>
      <c r="J69" s="832"/>
      <c r="K69" s="537"/>
      <c r="L69" s="644">
        <f>+G69*K69*E69</f>
        <v>0</v>
      </c>
      <c r="M69" s="627"/>
      <c r="N69" s="89">
        <f t="shared" si="3"/>
        <v>0</v>
      </c>
      <c r="O69" s="569" t="str">
        <f t="shared" si="4"/>
        <v/>
      </c>
      <c r="P69" s="816" t="str">
        <f t="shared" si="6"/>
        <v/>
      </c>
      <c r="Q69" s="817"/>
      <c r="R69" s="818"/>
      <c r="S69" s="20"/>
      <c r="T69" s="20"/>
      <c r="U69" s="20"/>
      <c r="V69" s="20"/>
      <c r="W69" s="20"/>
      <c r="Z69"/>
    </row>
    <row r="70" spans="2:26">
      <c r="B70" s="570"/>
      <c r="C70" s="560"/>
      <c r="D70" s="5"/>
      <c r="E70" s="867"/>
      <c r="F70" s="868"/>
      <c r="G70" s="830"/>
      <c r="H70" s="831"/>
      <c r="I70" s="831"/>
      <c r="J70" s="832"/>
      <c r="K70" s="537"/>
      <c r="L70" s="644">
        <f t="shared" si="7"/>
        <v>0</v>
      </c>
      <c r="M70" s="627"/>
      <c r="N70" s="89">
        <f t="shared" si="3"/>
        <v>0</v>
      </c>
      <c r="O70" s="569" t="str">
        <f t="shared" si="4"/>
        <v/>
      </c>
      <c r="P70" s="816" t="str">
        <f t="shared" si="6"/>
        <v/>
      </c>
      <c r="Q70" s="817"/>
      <c r="R70" s="818"/>
      <c r="S70" s="20"/>
      <c r="T70" s="20"/>
      <c r="U70" s="20"/>
      <c r="V70" s="20"/>
      <c r="W70" s="20"/>
      <c r="Z70"/>
    </row>
    <row r="71" spans="2:26">
      <c r="B71" s="570"/>
      <c r="C71" s="560"/>
      <c r="D71" s="5"/>
      <c r="E71" s="867"/>
      <c r="F71" s="868"/>
      <c r="G71" s="830"/>
      <c r="H71" s="831"/>
      <c r="I71" s="831"/>
      <c r="J71" s="832"/>
      <c r="K71" s="537"/>
      <c r="L71" s="644">
        <f t="shared" si="7"/>
        <v>0</v>
      </c>
      <c r="M71" s="627"/>
      <c r="N71" s="89">
        <f t="shared" si="3"/>
        <v>0</v>
      </c>
      <c r="O71" s="569" t="str">
        <f t="shared" si="4"/>
        <v/>
      </c>
      <c r="P71" s="816" t="str">
        <f t="shared" si="6"/>
        <v/>
      </c>
      <c r="Q71" s="817"/>
      <c r="R71" s="818"/>
      <c r="S71" s="20"/>
      <c r="T71" s="20"/>
      <c r="U71" s="20"/>
      <c r="V71" s="20"/>
      <c r="W71" s="20"/>
      <c r="Z71"/>
    </row>
    <row r="72" spans="2:26">
      <c r="B72" s="570"/>
      <c r="C72" s="560"/>
      <c r="D72" s="5"/>
      <c r="E72" s="867"/>
      <c r="F72" s="868"/>
      <c r="G72" s="830"/>
      <c r="H72" s="831"/>
      <c r="I72" s="831"/>
      <c r="J72" s="832"/>
      <c r="K72" s="537"/>
      <c r="L72" s="644">
        <f t="shared" si="7"/>
        <v>0</v>
      </c>
      <c r="M72" s="627"/>
      <c r="N72" s="89">
        <f t="shared" si="3"/>
        <v>0</v>
      </c>
      <c r="O72" s="569" t="str">
        <f t="shared" si="4"/>
        <v/>
      </c>
      <c r="P72" s="816" t="str">
        <f t="shared" si="6"/>
        <v/>
      </c>
      <c r="Q72" s="817"/>
      <c r="R72" s="818"/>
      <c r="S72" s="20"/>
      <c r="T72" s="20"/>
      <c r="U72" s="20"/>
      <c r="V72" s="20"/>
      <c r="W72" s="20"/>
      <c r="Z72"/>
    </row>
    <row r="73" spans="2:26">
      <c r="B73" s="570"/>
      <c r="C73" s="560"/>
      <c r="D73" s="5"/>
      <c r="E73" s="867"/>
      <c r="F73" s="868"/>
      <c r="G73" s="830"/>
      <c r="H73" s="831"/>
      <c r="I73" s="831"/>
      <c r="J73" s="832"/>
      <c r="K73" s="537"/>
      <c r="L73" s="644">
        <f>+G73*K73*E73</f>
        <v>0</v>
      </c>
      <c r="M73" s="627"/>
      <c r="N73" s="89">
        <f t="shared" si="3"/>
        <v>0</v>
      </c>
      <c r="O73" s="569" t="str">
        <f t="shared" si="4"/>
        <v/>
      </c>
      <c r="P73" s="816" t="str">
        <f t="shared" si="6"/>
        <v/>
      </c>
      <c r="Q73" s="817"/>
      <c r="R73" s="818"/>
      <c r="S73" s="20"/>
      <c r="T73" s="20"/>
      <c r="U73" s="20"/>
      <c r="V73" s="20"/>
      <c r="W73" s="20"/>
      <c r="Z73"/>
    </row>
    <row r="74" spans="2:26" ht="15.5">
      <c r="B74" s="827" t="str">
        <f>+CONCATENATE("Subtotal"," ",B47)</f>
        <v xml:space="preserve">Subtotal B - Otros Costos directos </v>
      </c>
      <c r="C74" s="828"/>
      <c r="D74" s="829"/>
      <c r="E74" s="829"/>
      <c r="F74" s="829"/>
      <c r="G74" s="829"/>
      <c r="H74" s="829"/>
      <c r="I74" s="829"/>
      <c r="J74" s="829"/>
      <c r="K74" s="638"/>
      <c r="L74" s="642">
        <f>ROUND(SUM(L49:L73),0)</f>
        <v>342914992</v>
      </c>
      <c r="M74" s="627"/>
      <c r="N74" s="20"/>
      <c r="O74" s="20"/>
      <c r="P74" s="20"/>
      <c r="Q74" s="20"/>
      <c r="R74" s="20"/>
      <c r="S74" s="20"/>
      <c r="T74" s="20"/>
      <c r="U74" s="20"/>
      <c r="V74" s="20"/>
      <c r="W74" s="20"/>
      <c r="Z74"/>
    </row>
    <row r="75" spans="2:26" ht="15.5">
      <c r="B75" s="819" t="s">
        <v>560</v>
      </c>
      <c r="C75" s="820"/>
      <c r="D75" s="820"/>
      <c r="E75" s="820"/>
      <c r="F75" s="820"/>
      <c r="G75" s="820"/>
      <c r="H75" s="820"/>
      <c r="I75" s="820"/>
      <c r="J75" s="821"/>
      <c r="K75" s="637"/>
      <c r="L75" s="640">
        <f ca="1">+L46</f>
        <v>388745000</v>
      </c>
      <c r="M75" s="627"/>
      <c r="N75" s="20"/>
      <c r="O75" s="20"/>
      <c r="P75" s="20"/>
      <c r="Q75" s="20"/>
      <c r="R75" s="20"/>
      <c r="S75" s="20"/>
      <c r="T75" s="20"/>
      <c r="U75" s="20"/>
      <c r="V75" s="20"/>
      <c r="W75" s="20"/>
      <c r="Z75"/>
    </row>
    <row r="76" spans="2:26" ht="15.5">
      <c r="B76" s="822" t="s">
        <v>561</v>
      </c>
      <c r="C76" s="823"/>
      <c r="D76" s="823"/>
      <c r="E76" s="823"/>
      <c r="F76" s="823"/>
      <c r="G76" s="823"/>
      <c r="H76" s="823"/>
      <c r="I76" s="823"/>
      <c r="J76" s="824"/>
      <c r="K76" s="643"/>
      <c r="L76" s="640">
        <f>+L74</f>
        <v>342914992</v>
      </c>
      <c r="M76" s="627"/>
      <c r="N76" s="20"/>
      <c r="O76" s="20"/>
      <c r="P76" s="20"/>
      <c r="Q76" s="20"/>
      <c r="R76" s="20"/>
      <c r="S76" s="20"/>
      <c r="T76" s="20"/>
      <c r="U76" s="20"/>
      <c r="V76" s="20"/>
      <c r="W76" s="20"/>
      <c r="Z76"/>
    </row>
    <row r="77" spans="2:26" ht="18">
      <c r="B77" s="822" t="s">
        <v>661</v>
      </c>
      <c r="C77" s="823"/>
      <c r="D77" s="823"/>
      <c r="E77" s="823"/>
      <c r="F77" s="823"/>
      <c r="G77" s="823"/>
      <c r="H77" s="823"/>
      <c r="I77" s="823"/>
      <c r="J77" s="824"/>
      <c r="K77" s="636"/>
      <c r="L77" s="639">
        <f ca="1">+L75+L76</f>
        <v>731659992</v>
      </c>
      <c r="M77" s="627"/>
      <c r="N77" s="20"/>
      <c r="O77" s="20"/>
      <c r="P77" s="20"/>
      <c r="Q77" s="20"/>
      <c r="R77" s="20"/>
      <c r="S77" s="20"/>
      <c r="T77" s="20"/>
      <c r="U77" s="20"/>
      <c r="V77" s="20"/>
      <c r="W77" s="20"/>
      <c r="Z77"/>
    </row>
    <row r="78" spans="2:26" ht="15.5">
      <c r="B78" s="822" t="s">
        <v>676</v>
      </c>
      <c r="C78" s="823"/>
      <c r="D78" s="823"/>
      <c r="E78" s="823"/>
      <c r="F78" s="823"/>
      <c r="G78" s="823"/>
      <c r="H78" s="823"/>
      <c r="I78" s="823"/>
      <c r="J78" s="824"/>
      <c r="K78" s="645">
        <v>0.19</v>
      </c>
      <c r="L78" s="641">
        <f ca="1">+ROUND(K78*L77,0)</f>
        <v>139015398</v>
      </c>
      <c r="M78" s="627"/>
      <c r="N78" s="20"/>
      <c r="O78" s="20"/>
      <c r="P78" s="20"/>
      <c r="Q78" s="20"/>
      <c r="R78" s="20"/>
      <c r="S78" s="20"/>
      <c r="T78" s="20"/>
      <c r="U78" s="20"/>
      <c r="V78" s="20"/>
      <c r="W78" s="20"/>
      <c r="Z78"/>
    </row>
    <row r="79" spans="2:26" ht="15.5">
      <c r="B79" s="822" t="s">
        <v>660</v>
      </c>
      <c r="C79" s="823"/>
      <c r="D79" s="823"/>
      <c r="E79" s="823"/>
      <c r="F79" s="823"/>
      <c r="G79" s="823"/>
      <c r="H79" s="823"/>
      <c r="I79" s="823"/>
      <c r="J79" s="824"/>
      <c r="K79" s="671"/>
      <c r="L79" s="641">
        <f ca="1">L77+L78</f>
        <v>870675390</v>
      </c>
      <c r="M79" s="627"/>
      <c r="N79" s="20"/>
      <c r="O79" s="20"/>
      <c r="P79" s="20"/>
      <c r="Q79" s="20"/>
      <c r="R79" s="20"/>
      <c r="S79" s="20"/>
      <c r="T79" s="20"/>
      <c r="U79" s="20"/>
      <c r="V79" s="20"/>
      <c r="W79" s="20"/>
      <c r="Z79"/>
    </row>
    <row r="80" spans="2:26" ht="15.5">
      <c r="B80" s="822" t="s">
        <v>658</v>
      </c>
      <c r="C80" s="823"/>
      <c r="D80" s="823"/>
      <c r="E80" s="823"/>
      <c r="F80" s="823"/>
      <c r="G80" s="823"/>
      <c r="H80" s="823"/>
      <c r="I80" s="823"/>
      <c r="J80" s="824"/>
      <c r="K80" s="643"/>
      <c r="L80" s="640">
        <f ca="1">+L120</f>
        <v>2805619</v>
      </c>
      <c r="M80" s="627"/>
      <c r="N80" s="20"/>
      <c r="O80" s="20"/>
      <c r="P80" s="20"/>
      <c r="Q80" s="20"/>
      <c r="R80" s="20"/>
      <c r="S80" s="20"/>
      <c r="T80" s="20"/>
      <c r="U80" s="20"/>
      <c r="V80" s="20"/>
      <c r="W80" s="20"/>
      <c r="Z80"/>
    </row>
    <row r="81" spans="1:26" ht="18">
      <c r="B81" s="871" t="s">
        <v>662</v>
      </c>
      <c r="C81" s="872"/>
      <c r="D81" s="872"/>
      <c r="E81" s="872"/>
      <c r="F81" s="872"/>
      <c r="G81" s="872"/>
      <c r="H81" s="872"/>
      <c r="I81" s="872"/>
      <c r="J81" s="873"/>
      <c r="K81" s="643"/>
      <c r="L81" s="639">
        <f ca="1">ROUND(L79+L80,0)</f>
        <v>873481009</v>
      </c>
      <c r="M81" s="627"/>
      <c r="N81" s="20"/>
      <c r="O81" s="20"/>
      <c r="P81" s="20"/>
      <c r="Q81" s="20"/>
      <c r="R81" s="20"/>
      <c r="S81" s="20"/>
      <c r="T81" s="20"/>
      <c r="U81" s="20"/>
      <c r="V81" s="20"/>
      <c r="W81" s="20"/>
      <c r="Z81"/>
    </row>
    <row r="82" spans="1:26" ht="15.5">
      <c r="B82" s="557"/>
      <c r="C82" s="558"/>
      <c r="D82" s="558"/>
      <c r="E82" s="558"/>
      <c r="F82" s="558"/>
      <c r="G82" s="558"/>
      <c r="H82" s="558"/>
      <c r="I82" s="558"/>
      <c r="J82" s="558"/>
      <c r="K82" s="558"/>
      <c r="L82" s="559"/>
      <c r="M82" s="627"/>
      <c r="N82" s="20"/>
      <c r="O82" s="20"/>
      <c r="P82" s="20"/>
      <c r="Q82" s="20"/>
      <c r="R82" s="20"/>
      <c r="S82" s="20"/>
      <c r="T82" s="20"/>
      <c r="U82" s="20"/>
      <c r="V82" s="20"/>
      <c r="W82" s="20"/>
      <c r="Z82"/>
    </row>
    <row r="83" spans="1:26" s="4" customFormat="1" ht="18">
      <c r="A83" s="3"/>
      <c r="B83" s="848" t="s">
        <v>19</v>
      </c>
      <c r="C83" s="849"/>
      <c r="D83" s="849"/>
      <c r="E83" s="849"/>
      <c r="F83" s="849"/>
      <c r="G83" s="849"/>
      <c r="H83" s="849"/>
      <c r="I83" s="849"/>
      <c r="J83" s="849"/>
      <c r="K83" s="849"/>
      <c r="L83" s="850"/>
      <c r="M83" s="626"/>
      <c r="N83" s="91"/>
      <c r="O83" s="91"/>
      <c r="P83" s="91"/>
      <c r="Q83" s="91"/>
      <c r="R83" s="91"/>
      <c r="S83" s="91"/>
      <c r="T83" s="91"/>
      <c r="U83" s="91"/>
      <c r="V83" s="91"/>
      <c r="W83" s="91"/>
      <c r="X83" s="3"/>
      <c r="Y83" s="3"/>
    </row>
    <row r="84" spans="1:26" s="4" customFormat="1" ht="18">
      <c r="A84" s="3"/>
      <c r="B84" s="541"/>
      <c r="C84" s="542"/>
      <c r="D84" s="542"/>
      <c r="E84" s="542"/>
      <c r="F84" s="542"/>
      <c r="G84" s="542"/>
      <c r="H84" s="542"/>
      <c r="I84" s="542"/>
      <c r="J84" s="542"/>
      <c r="K84" s="542"/>
      <c r="L84" s="543"/>
      <c r="M84" s="626"/>
      <c r="O84" s="91"/>
      <c r="Q84" s="91"/>
      <c r="R84" s="91"/>
      <c r="S84" s="91"/>
      <c r="T84" s="91"/>
      <c r="U84" s="91"/>
      <c r="V84" s="91"/>
      <c r="W84" s="91"/>
      <c r="X84" s="3"/>
      <c r="Y84" s="3"/>
    </row>
    <row r="85" spans="1:26" ht="52">
      <c r="B85" s="843" t="s">
        <v>4</v>
      </c>
      <c r="C85" s="844"/>
      <c r="D85" s="74" t="s">
        <v>20</v>
      </c>
      <c r="E85" s="907" t="s">
        <v>21</v>
      </c>
      <c r="F85" s="844"/>
      <c r="G85" s="73" t="s">
        <v>22</v>
      </c>
      <c r="H85" s="74" t="s">
        <v>23</v>
      </c>
      <c r="I85" s="74"/>
      <c r="J85" s="73" t="s">
        <v>24</v>
      </c>
      <c r="K85" s="539"/>
      <c r="L85" s="75" t="s">
        <v>11</v>
      </c>
      <c r="M85" s="627"/>
      <c r="N85" s="780" t="s">
        <v>852</v>
      </c>
      <c r="O85" s="20"/>
      <c r="P85" s="780" t="s">
        <v>853</v>
      </c>
      <c r="Q85" s="20"/>
      <c r="R85" s="20"/>
      <c r="S85" s="20"/>
      <c r="T85" s="20"/>
      <c r="U85" s="20"/>
      <c r="V85" s="20"/>
      <c r="W85" s="20"/>
      <c r="Z85"/>
    </row>
    <row r="86" spans="1:26" ht="28.5" customHeight="1">
      <c r="B86" s="881" t="s">
        <v>25</v>
      </c>
      <c r="C86" s="882"/>
      <c r="D86" s="192" t="s">
        <v>26</v>
      </c>
      <c r="E86" s="806" t="s">
        <v>115</v>
      </c>
      <c r="F86" s="807"/>
      <c r="G86" s="10"/>
      <c r="H86" s="190" t="str">
        <f>+IF(AND(D86="Aplica gravamen",E86="Si"),"No","Si")</f>
        <v>Si</v>
      </c>
      <c r="I86" s="190"/>
      <c r="J86" s="78">
        <v>2E-3</v>
      </c>
      <c r="K86" s="549"/>
      <c r="L86" s="79">
        <f ca="1">ROUND(IF(H86="Si",J86*($L$77+$L$118),""),0)</f>
        <v>1468035</v>
      </c>
      <c r="M86" s="627"/>
      <c r="N86" s="21"/>
      <c r="O86" s="20"/>
      <c r="P86" s="20"/>
      <c r="Q86" s="20"/>
      <c r="R86" s="20"/>
      <c r="S86" s="20"/>
      <c r="T86" s="20"/>
      <c r="U86" s="20"/>
      <c r="V86" s="20"/>
      <c r="W86" s="20"/>
      <c r="Z86"/>
    </row>
    <row r="87" spans="1:26" ht="24.75" customHeight="1">
      <c r="B87" s="881" t="s">
        <v>28</v>
      </c>
      <c r="C87" s="882"/>
      <c r="D87" s="192" t="str">
        <f ca="1">+IF($G$12&lt;$G$15,"No_aplica_estampilla","Aplica_estampilla")</f>
        <v>No_aplica_estampilla</v>
      </c>
      <c r="E87" s="806" t="str">
        <f>IF($G$5="Concurso de Méritos","No aplica exclusión","Aplica Exclusión")</f>
        <v>No aplica exclusión</v>
      </c>
      <c r="F87" s="807"/>
      <c r="G87" s="10"/>
      <c r="H87" s="191" t="str">
        <f ca="1">+IF(AND(D87=$AO$157,E87=$AP$157),$AQ$157,IF(AND(D87=$AO$149,E87=$AP$149),$AQ$149,IF(AND(D87=$AO$151,E87=$AP$151),$AQ$151,IF(AND(D87=$AO$154,E87=$AP$154),$AQ$154,IF(AND(D87=$AO$155,E87=$AP$155),$AQ$155,IF(AND(D87=$AO$156,E87=$AP$156),$AQ$156,IF(AND(D87=$AO$158,E87=$AP$158),$AQ$158)))))))</f>
        <v>No</v>
      </c>
      <c r="I87" s="191"/>
      <c r="J87" s="78">
        <v>5.0000000000000001E-3</v>
      </c>
      <c r="K87" s="549"/>
      <c r="L87" s="79">
        <f ca="1">IF(H87="Si",ROUND(J87*($L$77+$L$118),0),0)</f>
        <v>0</v>
      </c>
      <c r="M87" s="627"/>
      <c r="N87" s="781" t="s">
        <v>879</v>
      </c>
      <c r="O87" s="20"/>
      <c r="P87" s="91" t="s">
        <v>855</v>
      </c>
      <c r="Q87" s="20"/>
      <c r="R87" s="20"/>
      <c r="S87" s="20"/>
      <c r="T87" s="20"/>
      <c r="U87" s="20"/>
      <c r="V87" s="20"/>
      <c r="W87" s="20"/>
      <c r="Z87"/>
    </row>
    <row r="88" spans="1:26" ht="24.75" customHeight="1">
      <c r="B88" s="881" t="s">
        <v>29</v>
      </c>
      <c r="C88" s="882"/>
      <c r="D88" s="192" t="str">
        <f ca="1">+IF($G$12&lt;$G$15,"No_aplica_estampilla","Aplica_estampilla")</f>
        <v>No_aplica_estampilla</v>
      </c>
      <c r="E88" s="806" t="str">
        <f t="shared" ref="E88:E90" si="8">IF($G$5="Concurso de Méritos","No aplica exclusión","Aplica Exclusión")</f>
        <v>No aplica exclusión</v>
      </c>
      <c r="F88" s="807"/>
      <c r="G88" s="10"/>
      <c r="H88" s="191" t="str">
        <f ca="1">+IF(AND(D88=$AO$157,E88=$AP$157),$AQ$157,IF(AND(D88=$AO$149,E88=$AP$149),$AQ$149,IF(AND(D88=$AO$151,E88=$AP$151),$AQ$151,IF(AND(D88=$AO$154,E88=$AP$154),$AQ$154,IF(AND(D88=$AO$155,E88=$AP$155),$AQ$155,IF(AND(D88=$AO$156,E88=$AP$156),$AQ$156))))))</f>
        <v>No</v>
      </c>
      <c r="I88" s="191"/>
      <c r="J88" s="78">
        <v>0.02</v>
      </c>
      <c r="K88" s="549"/>
      <c r="L88" s="79">
        <f ca="1">IF(H88="Si",ROUND(J88*($L$77+$L$118),0),0)</f>
        <v>0</v>
      </c>
      <c r="M88" s="627"/>
      <c r="N88" s="781" t="s">
        <v>880</v>
      </c>
      <c r="O88" s="20"/>
      <c r="P88" s="91" t="s">
        <v>854</v>
      </c>
      <c r="Q88" s="20"/>
      <c r="R88" s="20"/>
      <c r="S88" s="20"/>
      <c r="T88" s="20"/>
      <c r="U88" s="20"/>
      <c r="V88" s="20"/>
      <c r="W88" s="20"/>
      <c r="Z88"/>
    </row>
    <row r="89" spans="1:26" ht="25.5" customHeight="1">
      <c r="B89" s="881" t="s">
        <v>30</v>
      </c>
      <c r="C89" s="882"/>
      <c r="D89" s="192" t="str">
        <f>+IF($G$5="Contratación Directa", "No_aplica_estampilla", "Aplica_estampilla")</f>
        <v>Aplica_estampilla</v>
      </c>
      <c r="E89" s="806" t="str">
        <f t="shared" si="8"/>
        <v>No aplica exclusión</v>
      </c>
      <c r="F89" s="807"/>
      <c r="G89" s="10"/>
      <c r="H89" s="190" t="str">
        <f>+IF(AND(D89=$AO$157,E89=$AP$157),$AQ$157,IF(AND(D89=$AO$149,E89=$AP$149),$AQ$149,IF(AND(D89=$AO$151,E89=$AP$151),$AQ$151,IF(AND(D89=$AO$154,E89=$AP$154),$AQ$154,IF(AND(D89=$AO$155,E89=$AP$155),$AQ$155,IF(AND(D89=$AO$156,E89=$AP$156),$AQ$156))))))</f>
        <v>Si</v>
      </c>
      <c r="I89" s="190"/>
      <c r="J89" s="78">
        <v>0.01</v>
      </c>
      <c r="K89" s="549"/>
      <c r="L89" s="79">
        <f t="shared" ref="L89:L90" ca="1" si="9">IF(H89="Si",ROUND(J89*($L$77+$L$118),0),0)</f>
        <v>7340177</v>
      </c>
      <c r="M89" s="627"/>
      <c r="N89" s="781" t="s">
        <v>856</v>
      </c>
      <c r="O89" s="20"/>
      <c r="P89" s="91" t="s">
        <v>854</v>
      </c>
      <c r="Q89" s="20"/>
      <c r="R89" s="20"/>
      <c r="S89" s="20"/>
      <c r="T89" s="20"/>
      <c r="U89" s="20"/>
      <c r="V89" s="20"/>
      <c r="W89" s="20"/>
      <c r="Z89"/>
    </row>
    <row r="90" spans="1:26" ht="25.5" customHeight="1">
      <c r="B90" s="660" t="s">
        <v>652</v>
      </c>
      <c r="C90" s="661"/>
      <c r="D90" s="192" t="str">
        <f>+IF($G$5="Contratación Directa", "No_aplica_estampilla", "Aplica_estampilla")</f>
        <v>Aplica_estampilla</v>
      </c>
      <c r="E90" s="806" t="str">
        <f t="shared" si="8"/>
        <v>No aplica exclusión</v>
      </c>
      <c r="F90" s="807"/>
      <c r="G90" s="10"/>
      <c r="H90" s="191" t="str">
        <f>+IF(AND(D90=$AO$157,E90=$AP$157),$AQ$157,IF(AND(D90=$AO$149,E90=$AP$149),$AQ$149,IF(AND(D90=$AO$151,E90=$AP$151),$AQ$151,IF(AND(D90=$AO$154,E90=$AP$154),$AQ$154,IF(AND(D90=$AO$155,E90=$AP$155),$AQ$155,IF(AND(D90=$AO$156,E90=$AP$156),$AQ$156))))))</f>
        <v>Si</v>
      </c>
      <c r="I90" s="191"/>
      <c r="J90" s="662">
        <v>1.2999999999999999E-2</v>
      </c>
      <c r="K90" s="662"/>
      <c r="L90" s="79">
        <f t="shared" ca="1" si="9"/>
        <v>9542230</v>
      </c>
      <c r="M90" s="627"/>
      <c r="N90" s="781" t="s">
        <v>856</v>
      </c>
      <c r="O90" s="20"/>
      <c r="P90" s="91" t="s">
        <v>854</v>
      </c>
      <c r="Q90" s="20"/>
      <c r="R90" s="20"/>
      <c r="S90" s="20"/>
      <c r="T90" s="20"/>
      <c r="U90" s="20"/>
      <c r="V90" s="20"/>
      <c r="W90" s="20"/>
      <c r="Z90"/>
    </row>
    <row r="91" spans="1:26" ht="25.5" customHeight="1">
      <c r="B91" s="660" t="s">
        <v>821</v>
      </c>
      <c r="C91" s="661"/>
      <c r="D91" s="192" t="str">
        <f>+IF($G$5="Contratación Directa", "Aplica_estampilla", "No_aplica_estampilla")</f>
        <v>No_aplica_estampilla</v>
      </c>
      <c r="E91" s="806" t="str">
        <f>IF($G$5="Concurso de Méritos","Aplica exclusión","No aplica Exclusión")</f>
        <v>Aplica exclusión</v>
      </c>
      <c r="F91" s="807"/>
      <c r="G91" s="10"/>
      <c r="H91" s="191" t="str">
        <f>+IF(AND(D91=$AO$157,E91=$AP$157),$AQ$157,IF(AND(D91=$AO$149,E91=$AP$149),$AQ$149,IF(AND(D91=$AO$151,E91=$AP$151),$AQ$151,IF(AND(D91=$AO$154,E91=$AP$154),$AQ$154,IF(AND(D91=$AO$155,E91=$AP$155),$AQ$155,IF(AND(D91=$AO$156,E91=$AP$156),$AQ$156))))))</f>
        <v>No</v>
      </c>
      <c r="I91" s="748"/>
      <c r="J91" s="662">
        <v>0.01</v>
      </c>
      <c r="K91" s="662"/>
      <c r="L91" s="79">
        <f>IFERROR(ROUND(IF(H91="Si",J91*($L$77+$L$118),""),0),0)</f>
        <v>0</v>
      </c>
      <c r="M91" s="627"/>
      <c r="N91" s="781" t="s">
        <v>857</v>
      </c>
      <c r="O91" s="20"/>
      <c r="P91" s="91" t="s">
        <v>858</v>
      </c>
      <c r="Q91" s="20"/>
      <c r="R91" s="20"/>
      <c r="S91" s="20"/>
      <c r="T91" s="20"/>
      <c r="U91" s="20"/>
      <c r="V91" s="20"/>
      <c r="W91" s="20"/>
      <c r="Z91"/>
    </row>
    <row r="92" spans="1:26" ht="25.5" customHeight="1">
      <c r="B92" s="660" t="s">
        <v>822</v>
      </c>
      <c r="C92" s="661"/>
      <c r="D92" s="192" t="str">
        <f>+IF($G$5="Contratación Directa", "Aplica_estampilla", "Aplica_estampilla")</f>
        <v>Aplica_estampilla</v>
      </c>
      <c r="E92" s="806" t="str">
        <f>IF($G$5="Concurso de Méritos","No Aplica exclusión","No aplica Exclusión")</f>
        <v>No Aplica exclusión</v>
      </c>
      <c r="F92" s="807"/>
      <c r="G92" s="10"/>
      <c r="H92" s="191" t="str">
        <f>+IF(AND(D92=$AO$157,E92=$AP$157),$AQ$157,IF(AND(D92=$AO$149,E92=$AP$149),$AQ$149,IF(AND(D92=$AO$151,E92=$AP$151),$AQ$151,IF(AND(D92=$AO$154,E92=$AP$154),$AQ$154,IF(AND(D92=$AO$155,E92=$AP$155),$AQ$155,IF(AND(D92=$AO$156,E92=$AP$156),$AQ$156))))))</f>
        <v>Si</v>
      </c>
      <c r="I92" s="748"/>
      <c r="J92" s="662">
        <v>0.02</v>
      </c>
      <c r="K92" s="662"/>
      <c r="L92" s="79">
        <f ca="1">ROUND(IF(H92="Si",J92*($L$77+$L$118),""),0)</f>
        <v>14680353</v>
      </c>
      <c r="M92" s="627"/>
      <c r="N92" s="781" t="s">
        <v>856</v>
      </c>
      <c r="O92" s="20"/>
      <c r="P92" s="91" t="s">
        <v>859</v>
      </c>
      <c r="Q92" s="20"/>
      <c r="R92" s="20"/>
      <c r="S92" s="20"/>
      <c r="T92" s="20"/>
      <c r="U92" s="20"/>
      <c r="V92" s="20"/>
      <c r="W92" s="20"/>
      <c r="Z92"/>
    </row>
    <row r="93" spans="1:26" ht="27" customHeight="1">
      <c r="B93" s="875" t="str">
        <f>+CONCATENATE("Subtotal"," ",B83)</f>
        <v xml:space="preserve">Subtotal Impuestos, tasas y contribuciones </v>
      </c>
      <c r="C93" s="876"/>
      <c r="D93" s="877"/>
      <c r="E93" s="877"/>
      <c r="F93" s="877"/>
      <c r="G93" s="877"/>
      <c r="H93" s="877"/>
      <c r="I93" s="877"/>
      <c r="J93" s="877"/>
      <c r="K93" s="548"/>
      <c r="L93" s="749">
        <f ca="1">+SUM(L86:L92)</f>
        <v>33030795</v>
      </c>
      <c r="M93" s="627"/>
      <c r="N93" s="20"/>
      <c r="O93" s="20"/>
      <c r="P93" s="20"/>
      <c r="Q93" s="20"/>
      <c r="R93" s="20"/>
      <c r="S93" s="20"/>
      <c r="T93" s="20"/>
      <c r="U93" s="20"/>
      <c r="V93" s="20"/>
      <c r="W93" s="20"/>
      <c r="Z93"/>
    </row>
    <row r="94" spans="1:26" ht="15.5" hidden="1">
      <c r="B94" s="878"/>
      <c r="C94" s="879"/>
      <c r="D94" s="879"/>
      <c r="E94" s="879"/>
      <c r="F94" s="879"/>
      <c r="G94" s="879"/>
      <c r="H94" s="879"/>
      <c r="I94" s="879"/>
      <c r="J94" s="880"/>
      <c r="K94" s="550"/>
      <c r="L94" s="80"/>
      <c r="M94" s="627"/>
      <c r="N94" s="92"/>
      <c r="O94" s="54"/>
      <c r="P94" s="20"/>
      <c r="Q94" s="20"/>
      <c r="R94" s="20"/>
      <c r="S94" s="20"/>
      <c r="T94" s="20"/>
      <c r="U94" s="20"/>
      <c r="V94" s="20"/>
      <c r="W94" s="20"/>
      <c r="Z94"/>
    </row>
    <row r="95" spans="1:26" ht="15.5" hidden="1">
      <c r="B95" s="822"/>
      <c r="C95" s="823"/>
      <c r="D95" s="823"/>
      <c r="E95" s="823"/>
      <c r="F95" s="823"/>
      <c r="G95" s="823"/>
      <c r="H95" s="823"/>
      <c r="I95" s="823"/>
      <c r="J95" s="824"/>
      <c r="K95" s="196"/>
      <c r="L95" s="80"/>
      <c r="M95" s="628"/>
      <c r="N95" s="92"/>
      <c r="O95" s="93"/>
      <c r="P95" s="20"/>
      <c r="Q95" s="20"/>
      <c r="R95" s="20"/>
      <c r="S95" s="20"/>
      <c r="T95" s="20"/>
      <c r="U95" s="20"/>
      <c r="V95" s="20"/>
      <c r="W95" s="20"/>
      <c r="Z95"/>
    </row>
    <row r="96" spans="1:26" ht="15.5" hidden="1">
      <c r="B96" s="822"/>
      <c r="C96" s="823"/>
      <c r="D96" s="823"/>
      <c r="E96" s="823"/>
      <c r="F96" s="823"/>
      <c r="G96" s="823"/>
      <c r="H96" s="824"/>
      <c r="I96" s="197"/>
      <c r="J96" s="517"/>
      <c r="K96" s="551"/>
      <c r="L96" s="519"/>
      <c r="M96" s="629"/>
      <c r="N96" s="93"/>
      <c r="O96" s="20"/>
      <c r="P96" s="20"/>
      <c r="Q96" s="20"/>
      <c r="R96" s="20"/>
      <c r="S96" s="20"/>
      <c r="T96" s="20"/>
      <c r="U96" s="20"/>
      <c r="V96" s="20"/>
      <c r="W96" s="20"/>
      <c r="Z96"/>
    </row>
    <row r="97" spans="2:26" ht="15.5" hidden="1">
      <c r="B97" s="195"/>
      <c r="C97" s="196"/>
      <c r="D97" s="196"/>
      <c r="E97" s="196"/>
      <c r="F97" s="196"/>
      <c r="G97" s="196"/>
      <c r="H97" s="197"/>
      <c r="I97" s="197"/>
      <c r="J97" s="518"/>
      <c r="K97" s="552"/>
      <c r="L97" s="519"/>
      <c r="M97" s="630"/>
      <c r="N97" s="20"/>
      <c r="O97" s="20"/>
      <c r="P97" s="20"/>
      <c r="Q97" s="20"/>
      <c r="R97" s="20"/>
      <c r="S97" s="20"/>
      <c r="T97" s="20"/>
      <c r="U97" s="20"/>
      <c r="V97" s="20"/>
      <c r="W97" s="20"/>
      <c r="Z97"/>
    </row>
    <row r="98" spans="2:26" ht="15.5" hidden="1">
      <c r="B98" s="822"/>
      <c r="C98" s="823"/>
      <c r="D98" s="823"/>
      <c r="E98" s="823"/>
      <c r="F98" s="823"/>
      <c r="G98" s="823"/>
      <c r="H98" s="824"/>
      <c r="I98" s="197"/>
      <c r="J98" s="517"/>
      <c r="K98" s="551"/>
      <c r="L98" s="519"/>
      <c r="M98" s="630"/>
      <c r="N98" s="20"/>
      <c r="O98" s="20"/>
      <c r="P98" s="20"/>
      <c r="Q98" s="20"/>
      <c r="R98" s="20"/>
      <c r="S98" s="20"/>
      <c r="T98" s="20"/>
      <c r="U98" s="20"/>
      <c r="V98" s="20"/>
      <c r="W98" s="20"/>
      <c r="Z98"/>
    </row>
    <row r="99" spans="2:26" ht="15.5" hidden="1">
      <c r="B99" s="822"/>
      <c r="C99" s="823"/>
      <c r="D99" s="823"/>
      <c r="E99" s="823"/>
      <c r="F99" s="823"/>
      <c r="G99" s="823"/>
      <c r="H99" s="824"/>
      <c r="I99" s="197"/>
      <c r="J99" s="81"/>
      <c r="K99" s="553"/>
      <c r="L99" s="80"/>
      <c r="M99" s="627"/>
      <c r="N99" s="20"/>
      <c r="O99" s="20"/>
      <c r="P99" s="20"/>
      <c r="Q99" s="20"/>
      <c r="R99" s="20"/>
      <c r="S99" s="20"/>
      <c r="T99" s="20"/>
      <c r="U99" s="20"/>
      <c r="V99" s="20"/>
      <c r="W99" s="20"/>
      <c r="Z99"/>
    </row>
    <row r="100" spans="2:26" ht="15.5" hidden="1">
      <c r="B100" s="822"/>
      <c r="C100" s="823"/>
      <c r="D100" s="823"/>
      <c r="E100" s="823"/>
      <c r="F100" s="823"/>
      <c r="G100" s="823"/>
      <c r="H100" s="823"/>
      <c r="I100" s="823"/>
      <c r="J100" s="824"/>
      <c r="K100" s="196"/>
      <c r="L100" s="80"/>
      <c r="M100" s="627"/>
      <c r="N100" s="92"/>
      <c r="O100" s="94"/>
      <c r="P100" s="20"/>
      <c r="Q100" s="20"/>
      <c r="R100" s="20"/>
      <c r="S100" s="20"/>
      <c r="T100" s="20"/>
      <c r="U100" s="20"/>
      <c r="V100" s="20"/>
      <c r="W100" s="20"/>
      <c r="Z100"/>
    </row>
    <row r="101" spans="2:26" ht="15.5" hidden="1">
      <c r="B101" s="822"/>
      <c r="C101" s="823"/>
      <c r="D101" s="823"/>
      <c r="E101" s="823"/>
      <c r="F101" s="823"/>
      <c r="G101" s="823"/>
      <c r="H101" s="823"/>
      <c r="I101" s="823"/>
      <c r="J101" s="824"/>
      <c r="K101" s="196"/>
      <c r="L101" s="80"/>
      <c r="M101" s="627"/>
      <c r="N101" s="92"/>
      <c r="O101" s="94"/>
      <c r="P101" s="20"/>
      <c r="Q101" s="20"/>
      <c r="R101" s="20"/>
      <c r="S101" s="20"/>
      <c r="T101" s="20"/>
      <c r="U101" s="20"/>
      <c r="V101" s="20"/>
      <c r="W101" s="20"/>
      <c r="Z101"/>
    </row>
    <row r="102" spans="2:26" ht="18.5" hidden="1" thickBot="1">
      <c r="B102" s="894"/>
      <c r="C102" s="895"/>
      <c r="D102" s="895"/>
      <c r="E102" s="895"/>
      <c r="F102" s="895"/>
      <c r="G102" s="895"/>
      <c r="H102" s="896"/>
      <c r="I102" s="571"/>
      <c r="J102" s="82"/>
      <c r="K102" s="554"/>
      <c r="L102" s="520"/>
      <c r="M102" s="627"/>
      <c r="N102" s="92"/>
      <c r="O102" s="94"/>
      <c r="P102" s="20"/>
      <c r="Q102" s="20"/>
      <c r="R102" s="20"/>
      <c r="S102" s="20"/>
      <c r="T102" s="20"/>
      <c r="U102" s="20"/>
      <c r="V102" s="20"/>
      <c r="W102" s="20"/>
      <c r="Z102"/>
    </row>
    <row r="103" spans="2:26" hidden="1">
      <c r="B103" s="20"/>
      <c r="C103" s="20"/>
      <c r="D103" s="20"/>
      <c r="E103" s="20"/>
      <c r="F103" s="20"/>
      <c r="G103" s="20"/>
      <c r="H103" s="20"/>
      <c r="I103" s="20"/>
      <c r="J103" s="20"/>
      <c r="K103" s="20"/>
      <c r="L103" s="20"/>
      <c r="M103" s="627"/>
      <c r="N103" s="21"/>
      <c r="O103" s="94"/>
      <c r="P103" s="20"/>
      <c r="Q103" s="20"/>
      <c r="R103" s="20"/>
      <c r="S103" s="20"/>
      <c r="T103" s="20"/>
      <c r="U103" s="20"/>
      <c r="V103" s="20"/>
      <c r="W103" s="20"/>
      <c r="Z103"/>
    </row>
    <row r="104" spans="2:26" hidden="1">
      <c r="B104" s="20"/>
      <c r="C104" s="20"/>
      <c r="D104" s="20"/>
      <c r="E104" s="20"/>
      <c r="F104" s="20"/>
      <c r="G104" s="20"/>
      <c r="H104" s="20"/>
      <c r="I104" s="20"/>
      <c r="J104" s="20"/>
      <c r="K104" s="20"/>
      <c r="L104" s="20"/>
      <c r="M104" s="627"/>
      <c r="N104" s="20"/>
      <c r="O104" s="64"/>
      <c r="P104" s="20"/>
      <c r="Q104" s="20"/>
      <c r="R104" s="20"/>
      <c r="S104" s="20"/>
      <c r="T104" s="20"/>
      <c r="U104" s="20"/>
      <c r="V104" s="20"/>
      <c r="W104" s="20"/>
      <c r="Z104"/>
    </row>
    <row r="105" spans="2:26" ht="15" thickBot="1">
      <c r="B105" s="20"/>
      <c r="C105" s="20"/>
      <c r="D105" s="96"/>
      <c r="E105" s="20"/>
      <c r="F105" s="20"/>
      <c r="G105" s="20"/>
      <c r="H105" s="20"/>
      <c r="I105" s="20"/>
      <c r="J105" s="20"/>
      <c r="K105" s="20"/>
      <c r="L105" s="20"/>
      <c r="M105" s="627"/>
      <c r="N105" s="20"/>
      <c r="O105" s="64"/>
      <c r="P105" s="20"/>
      <c r="Q105" s="20"/>
      <c r="R105" s="20"/>
      <c r="S105" s="20"/>
      <c r="T105" s="20"/>
      <c r="U105" s="20"/>
      <c r="V105" s="20"/>
      <c r="W105" s="20"/>
      <c r="Z105"/>
    </row>
    <row r="106" spans="2:26" ht="24" customHeight="1">
      <c r="B106" s="833" t="s">
        <v>767</v>
      </c>
      <c r="C106" s="834"/>
      <c r="D106" s="835"/>
      <c r="E106" s="834"/>
      <c r="F106" s="834"/>
      <c r="G106" s="834"/>
      <c r="H106" s="834"/>
      <c r="I106" s="834"/>
      <c r="J106" s="834"/>
      <c r="K106" s="834"/>
      <c r="L106" s="836"/>
      <c r="M106" s="627"/>
      <c r="N106" s="20"/>
      <c r="O106" s="20"/>
      <c r="P106" s="20"/>
      <c r="Q106" s="20"/>
      <c r="R106" s="20"/>
      <c r="S106" s="20"/>
      <c r="T106" s="20"/>
      <c r="U106" s="20"/>
      <c r="V106" s="20"/>
      <c r="W106" s="20"/>
      <c r="Z106"/>
    </row>
    <row r="107" spans="2:26">
      <c r="B107" s="846" t="s">
        <v>17</v>
      </c>
      <c r="C107" s="847"/>
      <c r="D107" s="851" t="s">
        <v>35</v>
      </c>
      <c r="E107" s="837" t="s">
        <v>36</v>
      </c>
      <c r="F107" s="837"/>
      <c r="G107" s="837" t="s">
        <v>37</v>
      </c>
      <c r="H107" s="837"/>
      <c r="I107" s="83"/>
      <c r="J107" s="845" t="s">
        <v>24</v>
      </c>
      <c r="K107" s="555"/>
      <c r="L107" s="866" t="s">
        <v>655</v>
      </c>
      <c r="M107" s="627"/>
      <c r="N107" s="20"/>
      <c r="O107" s="20"/>
      <c r="P107" s="20"/>
      <c r="Q107" s="20"/>
      <c r="R107" s="20"/>
      <c r="S107" s="20"/>
      <c r="T107" s="20"/>
      <c r="U107" s="20"/>
      <c r="V107" s="20"/>
      <c r="W107" s="20"/>
      <c r="Z107"/>
    </row>
    <row r="108" spans="2:26" ht="42">
      <c r="B108" s="846"/>
      <c r="C108" s="847"/>
      <c r="D108" s="852"/>
      <c r="E108" s="83" t="s">
        <v>38</v>
      </c>
      <c r="F108" s="84" t="s">
        <v>39</v>
      </c>
      <c r="G108" s="84" t="s">
        <v>40</v>
      </c>
      <c r="H108" s="83" t="s">
        <v>41</v>
      </c>
      <c r="I108" s="83"/>
      <c r="J108" s="845"/>
      <c r="K108" s="555"/>
      <c r="L108" s="866"/>
      <c r="M108" s="627"/>
      <c r="N108" s="20"/>
      <c r="O108" s="20"/>
      <c r="P108" s="20"/>
      <c r="Q108" s="20"/>
      <c r="R108" s="20"/>
      <c r="S108" s="20"/>
      <c r="T108" s="20"/>
      <c r="U108" s="20"/>
      <c r="V108" s="20"/>
      <c r="W108" s="20"/>
      <c r="Z108"/>
    </row>
    <row r="109" spans="2:26">
      <c r="B109" s="825" t="s">
        <v>42</v>
      </c>
      <c r="C109" s="826"/>
      <c r="D109" s="11" t="s">
        <v>904</v>
      </c>
      <c r="E109" s="12"/>
      <c r="F109" s="85">
        <f ca="1">+IFERROR($L$81*E109,"")</f>
        <v>0</v>
      </c>
      <c r="G109" s="86" t="str">
        <f>+IF(D109="APLICA",$C$5,"")</f>
        <v/>
      </c>
      <c r="H109" s="13"/>
      <c r="I109" s="13"/>
      <c r="J109" s="193">
        <f ca="1">+VLOOKUP($C$12,$AY$150:$BI$153,3)</f>
        <v>3.0000000000000001E-3</v>
      </c>
      <c r="K109" s="556"/>
      <c r="L109" s="79" t="str">
        <f>IFERROR(IF(D109="aplica",ROUND(F109*J109*((G109+H109)/12),0),""),"")</f>
        <v/>
      </c>
      <c r="M109" s="627"/>
      <c r="N109" s="20"/>
      <c r="O109" s="20"/>
      <c r="P109" s="20"/>
      <c r="Q109" s="20"/>
      <c r="R109" s="20"/>
      <c r="S109" s="20"/>
      <c r="T109" s="20"/>
      <c r="U109" s="20"/>
      <c r="V109" s="20"/>
      <c r="W109" s="20"/>
      <c r="Z109"/>
    </row>
    <row r="110" spans="2:26">
      <c r="B110" s="825" t="s">
        <v>43</v>
      </c>
      <c r="C110" s="826"/>
      <c r="D110" s="11" t="s">
        <v>904</v>
      </c>
      <c r="E110" s="12"/>
      <c r="F110" s="85">
        <f ca="1">+IFERROR($L$81*E110,"")</f>
        <v>0</v>
      </c>
      <c r="G110" s="86" t="str">
        <f>+IF(D110="APLICA",$C$5,"")</f>
        <v/>
      </c>
      <c r="H110" s="13"/>
      <c r="I110" s="13"/>
      <c r="J110" s="193">
        <f ca="1">+VLOOKUP($C$12,$AY$150:$BI$153,4)</f>
        <v>3.0000000000000001E-3</v>
      </c>
      <c r="K110" s="556"/>
      <c r="L110" s="79" t="str">
        <f>IFERROR(IF(D110="aplica",ROUND(F110*J110*((G110+H110)/12),0),""),"")</f>
        <v/>
      </c>
      <c r="M110" s="627"/>
      <c r="N110" s="95"/>
      <c r="O110" s="20"/>
      <c r="P110" s="20"/>
      <c r="Q110" s="20"/>
      <c r="R110" s="20"/>
      <c r="S110" s="20"/>
      <c r="T110" s="20"/>
      <c r="U110" s="20"/>
      <c r="V110" s="20"/>
      <c r="W110" s="20"/>
      <c r="Z110"/>
    </row>
    <row r="111" spans="2:26">
      <c r="B111" s="825" t="s">
        <v>44</v>
      </c>
      <c r="C111" s="826"/>
      <c r="D111" s="11" t="s">
        <v>763</v>
      </c>
      <c r="E111" s="12">
        <v>0.1</v>
      </c>
      <c r="F111" s="85">
        <f ca="1">+IF(D111="aplica",IFERROR($L$81*E111,""),"")</f>
        <v>87348100.900000006</v>
      </c>
      <c r="G111" s="86">
        <f>+IF(D111="APLICA",$C$5,"")</f>
        <v>5</v>
      </c>
      <c r="H111" s="13">
        <v>6</v>
      </c>
      <c r="I111" s="13"/>
      <c r="J111" s="193">
        <f ca="1">+VLOOKUP($C$12,$AY$150:$BI$153,5)</f>
        <v>3.0000000000000001E-3</v>
      </c>
      <c r="K111" s="556"/>
      <c r="L111" s="79">
        <f t="shared" ref="L111:L117" ca="1" si="10">IFERROR(IF(D111="aplica",ROUND(F111*J111*((G111+H111)/12),0),""),"")</f>
        <v>240207</v>
      </c>
      <c r="M111" s="627"/>
      <c r="N111" s="95"/>
      <c r="O111" s="20"/>
      <c r="P111" s="20"/>
      <c r="Q111" s="20"/>
      <c r="R111" s="20"/>
      <c r="S111" s="20"/>
      <c r="T111" s="20"/>
      <c r="U111" s="20"/>
      <c r="V111" s="20"/>
      <c r="W111" s="20"/>
      <c r="Z111"/>
    </row>
    <row r="112" spans="2:26">
      <c r="B112" s="825" t="s">
        <v>45</v>
      </c>
      <c r="C112" s="826"/>
      <c r="D112" s="11" t="s">
        <v>763</v>
      </c>
      <c r="E112" s="12">
        <v>0.05</v>
      </c>
      <c r="F112" s="85">
        <f ca="1">+IF(D112="aplica",IFERROR($L$81*E112,""),"")</f>
        <v>43674050.450000003</v>
      </c>
      <c r="G112" s="86">
        <f>+IF(D112="APLICA",$C$5,"")</f>
        <v>5</v>
      </c>
      <c r="H112" s="68">
        <f>+IF(D112="aplica",36,"")</f>
        <v>36</v>
      </c>
      <c r="I112" s="68"/>
      <c r="J112" s="193">
        <f ca="1">+VLOOKUP($C$12,$AY$150:$BI$153,6)</f>
        <v>2.5000000000000001E-3</v>
      </c>
      <c r="K112" s="556"/>
      <c r="L112" s="79">
        <f ca="1">IFERROR(IF(D112="aplica",ROUND(F112*J112*((G112+H112)/12),0),""),"")</f>
        <v>373049</v>
      </c>
      <c r="M112" s="627"/>
      <c r="N112" s="95"/>
      <c r="O112" s="20"/>
      <c r="P112" s="20"/>
      <c r="Q112" s="20"/>
      <c r="R112" s="20"/>
      <c r="S112" s="20"/>
      <c r="T112" s="20"/>
      <c r="U112" s="20"/>
      <c r="V112" s="20"/>
      <c r="W112" s="20"/>
      <c r="Z112"/>
    </row>
    <row r="113" spans="2:26">
      <c r="B113" s="825" t="s">
        <v>46</v>
      </c>
      <c r="C113" s="826"/>
      <c r="D113" s="11"/>
      <c r="E113" s="12"/>
      <c r="F113" s="85" t="str">
        <f>+IF(D113="aplica",IFERROR($L$81*E113,""),"")</f>
        <v/>
      </c>
      <c r="G113" s="86"/>
      <c r="H113" s="13"/>
      <c r="I113" s="13"/>
      <c r="J113" s="193">
        <f ca="1">+VLOOKUP($C$12,$AY$150:$BI$153,7)</f>
        <v>3.0000000000000001E-3</v>
      </c>
      <c r="K113" s="556"/>
      <c r="L113" s="79" t="str">
        <f>IFERROR(IF(D113="aplica",ROUND(F113*J113*((G113+H113)/12),0),""),"")</f>
        <v/>
      </c>
      <c r="M113" s="627"/>
      <c r="N113" s="95"/>
      <c r="O113" s="20"/>
      <c r="P113" s="20"/>
      <c r="Q113" s="20"/>
      <c r="R113" s="20"/>
      <c r="S113" s="20"/>
      <c r="T113" s="20"/>
      <c r="U113" s="20"/>
      <c r="V113" s="20"/>
      <c r="W113" s="20"/>
      <c r="Z113"/>
    </row>
    <row r="114" spans="2:26">
      <c r="B114" s="825" t="s">
        <v>47</v>
      </c>
      <c r="C114" s="826"/>
      <c r="D114" s="11" t="s">
        <v>763</v>
      </c>
      <c r="E114" s="12">
        <v>0.1</v>
      </c>
      <c r="F114" s="85">
        <f ca="1">+IF(D114="aplica",IFERROR($L$81*E114,""),"")</f>
        <v>87348100.900000006</v>
      </c>
      <c r="G114" s="86">
        <f>+IF(D114="APLICA",$C$5,"")</f>
        <v>5</v>
      </c>
      <c r="H114" s="13">
        <v>60</v>
      </c>
      <c r="I114" s="13"/>
      <c r="J114" s="193">
        <f ca="1">+VLOOKUP($C$12,$AY$150:$BI$153,8)</f>
        <v>3.0000000000000001E-3</v>
      </c>
      <c r="K114" s="556"/>
      <c r="L114" s="79">
        <f ca="1">IFERROR(IF(D114="aplica",ROUND(F114*J114*((G114+H114)/12),0),""),"")</f>
        <v>1419407</v>
      </c>
      <c r="M114" s="627"/>
      <c r="N114" s="95"/>
      <c r="O114" s="20"/>
      <c r="P114" s="20"/>
      <c r="Q114" s="20"/>
      <c r="R114" s="20"/>
      <c r="S114" s="20"/>
      <c r="T114" s="20"/>
      <c r="U114" s="20"/>
      <c r="V114" s="20"/>
      <c r="W114" s="20"/>
      <c r="Z114"/>
    </row>
    <row r="115" spans="2:26" ht="24.75" customHeight="1">
      <c r="B115" s="825" t="s">
        <v>48</v>
      </c>
      <c r="C115" s="826"/>
      <c r="D115" s="11"/>
      <c r="E115" s="12"/>
      <c r="F115" s="85" t="str">
        <f>+IF(D115="aplica",IFERROR($L$81*E115,""),"")</f>
        <v/>
      </c>
      <c r="G115" s="86" t="str">
        <f>+IF(D115="APLICA",$C$5,"")</f>
        <v/>
      </c>
      <c r="H115" s="13"/>
      <c r="I115" s="13"/>
      <c r="J115" s="193">
        <f ca="1">+VLOOKUP($C$12,$AY$150:$BI$153,9)</f>
        <v>3.0000000000000001E-3</v>
      </c>
      <c r="K115" s="556"/>
      <c r="L115" s="79" t="str">
        <f>IFERROR(IF(D115="aplica",ROUND(F115*J115*((G115+H115)/12),0),""),"")</f>
        <v/>
      </c>
      <c r="M115" s="20"/>
      <c r="N115" s="883" t="s">
        <v>118</v>
      </c>
      <c r="O115" s="884"/>
      <c r="P115" s="20"/>
      <c r="Q115" s="20"/>
      <c r="R115" s="20"/>
      <c r="S115" s="20"/>
      <c r="T115" s="20"/>
      <c r="U115" s="20"/>
      <c r="V115" s="20"/>
      <c r="W115" s="20"/>
      <c r="Z115"/>
    </row>
    <row r="116" spans="2:26" ht="15" customHeight="1">
      <c r="B116" s="65" t="s">
        <v>49</v>
      </c>
      <c r="C116" s="12" t="s">
        <v>70</v>
      </c>
      <c r="D116" s="11" t="s">
        <v>763</v>
      </c>
      <c r="E116" s="66">
        <v>200</v>
      </c>
      <c r="F116" s="85">
        <f>+IF(D116="no aplica","",IF(C116="smmlv",E116*$X$144,E116*C13))</f>
        <v>260000000</v>
      </c>
      <c r="G116" s="86">
        <f>+IF(D116="APLICA",$C$5,"")</f>
        <v>5</v>
      </c>
      <c r="H116" s="67"/>
      <c r="I116" s="67"/>
      <c r="J116" s="193">
        <f ca="1">+VLOOKUP($C$12,$AY$150:$BI$153,10)</f>
        <v>3.0000000000000001E-3</v>
      </c>
      <c r="K116" s="556"/>
      <c r="L116" s="79">
        <f ca="1">IFERROR(IF(D116="aplica",ROUND(F116*J116*((G116+H116)/12),0),""),"")</f>
        <v>325000</v>
      </c>
      <c r="M116" s="20"/>
      <c r="N116" s="97">
        <f ca="1">IF(D116="aplica",VLOOKUP($G$12,$BM$149:$BO$153,3),"")</f>
        <v>200</v>
      </c>
      <c r="O116" s="98" t="s">
        <v>120</v>
      </c>
      <c r="P116" s="20"/>
      <c r="Q116" s="20"/>
      <c r="R116" s="20"/>
      <c r="S116" s="20"/>
      <c r="T116" s="20"/>
      <c r="U116" s="20"/>
      <c r="V116" s="20"/>
      <c r="W116" s="20"/>
      <c r="Z116"/>
    </row>
    <row r="117" spans="2:26">
      <c r="B117" s="825" t="s">
        <v>50</v>
      </c>
      <c r="C117" s="826"/>
      <c r="D117" s="11"/>
      <c r="E117" s="12"/>
      <c r="F117" s="85">
        <f ca="1">+IFERROR($L$81*E117,"")</f>
        <v>0</v>
      </c>
      <c r="G117" s="86" t="str">
        <f>+IF(D117="APLICA",$C$5,"")</f>
        <v/>
      </c>
      <c r="H117" s="13"/>
      <c r="I117" s="13"/>
      <c r="J117" s="193">
        <f ca="1">+VLOOKUP($C$12,$AY$150:$BI$153,11)</f>
        <v>1.4E-3</v>
      </c>
      <c r="K117" s="556"/>
      <c r="L117" s="79" t="str">
        <f t="shared" si="10"/>
        <v/>
      </c>
      <c r="M117" s="20"/>
      <c r="N117" s="99">
        <f ca="1">IF(D116="aplica",(VLOOKUP($G$12,$BM$149:$BQ$153,5)),"")</f>
        <v>260000000</v>
      </c>
      <c r="O117" s="98" t="s">
        <v>119</v>
      </c>
      <c r="P117" s="20"/>
      <c r="Q117" s="20"/>
      <c r="R117" s="20"/>
      <c r="S117" s="92"/>
      <c r="T117" s="20"/>
      <c r="U117" s="20"/>
      <c r="V117" s="20"/>
      <c r="W117" s="20"/>
      <c r="Z117"/>
    </row>
    <row r="118" spans="2:26" ht="16" thickBot="1">
      <c r="B118" s="862" t="s">
        <v>656</v>
      </c>
      <c r="C118" s="863"/>
      <c r="D118" s="863"/>
      <c r="E118" s="863"/>
      <c r="F118" s="863"/>
      <c r="G118" s="863"/>
      <c r="H118" s="863"/>
      <c r="I118" s="863"/>
      <c r="J118" s="864"/>
      <c r="K118" s="668"/>
      <c r="L118" s="669">
        <f ca="1">ROUND(SUM(L109:L117),0)</f>
        <v>2357663</v>
      </c>
      <c r="M118" s="20"/>
      <c r="N118" s="670"/>
      <c r="O118" s="20"/>
      <c r="P118" s="20"/>
      <c r="Q118" s="20"/>
      <c r="R118" s="20"/>
      <c r="S118" s="92"/>
      <c r="T118" s="20"/>
      <c r="U118" s="20"/>
      <c r="V118" s="20"/>
      <c r="W118" s="20"/>
      <c r="Z118"/>
    </row>
    <row r="119" spans="2:26" ht="16" thickBot="1">
      <c r="B119" s="862" t="s">
        <v>556</v>
      </c>
      <c r="C119" s="863"/>
      <c r="D119" s="863"/>
      <c r="E119" s="863"/>
      <c r="F119" s="863"/>
      <c r="G119" s="863"/>
      <c r="H119" s="863"/>
      <c r="I119" s="863"/>
      <c r="J119" s="864"/>
      <c r="K119" s="645">
        <v>0.19</v>
      </c>
      <c r="L119" s="669">
        <f ca="1">ROUND($L$118*$K$119,0)</f>
        <v>447956</v>
      </c>
      <c r="M119" s="20"/>
      <c r="N119" s="670"/>
      <c r="O119" s="20"/>
      <c r="P119" s="20"/>
      <c r="Q119" s="20"/>
      <c r="R119" s="20"/>
      <c r="S119" s="92"/>
      <c r="T119" s="20"/>
      <c r="U119" s="20"/>
      <c r="V119" s="20"/>
      <c r="W119" s="20"/>
      <c r="Z119"/>
    </row>
    <row r="120" spans="2:26" ht="16" thickBot="1">
      <c r="B120" s="862" t="s">
        <v>657</v>
      </c>
      <c r="C120" s="863"/>
      <c r="D120" s="863"/>
      <c r="E120" s="863"/>
      <c r="F120" s="863"/>
      <c r="G120" s="863"/>
      <c r="H120" s="863"/>
      <c r="I120" s="863"/>
      <c r="J120" s="864"/>
      <c r="K120" s="538"/>
      <c r="L120" s="15">
        <f ca="1">+L118+L119</f>
        <v>2805619</v>
      </c>
      <c r="M120" s="20"/>
      <c r="P120" s="20"/>
      <c r="Q120" s="20"/>
      <c r="R120" s="20"/>
      <c r="S120" s="20"/>
      <c r="T120" s="20"/>
      <c r="U120" s="20"/>
      <c r="V120" s="20"/>
      <c r="W120" s="20"/>
      <c r="Z120"/>
    </row>
    <row r="121" spans="2:26">
      <c r="N121" s="20"/>
      <c r="O121" s="20"/>
      <c r="P121" s="20"/>
      <c r="Q121" s="20"/>
      <c r="R121" s="20"/>
      <c r="S121" s="20"/>
      <c r="T121" s="20"/>
      <c r="U121" s="20"/>
      <c r="V121" s="20"/>
      <c r="W121" s="20"/>
      <c r="X121" s="20"/>
    </row>
    <row r="122" spans="2:26">
      <c r="B122" s="865"/>
      <c r="C122" s="865"/>
      <c r="D122" s="865"/>
      <c r="E122" s="865"/>
      <c r="F122" s="865"/>
      <c r="G122" s="865"/>
      <c r="H122" s="865"/>
      <c r="I122" s="865"/>
      <c r="J122" s="865"/>
      <c r="K122" s="865"/>
      <c r="L122" s="865"/>
      <c r="M122" s="563"/>
      <c r="N122" s="20"/>
      <c r="O122" s="20"/>
      <c r="P122" s="20"/>
      <c r="Q122" s="20"/>
      <c r="R122" s="20"/>
      <c r="S122" s="20"/>
      <c r="T122" s="20"/>
      <c r="U122" s="20"/>
      <c r="V122" s="20"/>
      <c r="W122" s="20"/>
      <c r="X122" s="20"/>
    </row>
    <row r="123" spans="2:26" ht="18">
      <c r="B123" s="887"/>
      <c r="C123" s="887"/>
      <c r="D123" s="887"/>
      <c r="E123" s="887"/>
      <c r="F123" s="887"/>
      <c r="G123" s="887"/>
      <c r="H123" s="887"/>
      <c r="I123" s="887"/>
      <c r="J123" s="887"/>
      <c r="K123" s="887"/>
      <c r="L123" s="887"/>
      <c r="M123" s="564"/>
      <c r="O123" s="20"/>
      <c r="P123" s="20"/>
      <c r="Q123" s="20"/>
      <c r="R123" s="20"/>
      <c r="S123" s="20"/>
      <c r="T123" s="20"/>
      <c r="U123" s="20"/>
      <c r="V123" s="20"/>
      <c r="W123" s="20"/>
      <c r="X123" s="20"/>
    </row>
    <row r="124" spans="2:26" ht="15" customHeight="1">
      <c r="B124" s="887"/>
      <c r="C124" s="887"/>
      <c r="D124" s="887"/>
      <c r="E124" s="887"/>
      <c r="F124" s="887"/>
      <c r="G124" s="887"/>
      <c r="H124" s="887"/>
      <c r="I124" s="887"/>
      <c r="J124" s="887"/>
      <c r="K124" s="887"/>
      <c r="L124" s="887"/>
      <c r="M124" s="564"/>
      <c r="N124" s="20"/>
      <c r="O124" s="20"/>
      <c r="P124" s="20"/>
      <c r="Q124" s="20"/>
      <c r="R124" s="20"/>
      <c r="S124" s="20"/>
      <c r="T124" s="20"/>
      <c r="U124" s="20"/>
      <c r="V124" s="20"/>
      <c r="W124" s="20"/>
      <c r="X124" s="20"/>
    </row>
    <row r="125" spans="2:26" ht="68.25" customHeight="1">
      <c r="B125" s="887"/>
      <c r="C125" s="887"/>
      <c r="D125" s="887"/>
      <c r="E125" s="887"/>
      <c r="F125" s="887"/>
      <c r="G125" s="887"/>
      <c r="H125" s="887"/>
      <c r="I125" s="887"/>
      <c r="J125" s="887"/>
      <c r="K125" s="887"/>
      <c r="L125" s="887"/>
      <c r="M125" s="564"/>
      <c r="N125" s="20"/>
      <c r="O125" s="20"/>
      <c r="P125" s="20"/>
      <c r="Q125" s="20"/>
      <c r="R125" s="20"/>
      <c r="S125" s="20"/>
      <c r="T125" s="20"/>
      <c r="U125" s="20"/>
      <c r="V125" s="20"/>
      <c r="W125" s="20"/>
      <c r="X125" s="20"/>
    </row>
    <row r="126" spans="2:26" ht="43.5" customHeight="1">
      <c r="B126" s="892"/>
      <c r="C126" s="893"/>
      <c r="D126" s="893"/>
      <c r="E126" s="893"/>
      <c r="F126" s="893"/>
      <c r="G126" s="893"/>
      <c r="H126" s="893"/>
      <c r="I126" s="893"/>
      <c r="J126" s="893"/>
      <c r="K126" s="893"/>
      <c r="L126" s="893"/>
      <c r="M126" s="565"/>
      <c r="N126" s="20"/>
      <c r="O126" s="20"/>
      <c r="P126" s="20"/>
      <c r="Q126" s="20"/>
      <c r="R126" s="20"/>
      <c r="S126" s="20"/>
      <c r="T126" s="20"/>
      <c r="U126" s="20"/>
      <c r="V126" s="20"/>
      <c r="W126" s="20"/>
      <c r="X126" s="20"/>
    </row>
    <row r="127" spans="2:26" ht="43.5" customHeight="1">
      <c r="B127" s="893"/>
      <c r="C127" s="893"/>
      <c r="D127" s="893"/>
      <c r="E127" s="893"/>
      <c r="F127" s="893"/>
      <c r="G127" s="893"/>
      <c r="H127" s="893"/>
      <c r="I127" s="893"/>
      <c r="J127" s="893"/>
      <c r="K127" s="893"/>
      <c r="L127" s="893"/>
      <c r="M127" s="565"/>
      <c r="N127" s="20"/>
      <c r="O127" s="20"/>
      <c r="P127" s="20"/>
      <c r="Q127" s="20"/>
      <c r="R127" s="20"/>
      <c r="S127" s="20"/>
      <c r="T127" s="20"/>
      <c r="U127" s="20"/>
      <c r="V127" s="20"/>
      <c r="W127" s="20"/>
      <c r="X127" s="20"/>
    </row>
    <row r="128" spans="2:26" ht="23.25" customHeight="1">
      <c r="B128" s="893"/>
      <c r="C128" s="893"/>
      <c r="D128" s="893"/>
      <c r="E128" s="893"/>
      <c r="F128" s="893"/>
      <c r="G128" s="893"/>
      <c r="H128" s="893"/>
      <c r="I128" s="893"/>
      <c r="J128" s="893"/>
      <c r="K128" s="893"/>
      <c r="L128" s="893"/>
      <c r="M128" s="565"/>
      <c r="N128" s="20"/>
      <c r="O128" s="20"/>
      <c r="P128" s="20"/>
      <c r="Q128" s="20"/>
      <c r="R128" s="20"/>
      <c r="S128" s="20"/>
      <c r="T128" s="20"/>
      <c r="U128" s="20"/>
      <c r="V128" s="20"/>
      <c r="W128" s="20"/>
      <c r="X128" s="20"/>
    </row>
    <row r="129" spans="1:26">
      <c r="B129"/>
      <c r="C129"/>
      <c r="D129"/>
      <c r="E129"/>
      <c r="F129"/>
      <c r="G129"/>
      <c r="H129"/>
      <c r="I129"/>
      <c r="J129"/>
      <c r="K129"/>
      <c r="L129"/>
      <c r="M129"/>
      <c r="N129" s="20"/>
      <c r="O129" s="20"/>
      <c r="P129" s="20"/>
      <c r="Q129" s="20"/>
      <c r="R129" s="20"/>
      <c r="S129" s="20"/>
      <c r="T129" s="20"/>
      <c r="U129" s="20"/>
      <c r="V129" s="20"/>
      <c r="W129" s="20"/>
      <c r="X129" s="20"/>
    </row>
    <row r="130" spans="1:26">
      <c r="A130"/>
      <c r="B130"/>
      <c r="C130"/>
      <c r="D130"/>
      <c r="E130"/>
      <c r="F130"/>
      <c r="G130"/>
      <c r="H130"/>
      <c r="I130"/>
      <c r="J130"/>
      <c r="K130"/>
      <c r="L130"/>
      <c r="M130"/>
      <c r="N130"/>
      <c r="O130"/>
      <c r="P130"/>
      <c r="Q130"/>
      <c r="R130"/>
      <c r="S130"/>
      <c r="T130"/>
      <c r="U130"/>
      <c r="V130"/>
      <c r="W130"/>
      <c r="X130"/>
      <c r="Y130"/>
      <c r="Z130"/>
    </row>
    <row r="131" spans="1:26">
      <c r="A131"/>
      <c r="B131"/>
      <c r="C131"/>
      <c r="D131"/>
      <c r="E131"/>
      <c r="F131"/>
      <c r="G131"/>
      <c r="H131"/>
      <c r="I131"/>
      <c r="J131"/>
      <c r="K131"/>
      <c r="L131"/>
      <c r="M131"/>
      <c r="N131"/>
      <c r="O131"/>
      <c r="P131"/>
      <c r="Q131"/>
      <c r="R131"/>
      <c r="S131"/>
      <c r="T131"/>
      <c r="U131"/>
      <c r="V131"/>
      <c r="W131"/>
      <c r="X131"/>
      <c r="Y131"/>
      <c r="Z131"/>
    </row>
    <row r="132" spans="1:26">
      <c r="A132"/>
      <c r="B132"/>
      <c r="C132"/>
      <c r="D132"/>
      <c r="E132"/>
      <c r="F132"/>
      <c r="G132"/>
      <c r="H132"/>
      <c r="I132"/>
      <c r="J132"/>
      <c r="K132"/>
      <c r="L132"/>
      <c r="M132"/>
      <c r="N132"/>
      <c r="O132"/>
      <c r="P132"/>
      <c r="Q132"/>
      <c r="R132"/>
      <c r="S132"/>
      <c r="T132"/>
      <c r="U132"/>
      <c r="V132"/>
      <c r="W132"/>
      <c r="X132"/>
      <c r="Y132"/>
      <c r="Z132"/>
    </row>
    <row r="133" spans="1:26" ht="17.25" customHeight="1">
      <c r="A133"/>
      <c r="B133"/>
      <c r="C133"/>
      <c r="D133"/>
      <c r="E133"/>
      <c r="F133"/>
      <c r="G133"/>
      <c r="H133"/>
      <c r="I133"/>
      <c r="J133"/>
      <c r="K133"/>
      <c r="L133"/>
      <c r="M133"/>
      <c r="N133"/>
      <c r="O133"/>
      <c r="P133"/>
      <c r="Q133"/>
      <c r="R133"/>
      <c r="S133"/>
      <c r="T133"/>
      <c r="U133"/>
      <c r="V133"/>
      <c r="W133"/>
      <c r="X133"/>
      <c r="Y133"/>
      <c r="Z133"/>
    </row>
    <row r="134" spans="1:26" ht="17.25" customHeight="1">
      <c r="A134"/>
      <c r="B134"/>
      <c r="C134"/>
      <c r="D134"/>
      <c r="E134"/>
      <c r="F134"/>
      <c r="G134"/>
      <c r="H134"/>
      <c r="I134"/>
      <c r="J134"/>
      <c r="K134"/>
      <c r="L134"/>
      <c r="M134"/>
      <c r="N134"/>
      <c r="O134"/>
      <c r="P134"/>
      <c r="Q134"/>
      <c r="R134"/>
      <c r="S134"/>
      <c r="T134"/>
      <c r="U134"/>
      <c r="V134"/>
      <c r="W134"/>
      <c r="X134"/>
      <c r="Y134"/>
      <c r="Z134"/>
    </row>
    <row r="135" spans="1:26" ht="17.25" customHeight="1">
      <c r="A135"/>
      <c r="B135"/>
      <c r="C135"/>
      <c r="D135"/>
      <c r="E135"/>
      <c r="F135"/>
      <c r="G135"/>
      <c r="H135"/>
      <c r="I135"/>
      <c r="J135"/>
      <c r="K135"/>
      <c r="L135"/>
      <c r="M135"/>
      <c r="N135"/>
      <c r="O135"/>
      <c r="P135"/>
      <c r="Q135"/>
      <c r="R135"/>
      <c r="S135"/>
      <c r="T135"/>
      <c r="U135"/>
      <c r="V135"/>
      <c r="W135"/>
      <c r="X135"/>
      <c r="Y135"/>
      <c r="Z135"/>
    </row>
    <row r="136" spans="1:26" ht="17.25" customHeight="1">
      <c r="A136"/>
      <c r="B136"/>
      <c r="C136"/>
      <c r="D136"/>
      <c r="E136"/>
      <c r="F136"/>
      <c r="G136"/>
      <c r="H136"/>
      <c r="I136"/>
      <c r="J136"/>
      <c r="K136"/>
      <c r="L136"/>
      <c r="M136"/>
      <c r="N136"/>
      <c r="O136"/>
      <c r="P136"/>
      <c r="Q136"/>
      <c r="R136"/>
      <c r="S136"/>
      <c r="T136"/>
      <c r="U136"/>
      <c r="V136"/>
      <c r="W136"/>
      <c r="X136"/>
      <c r="Y136"/>
      <c r="Z136"/>
    </row>
    <row r="137" spans="1:26" ht="17.25" customHeight="1">
      <c r="A137"/>
      <c r="B137"/>
      <c r="C137"/>
      <c r="D137"/>
      <c r="E137"/>
      <c r="F137"/>
      <c r="G137"/>
      <c r="H137"/>
      <c r="I137"/>
      <c r="J137"/>
      <c r="K137"/>
      <c r="L137"/>
      <c r="M137"/>
      <c r="N137"/>
      <c r="O137"/>
      <c r="P137"/>
      <c r="Q137"/>
      <c r="R137"/>
      <c r="S137"/>
      <c r="T137"/>
      <c r="U137"/>
      <c r="V137"/>
      <c r="W137"/>
      <c r="X137"/>
      <c r="Y137"/>
      <c r="Z137"/>
    </row>
    <row r="138" spans="1:26" ht="17.25" customHeight="1">
      <c r="A138"/>
      <c r="B138"/>
      <c r="C138"/>
      <c r="D138"/>
      <c r="E138"/>
      <c r="F138"/>
      <c r="G138"/>
      <c r="H138"/>
      <c r="I138"/>
      <c r="J138"/>
      <c r="K138"/>
      <c r="L138"/>
      <c r="M138"/>
      <c r="N138"/>
      <c r="O138"/>
      <c r="P138"/>
      <c r="Q138"/>
      <c r="R138"/>
      <c r="S138"/>
      <c r="T138"/>
      <c r="U138"/>
      <c r="V138"/>
      <c r="W138"/>
      <c r="X138"/>
      <c r="Y138"/>
      <c r="Z138"/>
    </row>
    <row r="139" spans="1:26" ht="17.25" customHeight="1">
      <c r="A139"/>
      <c r="B139"/>
      <c r="C139"/>
      <c r="D139"/>
      <c r="E139"/>
      <c r="F139"/>
      <c r="G139"/>
      <c r="H139"/>
      <c r="I139"/>
      <c r="J139"/>
      <c r="K139"/>
      <c r="L139"/>
      <c r="M139"/>
      <c r="N139"/>
      <c r="O139"/>
      <c r="P139"/>
      <c r="Q139"/>
      <c r="R139"/>
      <c r="S139"/>
      <c r="T139"/>
      <c r="U139"/>
      <c r="V139"/>
      <c r="W139"/>
      <c r="X139"/>
      <c r="Y139"/>
      <c r="Z139"/>
    </row>
    <row r="140" spans="1:26" ht="17.25" customHeight="1">
      <c r="A140"/>
      <c r="B140"/>
      <c r="C140"/>
      <c r="D140"/>
      <c r="E140"/>
      <c r="F140"/>
      <c r="G140"/>
      <c r="H140"/>
      <c r="I140"/>
      <c r="J140"/>
      <c r="K140"/>
      <c r="L140"/>
      <c r="M140"/>
      <c r="N140"/>
      <c r="O140"/>
      <c r="P140"/>
      <c r="Q140"/>
      <c r="R140"/>
      <c r="S140"/>
      <c r="T140"/>
      <c r="U140"/>
      <c r="V140"/>
      <c r="W140"/>
      <c r="X140"/>
      <c r="Y140"/>
      <c r="Z140"/>
    </row>
    <row r="141" spans="1:26" ht="17.25" customHeight="1">
      <c r="A141"/>
      <c r="B141"/>
      <c r="C141"/>
      <c r="D141"/>
      <c r="E141"/>
      <c r="F141"/>
      <c r="G141"/>
      <c r="H141"/>
      <c r="I141"/>
      <c r="J141"/>
      <c r="K141"/>
      <c r="L141"/>
      <c r="M141"/>
      <c r="N141"/>
      <c r="O141"/>
      <c r="P141"/>
      <c r="Q141"/>
      <c r="R141"/>
      <c r="S141"/>
      <c r="T141"/>
      <c r="U141"/>
      <c r="V141"/>
      <c r="W141"/>
      <c r="X141"/>
      <c r="Y141"/>
      <c r="Z141"/>
    </row>
    <row r="142" spans="1:26" ht="17.25" customHeight="1">
      <c r="A142"/>
      <c r="B142"/>
      <c r="C142"/>
      <c r="D142"/>
      <c r="E142"/>
      <c r="F142"/>
      <c r="G142"/>
      <c r="H142"/>
      <c r="I142"/>
      <c r="J142"/>
      <c r="K142"/>
      <c r="L142"/>
      <c r="M142"/>
      <c r="N142"/>
      <c r="O142"/>
      <c r="P142"/>
      <c r="Q142"/>
      <c r="R142"/>
      <c r="S142"/>
      <c r="T142"/>
      <c r="U142"/>
      <c r="V142"/>
      <c r="W142"/>
      <c r="X142"/>
      <c r="Y142"/>
      <c r="Z142"/>
    </row>
    <row r="143" spans="1:26" ht="17.25" customHeight="1">
      <c r="A143"/>
      <c r="B143"/>
      <c r="C143"/>
      <c r="D143"/>
      <c r="E143"/>
      <c r="F143"/>
      <c r="G143"/>
      <c r="H143"/>
      <c r="I143"/>
      <c r="J143"/>
      <c r="K143"/>
      <c r="L143"/>
      <c r="M143"/>
      <c r="N143"/>
      <c r="O143"/>
      <c r="P143"/>
      <c r="Q143"/>
      <c r="R143"/>
      <c r="S143"/>
      <c r="T143"/>
      <c r="U143"/>
      <c r="V143"/>
      <c r="W143"/>
      <c r="X143"/>
      <c r="Y143"/>
      <c r="Z143"/>
    </row>
    <row r="144" spans="1:26" ht="29.25" customHeight="1">
      <c r="A144"/>
      <c r="B144"/>
      <c r="C144"/>
      <c r="D144"/>
      <c r="E144" s="694" t="s">
        <v>51</v>
      </c>
      <c r="F144"/>
      <c r="G144" s="695" t="s">
        <v>14</v>
      </c>
      <c r="H144" s="694" t="s">
        <v>702</v>
      </c>
      <c r="I144" s="719" t="s">
        <v>818</v>
      </c>
      <c r="J144"/>
      <c r="K144"/>
      <c r="L144"/>
      <c r="M144"/>
      <c r="N144"/>
      <c r="O144"/>
      <c r="P144"/>
      <c r="Q144"/>
      <c r="R144"/>
      <c r="S144"/>
      <c r="T144"/>
      <c r="U144"/>
      <c r="V144"/>
      <c r="W144" s="888" t="s">
        <v>817</v>
      </c>
      <c r="X144" s="889">
        <v>1300000</v>
      </c>
      <c r="Y144" s="890">
        <f>+X144*10</f>
        <v>13000000</v>
      </c>
      <c r="Z144"/>
    </row>
    <row r="145" spans="1:73" ht="17.25" customHeight="1">
      <c r="A145"/>
      <c r="B145"/>
      <c r="C145"/>
      <c r="D145"/>
      <c r="E145" s="696" t="s">
        <v>715</v>
      </c>
      <c r="F145"/>
      <c r="G145" t="s">
        <v>600</v>
      </c>
      <c r="H145" s="3" t="s">
        <v>790</v>
      </c>
      <c r="I145"/>
      <c r="J145"/>
      <c r="L145"/>
      <c r="M145"/>
      <c r="N145"/>
      <c r="O145"/>
      <c r="P145"/>
      <c r="Q145"/>
      <c r="R145"/>
      <c r="S145"/>
      <c r="T145"/>
      <c r="U145"/>
      <c r="V145"/>
      <c r="W145" s="888"/>
      <c r="X145" s="889"/>
      <c r="Y145" s="890"/>
      <c r="Z145"/>
    </row>
    <row r="146" spans="1:73" ht="17.25" customHeight="1">
      <c r="A146"/>
      <c r="B146"/>
      <c r="C146"/>
      <c r="D146"/>
      <c r="E146" s="696" t="s">
        <v>716</v>
      </c>
      <c r="F146"/>
      <c r="G146" t="s">
        <v>601</v>
      </c>
      <c r="H146" s="3" t="s">
        <v>791</v>
      </c>
      <c r="I146"/>
      <c r="J146"/>
      <c r="L146"/>
      <c r="M146"/>
      <c r="N146"/>
      <c r="O146"/>
      <c r="P146"/>
      <c r="Q146"/>
      <c r="R146"/>
      <c r="S146"/>
      <c r="T146"/>
      <c r="U146"/>
      <c r="V146"/>
      <c r="W146" s="726" t="s">
        <v>54</v>
      </c>
      <c r="X146" s="732">
        <v>162000</v>
      </c>
      <c r="Y146"/>
      <c r="Z146"/>
    </row>
    <row r="147" spans="1:73" ht="17.25" customHeight="1" thickBot="1">
      <c r="A147"/>
      <c r="B147"/>
      <c r="C147"/>
      <c r="D147"/>
      <c r="E147" s="696" t="s">
        <v>717</v>
      </c>
      <c r="F147"/>
      <c r="G147" t="s">
        <v>602</v>
      </c>
      <c r="H147" s="3" t="s">
        <v>792</v>
      </c>
      <c r="I147"/>
      <c r="J147"/>
      <c r="L147"/>
      <c r="M147"/>
      <c r="N147"/>
      <c r="O147"/>
      <c r="P147"/>
      <c r="Q147"/>
      <c r="R147"/>
      <c r="S147"/>
      <c r="T147"/>
      <c r="U147"/>
      <c r="V147"/>
      <c r="W147"/>
      <c r="X147"/>
      <c r="Y147"/>
      <c r="Z147"/>
    </row>
    <row r="148" spans="1:73" ht="17.25" customHeight="1" thickBot="1">
      <c r="A148"/>
      <c r="B148"/>
      <c r="C148"/>
      <c r="D148"/>
      <c r="E148" s="696" t="s">
        <v>718</v>
      </c>
      <c r="F148"/>
      <c r="G148" t="s">
        <v>554</v>
      </c>
      <c r="H148" s="3" t="s">
        <v>793</v>
      </c>
      <c r="I148"/>
      <c r="J148"/>
      <c r="L148"/>
      <c r="M148"/>
      <c r="N148"/>
      <c r="O148" s="101"/>
      <c r="P148" s="102"/>
      <c r="Q148" s="103"/>
      <c r="R148" s="104"/>
      <c r="S148" s="105"/>
      <c r="T148"/>
      <c r="U148"/>
      <c r="V148"/>
      <c r="W148" s="16" t="s">
        <v>56</v>
      </c>
      <c r="X148" s="16" t="s">
        <v>57</v>
      </c>
      <c r="Y148"/>
      <c r="Z148" t="s">
        <v>58</v>
      </c>
      <c r="AA148" t="s">
        <v>59</v>
      </c>
      <c r="AB148" t="s">
        <v>60</v>
      </c>
      <c r="AD148" t="s">
        <v>61</v>
      </c>
      <c r="AJ148" s="106">
        <f>+'Paso 2 Calculo Factor Multiplic'!L3</f>
        <v>1300000</v>
      </c>
      <c r="AK148" s="14">
        <f ca="1">+$L$77/AJ148</f>
        <v>562.81537846153844</v>
      </c>
      <c r="AY148" s="891" t="s">
        <v>100</v>
      </c>
      <c r="AZ148" s="891"/>
      <c r="BA148" s="891"/>
      <c r="BB148" s="891"/>
      <c r="BC148" s="891"/>
      <c r="BD148" s="891"/>
      <c r="BE148" s="891"/>
      <c r="BF148" s="891"/>
      <c r="BG148" s="891"/>
      <c r="BH148" s="891"/>
      <c r="BI148" s="891"/>
      <c r="BM148" s="107" t="s">
        <v>62</v>
      </c>
      <c r="BN148" s="108" t="s">
        <v>59</v>
      </c>
      <c r="BO148" s="853" t="s">
        <v>63</v>
      </c>
      <c r="BP148" s="854"/>
    </row>
    <row r="149" spans="1:73" ht="24" customHeight="1" thickBot="1">
      <c r="A149"/>
      <c r="B149"/>
      <c r="C149"/>
      <c r="D149"/>
      <c r="E149" s="696" t="s">
        <v>719</v>
      </c>
      <c r="F149"/>
      <c r="G149" t="s">
        <v>603</v>
      </c>
      <c r="H149" s="3" t="s">
        <v>704</v>
      </c>
      <c r="I149"/>
      <c r="J149"/>
      <c r="L149"/>
      <c r="M149"/>
      <c r="N149"/>
      <c r="O149" s="109"/>
      <c r="P149" s="110"/>
      <c r="Q149" s="111"/>
      <c r="R149" s="112"/>
      <c r="S149" s="113"/>
      <c r="T149"/>
      <c r="U149"/>
      <c r="V149"/>
      <c r="W149" s="19" t="s">
        <v>64</v>
      </c>
      <c r="X149" s="17">
        <v>5.2199999999999998E-3</v>
      </c>
      <c r="Y149"/>
      <c r="Z149" s="19">
        <v>0</v>
      </c>
      <c r="AA149" s="114">
        <f>+X144*2</f>
        <v>2600000</v>
      </c>
      <c r="AB149" s="115">
        <f>217542/3</f>
        <v>72514</v>
      </c>
      <c r="AD149" s="116"/>
      <c r="AE149" s="117"/>
      <c r="AF149" s="117"/>
      <c r="AG149" s="118"/>
      <c r="AJ149" s="119" t="s">
        <v>65</v>
      </c>
      <c r="AK149" s="19" t="s">
        <v>66</v>
      </c>
      <c r="AL149" s="119" t="s">
        <v>67</v>
      </c>
      <c r="AM149" s="119" t="s">
        <v>68</v>
      </c>
      <c r="AO149" s="120" t="s">
        <v>31</v>
      </c>
      <c r="AP149" s="120" t="s">
        <v>867</v>
      </c>
      <c r="AQ149" s="121" t="s">
        <v>27</v>
      </c>
      <c r="AY149" s="122"/>
      <c r="AZ149" s="122"/>
      <c r="BA149" s="123" t="s">
        <v>42</v>
      </c>
      <c r="BB149" s="123" t="s">
        <v>43</v>
      </c>
      <c r="BC149" s="123" t="s">
        <v>44</v>
      </c>
      <c r="BD149" s="123" t="s">
        <v>45</v>
      </c>
      <c r="BE149" s="123" t="s">
        <v>46</v>
      </c>
      <c r="BF149" s="123" t="s">
        <v>47</v>
      </c>
      <c r="BG149" s="123" t="s">
        <v>48</v>
      </c>
      <c r="BH149" s="123" t="s">
        <v>49</v>
      </c>
      <c r="BI149" s="123" t="s">
        <v>50</v>
      </c>
      <c r="BM149" s="124">
        <v>0</v>
      </c>
      <c r="BN149" s="125">
        <v>1500</v>
      </c>
      <c r="BO149" s="126">
        <v>200</v>
      </c>
      <c r="BP149" s="127" t="s">
        <v>70</v>
      </c>
      <c r="BQ149" s="14">
        <f>+BO149*$AJ$148</f>
        <v>260000000</v>
      </c>
    </row>
    <row r="150" spans="1:73" ht="30.75" customHeight="1">
      <c r="A150"/>
      <c r="B150"/>
      <c r="C150"/>
      <c r="D150"/>
      <c r="E150" s="696" t="s">
        <v>720</v>
      </c>
      <c r="F150"/>
      <c r="G150" t="s">
        <v>736</v>
      </c>
      <c r="H150" s="3" t="s">
        <v>707</v>
      </c>
      <c r="I150"/>
      <c r="J150"/>
      <c r="L150"/>
      <c r="M150"/>
      <c r="N150"/>
      <c r="O150" s="101"/>
      <c r="P150" s="102"/>
      <c r="Q150" s="103"/>
      <c r="R150" s="104"/>
      <c r="S150" s="105"/>
      <c r="T150"/>
      <c r="U150"/>
      <c r="V150"/>
      <c r="W150" s="19" t="s">
        <v>71</v>
      </c>
      <c r="X150" s="17">
        <v>1.044E-2</v>
      </c>
      <c r="Y150"/>
      <c r="Z150" s="19"/>
      <c r="AA150" s="114">
        <f>+X154*2</f>
        <v>0</v>
      </c>
      <c r="AB150" s="128">
        <v>0</v>
      </c>
      <c r="AD150" s="129"/>
      <c r="AG150" s="130"/>
      <c r="AJ150" s="131" t="s">
        <v>72</v>
      </c>
      <c r="AK150" s="132">
        <v>0</v>
      </c>
      <c r="AL150" s="133">
        <v>2E-3</v>
      </c>
      <c r="AM150" s="134">
        <v>0</v>
      </c>
      <c r="AO150" s="120"/>
      <c r="AP150" s="120"/>
      <c r="AQ150" s="121"/>
      <c r="AY150" s="135">
        <v>0</v>
      </c>
      <c r="AZ150" s="135">
        <v>500000000</v>
      </c>
      <c r="BA150" s="136">
        <f>+BC150</f>
        <v>3.0000000000000001E-3</v>
      </c>
      <c r="BB150" s="136">
        <f>+BC150</f>
        <v>3.0000000000000001E-3</v>
      </c>
      <c r="BC150" s="137">
        <v>3.0000000000000001E-3</v>
      </c>
      <c r="BD150" s="137">
        <v>2.5000000000000001E-3</v>
      </c>
      <c r="BE150" s="136">
        <f>+BC150</f>
        <v>3.0000000000000001E-3</v>
      </c>
      <c r="BF150" s="136">
        <f>+BC150</f>
        <v>3.0000000000000001E-3</v>
      </c>
      <c r="BG150" s="136">
        <f>+BC150</f>
        <v>3.0000000000000001E-3</v>
      </c>
      <c r="BH150" s="137">
        <v>3.0000000000000001E-3</v>
      </c>
      <c r="BI150" s="137">
        <v>1.4E-3</v>
      </c>
      <c r="BM150" s="138">
        <v>1501</v>
      </c>
      <c r="BN150" s="139">
        <v>2500</v>
      </c>
      <c r="BO150" s="140">
        <v>300</v>
      </c>
      <c r="BP150" s="141" t="s">
        <v>70</v>
      </c>
      <c r="BQ150" s="14">
        <f>+BO150*$AJ$148</f>
        <v>390000000</v>
      </c>
    </row>
    <row r="151" spans="1:73" ht="35.25" customHeight="1" thickBot="1">
      <c r="A151"/>
      <c r="B151"/>
      <c r="C151"/>
      <c r="D151"/>
      <c r="E151" s="696" t="s">
        <v>721</v>
      </c>
      <c r="F151"/>
      <c r="G151"/>
      <c r="H151" s="3" t="s">
        <v>794</v>
      </c>
      <c r="I151"/>
      <c r="J151"/>
      <c r="L151"/>
      <c r="M151"/>
      <c r="N151"/>
      <c r="O151" s="109"/>
      <c r="P151" s="110"/>
      <c r="Q151" s="111"/>
      <c r="R151" s="112"/>
      <c r="S151" s="113"/>
      <c r="T151"/>
      <c r="U151"/>
      <c r="V151"/>
      <c r="W151" s="19" t="s">
        <v>12</v>
      </c>
      <c r="X151" s="17">
        <v>2.436E-2</v>
      </c>
      <c r="Y151"/>
      <c r="Z151"/>
      <c r="AD151" s="129"/>
      <c r="AE151" t="s">
        <v>73</v>
      </c>
      <c r="AG151" s="143" t="s">
        <v>69</v>
      </c>
      <c r="AJ151" s="131" t="s">
        <v>28</v>
      </c>
      <c r="AK151" s="132">
        <v>1500</v>
      </c>
      <c r="AL151" s="133">
        <v>5.0000000000000001E-3</v>
      </c>
      <c r="AM151" s="142">
        <f>+Tabla1111[[#This Row],[Base]]*AJ148</f>
        <v>1950000000</v>
      </c>
      <c r="AO151" s="120" t="s">
        <v>73</v>
      </c>
      <c r="AP151" s="120" t="s">
        <v>32</v>
      </c>
      <c r="AQ151" s="121" t="s">
        <v>27</v>
      </c>
      <c r="AY151" s="135">
        <f>+AZ150+1</f>
        <v>500000001</v>
      </c>
      <c r="AZ151" s="135">
        <v>2000000000</v>
      </c>
      <c r="BA151" s="136">
        <v>3.0000000000000001E-3</v>
      </c>
      <c r="BB151" s="136">
        <v>3.0000000000000001E-3</v>
      </c>
      <c r="BC151" s="137">
        <v>3.0000000000000001E-3</v>
      </c>
      <c r="BD151" s="137">
        <v>2.5000000000000001E-3</v>
      </c>
      <c r="BE151" s="136">
        <v>3.0000000000000001E-3</v>
      </c>
      <c r="BF151" s="136">
        <v>3.0000000000000001E-3</v>
      </c>
      <c r="BG151" s="136">
        <v>3.0000000000000001E-3</v>
      </c>
      <c r="BH151" s="137">
        <v>3.0000000000000001E-3</v>
      </c>
      <c r="BI151" s="137">
        <v>1.4E-3</v>
      </c>
      <c r="BM151" s="138">
        <f>+BN150+1</f>
        <v>2501</v>
      </c>
      <c r="BN151" s="139">
        <v>5000</v>
      </c>
      <c r="BO151" s="140">
        <v>400</v>
      </c>
      <c r="BP151" s="141" t="s">
        <v>70</v>
      </c>
      <c r="BQ151" s="14">
        <f>+BO151*$AJ$148</f>
        <v>520000000</v>
      </c>
    </row>
    <row r="152" spans="1:73" ht="17.25" customHeight="1" thickBot="1">
      <c r="A152"/>
      <c r="B152"/>
      <c r="C152"/>
      <c r="D152"/>
      <c r="E152" s="696" t="s">
        <v>722</v>
      </c>
      <c r="F152"/>
      <c r="G152"/>
      <c r="H152" s="3" t="s">
        <v>708</v>
      </c>
      <c r="I152"/>
      <c r="J152"/>
      <c r="L152"/>
      <c r="M152"/>
      <c r="N152"/>
      <c r="O152" s="101"/>
      <c r="P152" s="102"/>
      <c r="Q152" s="103"/>
      <c r="R152" s="104"/>
      <c r="S152" s="105"/>
      <c r="T152"/>
      <c r="U152"/>
      <c r="V152"/>
      <c r="W152" s="19" t="s">
        <v>74</v>
      </c>
      <c r="X152" s="17">
        <v>4.3499999999999997E-2</v>
      </c>
      <c r="Y152"/>
      <c r="Z152" s="708" t="s">
        <v>796</v>
      </c>
      <c r="AA152" s="709"/>
      <c r="AB152" s="708"/>
      <c r="AD152" s="129"/>
      <c r="AE152" t="s">
        <v>31</v>
      </c>
      <c r="AG152" s="143" t="s">
        <v>32</v>
      </c>
      <c r="AJ152" s="131" t="s">
        <v>29</v>
      </c>
      <c r="AK152" s="132">
        <v>1500</v>
      </c>
      <c r="AL152" s="133">
        <v>0.02</v>
      </c>
      <c r="AM152" s="144">
        <f>+Tabla1111[[#This Row],[Base]]*AJ148</f>
        <v>1950000000</v>
      </c>
      <c r="AO152" s="120"/>
      <c r="AP152" s="120"/>
      <c r="AQ152" s="121"/>
      <c r="AU152" s="855" t="s">
        <v>75</v>
      </c>
      <c r="AV152" s="856"/>
      <c r="AW152" s="857"/>
      <c r="AY152" s="135">
        <f>+AZ151+1</f>
        <v>2000000001</v>
      </c>
      <c r="AZ152" s="135">
        <v>10000000000</v>
      </c>
      <c r="BA152" s="136">
        <v>3.0000000000000001E-3</v>
      </c>
      <c r="BB152" s="136">
        <v>3.0000000000000001E-3</v>
      </c>
      <c r="BC152" s="137">
        <v>3.0000000000000001E-3</v>
      </c>
      <c r="BD152" s="137">
        <v>2.5000000000000001E-3</v>
      </c>
      <c r="BE152" s="136">
        <v>3.0000000000000001E-3</v>
      </c>
      <c r="BF152" s="136">
        <v>3.0000000000000001E-3</v>
      </c>
      <c r="BG152" s="136">
        <v>3.0000000000000001E-3</v>
      </c>
      <c r="BH152" s="137">
        <v>3.0000000000000001E-3</v>
      </c>
      <c r="BI152" s="137">
        <v>1.4E-3</v>
      </c>
      <c r="BM152" s="138">
        <f>+BN151+1</f>
        <v>5001</v>
      </c>
      <c r="BN152" s="139">
        <v>10000</v>
      </c>
      <c r="BO152" s="140">
        <v>500</v>
      </c>
      <c r="BP152" s="141" t="s">
        <v>70</v>
      </c>
      <c r="BQ152" s="14">
        <f>+BO152*$AJ$148</f>
        <v>650000000</v>
      </c>
      <c r="BR152" s="14"/>
    </row>
    <row r="153" spans="1:73" ht="17.25" customHeight="1" thickBot="1">
      <c r="A153"/>
      <c r="B153"/>
      <c r="C153"/>
      <c r="D153"/>
      <c r="E153" s="696" t="s">
        <v>723</v>
      </c>
      <c r="F153"/>
      <c r="G153"/>
      <c r="H153" s="3" t="s">
        <v>705</v>
      </c>
      <c r="I153"/>
      <c r="J153"/>
      <c r="L153"/>
      <c r="M153"/>
      <c r="N153"/>
      <c r="O153" s="145"/>
      <c r="P153" s="146"/>
      <c r="Q153" s="147"/>
      <c r="R153" s="148"/>
      <c r="S153" s="149"/>
      <c r="T153"/>
      <c r="U153"/>
      <c r="V153"/>
      <c r="W153" s="19" t="s">
        <v>76</v>
      </c>
      <c r="X153" s="17">
        <v>6.9599999999999995E-2</v>
      </c>
      <c r="Y153" s="4"/>
      <c r="Z153" s="708" t="s">
        <v>797</v>
      </c>
      <c r="AA153" s="792" t="s">
        <v>798</v>
      </c>
      <c r="AB153" s="708" t="s">
        <v>799</v>
      </c>
      <c r="AC153" s="4"/>
      <c r="AD153" s="129"/>
      <c r="AH153" s="4"/>
      <c r="AI153" s="4"/>
      <c r="AJ153" s="131" t="s">
        <v>30</v>
      </c>
      <c r="AK153" s="132">
        <v>0</v>
      </c>
      <c r="AL153" s="133">
        <v>0.01</v>
      </c>
      <c r="AM153" s="134">
        <v>0</v>
      </c>
      <c r="AO153" s="120"/>
      <c r="AP153" s="120"/>
      <c r="AQ153" s="121"/>
      <c r="AU153" s="838" t="s">
        <v>77</v>
      </c>
      <c r="AV153" s="839"/>
      <c r="AW153" s="150">
        <v>15000000</v>
      </c>
      <c r="AY153" s="135">
        <f>+AZ152+1</f>
        <v>10000000001</v>
      </c>
      <c r="AZ153" s="135"/>
      <c r="BA153" s="136">
        <v>3.0000000000000001E-3</v>
      </c>
      <c r="BB153" s="136">
        <v>3.0000000000000001E-3</v>
      </c>
      <c r="BC153" s="137">
        <v>3.0000000000000001E-3</v>
      </c>
      <c r="BD153" s="137">
        <v>2.5000000000000001E-3</v>
      </c>
      <c r="BE153" s="136">
        <v>3.0000000000000001E-3</v>
      </c>
      <c r="BF153" s="136">
        <v>3.0000000000000001E-3</v>
      </c>
      <c r="BG153" s="136">
        <v>3.0000000000000001E-3</v>
      </c>
      <c r="BH153" s="137">
        <v>3.0000000000000001E-3</v>
      </c>
      <c r="BI153" s="137">
        <v>1.4E-3</v>
      </c>
      <c r="BM153" s="151">
        <f>+BN152+1</f>
        <v>10001</v>
      </c>
      <c r="BN153" s="152"/>
      <c r="BO153" s="153">
        <f ca="1">+IF((BS153/BU153)&lt;BO156,5%,BO156)</f>
        <v>0.05</v>
      </c>
      <c r="BP153" s="154" t="s">
        <v>70</v>
      </c>
      <c r="BQ153" s="14">
        <f ca="1">+IF(BO153=0.05,BO153*BS153,BO156*BU153)</f>
        <v>43674050.450000003</v>
      </c>
      <c r="BR153" s="155">
        <f ca="1">+G12</f>
        <v>671.9084684615384</v>
      </c>
      <c r="BS153" s="156">
        <f ca="1">+C13</f>
        <v>873481009</v>
      </c>
      <c r="BU153" s="106">
        <f>+X144</f>
        <v>1300000</v>
      </c>
    </row>
    <row r="154" spans="1:73" ht="17.25" customHeight="1" thickBot="1">
      <c r="A154"/>
      <c r="B154"/>
      <c r="C154"/>
      <c r="D154"/>
      <c r="E154" s="696" t="s">
        <v>724</v>
      </c>
      <c r="F154"/>
      <c r="G154"/>
      <c r="H154" s="3" t="s">
        <v>713</v>
      </c>
      <c r="I154"/>
      <c r="J154"/>
      <c r="L154"/>
      <c r="M154"/>
      <c r="N154"/>
      <c r="O154" s="109"/>
      <c r="P154" s="110"/>
      <c r="Q154" s="157"/>
      <c r="R154" s="112"/>
      <c r="S154" s="113"/>
      <c r="T154"/>
      <c r="U154"/>
      <c r="V154"/>
      <c r="W154"/>
      <c r="X154"/>
      <c r="Y154"/>
      <c r="Z154" s="710" t="s">
        <v>800</v>
      </c>
      <c r="AA154" s="711">
        <f>+AC154/12</f>
        <v>2150.1666666666665</v>
      </c>
      <c r="AB154" s="712" t="s">
        <v>801</v>
      </c>
      <c r="AC154" s="156">
        <v>25802</v>
      </c>
      <c r="AD154" s="129"/>
      <c r="AJ154" s="131" t="s">
        <v>815</v>
      </c>
      <c r="AK154" s="132">
        <v>0</v>
      </c>
      <c r="AL154" s="133">
        <v>1.2999999999999999E-2</v>
      </c>
      <c r="AM154" s="158" t="str">
        <f>+CONCATENATE("&lt;="&amp;""&amp;(Tabla1111[[#This Row],[Base]]*$X$144))</f>
        <v>&lt;=0</v>
      </c>
      <c r="AO154" s="120" t="s">
        <v>31</v>
      </c>
      <c r="AP154" s="120" t="s">
        <v>32</v>
      </c>
      <c r="AQ154" s="121" t="s">
        <v>34</v>
      </c>
      <c r="AU154" s="885" t="s">
        <v>78</v>
      </c>
      <c r="AV154" s="886"/>
      <c r="AW154" s="159" t="s">
        <v>79</v>
      </c>
      <c r="BO154" s="160">
        <f ca="1">+IF((BS153/BU153)&lt;BO156,5%,BO156)</f>
        <v>0.05</v>
      </c>
    </row>
    <row r="155" spans="1:73" ht="17.25" customHeight="1" thickBot="1">
      <c r="A155"/>
      <c r="B155"/>
      <c r="C155"/>
      <c r="D155"/>
      <c r="E155" s="696" t="s">
        <v>725</v>
      </c>
      <c r="F155"/>
      <c r="G155"/>
      <c r="H155" s="720" t="s">
        <v>709</v>
      </c>
      <c r="I155"/>
      <c r="J155"/>
      <c r="L155"/>
      <c r="M155"/>
      <c r="N155"/>
      <c r="O155" s="161"/>
      <c r="P155" s="162"/>
      <c r="Q155" s="163"/>
      <c r="R155" s="164"/>
      <c r="S155" s="165"/>
      <c r="T155"/>
      <c r="U155"/>
      <c r="V155"/>
      <c r="W155"/>
      <c r="X155"/>
      <c r="Y155"/>
      <c r="Z155" s="713" t="s">
        <v>802</v>
      </c>
      <c r="AA155" s="714">
        <f>+(AC155*3)/12</f>
        <v>969.75</v>
      </c>
      <c r="AB155" s="715" t="s">
        <v>803</v>
      </c>
      <c r="AC155" s="156">
        <v>3879</v>
      </c>
      <c r="AD155" s="129"/>
      <c r="AJ155" s="131" t="s">
        <v>821</v>
      </c>
      <c r="AK155" s="132">
        <v>0</v>
      </c>
      <c r="AL155" s="133">
        <v>0.01</v>
      </c>
      <c r="AM155" s="158" t="str">
        <f>+CONCATENATE("&lt;="&amp;""&amp;(Tabla1111[[#This Row],[Base]]*$X$144))</f>
        <v>&lt;=0</v>
      </c>
      <c r="AO155" s="120" t="s">
        <v>73</v>
      </c>
      <c r="AP155" s="120" t="s">
        <v>867</v>
      </c>
      <c r="AQ155" s="121" t="s">
        <v>27</v>
      </c>
      <c r="AU155" s="166" t="s">
        <v>52</v>
      </c>
      <c r="AV155" s="167"/>
      <c r="AW155" s="18">
        <v>1</v>
      </c>
      <c r="AY155" s="874" t="s">
        <v>99</v>
      </c>
      <c r="AZ155" s="874"/>
      <c r="BA155" s="874"/>
      <c r="BB155" s="874"/>
      <c r="BC155" s="874"/>
      <c r="BD155" s="874"/>
      <c r="BE155" s="874"/>
      <c r="BF155" s="874"/>
      <c r="BG155" s="874"/>
      <c r="BH155" s="874"/>
      <c r="BI155" s="874"/>
      <c r="BO155" s="168">
        <v>0.05</v>
      </c>
      <c r="BP155" s="169" t="s">
        <v>80</v>
      </c>
      <c r="BR155" s="14"/>
    </row>
    <row r="156" spans="1:73" ht="17.25" customHeight="1" thickBot="1">
      <c r="A156"/>
      <c r="B156"/>
      <c r="C156"/>
      <c r="D156"/>
      <c r="E156" s="696" t="s">
        <v>726</v>
      </c>
      <c r="F156"/>
      <c r="G156"/>
      <c r="H156" s="4" t="s">
        <v>710</v>
      </c>
      <c r="I156"/>
      <c r="J156"/>
      <c r="L156"/>
      <c r="M156"/>
      <c r="N156"/>
      <c r="O156" s="145"/>
      <c r="P156" s="146"/>
      <c r="Q156" s="147"/>
      <c r="R156" s="148"/>
      <c r="S156" s="149"/>
      <c r="T156"/>
      <c r="U156"/>
      <c r="V156"/>
      <c r="W156"/>
      <c r="X156"/>
      <c r="Y156"/>
      <c r="Z156" s="710" t="s">
        <v>804</v>
      </c>
      <c r="AA156" s="711">
        <f>+AC156*4</f>
        <v>6380</v>
      </c>
      <c r="AB156" s="712" t="s">
        <v>805</v>
      </c>
      <c r="AC156" s="156">
        <v>1595</v>
      </c>
      <c r="AD156" s="170"/>
      <c r="AE156" s="171"/>
      <c r="AF156" s="171"/>
      <c r="AG156" s="172"/>
      <c r="AJ156" s="131" t="s">
        <v>822</v>
      </c>
      <c r="AK156" s="132">
        <v>0</v>
      </c>
      <c r="AL156" s="133">
        <v>0.03</v>
      </c>
      <c r="AM156" s="158" t="str">
        <f>+CONCATENATE("&lt;="&amp;""&amp;(Tabla1111[[#This Row],[Base]]*$X$144))</f>
        <v>&lt;=0</v>
      </c>
      <c r="AO156" s="120" t="s">
        <v>73</v>
      </c>
      <c r="AP156" s="173"/>
      <c r="AQ156" s="121" t="s">
        <v>27</v>
      </c>
      <c r="AU156" s="166" t="s">
        <v>81</v>
      </c>
      <c r="AV156" s="167"/>
      <c r="AW156" s="174">
        <v>8.3330000000000001E-2</v>
      </c>
      <c r="AY156" s="122"/>
      <c r="AZ156" s="122"/>
      <c r="BA156" s="123" t="s">
        <v>42</v>
      </c>
      <c r="BB156" s="123" t="s">
        <v>43</v>
      </c>
      <c r="BC156" s="123" t="s">
        <v>44</v>
      </c>
      <c r="BD156" s="123" t="s">
        <v>45</v>
      </c>
      <c r="BE156" s="123" t="s">
        <v>46</v>
      </c>
      <c r="BF156" s="123" t="s">
        <v>47</v>
      </c>
      <c r="BG156" s="123" t="s">
        <v>48</v>
      </c>
      <c r="BH156" s="123" t="s">
        <v>49</v>
      </c>
      <c r="BI156" s="123" t="s">
        <v>50</v>
      </c>
      <c r="BO156" s="139">
        <v>75000</v>
      </c>
      <c r="BP156" s="169" t="s">
        <v>70</v>
      </c>
    </row>
    <row r="157" spans="1:73" ht="36" customHeight="1" thickBot="1">
      <c r="A157"/>
      <c r="B157"/>
      <c r="C157"/>
      <c r="D157"/>
      <c r="E157" s="696" t="s">
        <v>727</v>
      </c>
      <c r="F157"/>
      <c r="G157"/>
      <c r="H157" s="3" t="s">
        <v>706</v>
      </c>
      <c r="I157"/>
      <c r="J157"/>
      <c r="L157"/>
      <c r="M157"/>
      <c r="N157"/>
      <c r="O157" s="109"/>
      <c r="P157" s="110"/>
      <c r="Q157" s="111"/>
      <c r="R157" s="112"/>
      <c r="S157" s="113"/>
      <c r="T157"/>
      <c r="U157"/>
      <c r="V157"/>
      <c r="W157"/>
      <c r="X157"/>
      <c r="Y157"/>
      <c r="Z157" s="713" t="s">
        <v>806</v>
      </c>
      <c r="AA157" s="714">
        <f>+(AC157*2)/12</f>
        <v>12808.833333333334</v>
      </c>
      <c r="AB157" s="715" t="s">
        <v>807</v>
      </c>
      <c r="AC157" s="156">
        <v>76853</v>
      </c>
      <c r="AJ157" s="175" t="s">
        <v>33</v>
      </c>
      <c r="AK157" s="132">
        <v>0</v>
      </c>
      <c r="AL157" s="133">
        <v>0.05</v>
      </c>
      <c r="AM157" s="134">
        <v>0</v>
      </c>
      <c r="AO157" s="120" t="s">
        <v>31</v>
      </c>
      <c r="AP157" s="120"/>
      <c r="AQ157" s="120"/>
      <c r="AU157" s="166" t="s">
        <v>82</v>
      </c>
      <c r="AV157" s="167"/>
      <c r="AW157" s="174">
        <v>8.3330000000000001E-2</v>
      </c>
      <c r="AY157" s="135">
        <v>0</v>
      </c>
      <c r="AZ157" s="135">
        <v>500000000</v>
      </c>
      <c r="BA157" s="136">
        <f>+BC157</f>
        <v>3.0000000000000001E-3</v>
      </c>
      <c r="BB157" s="136">
        <f>+BC157</f>
        <v>3.0000000000000001E-3</v>
      </c>
      <c r="BC157" s="137">
        <v>3.0000000000000001E-3</v>
      </c>
      <c r="BD157" s="137">
        <v>2.5000000000000001E-3</v>
      </c>
      <c r="BE157" s="136">
        <f>+BC157</f>
        <v>3.0000000000000001E-3</v>
      </c>
      <c r="BF157" s="136">
        <f>+BC157</f>
        <v>3.0000000000000001E-3</v>
      </c>
      <c r="BG157" s="136">
        <f>+BC157</f>
        <v>3.0000000000000001E-3</v>
      </c>
      <c r="BH157" s="137">
        <v>3.0000000000000001E-3</v>
      </c>
      <c r="BI157" s="137">
        <v>1.4E-3</v>
      </c>
      <c r="BO157" s="156"/>
    </row>
    <row r="158" spans="1:73" ht="15" thickBot="1">
      <c r="A158"/>
      <c r="B158"/>
      <c r="C158"/>
      <c r="D158"/>
      <c r="E158" s="696" t="s">
        <v>728</v>
      </c>
      <c r="F158"/>
      <c r="G158"/>
      <c r="H158" s="3" t="s">
        <v>703</v>
      </c>
      <c r="I158"/>
      <c r="J158"/>
      <c r="L158"/>
      <c r="M158"/>
      <c r="N158"/>
      <c r="O158"/>
      <c r="P158"/>
      <c r="Q158"/>
      <c r="R158"/>
      <c r="S158"/>
      <c r="T158"/>
      <c r="U158"/>
      <c r="V158"/>
      <c r="W158"/>
      <c r="X158"/>
      <c r="Y158"/>
      <c r="Z158" s="713" t="s">
        <v>648</v>
      </c>
      <c r="AA158" s="714">
        <f>SUM(AA154:AA157)</f>
        <v>22308.75</v>
      </c>
      <c r="AB158" s="715"/>
      <c r="AO158" s="120" t="s">
        <v>73</v>
      </c>
      <c r="AP158" s="120" t="s">
        <v>32</v>
      </c>
      <c r="AQ158" s="120" t="s">
        <v>27</v>
      </c>
      <c r="AU158" s="166" t="s">
        <v>83</v>
      </c>
      <c r="AV158" s="167"/>
      <c r="AW158" s="18">
        <v>0.01</v>
      </c>
      <c r="AY158" s="135">
        <f>+AZ157+1</f>
        <v>500000001</v>
      </c>
      <c r="AZ158" s="135">
        <v>2000000000</v>
      </c>
      <c r="BA158" s="136">
        <f>+BC158</f>
        <v>2.5000000000000001E-3</v>
      </c>
      <c r="BB158" s="136">
        <f>+BC158</f>
        <v>2.5000000000000001E-3</v>
      </c>
      <c r="BC158" s="137">
        <v>2.5000000000000001E-3</v>
      </c>
      <c r="BD158" s="137">
        <v>2.0999999999999999E-3</v>
      </c>
      <c r="BE158" s="136">
        <f>+BC158</f>
        <v>2.5000000000000001E-3</v>
      </c>
      <c r="BF158" s="136">
        <f>+BC158</f>
        <v>2.5000000000000001E-3</v>
      </c>
      <c r="BG158" s="136">
        <f>+BC158</f>
        <v>2.5000000000000001E-3</v>
      </c>
      <c r="BH158" s="137">
        <v>2.5000000000000001E-3</v>
      </c>
      <c r="BI158" s="137">
        <v>1.4E-3</v>
      </c>
    </row>
    <row r="159" spans="1:73" ht="17.25" customHeight="1" thickBot="1">
      <c r="A159"/>
      <c r="B159"/>
      <c r="C159"/>
      <c r="D159"/>
      <c r="E159" s="696" t="s">
        <v>788</v>
      </c>
      <c r="F159"/>
      <c r="G159"/>
      <c r="H159" s="3" t="s">
        <v>711</v>
      </c>
      <c r="I159"/>
      <c r="J159"/>
      <c r="L159"/>
      <c r="M159"/>
      <c r="N159"/>
      <c r="O159"/>
      <c r="P159"/>
      <c r="Q159" s="119" t="s">
        <v>84</v>
      </c>
      <c r="R159" s="119"/>
      <c r="S159" s="119"/>
      <c r="T159"/>
      <c r="U159"/>
      <c r="V159"/>
      <c r="W159"/>
      <c r="X159"/>
      <c r="Y159"/>
      <c r="Z159" s="710" t="s">
        <v>808</v>
      </c>
      <c r="AA159" s="716">
        <f>AA158/AC159</f>
        <v>3.5076650943396226E-3</v>
      </c>
      <c r="AB159" s="712" t="s">
        <v>809</v>
      </c>
      <c r="AC159">
        <f>+'Anexo Salarios Referencia'!K23</f>
        <v>6360000</v>
      </c>
      <c r="AU159" s="166" t="s">
        <v>85</v>
      </c>
      <c r="AV159" s="167"/>
      <c r="AW159" s="174">
        <v>4.1669999999999999E-2</v>
      </c>
      <c r="AY159" s="135">
        <f>+AZ158+1</f>
        <v>2000000001</v>
      </c>
      <c r="AZ159" s="135">
        <v>10000000000</v>
      </c>
      <c r="BA159" s="136">
        <f>+BC159</f>
        <v>1.8E-3</v>
      </c>
      <c r="BB159" s="136">
        <f>+BC159</f>
        <v>1.8E-3</v>
      </c>
      <c r="BC159" s="137">
        <v>1.8E-3</v>
      </c>
      <c r="BD159" s="137">
        <v>1.5E-3</v>
      </c>
      <c r="BE159" s="136">
        <f>+BC159</f>
        <v>1.8E-3</v>
      </c>
      <c r="BF159" s="136">
        <f>+BC159</f>
        <v>1.8E-3</v>
      </c>
      <c r="BG159" s="136">
        <f>+BC159</f>
        <v>1.8E-3</v>
      </c>
      <c r="BH159" s="137">
        <v>2.2000000000000001E-3</v>
      </c>
      <c r="BI159" s="137">
        <v>1.4E-3</v>
      </c>
    </row>
    <row r="160" spans="1:73" ht="17.25" customHeight="1" thickBot="1">
      <c r="A160"/>
      <c r="B160"/>
      <c r="C160"/>
      <c r="D160"/>
      <c r="E160" s="696" t="s">
        <v>729</v>
      </c>
      <c r="F160"/>
      <c r="G160"/>
      <c r="H160" s="3" t="s">
        <v>712</v>
      </c>
      <c r="I160"/>
      <c r="J160"/>
      <c r="L160"/>
      <c r="M160"/>
      <c r="N160"/>
      <c r="O160" t="s">
        <v>53</v>
      </c>
      <c r="P160" t="s">
        <v>86</v>
      </c>
      <c r="Q160" s="657">
        <v>27178</v>
      </c>
      <c r="R160" s="176"/>
      <c r="S160" s="176"/>
      <c r="T160"/>
      <c r="U160"/>
      <c r="V160"/>
      <c r="W160"/>
      <c r="X160"/>
      <c r="Y160"/>
      <c r="Z160" s="791"/>
      <c r="AA160" s="789">
        <f>AA158*12</f>
        <v>267705</v>
      </c>
      <c r="AB160" s="790" t="s">
        <v>810</v>
      </c>
      <c r="AU160" s="177" t="s">
        <v>87</v>
      </c>
      <c r="AV160" s="178"/>
      <c r="AW160" s="179">
        <f>+IF(AW153&lt;10*AJ148,0%,8.5%)</f>
        <v>8.5000000000000006E-2</v>
      </c>
      <c r="AY160" s="135">
        <f>+AZ159+1</f>
        <v>10000000001</v>
      </c>
      <c r="AZ160" s="135"/>
      <c r="BA160" s="136">
        <f>+BC160</f>
        <v>1.1000000000000001E-3</v>
      </c>
      <c r="BB160" s="136">
        <f>+BC160</f>
        <v>1.1000000000000001E-3</v>
      </c>
      <c r="BC160" s="137">
        <v>1.1000000000000001E-3</v>
      </c>
      <c r="BD160" s="137">
        <v>8.9999999999999998E-4</v>
      </c>
      <c r="BE160" s="136">
        <f>+BC160</f>
        <v>1.1000000000000001E-3</v>
      </c>
      <c r="BF160" s="136">
        <f>+BC160</f>
        <v>1.1000000000000001E-3</v>
      </c>
      <c r="BG160" s="136">
        <f>+BC160</f>
        <v>1.1000000000000001E-3</v>
      </c>
      <c r="BH160" s="137">
        <v>2E-3</v>
      </c>
      <c r="BI160" s="137">
        <v>1.4E-3</v>
      </c>
    </row>
    <row r="161" spans="1:49" ht="17.25" customHeight="1" thickBot="1">
      <c r="A161"/>
      <c r="B161"/>
      <c r="C161"/>
      <c r="D161"/>
      <c r="E161" s="696" t="s">
        <v>730</v>
      </c>
      <c r="F161"/>
      <c r="G161"/>
      <c r="H161" s="3" t="s">
        <v>812</v>
      </c>
      <c r="I161"/>
      <c r="J161"/>
      <c r="L161"/>
      <c r="M161"/>
      <c r="N161"/>
      <c r="O161" t="s">
        <v>55</v>
      </c>
      <c r="P161" t="s">
        <v>88</v>
      </c>
      <c r="Q161" s="658">
        <f>7870414*1.06</f>
        <v>8342638.8400000008</v>
      </c>
      <c r="R161"/>
      <c r="S161"/>
      <c r="T161"/>
      <c r="U161"/>
      <c r="V161"/>
      <c r="W161"/>
      <c r="X161"/>
      <c r="Y161"/>
      <c r="Z161"/>
      <c r="AU161" s="166" t="s">
        <v>89</v>
      </c>
      <c r="AV161" s="167"/>
      <c r="AW161" s="18">
        <v>0.12</v>
      </c>
    </row>
    <row r="162" spans="1:49" ht="17.25" customHeight="1" thickBot="1">
      <c r="A162"/>
      <c r="B162"/>
      <c r="C162"/>
      <c r="D162"/>
      <c r="E162" s="696" t="s">
        <v>731</v>
      </c>
      <c r="F162"/>
      <c r="G162"/>
      <c r="H162" s="3" t="s">
        <v>795</v>
      </c>
      <c r="I162"/>
      <c r="J162"/>
      <c r="K162"/>
      <c r="L162"/>
      <c r="M162"/>
      <c r="N162"/>
      <c r="O162" t="str">
        <f>+H150</f>
        <v>Auxilio para gastos de papeleria, fotocopias y otros.</v>
      </c>
      <c r="P162" t="s">
        <v>114</v>
      </c>
      <c r="Q162" s="658">
        <f>26000*1.038</f>
        <v>26988</v>
      </c>
      <c r="R162"/>
      <c r="S162"/>
      <c r="T162"/>
      <c r="U162"/>
      <c r="V162"/>
      <c r="W162"/>
      <c r="X162"/>
      <c r="Y162"/>
      <c r="Z162" t="s">
        <v>872</v>
      </c>
      <c r="AA162" s="106">
        <v>41964</v>
      </c>
      <c r="AU162" s="166" t="s">
        <v>90</v>
      </c>
      <c r="AV162" s="167"/>
      <c r="AW162" s="18">
        <v>0.04</v>
      </c>
    </row>
    <row r="163" spans="1:49" ht="17.25" customHeight="1" thickBot="1">
      <c r="A163"/>
      <c r="B163"/>
      <c r="C163"/>
      <c r="D163"/>
      <c r="E163" s="696" t="s">
        <v>732</v>
      </c>
      <c r="F163"/>
      <c r="G163"/>
      <c r="H163" s="697" t="s">
        <v>714</v>
      </c>
      <c r="I163"/>
      <c r="J163"/>
      <c r="K163"/>
      <c r="L163"/>
      <c r="M163"/>
      <c r="N163"/>
      <c r="O163"/>
      <c r="P163"/>
      <c r="Q163"/>
      <c r="R163"/>
      <c r="S163"/>
      <c r="T163"/>
      <c r="U163"/>
      <c r="V163"/>
      <c r="W163"/>
      <c r="X163"/>
      <c r="Y163"/>
      <c r="Z163" t="s">
        <v>873</v>
      </c>
      <c r="AA163" s="106">
        <v>41964</v>
      </c>
      <c r="AU163" s="177" t="s">
        <v>91</v>
      </c>
      <c r="AV163" s="178"/>
      <c r="AW163" s="179">
        <f>+IF(AW153&lt;10*AJ148,0%,2%)</f>
        <v>0.02</v>
      </c>
    </row>
    <row r="164" spans="1:49" ht="17.25" customHeight="1" thickBot="1">
      <c r="A164"/>
      <c r="B164"/>
      <c r="C164"/>
      <c r="D164"/>
      <c r="E164" s="696" t="s">
        <v>733</v>
      </c>
      <c r="F164"/>
      <c r="G164"/>
      <c r="H164" s="697"/>
      <c r="I164"/>
      <c r="J164"/>
      <c r="K164"/>
      <c r="L164"/>
      <c r="M164"/>
      <c r="N164"/>
      <c r="O164"/>
      <c r="P164"/>
      <c r="Q164"/>
      <c r="R164"/>
      <c r="S164"/>
      <c r="T164"/>
      <c r="U164"/>
      <c r="V164"/>
      <c r="W164"/>
      <c r="X164"/>
      <c r="Y164"/>
      <c r="Z164" t="s">
        <v>875</v>
      </c>
      <c r="AA164" s="106">
        <f>+AA162+AA163</f>
        <v>83928</v>
      </c>
      <c r="AU164" s="177" t="s">
        <v>92</v>
      </c>
      <c r="AV164" s="178"/>
      <c r="AW164" s="179">
        <f>+IF(AW153&lt;10*AJ148,0%,3%)</f>
        <v>0.03</v>
      </c>
    </row>
    <row r="165" spans="1:49" ht="17.25" customHeight="1" thickBot="1">
      <c r="A165"/>
      <c r="B165"/>
      <c r="C165"/>
      <c r="D165"/>
      <c r="E165" s="696" t="s">
        <v>734</v>
      </c>
      <c r="F165"/>
      <c r="G165"/>
      <c r="H165" s="697"/>
      <c r="I165"/>
      <c r="J165"/>
      <c r="K165"/>
      <c r="L165"/>
      <c r="M165"/>
      <c r="N165"/>
      <c r="O165"/>
      <c r="P165"/>
      <c r="Q165"/>
      <c r="R165"/>
      <c r="S165"/>
      <c r="T165"/>
      <c r="U165"/>
      <c r="V165"/>
      <c r="W165"/>
      <c r="X165"/>
      <c r="Y165"/>
      <c r="Z165" t="s">
        <v>798</v>
      </c>
      <c r="AA165" s="160">
        <f>+AA164/12</f>
        <v>6994</v>
      </c>
      <c r="AU165" s="166" t="s">
        <v>93</v>
      </c>
      <c r="AV165" s="180"/>
      <c r="AW165" s="18"/>
    </row>
    <row r="166" spans="1:49" ht="17.25" customHeight="1" thickBot="1">
      <c r="A166"/>
      <c r="B166"/>
      <c r="C166"/>
      <c r="D166"/>
      <c r="E166" s="2" t="s">
        <v>789</v>
      </c>
      <c r="F166"/>
      <c r="G166"/>
      <c r="H166" s="697"/>
      <c r="I166"/>
      <c r="J166"/>
      <c r="K166"/>
      <c r="L166"/>
      <c r="M166"/>
      <c r="N166"/>
      <c r="O166"/>
      <c r="P166"/>
      <c r="Q166"/>
      <c r="R166"/>
      <c r="S166"/>
      <c r="T166"/>
      <c r="U166"/>
      <c r="V166"/>
      <c r="W166"/>
      <c r="X166"/>
      <c r="Y166"/>
      <c r="Z166" t="s">
        <v>877</v>
      </c>
      <c r="AA166" s="794">
        <f>+AA165/AC159</f>
        <v>1.0996855345911949E-3</v>
      </c>
      <c r="AU166" s="860" t="s">
        <v>60</v>
      </c>
      <c r="AV166" s="861"/>
      <c r="AW166" s="181"/>
    </row>
    <row r="167" spans="1:49" ht="17.25" customHeight="1" thickBot="1">
      <c r="A167"/>
      <c r="B167"/>
      <c r="C167"/>
      <c r="D167"/>
      <c r="E167" s="696" t="s">
        <v>735</v>
      </c>
      <c r="F167"/>
      <c r="G167"/>
      <c r="H167" s="568"/>
      <c r="I167"/>
      <c r="J167"/>
      <c r="K167"/>
      <c r="L167"/>
      <c r="M167"/>
      <c r="N167"/>
      <c r="O167"/>
      <c r="P167"/>
      <c r="Q167"/>
      <c r="R167"/>
      <c r="S167"/>
      <c r="T167"/>
      <c r="U167"/>
      <c r="V167"/>
      <c r="W167"/>
      <c r="X167"/>
      <c r="Y167"/>
      <c r="Z167"/>
      <c r="AU167" s="814" t="s">
        <v>54</v>
      </c>
      <c r="AV167" s="815"/>
      <c r="AW167" s="182"/>
    </row>
    <row r="168" spans="1:49" ht="17.25" customHeight="1" thickBot="1">
      <c r="A168"/>
      <c r="B168"/>
      <c r="C168"/>
      <c r="D168"/>
      <c r="E168" s="2" t="s">
        <v>96</v>
      </c>
      <c r="F168"/>
      <c r="G168"/>
      <c r="H168" s="568"/>
      <c r="I168"/>
      <c r="J168"/>
      <c r="K168"/>
      <c r="L168"/>
      <c r="M168"/>
      <c r="N168"/>
      <c r="O168"/>
      <c r="P168"/>
      <c r="Q168"/>
      <c r="R168"/>
      <c r="S168"/>
      <c r="T168"/>
      <c r="U168"/>
      <c r="V168"/>
      <c r="W168"/>
      <c r="X168"/>
      <c r="Y168"/>
      <c r="Z168"/>
      <c r="AU168" s="814" t="s">
        <v>869</v>
      </c>
      <c r="AV168" s="815"/>
      <c r="AW168" s="185">
        <f>+AA159+AA166</f>
        <v>4.6073506289308177E-3</v>
      </c>
    </row>
    <row r="169" spans="1:49" ht="17.25" customHeight="1" thickBot="1">
      <c r="A169"/>
      <c r="D169"/>
      <c r="E169" s="696" t="s">
        <v>714</v>
      </c>
      <c r="F169"/>
      <c r="G169"/>
      <c r="H169" s="568"/>
      <c r="I169"/>
      <c r="J169"/>
      <c r="K169"/>
      <c r="L169"/>
      <c r="M169"/>
      <c r="N169"/>
      <c r="O169"/>
      <c r="P169"/>
      <c r="Q169"/>
      <c r="R169"/>
      <c r="S169"/>
      <c r="T169"/>
      <c r="U169"/>
      <c r="V169"/>
      <c r="W169"/>
      <c r="X169"/>
      <c r="Y169"/>
      <c r="Z169"/>
      <c r="AU169" s="717" t="s">
        <v>94</v>
      </c>
      <c r="AV169" s="184"/>
      <c r="AW169" s="185">
        <f>SUM(AW155:AW168)</f>
        <v>1.5179373506289309</v>
      </c>
    </row>
    <row r="170" spans="1:49" ht="28.5" customHeight="1" thickBot="1">
      <c r="A170"/>
      <c r="D170"/>
      <c r="E170" s="696"/>
      <c r="F170"/>
      <c r="G170"/>
      <c r="H170" s="568"/>
      <c r="I170"/>
      <c r="J170"/>
      <c r="K170"/>
      <c r="L170"/>
      <c r="M170"/>
      <c r="N170"/>
      <c r="O170"/>
      <c r="P170"/>
      <c r="Q170"/>
      <c r="R170"/>
      <c r="S170"/>
      <c r="T170"/>
      <c r="U170"/>
      <c r="V170"/>
      <c r="W170"/>
      <c r="X170"/>
      <c r="Y170"/>
      <c r="Z170"/>
      <c r="AU170" s="812" t="s">
        <v>95</v>
      </c>
      <c r="AV170" s="813"/>
      <c r="AW170" s="186">
        <f>+ROUND(AW169,2)</f>
        <v>1.52</v>
      </c>
    </row>
    <row r="171" spans="1:49" ht="17.25" customHeight="1">
      <c r="A171"/>
      <c r="E171" s="696"/>
      <c r="I171"/>
      <c r="N171"/>
      <c r="O171"/>
      <c r="P171"/>
      <c r="Q171"/>
      <c r="R171"/>
      <c r="S171"/>
      <c r="T171"/>
      <c r="U171"/>
      <c r="V171"/>
      <c r="W171"/>
      <c r="X171"/>
      <c r="Y171"/>
      <c r="Z171"/>
      <c r="AU171" s="811" t="s">
        <v>97</v>
      </c>
      <c r="AV171" s="811"/>
      <c r="AW171" s="811"/>
    </row>
    <row r="172" spans="1:49" ht="17.25" customHeight="1">
      <c r="E172" s="696"/>
      <c r="I172"/>
      <c r="AU172" s="811" t="s">
        <v>97</v>
      </c>
      <c r="AV172" s="811"/>
      <c r="AW172" s="811"/>
    </row>
    <row r="173" spans="1:49" ht="17.25" customHeight="1">
      <c r="H173" s="568"/>
      <c r="I173"/>
    </row>
    <row r="174" spans="1:49" ht="17.25" customHeight="1">
      <c r="H174" s="568"/>
    </row>
    <row r="175" spans="1:49" ht="17.25" customHeight="1">
      <c r="H175" s="697"/>
    </row>
    <row r="176" spans="1:49" ht="17.25" customHeight="1">
      <c r="H176" s="568"/>
    </row>
    <row r="177" spans="8:8" ht="17.25" customHeight="1">
      <c r="H177" s="568"/>
    </row>
    <row r="178" spans="8:8" ht="17.25" customHeight="1">
      <c r="H178" s="568"/>
    </row>
    <row r="179" spans="8:8" ht="17.25" customHeight="1">
      <c r="H179" s="568"/>
    </row>
    <row r="180" spans="8:8" ht="17.25" customHeight="1">
      <c r="H180" s="568"/>
    </row>
    <row r="181" spans="8:8" ht="17.25" customHeight="1"/>
    <row r="182" spans="8:8" ht="17.25" customHeight="1"/>
    <row r="183" spans="8:8" ht="17.25" customHeight="1"/>
    <row r="184" spans="8:8" ht="17.25" customHeight="1"/>
    <row r="185" spans="8:8" ht="17.25" customHeight="1"/>
    <row r="186" spans="8:8" ht="17.25" customHeight="1"/>
    <row r="187" spans="8:8" ht="17.25" customHeight="1"/>
    <row r="188" spans="8:8" ht="17.25" customHeight="1"/>
    <row r="189" spans="8:8" ht="17.25" customHeight="1"/>
    <row r="190" spans="8:8" ht="17.25" customHeight="1"/>
    <row r="191" spans="8:8" ht="17.25" customHeight="1"/>
    <row r="192" spans="8:8" ht="17.25" customHeight="1"/>
    <row r="193" ht="17.25" customHeight="1"/>
    <row r="194" ht="17.25" customHeight="1"/>
    <row r="195" ht="17.25" customHeight="1"/>
    <row r="196" ht="17.25" customHeight="1"/>
    <row r="197" ht="17.25" customHeight="1"/>
    <row r="198" ht="17.25" customHeight="1"/>
    <row r="199" ht="17.25" customHeight="1"/>
    <row r="200" ht="17.25" customHeight="1"/>
    <row r="201" ht="17.25" customHeight="1"/>
    <row r="202" ht="17.25" customHeight="1"/>
    <row r="203" ht="17.25" customHeight="1"/>
    <row r="204" ht="17.25" customHeight="1"/>
    <row r="205" ht="17.25" customHeight="1"/>
    <row r="206" ht="17.25" customHeight="1"/>
    <row r="207" ht="17.25" customHeight="1"/>
    <row r="208" ht="17.25" customHeight="1"/>
    <row r="209" ht="17.25" customHeight="1"/>
    <row r="210" ht="17.25" customHeight="1"/>
    <row r="211" ht="17.25" customHeight="1"/>
    <row r="212" ht="17.25" customHeight="1"/>
    <row r="213" ht="17.25" customHeight="1"/>
    <row r="214" ht="17.25" customHeight="1"/>
    <row r="215" ht="17.25" customHeight="1"/>
    <row r="216" ht="17.25" customHeight="1"/>
    <row r="217" ht="17.25" customHeight="1"/>
    <row r="218" ht="17.25" customHeight="1"/>
    <row r="219" ht="17.25" customHeight="1"/>
    <row r="220" ht="17.25" customHeight="1"/>
    <row r="221" ht="17.25" customHeight="1"/>
    <row r="222" ht="17.25" customHeight="1"/>
    <row r="223" ht="17.25" customHeight="1"/>
    <row r="224" ht="17.25" customHeight="1"/>
    <row r="225" ht="17.25" customHeight="1"/>
    <row r="226" ht="17.25" customHeight="1"/>
    <row r="227" ht="17.25" customHeight="1"/>
    <row r="228" ht="17.25" customHeight="1"/>
    <row r="229" ht="17.25" customHeight="1"/>
    <row r="230" ht="17.25" customHeight="1"/>
    <row r="231" ht="17.25" customHeight="1"/>
    <row r="232" ht="17.25" customHeight="1"/>
    <row r="233" ht="17.25" customHeight="1"/>
    <row r="234" ht="17.25" customHeight="1"/>
    <row r="235" ht="17.25" customHeight="1"/>
    <row r="236" ht="17.25" customHeight="1"/>
    <row r="237" ht="17.25" customHeight="1"/>
    <row r="238" ht="17.25" customHeight="1"/>
    <row r="239" ht="17.25" customHeight="1"/>
    <row r="240" ht="17.25" customHeight="1"/>
    <row r="241" ht="17.25" customHeight="1"/>
    <row r="242" ht="17.25" customHeight="1"/>
    <row r="243" ht="17.25" customHeight="1"/>
    <row r="244" ht="17.25" customHeight="1"/>
    <row r="245" ht="17.25" customHeight="1"/>
    <row r="246" ht="17.25" customHeight="1"/>
    <row r="247" ht="17.25" customHeight="1"/>
    <row r="248" ht="17.25" customHeight="1"/>
    <row r="249" ht="17.25" customHeight="1"/>
    <row r="250" ht="17.25" customHeight="1"/>
    <row r="251" ht="17.25" customHeight="1"/>
    <row r="252" ht="17.25" customHeight="1"/>
    <row r="253" ht="17.25" customHeight="1"/>
    <row r="254" ht="17.25" customHeight="1"/>
    <row r="255" ht="17.25" customHeight="1"/>
  </sheetData>
  <sheetProtection formatCells="0" formatColumns="0" formatRows="0" insertColumns="0" insertRows="0"/>
  <mergeCells count="161">
    <mergeCell ref="E5:F5"/>
    <mergeCell ref="G5:H5"/>
    <mergeCell ref="E15:F15"/>
    <mergeCell ref="G15:H15"/>
    <mergeCell ref="J46:K46"/>
    <mergeCell ref="P70:R70"/>
    <mergeCell ref="B3:L3"/>
    <mergeCell ref="E49:F49"/>
    <mergeCell ref="E12:F12"/>
    <mergeCell ref="G12:H12"/>
    <mergeCell ref="B17:L17"/>
    <mergeCell ref="P55:R55"/>
    <mergeCell ref="P56:R56"/>
    <mergeCell ref="P53:R53"/>
    <mergeCell ref="P54:R54"/>
    <mergeCell ref="P57:R57"/>
    <mergeCell ref="P58:R58"/>
    <mergeCell ref="P59:R59"/>
    <mergeCell ref="P60:R60"/>
    <mergeCell ref="B86:C86"/>
    <mergeCell ref="E86:F86"/>
    <mergeCell ref="E73:F73"/>
    <mergeCell ref="E51:F51"/>
    <mergeCell ref="B47:L47"/>
    <mergeCell ref="G51:J51"/>
    <mergeCell ref="G52:J52"/>
    <mergeCell ref="G53:J53"/>
    <mergeCell ref="G54:J54"/>
    <mergeCell ref="G55:J55"/>
    <mergeCell ref="G56:J56"/>
    <mergeCell ref="G57:J57"/>
    <mergeCell ref="G58:J58"/>
    <mergeCell ref="G59:J59"/>
    <mergeCell ref="E55:F55"/>
    <mergeCell ref="E56:F56"/>
    <mergeCell ref="E52:F52"/>
    <mergeCell ref="E53:F53"/>
    <mergeCell ref="E54:F54"/>
    <mergeCell ref="E60:F60"/>
    <mergeCell ref="E64:F64"/>
    <mergeCell ref="E71:F71"/>
    <mergeCell ref="B126:L128"/>
    <mergeCell ref="B102:H102"/>
    <mergeCell ref="N47:R47"/>
    <mergeCell ref="E48:F48"/>
    <mergeCell ref="P48:R48"/>
    <mergeCell ref="B18:L18"/>
    <mergeCell ref="P50:R50"/>
    <mergeCell ref="G48:J48"/>
    <mergeCell ref="G49:J49"/>
    <mergeCell ref="G50:J50"/>
    <mergeCell ref="P51:R51"/>
    <mergeCell ref="B46:H46"/>
    <mergeCell ref="P52:R52"/>
    <mergeCell ref="E65:F65"/>
    <mergeCell ref="E66:F66"/>
    <mergeCell ref="E67:F67"/>
    <mergeCell ref="E68:F68"/>
    <mergeCell ref="E69:F69"/>
    <mergeCell ref="E70:F70"/>
    <mergeCell ref="E61:F61"/>
    <mergeCell ref="E62:F62"/>
    <mergeCell ref="G70:J70"/>
    <mergeCell ref="E63:F63"/>
    <mergeCell ref="E85:F85"/>
    <mergeCell ref="B100:J100"/>
    <mergeCell ref="B80:J80"/>
    <mergeCell ref="AY155:BI155"/>
    <mergeCell ref="B93:J93"/>
    <mergeCell ref="B94:J94"/>
    <mergeCell ref="B95:J95"/>
    <mergeCell ref="B96:H96"/>
    <mergeCell ref="B87:C87"/>
    <mergeCell ref="E87:F87"/>
    <mergeCell ref="B88:C88"/>
    <mergeCell ref="E88:F88"/>
    <mergeCell ref="B89:C89"/>
    <mergeCell ref="E89:F89"/>
    <mergeCell ref="B110:C110"/>
    <mergeCell ref="B111:C111"/>
    <mergeCell ref="B118:J118"/>
    <mergeCell ref="B119:J119"/>
    <mergeCell ref="N115:O115"/>
    <mergeCell ref="AU154:AV154"/>
    <mergeCell ref="B123:L125"/>
    <mergeCell ref="W144:W145"/>
    <mergeCell ref="X144:X145"/>
    <mergeCell ref="Y144:Y145"/>
    <mergeCell ref="AY148:BI148"/>
    <mergeCell ref="D107:D108"/>
    <mergeCell ref="BO148:BP148"/>
    <mergeCell ref="AU152:AW152"/>
    <mergeCell ref="C1:L1"/>
    <mergeCell ref="AU166:AV166"/>
    <mergeCell ref="AU167:AV167"/>
    <mergeCell ref="AU171:AW171"/>
    <mergeCell ref="B114:C114"/>
    <mergeCell ref="B115:C115"/>
    <mergeCell ref="B117:C117"/>
    <mergeCell ref="B120:J120"/>
    <mergeCell ref="B122:L122"/>
    <mergeCell ref="L107:L108"/>
    <mergeCell ref="B109:C109"/>
    <mergeCell ref="E72:F72"/>
    <mergeCell ref="P72:R72"/>
    <mergeCell ref="E57:F57"/>
    <mergeCell ref="E58:F58"/>
    <mergeCell ref="E59:F59"/>
    <mergeCell ref="P49:R49"/>
    <mergeCell ref="E50:F50"/>
    <mergeCell ref="B81:J81"/>
    <mergeCell ref="E90:F90"/>
    <mergeCell ref="B101:J101"/>
    <mergeCell ref="E107:F107"/>
    <mergeCell ref="AU153:AV153"/>
    <mergeCell ref="B79:J79"/>
    <mergeCell ref="G60:J60"/>
    <mergeCell ref="G61:J61"/>
    <mergeCell ref="G62:J62"/>
    <mergeCell ref="G63:J63"/>
    <mergeCell ref="G64:J64"/>
    <mergeCell ref="G65:J65"/>
    <mergeCell ref="G66:J66"/>
    <mergeCell ref="G67:J67"/>
    <mergeCell ref="G68:J68"/>
    <mergeCell ref="B85:C85"/>
    <mergeCell ref="G107:H107"/>
    <mergeCell ref="J107:J108"/>
    <mergeCell ref="B107:C108"/>
    <mergeCell ref="B83:L83"/>
    <mergeCell ref="B77:J77"/>
    <mergeCell ref="B78:J78"/>
    <mergeCell ref="G69:J69"/>
    <mergeCell ref="G71:J71"/>
    <mergeCell ref="P73:R73"/>
    <mergeCell ref="E91:F91"/>
    <mergeCell ref="B113:C113"/>
    <mergeCell ref="E92:F92"/>
    <mergeCell ref="C4:I4"/>
    <mergeCell ref="AU172:AW172"/>
    <mergeCell ref="AU170:AV170"/>
    <mergeCell ref="AU168:AV168"/>
    <mergeCell ref="P71:R71"/>
    <mergeCell ref="B75:J75"/>
    <mergeCell ref="B76:J76"/>
    <mergeCell ref="P61:R61"/>
    <mergeCell ref="P62:R62"/>
    <mergeCell ref="P63:R63"/>
    <mergeCell ref="P64:R64"/>
    <mergeCell ref="P65:R65"/>
    <mergeCell ref="P66:R66"/>
    <mergeCell ref="P67:R67"/>
    <mergeCell ref="P68:R68"/>
    <mergeCell ref="P69:R69"/>
    <mergeCell ref="B99:H99"/>
    <mergeCell ref="B98:H98"/>
    <mergeCell ref="B112:C112"/>
    <mergeCell ref="B74:J74"/>
    <mergeCell ref="G72:J72"/>
    <mergeCell ref="G73:J73"/>
    <mergeCell ref="B106:L106"/>
  </mergeCells>
  <conditionalFormatting sqref="H89:I89">
    <cfRule type="expression" dxfId="119" priority="173">
      <formula>TEXT($J89=FALSE,"")</formula>
    </cfRule>
  </conditionalFormatting>
  <conditionalFormatting sqref="C64:C73 K63:K73">
    <cfRule type="expression" dxfId="118" priority="169">
      <formula>+TEXT($B63="","")</formula>
    </cfRule>
  </conditionalFormatting>
  <conditionalFormatting sqref="C28:G44 J20:K44">
    <cfRule type="expression" dxfId="117" priority="167">
      <formula>+TEXT($B20="","")</formula>
    </cfRule>
  </conditionalFormatting>
  <conditionalFormatting sqref="E86">
    <cfRule type="expression" dxfId="116" priority="162">
      <formula>+IF($D86=No_aplica_estampilla," ")</formula>
    </cfRule>
  </conditionalFormatting>
  <conditionalFormatting sqref="E117 H117:I117">
    <cfRule type="expression" dxfId="115" priority="157">
      <formula>+TEXT($D117="no aplica","")</formula>
    </cfRule>
    <cfRule type="expression" dxfId="114" priority="158">
      <formula>+TEXT($D117="aplica","")</formula>
    </cfRule>
  </conditionalFormatting>
  <conditionalFormatting sqref="E113 E115">
    <cfRule type="expression" dxfId="113" priority="155">
      <formula>+TEXT($D113="no aplica","")</formula>
    </cfRule>
    <cfRule type="expression" dxfId="112" priority="156">
      <formula>+TEXT($D113="aplica","")</formula>
    </cfRule>
  </conditionalFormatting>
  <conditionalFormatting sqref="H115:I115">
    <cfRule type="expression" dxfId="111" priority="153">
      <formula>+TEXT($D115="no aplica","")</formula>
    </cfRule>
    <cfRule type="expression" dxfId="110" priority="154">
      <formula>+TEXT($D115="aplica","")</formula>
    </cfRule>
  </conditionalFormatting>
  <conditionalFormatting sqref="H114:I114">
    <cfRule type="expression" dxfId="109" priority="151">
      <formula>+TEXT($D114="no aplica","")</formula>
    </cfRule>
    <cfRule type="expression" dxfId="108" priority="152">
      <formula>+TEXT($D114="aplica","")</formula>
    </cfRule>
  </conditionalFormatting>
  <conditionalFormatting sqref="H111:I111">
    <cfRule type="expression" dxfId="107" priority="149">
      <formula>+TEXT($D111="no aplica","")</formula>
    </cfRule>
    <cfRule type="expression" dxfId="106" priority="150">
      <formula>+TEXT($D111="aplica","")</formula>
    </cfRule>
  </conditionalFormatting>
  <conditionalFormatting sqref="H110:I110">
    <cfRule type="expression" dxfId="105" priority="147">
      <formula>+TEXT($D110="no aplica","")</formula>
    </cfRule>
    <cfRule type="expression" dxfId="104" priority="148">
      <formula>+TEXT($D110="aplica","")</formula>
    </cfRule>
  </conditionalFormatting>
  <conditionalFormatting sqref="H109:I109">
    <cfRule type="expression" dxfId="103" priority="145">
      <formula>+TEXT($D109="no aplica","")</formula>
    </cfRule>
    <cfRule type="expression" dxfId="102" priority="146">
      <formula>+TEXT($D109="aplica","")</formula>
    </cfRule>
  </conditionalFormatting>
  <conditionalFormatting sqref="E109:E110">
    <cfRule type="expression" dxfId="101" priority="143">
      <formula>+TEXT($D109="no aplica","")</formula>
    </cfRule>
    <cfRule type="expression" dxfId="100" priority="144">
      <formula>+TEXT($D109="aplica","")</formula>
    </cfRule>
  </conditionalFormatting>
  <conditionalFormatting sqref="E87">
    <cfRule type="expression" dxfId="99" priority="141">
      <formula>+IF($D87=No_aplica_estampilla," ")</formula>
    </cfRule>
  </conditionalFormatting>
  <conditionalFormatting sqref="H113:I113">
    <cfRule type="expression" dxfId="98" priority="139">
      <formula>+TEXT($D113="no aplica","")</formula>
    </cfRule>
    <cfRule type="expression" dxfId="97" priority="140">
      <formula>+TEXT($D113="aplica","")</formula>
    </cfRule>
  </conditionalFormatting>
  <conditionalFormatting sqref="C116">
    <cfRule type="expression" dxfId="96" priority="132">
      <formula>+TEXT($D116="no aplica","")</formula>
    </cfRule>
    <cfRule type="expression" dxfId="95" priority="133">
      <formula>+TEXT($D116="aplica","")</formula>
    </cfRule>
  </conditionalFormatting>
  <conditionalFormatting sqref="E116">
    <cfRule type="expression" dxfId="94" priority="124">
      <formula>TEXT($C$116="SMMLV","")</formula>
    </cfRule>
    <cfRule type="expression" dxfId="93" priority="125">
      <formula>TEXT($C$116="%","0,0 %")</formula>
    </cfRule>
    <cfRule type="expression" dxfId="92" priority="129">
      <formula>+TEXT($D116="no aplica","")</formula>
    </cfRule>
    <cfRule type="expression" dxfId="91" priority="130">
      <formula>+TEXT($D116="aplica","")</formula>
    </cfRule>
  </conditionalFormatting>
  <conditionalFormatting sqref="E63:F73">
    <cfRule type="expression" dxfId="90" priority="116">
      <formula>+TEXT($B63="","")</formula>
    </cfRule>
  </conditionalFormatting>
  <conditionalFormatting sqref="G63:G73">
    <cfRule type="expression" dxfId="89" priority="112">
      <formula>+TEXT($B63="","")</formula>
    </cfRule>
  </conditionalFormatting>
  <conditionalFormatting sqref="C63">
    <cfRule type="expression" dxfId="88" priority="109">
      <formula>+TEXT($B63="","")</formula>
    </cfRule>
  </conditionalFormatting>
  <conditionalFormatting sqref="D20">
    <cfRule type="expression" dxfId="87" priority="71">
      <formula>+TEXT($B20="","")</formula>
    </cfRule>
  </conditionalFormatting>
  <conditionalFormatting sqref="D109:D116">
    <cfRule type="expression" dxfId="86" priority="50">
      <formula>ISBLANK($F109)</formula>
    </cfRule>
  </conditionalFormatting>
  <conditionalFormatting sqref="D109:D116">
    <cfRule type="expression" dxfId="85" priority="49">
      <formula>$E109="no aplica"</formula>
    </cfRule>
  </conditionalFormatting>
  <conditionalFormatting sqref="D117">
    <cfRule type="expression" dxfId="84" priority="48">
      <formula>ISBLANK($F117)</formula>
    </cfRule>
  </conditionalFormatting>
  <conditionalFormatting sqref="D117">
    <cfRule type="expression" dxfId="83" priority="47">
      <formula>$E117="no aplica"</formula>
    </cfRule>
  </conditionalFormatting>
  <conditionalFormatting sqref="E111:E112">
    <cfRule type="expression" dxfId="82" priority="45">
      <formula>+TEXT($D111="no aplica","")</formula>
    </cfRule>
    <cfRule type="expression" dxfId="81" priority="46">
      <formula>+TEXT($D111="aplica","")</formula>
    </cfRule>
  </conditionalFormatting>
  <conditionalFormatting sqref="E114">
    <cfRule type="expression" dxfId="80" priority="43">
      <formula>+TEXT($D114="no aplica","")</formula>
    </cfRule>
    <cfRule type="expression" dxfId="79" priority="44">
      <formula>+TEXT($D114="aplica","")</formula>
    </cfRule>
  </conditionalFormatting>
  <conditionalFormatting sqref="C45:G45">
    <cfRule type="expression" dxfId="78" priority="41">
      <formula>+TEXT($B45="","")</formula>
    </cfRule>
  </conditionalFormatting>
  <conditionalFormatting sqref="K45">
    <cfRule type="expression" dxfId="77" priority="40">
      <formula>+TEXT($B45="","")</formula>
    </cfRule>
  </conditionalFormatting>
  <conditionalFormatting sqref="J45">
    <cfRule type="expression" dxfId="76" priority="39">
      <formula>+TEXT($B45="","")</formula>
    </cfRule>
  </conditionalFormatting>
  <conditionalFormatting sqref="E91:E92">
    <cfRule type="expression" dxfId="75" priority="36">
      <formula>+IF($D91=No_aplica_estampilla," ")</formula>
    </cfRule>
  </conditionalFormatting>
  <conditionalFormatting sqref="E88:E90">
    <cfRule type="expression" dxfId="74" priority="35">
      <formula>+IF($D88=No_aplica_estampilla," ")</formula>
    </cfRule>
  </conditionalFormatting>
  <conditionalFormatting sqref="C27">
    <cfRule type="expression" dxfId="73" priority="34">
      <formula>+TEXT($B27="","")</formula>
    </cfRule>
  </conditionalFormatting>
  <conditionalFormatting sqref="C20:C26">
    <cfRule type="expression" dxfId="72" priority="33">
      <formula>+TEXT($B20="","")</formula>
    </cfRule>
  </conditionalFormatting>
  <conditionalFormatting sqref="D21:D27">
    <cfRule type="expression" dxfId="71" priority="32">
      <formula>+TEXT($B21="","")</formula>
    </cfRule>
  </conditionalFormatting>
  <conditionalFormatting sqref="E27:F27">
    <cfRule type="expression" dxfId="70" priority="31">
      <formula>+TEXT($B27="","")</formula>
    </cfRule>
  </conditionalFormatting>
  <conditionalFormatting sqref="G27">
    <cfRule type="expression" dxfId="69" priority="30">
      <formula>+TEXT($B27="","")</formula>
    </cfRule>
  </conditionalFormatting>
  <conditionalFormatting sqref="E20:E26">
    <cfRule type="expression" dxfId="68" priority="29">
      <formula>+TEXT($B20="","")</formula>
    </cfRule>
  </conditionalFormatting>
  <conditionalFormatting sqref="G20:G21">
    <cfRule type="expression" dxfId="67" priority="28">
      <formula>+TEXT($B20="","")</formula>
    </cfRule>
  </conditionalFormatting>
  <conditionalFormatting sqref="G24">
    <cfRule type="expression" dxfId="66" priority="27">
      <formula>+TEXT($B24="","")</formula>
    </cfRule>
  </conditionalFormatting>
  <conditionalFormatting sqref="F26">
    <cfRule type="expression" dxfId="65" priority="26">
      <formula>+TEXT($B26="","")</formula>
    </cfRule>
  </conditionalFormatting>
  <conditionalFormatting sqref="F25">
    <cfRule type="expression" dxfId="64" priority="25">
      <formula>+TEXT($B25="","")</formula>
    </cfRule>
  </conditionalFormatting>
  <conditionalFormatting sqref="F20:F24">
    <cfRule type="expression" dxfId="63" priority="24">
      <formula>+TEXT($B20="","")</formula>
    </cfRule>
  </conditionalFormatting>
  <conditionalFormatting sqref="G23">
    <cfRule type="expression" dxfId="62" priority="23">
      <formula>+TEXT($B23="","")</formula>
    </cfRule>
  </conditionalFormatting>
  <conditionalFormatting sqref="G22">
    <cfRule type="expression" dxfId="61" priority="22">
      <formula>+TEXT($B22="","")</formula>
    </cfRule>
  </conditionalFormatting>
  <conditionalFormatting sqref="G25">
    <cfRule type="expression" dxfId="60" priority="21">
      <formula>+TEXT($B25="","")</formula>
    </cfRule>
  </conditionalFormatting>
  <conditionalFormatting sqref="G26">
    <cfRule type="expression" dxfId="59" priority="20">
      <formula>+TEXT($B26="","")</formula>
    </cfRule>
  </conditionalFormatting>
  <conditionalFormatting sqref="C58:C62">
    <cfRule type="expression" dxfId="58" priority="19">
      <formula>+TEXT($B58="","")</formula>
    </cfRule>
  </conditionalFormatting>
  <conditionalFormatting sqref="C56:C57">
    <cfRule type="expression" dxfId="57" priority="18">
      <formula>+TEXT($B56="","")</formula>
    </cfRule>
  </conditionalFormatting>
  <conditionalFormatting sqref="C49 C51 C53:C54">
    <cfRule type="expression" dxfId="56" priority="17">
      <formula>+TEXT($B49="","")</formula>
    </cfRule>
  </conditionalFormatting>
  <conditionalFormatting sqref="C50">
    <cfRule type="expression" dxfId="55" priority="16">
      <formula>+TEXT($B50="","")</formula>
    </cfRule>
  </conditionalFormatting>
  <conditionalFormatting sqref="C55">
    <cfRule type="expression" dxfId="54" priority="15">
      <formula>+TEXT($B55="","")</formula>
    </cfRule>
  </conditionalFormatting>
  <conditionalFormatting sqref="C52">
    <cfRule type="expression" dxfId="53" priority="14">
      <formula>+TEXT($B52="","")</formula>
    </cfRule>
  </conditionalFormatting>
  <conditionalFormatting sqref="C54">
    <cfRule type="expression" dxfId="52" priority="13">
      <formula>+TEXT($B54="","")</formula>
    </cfRule>
  </conditionalFormatting>
  <conditionalFormatting sqref="K58:K62">
    <cfRule type="expression" dxfId="51" priority="12">
      <formula>+TEXT($B58="","")</formula>
    </cfRule>
  </conditionalFormatting>
  <conditionalFormatting sqref="E58:F58 E60:F62">
    <cfRule type="expression" dxfId="50" priority="11">
      <formula>+TEXT($B58="","")</formula>
    </cfRule>
  </conditionalFormatting>
  <conditionalFormatting sqref="G59:G62">
    <cfRule type="expression" dxfId="49" priority="10">
      <formula>+TEXT($B59="","")</formula>
    </cfRule>
  </conditionalFormatting>
  <conditionalFormatting sqref="K56:K57">
    <cfRule type="expression" dxfId="48" priority="9">
      <formula>+TEXT($B56="","")</formula>
    </cfRule>
  </conditionalFormatting>
  <conditionalFormatting sqref="E56:F57">
    <cfRule type="expression" dxfId="47" priority="8">
      <formula>+TEXT($B56="","")</formula>
    </cfRule>
  </conditionalFormatting>
  <conditionalFormatting sqref="E49:G49 K53:K55">
    <cfRule type="expression" dxfId="46" priority="7">
      <formula>+TEXT($B49="","")</formula>
    </cfRule>
  </conditionalFormatting>
  <conditionalFormatting sqref="E50:F55">
    <cfRule type="expression" dxfId="45" priority="6">
      <formula>+TEXT($B50="","")</formula>
    </cfRule>
  </conditionalFormatting>
  <conditionalFormatting sqref="K49">
    <cfRule type="expression" dxfId="44" priority="5">
      <formula>+TEXT($B49="","")</formula>
    </cfRule>
  </conditionalFormatting>
  <conditionalFormatting sqref="K50:K52">
    <cfRule type="expression" dxfId="43" priority="4">
      <formula>+TEXT($B50="","")</formula>
    </cfRule>
  </conditionalFormatting>
  <conditionalFormatting sqref="G50:G52 G54:G58">
    <cfRule type="expression" dxfId="42" priority="3">
      <formula>+TEXT($B50="","")</formula>
    </cfRule>
  </conditionalFormatting>
  <conditionalFormatting sqref="G53">
    <cfRule type="expression" dxfId="41" priority="2">
      <formula>+TEXT($B53="","")</formula>
    </cfRule>
  </conditionalFormatting>
  <conditionalFormatting sqref="E59:F59">
    <cfRule type="expression" dxfId="40" priority="1">
      <formula>+TEXT($B59="","")</formula>
    </cfRule>
  </conditionalFormatting>
  <dataValidations xWindow="494" yWindow="493" count="16">
    <dataValidation type="list" allowBlank="1" showInputMessage="1" showErrorMessage="1" promptTitle="Nivel de Riesgo ARL" prompt="Seleccionar el nivel de riego que le aplica" sqref="AV165" xr:uid="{00000000-0002-0000-0000-000000000000}">
      <formula1>$W$149:$W$153</formula1>
    </dataValidation>
    <dataValidation type="list" allowBlank="1" showInputMessage="1" showErrorMessage="1" sqref="D109:D117 D119" xr:uid="{00000000-0002-0000-0000-000001000000}">
      <formula1>"Aplica, No Aplica"</formula1>
    </dataValidation>
    <dataValidation allowBlank="1" showInputMessage="1" showErrorMessage="1" promptTitle="Aplica/ No aplica " prompt="Seleccionar de la lista desplegable aplica / no aplica para cada garantía segun corresponda" sqref="D107:D108" xr:uid="{00000000-0002-0000-0000-000002000000}"/>
    <dataValidation type="list" allowBlank="1" showInputMessage="1" showErrorMessage="1" sqref="C15" xr:uid="{00000000-0002-0000-0000-000003000000}">
      <formula1>"Si, No"</formula1>
    </dataValidation>
    <dataValidation allowBlank="1" showInputMessage="1" showErrorMessage="1" promptTitle="F.P" prompt="Factor prestacional" sqref="J19" xr:uid="{00000000-0002-0000-0000-000004000000}"/>
    <dataValidation allowBlank="1" showInputMessage="1" showErrorMessage="1" promptTitle="Cantidad" prompt="Número de personas que se necesitan" sqref="E19" xr:uid="{00000000-0002-0000-0000-000005000000}"/>
    <dataValidation allowBlank="1" showInputMessage="1" showErrorMessage="1" promptTitle="% de Dedicación" prompt="% de dedicación de las personas necesarias para cada cargo" sqref="F19" xr:uid="{00000000-0002-0000-0000-000006000000}"/>
    <dataValidation allowBlank="1" showInputMessage="1" showErrorMessage="1" promptTitle="Pago de salarios" prompt="El valor de la garantía no puede ser inferior al 5% del valor total del contrato." sqref="E112" xr:uid="{00000000-0002-0000-0000-000007000000}"/>
    <dataValidation allowBlank="1" showInputMessage="1" showErrorMessage="1" promptTitle="Estabilidad y calidad de la obra" prompt="La Entidad Estatal puede aceptar que esta garantía tenga una vigencia inferior a cinco (5) años previa justificación técnica de un experto en la materia objeto del contrato._x000a_" sqref="H113:I113" xr:uid="{00000000-0002-0000-0000-000008000000}"/>
    <dataValidation type="list" allowBlank="1" showInputMessage="1" showErrorMessage="1" promptTitle="RCE" prompt="Validar si es en porcentaje % o en SMMLV" sqref="C116" xr:uid="{00000000-0002-0000-0000-000009000000}">
      <formula1>"SMMLV, %"</formula1>
    </dataValidation>
    <dataValidation allowBlank="1" showInputMessage="1" showErrorMessage="1" prompt="Valirdar si es en % ó SMMLV de acuerdo con lo definido en el Artículo 2.2.1.2.3.1.17 del Decreto 1082/2015" sqref="E116" xr:uid="{00000000-0002-0000-0000-00000A000000}"/>
    <dataValidation allowBlank="1" showInputMessage="1" showErrorMessage="1" promptTitle="Color celda" prompt="Celda de color rojo: El valor a asegurar esta por debajo de lo mínimo._x000a__x000a_Celda de color verde: El valor a asegurar esta por encima de lo mínimo." sqref="F116" xr:uid="{00000000-0002-0000-0000-00000B000000}"/>
    <dataValidation type="list" allowBlank="1" showInputMessage="1" showErrorMessage="1" sqref="P19 D20:D45" xr:uid="{00000000-0002-0000-0000-00000C000000}">
      <formula1>"I,II,III,IV,V"</formula1>
    </dataValidation>
    <dataValidation type="list" allowBlank="1" showInputMessage="1" showErrorMessage="1" sqref="D49:D73" xr:uid="{00000000-0002-0000-0000-00000D000000}">
      <formula1>Unidad_medida</formula1>
    </dataValidation>
    <dataValidation type="list" allowBlank="1" showInputMessage="1" showErrorMessage="1" sqref="H131:I137" xr:uid="{00000000-0002-0000-0000-00000E000000}">
      <formula1>$H$145:$H$174</formula1>
    </dataValidation>
    <dataValidation type="list" allowBlank="1" showInputMessage="1" showErrorMessage="1" sqref="G5" xr:uid="{00000000-0002-0000-0000-00000F000000}">
      <formula1>"Contratación Directa, Concurso de Méritos"</formula1>
    </dataValidation>
  </dataValidations>
  <pageMargins left="0.70866141732283472" right="0.70866141732283472" top="0.74803149606299213" bottom="0.74803149606299213" header="0.31496062992125984" footer="0.31496062992125984"/>
  <pageSetup scale="38" orientation="landscape" r:id="rId1"/>
  <headerFooter differentOddEven="1" differentFirst="1"/>
  <rowBreaks count="1" manualBreakCount="1">
    <brk id="82" max="16383" man="1"/>
  </rowBreaks>
  <colBreaks count="1" manualBreakCount="1">
    <brk id="14" max="1048575" man="1"/>
  </colBreaks>
  <ignoredErrors>
    <ignoredError sqref="H112 M46 M21:M4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33" r:id="rId4" name="Button 9">
              <controlPr defaultSize="0" print="0" autoFill="0" autoPict="0" macro="[0]!Calcular_FM">
                <anchor moveWithCells="1" sizeWithCells="1">
                  <from>
                    <xdr:col>8</xdr:col>
                    <xdr:colOff>838200</xdr:colOff>
                    <xdr:row>10</xdr:row>
                    <xdr:rowOff>107950</xdr:rowOff>
                  </from>
                  <to>
                    <xdr:col>10</xdr:col>
                    <xdr:colOff>666750</xdr:colOff>
                    <xdr:row>14</xdr:row>
                    <xdr:rowOff>31750</xdr:rowOff>
                  </to>
                </anchor>
              </controlPr>
            </control>
          </mc:Choice>
        </mc:AlternateContent>
      </controls>
    </mc:Choice>
  </mc:AlternateContent>
  <tableParts count="3">
    <tablePart r:id="rId5"/>
    <tablePart r:id="rId6"/>
    <tablePart r:id="rId7"/>
  </tableParts>
  <extLst>
    <ext xmlns:x14="http://schemas.microsoft.com/office/spreadsheetml/2009/9/main" uri="{CCE6A557-97BC-4b89-ADB6-D9C93CAAB3DF}">
      <x14:dataValidations xmlns:xm="http://schemas.microsoft.com/office/excel/2006/main" xWindow="494" yWindow="493" count="2">
        <x14:dataValidation type="list" allowBlank="1" showInputMessage="1" showErrorMessage="1" xr:uid="{00000000-0002-0000-0000-000010000000}">
          <x14:formula1>
            <xm:f>'TABLAS SOPORTE '!$A$11:$A$36</xm:f>
          </x14:formula1>
          <xm:sqref>B20:B45</xm:sqref>
        </x14:dataValidation>
        <x14:dataValidation type="list" allowBlank="1" showInputMessage="1" showErrorMessage="1" xr:uid="{00000000-0002-0000-0000-000011000000}">
          <x14:formula1>
            <xm:f>'TABLAS SOPORTE '!$A$42:$A$59</xm:f>
          </x14:formula1>
          <xm:sqref>B49:B73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pageSetUpPr fitToPage="1"/>
  </sheetPr>
  <dimension ref="A1:AU1048576"/>
  <sheetViews>
    <sheetView showGridLines="0" zoomScale="80" zoomScaleNormal="80" workbookViewId="0"/>
  </sheetViews>
  <sheetFormatPr baseColWidth="10" defaultRowHeight="12.5"/>
  <cols>
    <col min="1" max="1" width="6.81640625" style="528" customWidth="1"/>
    <col min="2" max="2" width="49" style="528" customWidth="1"/>
    <col min="3" max="3" width="18.81640625" style="528" customWidth="1"/>
    <col min="4" max="4" width="17.81640625" style="528" customWidth="1"/>
    <col min="5" max="5" width="18.7265625" style="528" customWidth="1"/>
    <col min="6" max="6" width="15.54296875" style="528" customWidth="1"/>
    <col min="7" max="7" width="15.26953125" style="528" customWidth="1"/>
    <col min="8" max="8" width="11.1796875" style="528" customWidth="1"/>
    <col min="9" max="9" width="23.81640625" style="528" customWidth="1"/>
    <col min="10" max="10" width="22.81640625" style="528" customWidth="1"/>
    <col min="11" max="11" width="15.1796875" style="528" customWidth="1"/>
    <col min="12" max="12" width="26" style="528" customWidth="1"/>
    <col min="13" max="13" width="18" style="528" customWidth="1"/>
    <col min="14" max="14" width="44" style="528" customWidth="1"/>
    <col min="15" max="15" width="75.453125" style="528" customWidth="1"/>
    <col min="16" max="16" width="20.81640625" style="528" customWidth="1"/>
    <col min="17" max="17" width="13.26953125" style="528" customWidth="1"/>
    <col min="18" max="18" width="14.1796875" style="528" bestFit="1" customWidth="1"/>
    <col min="19" max="19" width="15.7265625" style="528" customWidth="1"/>
    <col min="20" max="20" width="15.7265625" style="528" bestFit="1" customWidth="1"/>
    <col min="21" max="21" width="29" style="528" customWidth="1"/>
    <col min="22" max="22" width="24.81640625" style="528" customWidth="1"/>
    <col min="23" max="23" width="14.26953125" style="528" customWidth="1"/>
    <col min="24" max="24" width="72.1796875" style="528" customWidth="1"/>
    <col min="25" max="27" width="11.453125" style="528"/>
    <col min="28" max="28" width="15.81640625" style="528" customWidth="1"/>
    <col min="29" max="270" width="11.453125" style="528"/>
    <col min="271" max="271" width="6.81640625" style="528" customWidth="1"/>
    <col min="272" max="272" width="56.453125" style="528" customWidth="1"/>
    <col min="273" max="273" width="13.1796875" style="528" customWidth="1"/>
    <col min="274" max="274" width="15.453125" style="528" bestFit="1" customWidth="1"/>
    <col min="275" max="275" width="13.26953125" style="528" bestFit="1" customWidth="1"/>
    <col min="276" max="276" width="30.7265625" style="528" customWidth="1"/>
    <col min="277" max="277" width="22.54296875" style="528" customWidth="1"/>
    <col min="278" max="278" width="12.54296875" style="528" bestFit="1" customWidth="1"/>
    <col min="279" max="526" width="11.453125" style="528"/>
    <col min="527" max="527" width="6.81640625" style="528" customWidth="1"/>
    <col min="528" max="528" width="56.453125" style="528" customWidth="1"/>
    <col min="529" max="529" width="13.1796875" style="528" customWidth="1"/>
    <col min="530" max="530" width="15.453125" style="528" bestFit="1" customWidth="1"/>
    <col min="531" max="531" width="13.26953125" style="528" bestFit="1" customWidth="1"/>
    <col min="532" max="532" width="30.7265625" style="528" customWidth="1"/>
    <col min="533" max="533" width="22.54296875" style="528" customWidth="1"/>
    <col min="534" max="534" width="12.54296875" style="528" bestFit="1" customWidth="1"/>
    <col min="535" max="782" width="11.453125" style="528"/>
    <col min="783" max="783" width="6.81640625" style="528" customWidth="1"/>
    <col min="784" max="784" width="56.453125" style="528" customWidth="1"/>
    <col min="785" max="785" width="13.1796875" style="528" customWidth="1"/>
    <col min="786" max="786" width="15.453125" style="528" bestFit="1" customWidth="1"/>
    <col min="787" max="787" width="13.26953125" style="528" bestFit="1" customWidth="1"/>
    <col min="788" max="788" width="30.7265625" style="528" customWidth="1"/>
    <col min="789" max="789" width="22.54296875" style="528" customWidth="1"/>
    <col min="790" max="790" width="12.54296875" style="528" bestFit="1" customWidth="1"/>
    <col min="791" max="1038" width="11.453125" style="528"/>
    <col min="1039" max="1039" width="6.81640625" style="528" customWidth="1"/>
    <col min="1040" max="1040" width="56.453125" style="528" customWidth="1"/>
    <col min="1041" max="1041" width="13.1796875" style="528" customWidth="1"/>
    <col min="1042" max="1042" width="15.453125" style="528" bestFit="1" customWidth="1"/>
    <col min="1043" max="1043" width="13.26953125" style="528" bestFit="1" customWidth="1"/>
    <col min="1044" max="1044" width="30.7265625" style="528" customWidth="1"/>
    <col min="1045" max="1045" width="22.54296875" style="528" customWidth="1"/>
    <col min="1046" max="1046" width="12.54296875" style="528" bestFit="1" customWidth="1"/>
    <col min="1047" max="1294" width="11.453125" style="528"/>
    <col min="1295" max="1295" width="6.81640625" style="528" customWidth="1"/>
    <col min="1296" max="1296" width="56.453125" style="528" customWidth="1"/>
    <col min="1297" max="1297" width="13.1796875" style="528" customWidth="1"/>
    <col min="1298" max="1298" width="15.453125" style="528" bestFit="1" customWidth="1"/>
    <col min="1299" max="1299" width="13.26953125" style="528" bestFit="1" customWidth="1"/>
    <col min="1300" max="1300" width="30.7265625" style="528" customWidth="1"/>
    <col min="1301" max="1301" width="22.54296875" style="528" customWidth="1"/>
    <col min="1302" max="1302" width="12.54296875" style="528" bestFit="1" customWidth="1"/>
    <col min="1303" max="1550" width="11.453125" style="528"/>
    <col min="1551" max="1551" width="6.81640625" style="528" customWidth="1"/>
    <col min="1552" max="1552" width="56.453125" style="528" customWidth="1"/>
    <col min="1553" max="1553" width="13.1796875" style="528" customWidth="1"/>
    <col min="1554" max="1554" width="15.453125" style="528" bestFit="1" customWidth="1"/>
    <col min="1555" max="1555" width="13.26953125" style="528" bestFit="1" customWidth="1"/>
    <col min="1556" max="1556" width="30.7265625" style="528" customWidth="1"/>
    <col min="1557" max="1557" width="22.54296875" style="528" customWidth="1"/>
    <col min="1558" max="1558" width="12.54296875" style="528" bestFit="1" customWidth="1"/>
    <col min="1559" max="1806" width="11.453125" style="528"/>
    <col min="1807" max="1807" width="6.81640625" style="528" customWidth="1"/>
    <col min="1808" max="1808" width="56.453125" style="528" customWidth="1"/>
    <col min="1809" max="1809" width="13.1796875" style="528" customWidth="1"/>
    <col min="1810" max="1810" width="15.453125" style="528" bestFit="1" customWidth="1"/>
    <col min="1811" max="1811" width="13.26953125" style="528" bestFit="1" customWidth="1"/>
    <col min="1812" max="1812" width="30.7265625" style="528" customWidth="1"/>
    <col min="1813" max="1813" width="22.54296875" style="528" customWidth="1"/>
    <col min="1814" max="1814" width="12.54296875" style="528" bestFit="1" customWidth="1"/>
    <col min="1815" max="2062" width="11.453125" style="528"/>
    <col min="2063" max="2063" width="6.81640625" style="528" customWidth="1"/>
    <col min="2064" max="2064" width="56.453125" style="528" customWidth="1"/>
    <col min="2065" max="2065" width="13.1796875" style="528" customWidth="1"/>
    <col min="2066" max="2066" width="15.453125" style="528" bestFit="1" customWidth="1"/>
    <col min="2067" max="2067" width="13.26953125" style="528" bestFit="1" customWidth="1"/>
    <col min="2068" max="2068" width="30.7265625" style="528" customWidth="1"/>
    <col min="2069" max="2069" width="22.54296875" style="528" customWidth="1"/>
    <col min="2070" max="2070" width="12.54296875" style="528" bestFit="1" customWidth="1"/>
    <col min="2071" max="2318" width="11.453125" style="528"/>
    <col min="2319" max="2319" width="6.81640625" style="528" customWidth="1"/>
    <col min="2320" max="2320" width="56.453125" style="528" customWidth="1"/>
    <col min="2321" max="2321" width="13.1796875" style="528" customWidth="1"/>
    <col min="2322" max="2322" width="15.453125" style="528" bestFit="1" customWidth="1"/>
    <col min="2323" max="2323" width="13.26953125" style="528" bestFit="1" customWidth="1"/>
    <col min="2324" max="2324" width="30.7265625" style="528" customWidth="1"/>
    <col min="2325" max="2325" width="22.54296875" style="528" customWidth="1"/>
    <col min="2326" max="2326" width="12.54296875" style="528" bestFit="1" customWidth="1"/>
    <col min="2327" max="2574" width="11.453125" style="528"/>
    <col min="2575" max="2575" width="6.81640625" style="528" customWidth="1"/>
    <col min="2576" max="2576" width="56.453125" style="528" customWidth="1"/>
    <col min="2577" max="2577" width="13.1796875" style="528" customWidth="1"/>
    <col min="2578" max="2578" width="15.453125" style="528" bestFit="1" customWidth="1"/>
    <col min="2579" max="2579" width="13.26953125" style="528" bestFit="1" customWidth="1"/>
    <col min="2580" max="2580" width="30.7265625" style="528" customWidth="1"/>
    <col min="2581" max="2581" width="22.54296875" style="528" customWidth="1"/>
    <col min="2582" max="2582" width="12.54296875" style="528" bestFit="1" customWidth="1"/>
    <col min="2583" max="2830" width="11.453125" style="528"/>
    <col min="2831" max="2831" width="6.81640625" style="528" customWidth="1"/>
    <col min="2832" max="2832" width="56.453125" style="528" customWidth="1"/>
    <col min="2833" max="2833" width="13.1796875" style="528" customWidth="1"/>
    <col min="2834" max="2834" width="15.453125" style="528" bestFit="1" customWidth="1"/>
    <col min="2835" max="2835" width="13.26953125" style="528" bestFit="1" customWidth="1"/>
    <col min="2836" max="2836" width="30.7265625" style="528" customWidth="1"/>
    <col min="2837" max="2837" width="22.54296875" style="528" customWidth="1"/>
    <col min="2838" max="2838" width="12.54296875" style="528" bestFit="1" customWidth="1"/>
    <col min="2839" max="3086" width="11.453125" style="528"/>
    <col min="3087" max="3087" width="6.81640625" style="528" customWidth="1"/>
    <col min="3088" max="3088" width="56.453125" style="528" customWidth="1"/>
    <col min="3089" max="3089" width="13.1796875" style="528" customWidth="1"/>
    <col min="3090" max="3090" width="15.453125" style="528" bestFit="1" customWidth="1"/>
    <col min="3091" max="3091" width="13.26953125" style="528" bestFit="1" customWidth="1"/>
    <col min="3092" max="3092" width="30.7265625" style="528" customWidth="1"/>
    <col min="3093" max="3093" width="22.54296875" style="528" customWidth="1"/>
    <col min="3094" max="3094" width="12.54296875" style="528" bestFit="1" customWidth="1"/>
    <col min="3095" max="3342" width="11.453125" style="528"/>
    <col min="3343" max="3343" width="6.81640625" style="528" customWidth="1"/>
    <col min="3344" max="3344" width="56.453125" style="528" customWidth="1"/>
    <col min="3345" max="3345" width="13.1796875" style="528" customWidth="1"/>
    <col min="3346" max="3346" width="15.453125" style="528" bestFit="1" customWidth="1"/>
    <col min="3347" max="3347" width="13.26953125" style="528" bestFit="1" customWidth="1"/>
    <col min="3348" max="3348" width="30.7265625" style="528" customWidth="1"/>
    <col min="3349" max="3349" width="22.54296875" style="528" customWidth="1"/>
    <col min="3350" max="3350" width="12.54296875" style="528" bestFit="1" customWidth="1"/>
    <col min="3351" max="3598" width="11.453125" style="528"/>
    <col min="3599" max="3599" width="6.81640625" style="528" customWidth="1"/>
    <col min="3600" max="3600" width="56.453125" style="528" customWidth="1"/>
    <col min="3601" max="3601" width="13.1796875" style="528" customWidth="1"/>
    <col min="3602" max="3602" width="15.453125" style="528" bestFit="1" customWidth="1"/>
    <col min="3603" max="3603" width="13.26953125" style="528" bestFit="1" customWidth="1"/>
    <col min="3604" max="3604" width="30.7265625" style="528" customWidth="1"/>
    <col min="3605" max="3605" width="22.54296875" style="528" customWidth="1"/>
    <col min="3606" max="3606" width="12.54296875" style="528" bestFit="1" customWidth="1"/>
    <col min="3607" max="3854" width="11.453125" style="528"/>
    <col min="3855" max="3855" width="6.81640625" style="528" customWidth="1"/>
    <col min="3856" max="3856" width="56.453125" style="528" customWidth="1"/>
    <col min="3857" max="3857" width="13.1796875" style="528" customWidth="1"/>
    <col min="3858" max="3858" width="15.453125" style="528" bestFit="1" customWidth="1"/>
    <col min="3859" max="3859" width="13.26953125" style="528" bestFit="1" customWidth="1"/>
    <col min="3860" max="3860" width="30.7265625" style="528" customWidth="1"/>
    <col min="3861" max="3861" width="22.54296875" style="528" customWidth="1"/>
    <col min="3862" max="3862" width="12.54296875" style="528" bestFit="1" customWidth="1"/>
    <col min="3863" max="4110" width="11.453125" style="528"/>
    <col min="4111" max="4111" width="6.81640625" style="528" customWidth="1"/>
    <col min="4112" max="4112" width="56.453125" style="528" customWidth="1"/>
    <col min="4113" max="4113" width="13.1796875" style="528" customWidth="1"/>
    <col min="4114" max="4114" width="15.453125" style="528" bestFit="1" customWidth="1"/>
    <col min="4115" max="4115" width="13.26953125" style="528" bestFit="1" customWidth="1"/>
    <col min="4116" max="4116" width="30.7265625" style="528" customWidth="1"/>
    <col min="4117" max="4117" width="22.54296875" style="528" customWidth="1"/>
    <col min="4118" max="4118" width="12.54296875" style="528" bestFit="1" customWidth="1"/>
    <col min="4119" max="4366" width="11.453125" style="528"/>
    <col min="4367" max="4367" width="6.81640625" style="528" customWidth="1"/>
    <col min="4368" max="4368" width="56.453125" style="528" customWidth="1"/>
    <col min="4369" max="4369" width="13.1796875" style="528" customWidth="1"/>
    <col min="4370" max="4370" width="15.453125" style="528" bestFit="1" customWidth="1"/>
    <col min="4371" max="4371" width="13.26953125" style="528" bestFit="1" customWidth="1"/>
    <col min="4372" max="4372" width="30.7265625" style="528" customWidth="1"/>
    <col min="4373" max="4373" width="22.54296875" style="528" customWidth="1"/>
    <col min="4374" max="4374" width="12.54296875" style="528" bestFit="1" customWidth="1"/>
    <col min="4375" max="4622" width="11.453125" style="528"/>
    <col min="4623" max="4623" width="6.81640625" style="528" customWidth="1"/>
    <col min="4624" max="4624" width="56.453125" style="528" customWidth="1"/>
    <col min="4625" max="4625" width="13.1796875" style="528" customWidth="1"/>
    <col min="4626" max="4626" width="15.453125" style="528" bestFit="1" customWidth="1"/>
    <col min="4627" max="4627" width="13.26953125" style="528" bestFit="1" customWidth="1"/>
    <col min="4628" max="4628" width="30.7265625" style="528" customWidth="1"/>
    <col min="4629" max="4629" width="22.54296875" style="528" customWidth="1"/>
    <col min="4630" max="4630" width="12.54296875" style="528" bestFit="1" customWidth="1"/>
    <col min="4631" max="4878" width="11.453125" style="528"/>
    <col min="4879" max="4879" width="6.81640625" style="528" customWidth="1"/>
    <col min="4880" max="4880" width="56.453125" style="528" customWidth="1"/>
    <col min="4881" max="4881" width="13.1796875" style="528" customWidth="1"/>
    <col min="4882" max="4882" width="15.453125" style="528" bestFit="1" customWidth="1"/>
    <col min="4883" max="4883" width="13.26953125" style="528" bestFit="1" customWidth="1"/>
    <col min="4884" max="4884" width="30.7265625" style="528" customWidth="1"/>
    <col min="4885" max="4885" width="22.54296875" style="528" customWidth="1"/>
    <col min="4886" max="4886" width="12.54296875" style="528" bestFit="1" customWidth="1"/>
    <col min="4887" max="5134" width="11.453125" style="528"/>
    <col min="5135" max="5135" width="6.81640625" style="528" customWidth="1"/>
    <col min="5136" max="5136" width="56.453125" style="528" customWidth="1"/>
    <col min="5137" max="5137" width="13.1796875" style="528" customWidth="1"/>
    <col min="5138" max="5138" width="15.453125" style="528" bestFit="1" customWidth="1"/>
    <col min="5139" max="5139" width="13.26953125" style="528" bestFit="1" customWidth="1"/>
    <col min="5140" max="5140" width="30.7265625" style="528" customWidth="1"/>
    <col min="5141" max="5141" width="22.54296875" style="528" customWidth="1"/>
    <col min="5142" max="5142" width="12.54296875" style="528" bestFit="1" customWidth="1"/>
    <col min="5143" max="5390" width="11.453125" style="528"/>
    <col min="5391" max="5391" width="6.81640625" style="528" customWidth="1"/>
    <col min="5392" max="5392" width="56.453125" style="528" customWidth="1"/>
    <col min="5393" max="5393" width="13.1796875" style="528" customWidth="1"/>
    <col min="5394" max="5394" width="15.453125" style="528" bestFit="1" customWidth="1"/>
    <col min="5395" max="5395" width="13.26953125" style="528" bestFit="1" customWidth="1"/>
    <col min="5396" max="5396" width="30.7265625" style="528" customWidth="1"/>
    <col min="5397" max="5397" width="22.54296875" style="528" customWidth="1"/>
    <col min="5398" max="5398" width="12.54296875" style="528" bestFit="1" customWidth="1"/>
    <col min="5399" max="5646" width="11.453125" style="528"/>
    <col min="5647" max="5647" width="6.81640625" style="528" customWidth="1"/>
    <col min="5648" max="5648" width="56.453125" style="528" customWidth="1"/>
    <col min="5649" max="5649" width="13.1796875" style="528" customWidth="1"/>
    <col min="5650" max="5650" width="15.453125" style="528" bestFit="1" customWidth="1"/>
    <col min="5651" max="5651" width="13.26953125" style="528" bestFit="1" customWidth="1"/>
    <col min="5652" max="5652" width="30.7265625" style="528" customWidth="1"/>
    <col min="5653" max="5653" width="22.54296875" style="528" customWidth="1"/>
    <col min="5654" max="5654" width="12.54296875" style="528" bestFit="1" customWidth="1"/>
    <col min="5655" max="5902" width="11.453125" style="528"/>
    <col min="5903" max="5903" width="6.81640625" style="528" customWidth="1"/>
    <col min="5904" max="5904" width="56.453125" style="528" customWidth="1"/>
    <col min="5905" max="5905" width="13.1796875" style="528" customWidth="1"/>
    <col min="5906" max="5906" width="15.453125" style="528" bestFit="1" customWidth="1"/>
    <col min="5907" max="5907" width="13.26953125" style="528" bestFit="1" customWidth="1"/>
    <col min="5908" max="5908" width="30.7265625" style="528" customWidth="1"/>
    <col min="5909" max="5909" width="22.54296875" style="528" customWidth="1"/>
    <col min="5910" max="5910" width="12.54296875" style="528" bestFit="1" customWidth="1"/>
    <col min="5911" max="6158" width="11.453125" style="528"/>
    <col min="6159" max="6159" width="6.81640625" style="528" customWidth="1"/>
    <col min="6160" max="6160" width="56.453125" style="528" customWidth="1"/>
    <col min="6161" max="6161" width="13.1796875" style="528" customWidth="1"/>
    <col min="6162" max="6162" width="15.453125" style="528" bestFit="1" customWidth="1"/>
    <col min="6163" max="6163" width="13.26953125" style="528" bestFit="1" customWidth="1"/>
    <col min="6164" max="6164" width="30.7265625" style="528" customWidth="1"/>
    <col min="6165" max="6165" width="22.54296875" style="528" customWidth="1"/>
    <col min="6166" max="6166" width="12.54296875" style="528" bestFit="1" customWidth="1"/>
    <col min="6167" max="6414" width="11.453125" style="528"/>
    <col min="6415" max="6415" width="6.81640625" style="528" customWidth="1"/>
    <col min="6416" max="6416" width="56.453125" style="528" customWidth="1"/>
    <col min="6417" max="6417" width="13.1796875" style="528" customWidth="1"/>
    <col min="6418" max="6418" width="15.453125" style="528" bestFit="1" customWidth="1"/>
    <col min="6419" max="6419" width="13.26953125" style="528" bestFit="1" customWidth="1"/>
    <col min="6420" max="6420" width="30.7265625" style="528" customWidth="1"/>
    <col min="6421" max="6421" width="22.54296875" style="528" customWidth="1"/>
    <col min="6422" max="6422" width="12.54296875" style="528" bestFit="1" customWidth="1"/>
    <col min="6423" max="6670" width="11.453125" style="528"/>
    <col min="6671" max="6671" width="6.81640625" style="528" customWidth="1"/>
    <col min="6672" max="6672" width="56.453125" style="528" customWidth="1"/>
    <col min="6673" max="6673" width="13.1796875" style="528" customWidth="1"/>
    <col min="6674" max="6674" width="15.453125" style="528" bestFit="1" customWidth="1"/>
    <col min="6675" max="6675" width="13.26953125" style="528" bestFit="1" customWidth="1"/>
    <col min="6676" max="6676" width="30.7265625" style="528" customWidth="1"/>
    <col min="6677" max="6677" width="22.54296875" style="528" customWidth="1"/>
    <col min="6678" max="6678" width="12.54296875" style="528" bestFit="1" customWidth="1"/>
    <col min="6679" max="6926" width="11.453125" style="528"/>
    <col min="6927" max="6927" width="6.81640625" style="528" customWidth="1"/>
    <col min="6928" max="6928" width="56.453125" style="528" customWidth="1"/>
    <col min="6929" max="6929" width="13.1796875" style="528" customWidth="1"/>
    <col min="6930" max="6930" width="15.453125" style="528" bestFit="1" customWidth="1"/>
    <col min="6931" max="6931" width="13.26953125" style="528" bestFit="1" customWidth="1"/>
    <col min="6932" max="6932" width="30.7265625" style="528" customWidth="1"/>
    <col min="6933" max="6933" width="22.54296875" style="528" customWidth="1"/>
    <col min="6934" max="6934" width="12.54296875" style="528" bestFit="1" customWidth="1"/>
    <col min="6935" max="7182" width="11.453125" style="528"/>
    <col min="7183" max="7183" width="6.81640625" style="528" customWidth="1"/>
    <col min="7184" max="7184" width="56.453125" style="528" customWidth="1"/>
    <col min="7185" max="7185" width="13.1796875" style="528" customWidth="1"/>
    <col min="7186" max="7186" width="15.453125" style="528" bestFit="1" customWidth="1"/>
    <col min="7187" max="7187" width="13.26953125" style="528" bestFit="1" customWidth="1"/>
    <col min="7188" max="7188" width="30.7265625" style="528" customWidth="1"/>
    <col min="7189" max="7189" width="22.54296875" style="528" customWidth="1"/>
    <col min="7190" max="7190" width="12.54296875" style="528" bestFit="1" customWidth="1"/>
    <col min="7191" max="7438" width="11.453125" style="528"/>
    <col min="7439" max="7439" width="6.81640625" style="528" customWidth="1"/>
    <col min="7440" max="7440" width="56.453125" style="528" customWidth="1"/>
    <col min="7441" max="7441" width="13.1796875" style="528" customWidth="1"/>
    <col min="7442" max="7442" width="15.453125" style="528" bestFit="1" customWidth="1"/>
    <col min="7443" max="7443" width="13.26953125" style="528" bestFit="1" customWidth="1"/>
    <col min="7444" max="7444" width="30.7265625" style="528" customWidth="1"/>
    <col min="7445" max="7445" width="22.54296875" style="528" customWidth="1"/>
    <col min="7446" max="7446" width="12.54296875" style="528" bestFit="1" customWidth="1"/>
    <col min="7447" max="7694" width="11.453125" style="528"/>
    <col min="7695" max="7695" width="6.81640625" style="528" customWidth="1"/>
    <col min="7696" max="7696" width="56.453125" style="528" customWidth="1"/>
    <col min="7697" max="7697" width="13.1796875" style="528" customWidth="1"/>
    <col min="7698" max="7698" width="15.453125" style="528" bestFit="1" customWidth="1"/>
    <col min="7699" max="7699" width="13.26953125" style="528" bestFit="1" customWidth="1"/>
    <col min="7700" max="7700" width="30.7265625" style="528" customWidth="1"/>
    <col min="7701" max="7701" width="22.54296875" style="528" customWidth="1"/>
    <col min="7702" max="7702" width="12.54296875" style="528" bestFit="1" customWidth="1"/>
    <col min="7703" max="7950" width="11.453125" style="528"/>
    <col min="7951" max="7951" width="6.81640625" style="528" customWidth="1"/>
    <col min="7952" max="7952" width="56.453125" style="528" customWidth="1"/>
    <col min="7953" max="7953" width="13.1796875" style="528" customWidth="1"/>
    <col min="7954" max="7954" width="15.453125" style="528" bestFit="1" customWidth="1"/>
    <col min="7955" max="7955" width="13.26953125" style="528" bestFit="1" customWidth="1"/>
    <col min="7956" max="7956" width="30.7265625" style="528" customWidth="1"/>
    <col min="7957" max="7957" width="22.54296875" style="528" customWidth="1"/>
    <col min="7958" max="7958" width="12.54296875" style="528" bestFit="1" customWidth="1"/>
    <col min="7959" max="8206" width="11.453125" style="528"/>
    <col min="8207" max="8207" width="6.81640625" style="528" customWidth="1"/>
    <col min="8208" max="8208" width="56.453125" style="528" customWidth="1"/>
    <col min="8209" max="8209" width="13.1796875" style="528" customWidth="1"/>
    <col min="8210" max="8210" width="15.453125" style="528" bestFit="1" customWidth="1"/>
    <col min="8211" max="8211" width="13.26953125" style="528" bestFit="1" customWidth="1"/>
    <col min="8212" max="8212" width="30.7265625" style="528" customWidth="1"/>
    <col min="8213" max="8213" width="22.54296875" style="528" customWidth="1"/>
    <col min="8214" max="8214" width="12.54296875" style="528" bestFit="1" customWidth="1"/>
    <col min="8215" max="8462" width="11.453125" style="528"/>
    <col min="8463" max="8463" width="6.81640625" style="528" customWidth="1"/>
    <col min="8464" max="8464" width="56.453125" style="528" customWidth="1"/>
    <col min="8465" max="8465" width="13.1796875" style="528" customWidth="1"/>
    <col min="8466" max="8466" width="15.453125" style="528" bestFit="1" customWidth="1"/>
    <col min="8467" max="8467" width="13.26953125" style="528" bestFit="1" customWidth="1"/>
    <col min="8468" max="8468" width="30.7265625" style="528" customWidth="1"/>
    <col min="8469" max="8469" width="22.54296875" style="528" customWidth="1"/>
    <col min="8470" max="8470" width="12.54296875" style="528" bestFit="1" customWidth="1"/>
    <col min="8471" max="8718" width="11.453125" style="528"/>
    <col min="8719" max="8719" width="6.81640625" style="528" customWidth="1"/>
    <col min="8720" max="8720" width="56.453125" style="528" customWidth="1"/>
    <col min="8721" max="8721" width="13.1796875" style="528" customWidth="1"/>
    <col min="8722" max="8722" width="15.453125" style="528" bestFit="1" customWidth="1"/>
    <col min="8723" max="8723" width="13.26953125" style="528" bestFit="1" customWidth="1"/>
    <col min="8724" max="8724" width="30.7265625" style="528" customWidth="1"/>
    <col min="8725" max="8725" width="22.54296875" style="528" customWidth="1"/>
    <col min="8726" max="8726" width="12.54296875" style="528" bestFit="1" customWidth="1"/>
    <col min="8727" max="8974" width="11.453125" style="528"/>
    <col min="8975" max="8975" width="6.81640625" style="528" customWidth="1"/>
    <col min="8976" max="8976" width="56.453125" style="528" customWidth="1"/>
    <col min="8977" max="8977" width="13.1796875" style="528" customWidth="1"/>
    <col min="8978" max="8978" width="15.453125" style="528" bestFit="1" customWidth="1"/>
    <col min="8979" max="8979" width="13.26953125" style="528" bestFit="1" customWidth="1"/>
    <col min="8980" max="8980" width="30.7265625" style="528" customWidth="1"/>
    <col min="8981" max="8981" width="22.54296875" style="528" customWidth="1"/>
    <col min="8982" max="8982" width="12.54296875" style="528" bestFit="1" customWidth="1"/>
    <col min="8983" max="9230" width="11.453125" style="528"/>
    <col min="9231" max="9231" width="6.81640625" style="528" customWidth="1"/>
    <col min="9232" max="9232" width="56.453125" style="528" customWidth="1"/>
    <col min="9233" max="9233" width="13.1796875" style="528" customWidth="1"/>
    <col min="9234" max="9234" width="15.453125" style="528" bestFit="1" customWidth="1"/>
    <col min="9235" max="9235" width="13.26953125" style="528" bestFit="1" customWidth="1"/>
    <col min="9236" max="9236" width="30.7265625" style="528" customWidth="1"/>
    <col min="9237" max="9237" width="22.54296875" style="528" customWidth="1"/>
    <col min="9238" max="9238" width="12.54296875" style="528" bestFit="1" customWidth="1"/>
    <col min="9239" max="9486" width="11.453125" style="528"/>
    <col min="9487" max="9487" width="6.81640625" style="528" customWidth="1"/>
    <col min="9488" max="9488" width="56.453125" style="528" customWidth="1"/>
    <col min="9489" max="9489" width="13.1796875" style="528" customWidth="1"/>
    <col min="9490" max="9490" width="15.453125" style="528" bestFit="1" customWidth="1"/>
    <col min="9491" max="9491" width="13.26953125" style="528" bestFit="1" customWidth="1"/>
    <col min="9492" max="9492" width="30.7265625" style="528" customWidth="1"/>
    <col min="9493" max="9493" width="22.54296875" style="528" customWidth="1"/>
    <col min="9494" max="9494" width="12.54296875" style="528" bestFit="1" customWidth="1"/>
    <col min="9495" max="9742" width="11.453125" style="528"/>
    <col min="9743" max="9743" width="6.81640625" style="528" customWidth="1"/>
    <col min="9744" max="9744" width="56.453125" style="528" customWidth="1"/>
    <col min="9745" max="9745" width="13.1796875" style="528" customWidth="1"/>
    <col min="9746" max="9746" width="15.453125" style="528" bestFit="1" customWidth="1"/>
    <col min="9747" max="9747" width="13.26953125" style="528" bestFit="1" customWidth="1"/>
    <col min="9748" max="9748" width="30.7265625" style="528" customWidth="1"/>
    <col min="9749" max="9749" width="22.54296875" style="528" customWidth="1"/>
    <col min="9750" max="9750" width="12.54296875" style="528" bestFit="1" customWidth="1"/>
    <col min="9751" max="9998" width="11.453125" style="528"/>
    <col min="9999" max="9999" width="6.81640625" style="528" customWidth="1"/>
    <col min="10000" max="10000" width="56.453125" style="528" customWidth="1"/>
    <col min="10001" max="10001" width="13.1796875" style="528" customWidth="1"/>
    <col min="10002" max="10002" width="15.453125" style="528" bestFit="1" customWidth="1"/>
    <col min="10003" max="10003" width="13.26953125" style="528" bestFit="1" customWidth="1"/>
    <col min="10004" max="10004" width="30.7265625" style="528" customWidth="1"/>
    <col min="10005" max="10005" width="22.54296875" style="528" customWidth="1"/>
    <col min="10006" max="10006" width="12.54296875" style="528" bestFit="1" customWidth="1"/>
    <col min="10007" max="10254" width="11.453125" style="528"/>
    <col min="10255" max="10255" width="6.81640625" style="528" customWidth="1"/>
    <col min="10256" max="10256" width="56.453125" style="528" customWidth="1"/>
    <col min="10257" max="10257" width="13.1796875" style="528" customWidth="1"/>
    <col min="10258" max="10258" width="15.453125" style="528" bestFit="1" customWidth="1"/>
    <col min="10259" max="10259" width="13.26953125" style="528" bestFit="1" customWidth="1"/>
    <col min="10260" max="10260" width="30.7265625" style="528" customWidth="1"/>
    <col min="10261" max="10261" width="22.54296875" style="528" customWidth="1"/>
    <col min="10262" max="10262" width="12.54296875" style="528" bestFit="1" customWidth="1"/>
    <col min="10263" max="10510" width="11.453125" style="528"/>
    <col min="10511" max="10511" width="6.81640625" style="528" customWidth="1"/>
    <col min="10512" max="10512" width="56.453125" style="528" customWidth="1"/>
    <col min="10513" max="10513" width="13.1796875" style="528" customWidth="1"/>
    <col min="10514" max="10514" width="15.453125" style="528" bestFit="1" customWidth="1"/>
    <col min="10515" max="10515" width="13.26953125" style="528" bestFit="1" customWidth="1"/>
    <col min="10516" max="10516" width="30.7265625" style="528" customWidth="1"/>
    <col min="10517" max="10517" width="22.54296875" style="528" customWidth="1"/>
    <col min="10518" max="10518" width="12.54296875" style="528" bestFit="1" customWidth="1"/>
    <col min="10519" max="10766" width="11.453125" style="528"/>
    <col min="10767" max="10767" width="6.81640625" style="528" customWidth="1"/>
    <col min="10768" max="10768" width="56.453125" style="528" customWidth="1"/>
    <col min="10769" max="10769" width="13.1796875" style="528" customWidth="1"/>
    <col min="10770" max="10770" width="15.453125" style="528" bestFit="1" customWidth="1"/>
    <col min="10771" max="10771" width="13.26953125" style="528" bestFit="1" customWidth="1"/>
    <col min="10772" max="10772" width="30.7265625" style="528" customWidth="1"/>
    <col min="10773" max="10773" width="22.54296875" style="528" customWidth="1"/>
    <col min="10774" max="10774" width="12.54296875" style="528" bestFit="1" customWidth="1"/>
    <col min="10775" max="11022" width="11.453125" style="528"/>
    <col min="11023" max="11023" width="6.81640625" style="528" customWidth="1"/>
    <col min="11024" max="11024" width="56.453125" style="528" customWidth="1"/>
    <col min="11025" max="11025" width="13.1796875" style="528" customWidth="1"/>
    <col min="11026" max="11026" width="15.453125" style="528" bestFit="1" customWidth="1"/>
    <col min="11027" max="11027" width="13.26953125" style="528" bestFit="1" customWidth="1"/>
    <col min="11028" max="11028" width="30.7265625" style="528" customWidth="1"/>
    <col min="11029" max="11029" width="22.54296875" style="528" customWidth="1"/>
    <col min="11030" max="11030" width="12.54296875" style="528" bestFit="1" customWidth="1"/>
    <col min="11031" max="11278" width="11.453125" style="528"/>
    <col min="11279" max="11279" width="6.81640625" style="528" customWidth="1"/>
    <col min="11280" max="11280" width="56.453125" style="528" customWidth="1"/>
    <col min="11281" max="11281" width="13.1796875" style="528" customWidth="1"/>
    <col min="11282" max="11282" width="15.453125" style="528" bestFit="1" customWidth="1"/>
    <col min="11283" max="11283" width="13.26953125" style="528" bestFit="1" customWidth="1"/>
    <col min="11284" max="11284" width="30.7265625" style="528" customWidth="1"/>
    <col min="11285" max="11285" width="22.54296875" style="528" customWidth="1"/>
    <col min="11286" max="11286" width="12.54296875" style="528" bestFit="1" customWidth="1"/>
    <col min="11287" max="11534" width="11.453125" style="528"/>
    <col min="11535" max="11535" width="6.81640625" style="528" customWidth="1"/>
    <col min="11536" max="11536" width="56.453125" style="528" customWidth="1"/>
    <col min="11537" max="11537" width="13.1796875" style="528" customWidth="1"/>
    <col min="11538" max="11538" width="15.453125" style="528" bestFit="1" customWidth="1"/>
    <col min="11539" max="11539" width="13.26953125" style="528" bestFit="1" customWidth="1"/>
    <col min="11540" max="11540" width="30.7265625" style="528" customWidth="1"/>
    <col min="11541" max="11541" width="22.54296875" style="528" customWidth="1"/>
    <col min="11542" max="11542" width="12.54296875" style="528" bestFit="1" customWidth="1"/>
    <col min="11543" max="11790" width="11.453125" style="528"/>
    <col min="11791" max="11791" width="6.81640625" style="528" customWidth="1"/>
    <col min="11792" max="11792" width="56.453125" style="528" customWidth="1"/>
    <col min="11793" max="11793" width="13.1796875" style="528" customWidth="1"/>
    <col min="11794" max="11794" width="15.453125" style="528" bestFit="1" customWidth="1"/>
    <col min="11795" max="11795" width="13.26953125" style="528" bestFit="1" customWidth="1"/>
    <col min="11796" max="11796" width="30.7265625" style="528" customWidth="1"/>
    <col min="11797" max="11797" width="22.54296875" style="528" customWidth="1"/>
    <col min="11798" max="11798" width="12.54296875" style="528" bestFit="1" customWidth="1"/>
    <col min="11799" max="12046" width="11.453125" style="528"/>
    <col min="12047" max="12047" width="6.81640625" style="528" customWidth="1"/>
    <col min="12048" max="12048" width="56.453125" style="528" customWidth="1"/>
    <col min="12049" max="12049" width="13.1796875" style="528" customWidth="1"/>
    <col min="12050" max="12050" width="15.453125" style="528" bestFit="1" customWidth="1"/>
    <col min="12051" max="12051" width="13.26953125" style="528" bestFit="1" customWidth="1"/>
    <col min="12052" max="12052" width="30.7265625" style="528" customWidth="1"/>
    <col min="12053" max="12053" width="22.54296875" style="528" customWidth="1"/>
    <col min="12054" max="12054" width="12.54296875" style="528" bestFit="1" customWidth="1"/>
    <col min="12055" max="12302" width="11.453125" style="528"/>
    <col min="12303" max="12303" width="6.81640625" style="528" customWidth="1"/>
    <col min="12304" max="12304" width="56.453125" style="528" customWidth="1"/>
    <col min="12305" max="12305" width="13.1796875" style="528" customWidth="1"/>
    <col min="12306" max="12306" width="15.453125" style="528" bestFit="1" customWidth="1"/>
    <col min="12307" max="12307" width="13.26953125" style="528" bestFit="1" customWidth="1"/>
    <col min="12308" max="12308" width="30.7265625" style="528" customWidth="1"/>
    <col min="12309" max="12309" width="22.54296875" style="528" customWidth="1"/>
    <col min="12310" max="12310" width="12.54296875" style="528" bestFit="1" customWidth="1"/>
    <col min="12311" max="12558" width="11.453125" style="528"/>
    <col min="12559" max="12559" width="6.81640625" style="528" customWidth="1"/>
    <col min="12560" max="12560" width="56.453125" style="528" customWidth="1"/>
    <col min="12561" max="12561" width="13.1796875" style="528" customWidth="1"/>
    <col min="12562" max="12562" width="15.453125" style="528" bestFit="1" customWidth="1"/>
    <col min="12563" max="12563" width="13.26953125" style="528" bestFit="1" customWidth="1"/>
    <col min="12564" max="12564" width="30.7265625" style="528" customWidth="1"/>
    <col min="12565" max="12565" width="22.54296875" style="528" customWidth="1"/>
    <col min="12566" max="12566" width="12.54296875" style="528" bestFit="1" customWidth="1"/>
    <col min="12567" max="12814" width="11.453125" style="528"/>
    <col min="12815" max="12815" width="6.81640625" style="528" customWidth="1"/>
    <col min="12816" max="12816" width="56.453125" style="528" customWidth="1"/>
    <col min="12817" max="12817" width="13.1796875" style="528" customWidth="1"/>
    <col min="12818" max="12818" width="15.453125" style="528" bestFit="1" customWidth="1"/>
    <col min="12819" max="12819" width="13.26953125" style="528" bestFit="1" customWidth="1"/>
    <col min="12820" max="12820" width="30.7265625" style="528" customWidth="1"/>
    <col min="12821" max="12821" width="22.54296875" style="528" customWidth="1"/>
    <col min="12822" max="12822" width="12.54296875" style="528" bestFit="1" customWidth="1"/>
    <col min="12823" max="13070" width="11.453125" style="528"/>
    <col min="13071" max="13071" width="6.81640625" style="528" customWidth="1"/>
    <col min="13072" max="13072" width="56.453125" style="528" customWidth="1"/>
    <col min="13073" max="13073" width="13.1796875" style="528" customWidth="1"/>
    <col min="13074" max="13074" width="15.453125" style="528" bestFit="1" customWidth="1"/>
    <col min="13075" max="13075" width="13.26953125" style="528" bestFit="1" customWidth="1"/>
    <col min="13076" max="13076" width="30.7265625" style="528" customWidth="1"/>
    <col min="13077" max="13077" width="22.54296875" style="528" customWidth="1"/>
    <col min="13078" max="13078" width="12.54296875" style="528" bestFit="1" customWidth="1"/>
    <col min="13079" max="13326" width="11.453125" style="528"/>
    <col min="13327" max="13327" width="6.81640625" style="528" customWidth="1"/>
    <col min="13328" max="13328" width="56.453125" style="528" customWidth="1"/>
    <col min="13329" max="13329" width="13.1796875" style="528" customWidth="1"/>
    <col min="13330" max="13330" width="15.453125" style="528" bestFit="1" customWidth="1"/>
    <col min="13331" max="13331" width="13.26953125" style="528" bestFit="1" customWidth="1"/>
    <col min="13332" max="13332" width="30.7265625" style="528" customWidth="1"/>
    <col min="13333" max="13333" width="22.54296875" style="528" customWidth="1"/>
    <col min="13334" max="13334" width="12.54296875" style="528" bestFit="1" customWidth="1"/>
    <col min="13335" max="13582" width="11.453125" style="528"/>
    <col min="13583" max="13583" width="6.81640625" style="528" customWidth="1"/>
    <col min="13584" max="13584" width="56.453125" style="528" customWidth="1"/>
    <col min="13585" max="13585" width="13.1796875" style="528" customWidth="1"/>
    <col min="13586" max="13586" width="15.453125" style="528" bestFit="1" customWidth="1"/>
    <col min="13587" max="13587" width="13.26953125" style="528" bestFit="1" customWidth="1"/>
    <col min="13588" max="13588" width="30.7265625" style="528" customWidth="1"/>
    <col min="13589" max="13589" width="22.54296875" style="528" customWidth="1"/>
    <col min="13590" max="13590" width="12.54296875" style="528" bestFit="1" customWidth="1"/>
    <col min="13591" max="13838" width="11.453125" style="528"/>
    <col min="13839" max="13839" width="6.81640625" style="528" customWidth="1"/>
    <col min="13840" max="13840" width="56.453125" style="528" customWidth="1"/>
    <col min="13841" max="13841" width="13.1796875" style="528" customWidth="1"/>
    <col min="13842" max="13842" width="15.453125" style="528" bestFit="1" customWidth="1"/>
    <col min="13843" max="13843" width="13.26953125" style="528" bestFit="1" customWidth="1"/>
    <col min="13844" max="13844" width="30.7265625" style="528" customWidth="1"/>
    <col min="13845" max="13845" width="22.54296875" style="528" customWidth="1"/>
    <col min="13846" max="13846" width="12.54296875" style="528" bestFit="1" customWidth="1"/>
    <col min="13847" max="14094" width="11.453125" style="528"/>
    <col min="14095" max="14095" width="6.81640625" style="528" customWidth="1"/>
    <col min="14096" max="14096" width="56.453125" style="528" customWidth="1"/>
    <col min="14097" max="14097" width="13.1796875" style="528" customWidth="1"/>
    <col min="14098" max="14098" width="15.453125" style="528" bestFit="1" customWidth="1"/>
    <col min="14099" max="14099" width="13.26953125" style="528" bestFit="1" customWidth="1"/>
    <col min="14100" max="14100" width="30.7265625" style="528" customWidth="1"/>
    <col min="14101" max="14101" width="22.54296875" style="528" customWidth="1"/>
    <col min="14102" max="14102" width="12.54296875" style="528" bestFit="1" customWidth="1"/>
    <col min="14103" max="14350" width="11.453125" style="528"/>
    <col min="14351" max="14351" width="6.81640625" style="528" customWidth="1"/>
    <col min="14352" max="14352" width="56.453125" style="528" customWidth="1"/>
    <col min="14353" max="14353" width="13.1796875" style="528" customWidth="1"/>
    <col min="14354" max="14354" width="15.453125" style="528" bestFit="1" customWidth="1"/>
    <col min="14355" max="14355" width="13.26953125" style="528" bestFit="1" customWidth="1"/>
    <col min="14356" max="14356" width="30.7265625" style="528" customWidth="1"/>
    <col min="14357" max="14357" width="22.54296875" style="528" customWidth="1"/>
    <col min="14358" max="14358" width="12.54296875" style="528" bestFit="1" customWidth="1"/>
    <col min="14359" max="14606" width="11.453125" style="528"/>
    <col min="14607" max="14607" width="6.81640625" style="528" customWidth="1"/>
    <col min="14608" max="14608" width="56.453125" style="528" customWidth="1"/>
    <col min="14609" max="14609" width="13.1796875" style="528" customWidth="1"/>
    <col min="14610" max="14610" width="15.453125" style="528" bestFit="1" customWidth="1"/>
    <col min="14611" max="14611" width="13.26953125" style="528" bestFit="1" customWidth="1"/>
    <col min="14612" max="14612" width="30.7265625" style="528" customWidth="1"/>
    <col min="14613" max="14613" width="22.54296875" style="528" customWidth="1"/>
    <col min="14614" max="14614" width="12.54296875" style="528" bestFit="1" customWidth="1"/>
    <col min="14615" max="14862" width="11.453125" style="528"/>
    <col min="14863" max="14863" width="6.81640625" style="528" customWidth="1"/>
    <col min="14864" max="14864" width="56.453125" style="528" customWidth="1"/>
    <col min="14865" max="14865" width="13.1796875" style="528" customWidth="1"/>
    <col min="14866" max="14866" width="15.453125" style="528" bestFit="1" customWidth="1"/>
    <col min="14867" max="14867" width="13.26953125" style="528" bestFit="1" customWidth="1"/>
    <col min="14868" max="14868" width="30.7265625" style="528" customWidth="1"/>
    <col min="14869" max="14869" width="22.54296875" style="528" customWidth="1"/>
    <col min="14870" max="14870" width="12.54296875" style="528" bestFit="1" customWidth="1"/>
    <col min="14871" max="15118" width="11.453125" style="528"/>
    <col min="15119" max="15119" width="6.81640625" style="528" customWidth="1"/>
    <col min="15120" max="15120" width="56.453125" style="528" customWidth="1"/>
    <col min="15121" max="15121" width="13.1796875" style="528" customWidth="1"/>
    <col min="15122" max="15122" width="15.453125" style="528" bestFit="1" customWidth="1"/>
    <col min="15123" max="15123" width="13.26953125" style="528" bestFit="1" customWidth="1"/>
    <col min="15124" max="15124" width="30.7265625" style="528" customWidth="1"/>
    <col min="15125" max="15125" width="22.54296875" style="528" customWidth="1"/>
    <col min="15126" max="15126" width="12.54296875" style="528" bestFit="1" customWidth="1"/>
    <col min="15127" max="15374" width="11.453125" style="528"/>
    <col min="15375" max="15375" width="6.81640625" style="528" customWidth="1"/>
    <col min="15376" max="15376" width="56.453125" style="528" customWidth="1"/>
    <col min="15377" max="15377" width="13.1796875" style="528" customWidth="1"/>
    <col min="15378" max="15378" width="15.453125" style="528" bestFit="1" customWidth="1"/>
    <col min="15379" max="15379" width="13.26953125" style="528" bestFit="1" customWidth="1"/>
    <col min="15380" max="15380" width="30.7265625" style="528" customWidth="1"/>
    <col min="15381" max="15381" width="22.54296875" style="528" customWidth="1"/>
    <col min="15382" max="15382" width="12.54296875" style="528" bestFit="1" customWidth="1"/>
    <col min="15383" max="15630" width="11.453125" style="528"/>
    <col min="15631" max="15631" width="6.81640625" style="528" customWidth="1"/>
    <col min="15632" max="15632" width="56.453125" style="528" customWidth="1"/>
    <col min="15633" max="15633" width="13.1796875" style="528" customWidth="1"/>
    <col min="15634" max="15634" width="15.453125" style="528" bestFit="1" customWidth="1"/>
    <col min="15635" max="15635" width="13.26953125" style="528" bestFit="1" customWidth="1"/>
    <col min="15636" max="15636" width="30.7265625" style="528" customWidth="1"/>
    <col min="15637" max="15637" width="22.54296875" style="528" customWidth="1"/>
    <col min="15638" max="15638" width="12.54296875" style="528" bestFit="1" customWidth="1"/>
    <col min="15639" max="15886" width="11.453125" style="528"/>
    <col min="15887" max="15887" width="6.81640625" style="528" customWidth="1"/>
    <col min="15888" max="15888" width="56.453125" style="528" customWidth="1"/>
    <col min="15889" max="15889" width="13.1796875" style="528" customWidth="1"/>
    <col min="15890" max="15890" width="15.453125" style="528" bestFit="1" customWidth="1"/>
    <col min="15891" max="15891" width="13.26953125" style="528" bestFit="1" customWidth="1"/>
    <col min="15892" max="15892" width="30.7265625" style="528" customWidth="1"/>
    <col min="15893" max="15893" width="22.54296875" style="528" customWidth="1"/>
    <col min="15894" max="15894" width="12.54296875" style="528" bestFit="1" customWidth="1"/>
    <col min="15895" max="16142" width="11.453125" style="528"/>
    <col min="16143" max="16143" width="6.81640625" style="528" customWidth="1"/>
    <col min="16144" max="16144" width="56.453125" style="528" customWidth="1"/>
    <col min="16145" max="16145" width="13.1796875" style="528" customWidth="1"/>
    <col min="16146" max="16146" width="15.453125" style="528" bestFit="1" customWidth="1"/>
    <col min="16147" max="16147" width="13.26953125" style="528" bestFit="1" customWidth="1"/>
    <col min="16148" max="16148" width="30.7265625" style="528" customWidth="1"/>
    <col min="16149" max="16149" width="22.54296875" style="528" customWidth="1"/>
    <col min="16150" max="16150" width="12.54296875" style="528" bestFit="1" customWidth="1"/>
    <col min="16151" max="16384" width="11.453125" style="528"/>
  </cols>
  <sheetData>
    <row r="1" spans="1:18" ht="15" customHeight="1">
      <c r="J1" s="935" t="s">
        <v>823</v>
      </c>
      <c r="K1" s="935"/>
      <c r="L1" s="935"/>
    </row>
    <row r="2" spans="1:18" ht="15" customHeight="1" thickBot="1">
      <c r="J2" s="935"/>
      <c r="K2" s="935"/>
      <c r="L2" s="935"/>
    </row>
    <row r="3" spans="1:18" ht="45" customHeight="1" thickBot="1">
      <c r="I3" s="634"/>
      <c r="J3" s="933" t="s">
        <v>70</v>
      </c>
      <c r="K3" s="933"/>
      <c r="L3" s="751">
        <v>1300000</v>
      </c>
    </row>
    <row r="4" spans="1:18" s="529" customFormat="1" ht="45" customHeight="1" thickBot="1">
      <c r="J4" s="933" t="s">
        <v>54</v>
      </c>
      <c r="K4" s="933"/>
      <c r="L4" s="751">
        <v>162000</v>
      </c>
    </row>
    <row r="5" spans="1:18" ht="45" customHeight="1" thickBot="1">
      <c r="C5" s="528" t="s">
        <v>71</v>
      </c>
      <c r="J5" s="933" t="s">
        <v>819</v>
      </c>
      <c r="K5" s="933"/>
      <c r="L5" s="751">
        <f>+K9*2</f>
        <v>2600000</v>
      </c>
    </row>
    <row r="6" spans="1:18" ht="19.5" customHeight="1">
      <c r="A6" s="530"/>
      <c r="B6" s="530"/>
      <c r="C6" s="530"/>
      <c r="D6" s="530"/>
      <c r="E6" s="530"/>
      <c r="F6" s="530"/>
      <c r="G6" s="530"/>
      <c r="H6" s="530"/>
      <c r="I6" s="530"/>
      <c r="K6" s="530"/>
      <c r="M6" s="530"/>
      <c r="N6" s="530"/>
      <c r="O6" s="530"/>
      <c r="P6" s="530"/>
      <c r="Q6" s="530"/>
    </row>
    <row r="7" spans="1:18" ht="33.75" customHeight="1">
      <c r="A7" s="944" t="s">
        <v>523</v>
      </c>
      <c r="B7" s="944"/>
      <c r="C7" s="944"/>
      <c r="D7" s="530"/>
      <c r="E7" s="530"/>
      <c r="F7" s="530"/>
      <c r="G7" s="530"/>
      <c r="H7" s="530"/>
      <c r="I7" s="530"/>
      <c r="J7" s="530"/>
      <c r="K7" s="530"/>
      <c r="M7" s="530"/>
      <c r="N7" s="530"/>
      <c r="O7" s="530"/>
      <c r="P7" s="530"/>
      <c r="Q7" s="530"/>
      <c r="R7" s="531"/>
    </row>
    <row r="8" spans="1:18" ht="60" customHeight="1">
      <c r="A8" s="599"/>
      <c r="B8" s="599"/>
      <c r="C8" s="647" t="s">
        <v>640</v>
      </c>
      <c r="D8" s="647" t="s">
        <v>642</v>
      </c>
      <c r="E8" s="647"/>
      <c r="F8" s="647"/>
      <c r="G8" s="647"/>
      <c r="J8" s="601" t="s">
        <v>524</v>
      </c>
      <c r="K8" s="750" t="s">
        <v>70</v>
      </c>
      <c r="L8" s="601" t="s">
        <v>526</v>
      </c>
    </row>
    <row r="9" spans="1:18" s="532" customFormat="1" ht="20.149999999999999" customHeight="1">
      <c r="A9" s="600">
        <v>1</v>
      </c>
      <c r="B9" s="600" t="s">
        <v>527</v>
      </c>
      <c r="C9" s="605">
        <f>IF(C11="","",100%)</f>
        <v>1</v>
      </c>
      <c r="D9" s="605" t="str">
        <f>IF(D11="","",100%)</f>
        <v/>
      </c>
      <c r="E9" s="605" t="str">
        <f>IF(E11="","",100%)</f>
        <v/>
      </c>
      <c r="F9" s="605" t="str">
        <f>IF(F11="","",100%)</f>
        <v/>
      </c>
      <c r="G9" s="605" t="str">
        <f>IF(G11="","",100%)</f>
        <v/>
      </c>
      <c r="J9" s="699">
        <f>+'Paso 1 Calculo del Presupuesto'!I46</f>
        <v>191500000</v>
      </c>
      <c r="K9" s="699">
        <f>+L3</f>
        <v>1300000</v>
      </c>
      <c r="L9" s="721">
        <f>+'Paso 1 Calculo del Presupuesto'!$C$5</f>
        <v>5</v>
      </c>
    </row>
    <row r="10" spans="1:18" ht="18" customHeight="1" thickBot="1">
      <c r="A10" s="566"/>
      <c r="B10" s="718"/>
      <c r="C10" s="947" t="str">
        <f>+IF(C11="","","Nivel de riesgo ARL")</f>
        <v>Nivel de riesgo ARL</v>
      </c>
      <c r="D10" s="947"/>
      <c r="E10" s="947"/>
      <c r="F10" s="947"/>
      <c r="G10" s="947"/>
    </row>
    <row r="11" spans="1:18" s="532" customFormat="1" ht="20.149999999999999" customHeight="1" thickBot="1">
      <c r="A11" s="600">
        <v>2</v>
      </c>
      <c r="B11" s="600" t="s">
        <v>528</v>
      </c>
      <c r="C11" s="646" t="s">
        <v>76</v>
      </c>
      <c r="D11" s="646"/>
      <c r="E11" s="646"/>
      <c r="F11" s="646"/>
      <c r="G11" s="646"/>
      <c r="J11" s="532" t="s">
        <v>54</v>
      </c>
    </row>
    <row r="12" spans="1:18" s="532" customFormat="1" ht="15" customHeight="1" thickBot="1">
      <c r="A12" s="76"/>
      <c r="B12" s="76" t="s">
        <v>529</v>
      </c>
      <c r="C12" s="655">
        <f>+IF(C11="","",8.333%)</f>
        <v>8.3330000000000001E-2</v>
      </c>
      <c r="D12" s="655" t="str">
        <f>+IF(D11="","",8.333%)</f>
        <v/>
      </c>
      <c r="E12" s="655" t="str">
        <f>+IF(E11="","",8.333%)</f>
        <v/>
      </c>
      <c r="F12" s="655" t="str">
        <f>+IF(F11="","",8.333%)</f>
        <v/>
      </c>
      <c r="G12" s="655" t="str">
        <f>+IF(G11="","",8.333%)</f>
        <v/>
      </c>
      <c r="J12" s="934" t="s">
        <v>824</v>
      </c>
      <c r="K12" s="934"/>
      <c r="L12" s="751">
        <f>+'Paso 1 Calculo del Presupuesto'!$I$46</f>
        <v>191500000</v>
      </c>
    </row>
    <row r="13" spans="1:18" s="532" customFormat="1" ht="15" customHeight="1" thickBot="1">
      <c r="A13" s="76"/>
      <c r="B13" s="76" t="s">
        <v>530</v>
      </c>
      <c r="C13" s="655">
        <f>+IF(C11="","",8.333%)</f>
        <v>8.3330000000000001E-2</v>
      </c>
      <c r="D13" s="655" t="str">
        <f>+IF(D11="","",8.333%)</f>
        <v/>
      </c>
      <c r="E13" s="655" t="str">
        <f>+IF(E11="","",8.333%)</f>
        <v/>
      </c>
      <c r="F13" s="655" t="str">
        <f>+IF(F11="","",8.333%)</f>
        <v/>
      </c>
      <c r="G13" s="655" t="str">
        <f>+IF(G11="","",8.333%)</f>
        <v/>
      </c>
    </row>
    <row r="14" spans="1:18" s="532" customFormat="1" ht="15" customHeight="1" thickBot="1">
      <c r="A14" s="76"/>
      <c r="B14" s="76" t="s">
        <v>531</v>
      </c>
      <c r="C14" s="655">
        <f>+IF(C11="","",1%)</f>
        <v>0.01</v>
      </c>
      <c r="D14" s="655" t="str">
        <f>+IF(D11="","",1%)</f>
        <v/>
      </c>
      <c r="E14" s="655" t="str">
        <f>+IF(E11="","",1%)</f>
        <v/>
      </c>
      <c r="F14" s="655" t="str">
        <f>+IF(F11="","",1%)</f>
        <v/>
      </c>
      <c r="G14" s="655" t="str">
        <f>+IF(G11="","",1%)</f>
        <v/>
      </c>
      <c r="J14" s="934" t="s">
        <v>825</v>
      </c>
      <c r="K14" s="934"/>
      <c r="L14" s="766">
        <f>+'Paso 1 Calculo del Presupuesto'!$C$5</f>
        <v>5</v>
      </c>
    </row>
    <row r="15" spans="1:18" s="532" customFormat="1" ht="15" customHeight="1">
      <c r="A15" s="76"/>
      <c r="B15" s="76" t="s">
        <v>111</v>
      </c>
      <c r="C15" s="655">
        <f>+IF(C11="","",4.167%)</f>
        <v>4.1669999999999999E-2</v>
      </c>
      <c r="D15" s="655" t="str">
        <f>+IF(D11="","",4.167%)</f>
        <v/>
      </c>
      <c r="E15" s="655" t="str">
        <f>+IF(E11="","",4.167%)</f>
        <v/>
      </c>
      <c r="F15" s="655" t="str">
        <f>+IF(F11="","",4.167%)</f>
        <v/>
      </c>
      <c r="G15" s="655" t="str">
        <f>+IF(G11="","",4.167%)</f>
        <v/>
      </c>
    </row>
    <row r="16" spans="1:18" s="532" customFormat="1" ht="15" customHeight="1">
      <c r="A16" s="76"/>
      <c r="B16" s="76" t="s">
        <v>87</v>
      </c>
      <c r="C16" s="655">
        <f>+IF(C11="","",IF('Paso 1 Calculo del Presupuesto'!C15="Si",0,8.5%))</f>
        <v>8.5000000000000006E-2</v>
      </c>
      <c r="D16" s="655" t="str">
        <f>+IF(D11="","",IF('Paso 1 Calculo del Presupuesto'!C15="Si",0,8.5%))</f>
        <v/>
      </c>
      <c r="E16" s="655" t="str">
        <f>+IF(E11="","",IF('Paso 1 Calculo del Presupuesto'!C15="Si",0,8.5%))</f>
        <v/>
      </c>
      <c r="F16" s="655" t="str">
        <f>+IF(F11="","",IF('Paso 1 Calculo del Presupuesto'!C15="Si",0,8.5%))</f>
        <v/>
      </c>
      <c r="G16" s="655" t="str">
        <f>+IF(G11="","",IF('Paso 1 Calculo del Presupuesto'!C15="Si",0,8.5%))</f>
        <v/>
      </c>
      <c r="I16" s="533"/>
    </row>
    <row r="17" spans="1:15" s="532" customFormat="1" ht="15" customHeight="1">
      <c r="A17" s="76"/>
      <c r="B17" s="76" t="s">
        <v>89</v>
      </c>
      <c r="C17" s="655">
        <f>+IF(C11="","",12%)</f>
        <v>0.12</v>
      </c>
      <c r="D17" s="655" t="str">
        <f>+IF(D11="","",12%)</f>
        <v/>
      </c>
      <c r="E17" s="655" t="str">
        <f>+IF(E11="","",12%)</f>
        <v/>
      </c>
      <c r="F17" s="655" t="str">
        <f>+IF(F11="","",12%)</f>
        <v/>
      </c>
      <c r="G17" s="655" t="str">
        <f>+IF(G11="","",12%)</f>
        <v/>
      </c>
    </row>
    <row r="18" spans="1:15" s="532" customFormat="1" ht="15" customHeight="1">
      <c r="A18" s="76"/>
      <c r="B18" s="76" t="s">
        <v>90</v>
      </c>
      <c r="C18" s="655">
        <f>+IF(C11="","",4%)</f>
        <v>0.04</v>
      </c>
      <c r="D18" s="655" t="str">
        <f>+IF(D11="","",4%)</f>
        <v/>
      </c>
      <c r="E18" s="655" t="str">
        <f>+IF(E11="","",4%)</f>
        <v/>
      </c>
      <c r="F18" s="655" t="str">
        <f>+IF(F11="","",4%)</f>
        <v/>
      </c>
      <c r="G18" s="655" t="str">
        <f>+IF(G11="","",4%)</f>
        <v/>
      </c>
    </row>
    <row r="19" spans="1:15" s="532" customFormat="1" ht="15" customHeight="1">
      <c r="A19" s="76"/>
      <c r="B19" s="76" t="s">
        <v>91</v>
      </c>
      <c r="C19" s="655">
        <f>+IF(C11="","",IF('Paso 1 Calculo del Presupuesto'!C15="Si",0,2%))</f>
        <v>0.02</v>
      </c>
      <c r="D19" s="655" t="str">
        <f>+IF(D11="","",IF('Paso 1 Calculo del Presupuesto'!C15="Si",0,2%))</f>
        <v/>
      </c>
      <c r="E19" s="655" t="str">
        <f>+IF(E11="","",IF('Paso 1 Calculo del Presupuesto'!C15="Si",0,2%))</f>
        <v/>
      </c>
      <c r="F19" s="655" t="str">
        <f>+IF(F11="","",IF('Paso 1 Calculo del Presupuesto'!C15="Si",0,2%))</f>
        <v/>
      </c>
      <c r="G19" s="655" t="str">
        <f>+IF(G11="","",IF('Paso 1 Calculo del Presupuesto'!C15="Si",0,2%))</f>
        <v/>
      </c>
    </row>
    <row r="20" spans="1:15" s="532" customFormat="1" ht="15" customHeight="1">
      <c r="A20" s="76"/>
      <c r="B20" s="76" t="s">
        <v>92</v>
      </c>
      <c r="C20" s="655">
        <f>+IF(C11="","",IF('Paso 1 Calculo del Presupuesto'!C15="Si",0,3%))</f>
        <v>0.03</v>
      </c>
      <c r="D20" s="655" t="str">
        <f>+IF(D11="","",IF('Paso 1 Calculo del Presupuesto'!C15="Si",0,3%))</f>
        <v/>
      </c>
      <c r="E20" s="655" t="str">
        <f>+IF(E11="","",IF('Paso 1 Calculo del Presupuesto'!C15="Si",0,3%))</f>
        <v/>
      </c>
      <c r="F20" s="655" t="str">
        <f>+IF(F11="","",IF('Paso 1 Calculo del Presupuesto'!C15="Si",0,3%))</f>
        <v/>
      </c>
      <c r="G20" s="655" t="str">
        <f>+IF(G11="","",IF('Paso 1 Calculo del Presupuesto'!C15="Si",0,3%))</f>
        <v/>
      </c>
    </row>
    <row r="21" spans="1:15" s="532" customFormat="1" ht="15" customHeight="1">
      <c r="A21" s="76"/>
      <c r="B21" s="76" t="s">
        <v>93</v>
      </c>
      <c r="C21" s="655">
        <f>IF(C11="","",IFERROR(VLOOKUP($C$11,Tabla2[],2,FALSE),""))</f>
        <v>6.9599999999999995E-2</v>
      </c>
      <c r="D21" s="655" t="str">
        <f>IF(D11="","",IFERROR(VLOOKUP($D$11,Tabla2[],2,FALSE),""))</f>
        <v/>
      </c>
      <c r="E21" s="655" t="str">
        <f>IF(E11="","",IFERROR(VLOOKUP($E$11,Tabla2[],2,FALSE),""))</f>
        <v/>
      </c>
      <c r="F21" s="655" t="str">
        <f>IF(F11="","",IFERROR(VLOOKUP($F$11,Tabla2[],2,FALSE),""))</f>
        <v/>
      </c>
      <c r="G21" s="655" t="str">
        <f>IF(G11="","",IFERROR(VLOOKUP($G$11,Tabla2[],2,FALSE),""))</f>
        <v/>
      </c>
    </row>
    <row r="22" spans="1:15" s="532" customFormat="1" ht="15" customHeight="1">
      <c r="A22" s="76"/>
      <c r="B22" s="76" t="s">
        <v>811</v>
      </c>
      <c r="C22" s="655" t="str">
        <f>IF(C11="","",IFERROR(+IF(C8="&lt; = 2 SMMLV",(COUNTIF('Paso 1 Calculo del Presupuesto'!$G$20:$G$44,"&lt;=2600000")*'Paso 1 Calculo del Presupuesto'!$AB$149)/+SUMIFS('Paso 1 Calculo del Presupuesto'!$G$20:$G$44,'Paso 1 Calculo del Presupuesto'!$G$20:$G$44,"&lt;=2600000"),""),""))</f>
        <v/>
      </c>
      <c r="D22" s="655" t="str">
        <f>IF(D11="","",IFERROR(+IF(D8="&lt; = 2 SMMLV",(COUNTIF('Paso 1 Calculo del Presupuesto'!$G$20:$G$44,"&lt;=2600000")*'Paso 1 Calculo del Presupuesto'!$AB$149)/+SUMIFS('Paso 1 Calculo del Presupuesto'!$G$20:$G$44,'Paso 1 Calculo del Presupuesto'!$G$20:$G$44,"&lt;=2600000"),""),""))</f>
        <v/>
      </c>
      <c r="E22" s="655" t="str">
        <f>IF(E11="","",IFERROR(+IF(E8="&lt; = 2 SMMLV",(COUNTIF('Paso 1 Calculo del Presupuesto'!$G$20:$G$44,"&lt;=2600000")*'Paso 1 Calculo del Presupuesto'!$AB$149)/+SUMIFS('Paso 1 Calculo del Presupuesto'!$G$20:$G$44,'Paso 1 Calculo del Presupuesto'!$G$20:$G$44,"&lt;=2600000"),""),""))</f>
        <v/>
      </c>
      <c r="F22" s="655" t="str">
        <f>IF(F11="","",IFERROR(+IF(F8="&lt; = 2 SMMLV",(COUNTIF('Paso 1 Calculo del Presupuesto'!$G$20:$G$44,"&lt;=2600000")*'Paso 1 Calculo del Presupuesto'!$AB$149)/+SUMIFS('Paso 1 Calculo del Presupuesto'!$G$20:$G$44,'Paso 1 Calculo del Presupuesto'!$G$20:$G$44,"&lt;=2600000"),""),""))</f>
        <v/>
      </c>
      <c r="G22" s="655" t="str">
        <f>IF(G11="","",IFERROR(+IF(G8="&lt; = 2 SMMLV",(COUNTIF('Paso 1 Calculo del Presupuesto'!$G$20:$G$44,"&lt;=2600000")*'Paso 1 Calculo del Presupuesto'!$AB$149)/+SUMIFS('Paso 1 Calculo del Presupuesto'!$G$20:$G$44,'Paso 1 Calculo del Presupuesto'!$G$20:$G$44,"&lt;=2600000"),""),""))</f>
        <v/>
      </c>
    </row>
    <row r="23" spans="1:15" s="532" customFormat="1" ht="15" customHeight="1">
      <c r="A23" s="76"/>
      <c r="B23" s="76" t="s">
        <v>54</v>
      </c>
      <c r="C23" s="655" t="str">
        <f>IF(C11="","",IFERROR(+IF(C8="&lt; = 2 SMMLV",(COUNTIF('Paso 1 Calculo del Presupuesto'!$G$20:$G$44,"&lt;=2600000")*'Paso 1 Calculo del Presupuesto'!$X$146)/+SUMIFS('Paso 1 Calculo del Presupuesto'!$G$20:$G$44,'Paso 1 Calculo del Presupuesto'!$G$20:$G$44,"&lt;=2600000"),""),""))</f>
        <v/>
      </c>
      <c r="D23" s="655" t="str">
        <f>IF(D11="","",IFERROR(+IF(D8="&lt; = 2 SMMLV",(COUNTIF('Paso 1 Calculo del Presupuesto'!$G$20:$G$44,"&lt;=2600000")*'Paso 1 Calculo del Presupuesto'!$X$146)/+SUMIFS('Paso 1 Calculo del Presupuesto'!$G$20:$G$44,'Paso 1 Calculo del Presupuesto'!$G$20:$G$44,"&lt;=2600000"),""),""))</f>
        <v/>
      </c>
      <c r="E23" s="655" t="str">
        <f>IF(E11="","",IFERROR(+IF(E8="&lt; = 2 SMMLV",(COUNTIF('Paso 1 Calculo del Presupuesto'!$G$20:$G$44,"&lt;=2600000")*'Paso 1 Calculo del Presupuesto'!$X$146)/+SUMIFS('Paso 1 Calculo del Presupuesto'!$G$20:$G$44,'Paso 1 Calculo del Presupuesto'!$G$20:$G$44,"&lt;=2600000"),""),""))</f>
        <v/>
      </c>
      <c r="F23" s="655" t="str">
        <f>IF(F11="","",IFERROR(+IF(F8="&lt; = 2 SMMLV",(COUNTIF('Paso 1 Calculo del Presupuesto'!$G$20:$G$44,"&lt;=2600000")*'Paso 1 Calculo del Presupuesto'!$X$146)/+SUMIFS('Paso 1 Calculo del Presupuesto'!$G$20:$G$44,'Paso 1 Calculo del Presupuesto'!$G$20:$G$44,"&lt;=2600000"),""),""))</f>
        <v/>
      </c>
      <c r="G23" s="655" t="str">
        <f>IF(G11="","",IFERROR(+IF(G8="&lt; = 2 SMMLV",(COUNTIF('Paso 1 Calculo del Presupuesto'!$G$20:$G$44,"&lt;=2600000")*'Paso 1 Calculo del Presupuesto'!$X$146)/+SUMIFS('Paso 1 Calculo del Presupuesto'!$G$20:$G$44,'Paso 1 Calculo del Presupuesto'!$G$20:$G$44,"&lt;=2600000"),""),""))</f>
        <v/>
      </c>
    </row>
    <row r="24" spans="1:15" s="532" customFormat="1" ht="30" customHeight="1">
      <c r="A24" s="655"/>
      <c r="B24" s="602" t="s">
        <v>869</v>
      </c>
      <c r="C24" s="655">
        <f>+IF(C21="","",'Paso 1 Calculo del Presupuesto'!$AW$168)</f>
        <v>4.6073506289308177E-3</v>
      </c>
      <c r="D24" s="655" t="str">
        <f>+IF(D21="","",'Paso 1 Calculo del Presupuesto'!$AW$168)</f>
        <v/>
      </c>
      <c r="E24" s="655" t="str">
        <f>+IF(E21="","",'Paso 1 Calculo del Presupuesto'!$AW$168)</f>
        <v/>
      </c>
      <c r="F24" s="655" t="str">
        <f>+IF(F21="","",'Paso 1 Calculo del Presupuesto'!$AW$168)</f>
        <v/>
      </c>
      <c r="G24" s="655" t="str">
        <f>+IF(G21="","",'Paso 1 Calculo del Presupuesto'!$AW$168)</f>
        <v/>
      </c>
      <c r="J24" s="948" t="s">
        <v>533</v>
      </c>
      <c r="K24" s="949"/>
      <c r="L24" s="949"/>
      <c r="M24" s="949"/>
      <c r="N24" s="949"/>
      <c r="O24" s="950"/>
    </row>
    <row r="25" spans="1:15" ht="15" customHeight="1">
      <c r="A25" s="600"/>
      <c r="B25" s="600" t="s">
        <v>532</v>
      </c>
      <c r="C25" s="605">
        <f>SUM(C12:C24)</f>
        <v>0.58753735062893087</v>
      </c>
      <c r="D25" s="605">
        <f>SUM(D12:D24)</f>
        <v>0</v>
      </c>
      <c r="E25" s="605">
        <f>SUM(E12:E24)</f>
        <v>0</v>
      </c>
      <c r="F25" s="605">
        <f>SUM(F12:F24)</f>
        <v>0</v>
      </c>
      <c r="G25" s="605">
        <f>SUM(G12:G24)</f>
        <v>0</v>
      </c>
    </row>
    <row r="26" spans="1:15" s="532" customFormat="1" ht="39">
      <c r="A26" s="600">
        <v>3</v>
      </c>
      <c r="B26" s="600" t="s">
        <v>534</v>
      </c>
      <c r="C26" s="600"/>
      <c r="D26" s="600"/>
      <c r="E26" s="600"/>
      <c r="F26" s="600"/>
      <c r="G26" s="600"/>
      <c r="J26" s="607" t="s">
        <v>644</v>
      </c>
      <c r="K26" s="607" t="s">
        <v>643</v>
      </c>
      <c r="L26" s="607" t="s">
        <v>535</v>
      </c>
      <c r="M26" s="622" t="s">
        <v>647</v>
      </c>
      <c r="N26" s="607"/>
      <c r="O26" s="607" t="s">
        <v>564</v>
      </c>
    </row>
    <row r="27" spans="1:15" s="532" customFormat="1" ht="13">
      <c r="A27" s="600"/>
      <c r="B27" s="600" t="s">
        <v>597</v>
      </c>
      <c r="C27" s="600"/>
      <c r="D27" s="600"/>
      <c r="E27" s="600"/>
      <c r="F27" s="600"/>
      <c r="G27" s="600"/>
      <c r="L27" s="614"/>
    </row>
    <row r="28" spans="1:15" s="532" customFormat="1" ht="100">
      <c r="A28" s="604">
        <v>3.1</v>
      </c>
      <c r="B28" s="603" t="s">
        <v>737</v>
      </c>
      <c r="C28" s="633">
        <f>IF(C11="","",+$K$28)</f>
        <v>3.3942558746736295E-2</v>
      </c>
      <c r="D28" s="633" t="str">
        <f>IF(D11="","",+$K$28)</f>
        <v/>
      </c>
      <c r="E28" s="633" t="str">
        <f>IF(E11="","",+$K$28)</f>
        <v/>
      </c>
      <c r="F28" s="633" t="str">
        <f>IF(F11="","",+$K$28)</f>
        <v/>
      </c>
      <c r="G28" s="633" t="str">
        <f>IF(G11="","",+$K$28)</f>
        <v/>
      </c>
      <c r="J28" s="650">
        <f>+M28*L3*L14</f>
        <v>6500000</v>
      </c>
      <c r="K28" s="651">
        <f>IFERROR(J28/$J$9,"")</f>
        <v>3.3942558746736295E-2</v>
      </c>
      <c r="L28" s="651" t="s">
        <v>536</v>
      </c>
      <c r="M28" s="752">
        <v>1</v>
      </c>
      <c r="N28" s="651"/>
      <c r="O28" s="654" t="s">
        <v>537</v>
      </c>
    </row>
    <row r="29" spans="1:15" s="532" customFormat="1" ht="57.75" customHeight="1">
      <c r="A29" s="604">
        <v>3.2</v>
      </c>
      <c r="B29" s="602" t="s">
        <v>870</v>
      </c>
      <c r="C29" s="633">
        <f>IF(C11="","",+$K$29)</f>
        <v>2.3000047867711053E-3</v>
      </c>
      <c r="D29" s="633" t="str">
        <f>IF(D11="","",+$K$29)</f>
        <v/>
      </c>
      <c r="E29" s="633" t="str">
        <f>IF(E11="","",+$K$29)</f>
        <v/>
      </c>
      <c r="F29" s="633" t="str">
        <f>IF(F11="","",+$K$29)</f>
        <v/>
      </c>
      <c r="G29" s="633" t="str">
        <f>IF(G11="","",+$K$29)</f>
        <v/>
      </c>
      <c r="J29" s="650">
        <f>+J101</f>
        <v>440450.91666666669</v>
      </c>
      <c r="K29" s="651">
        <f>IFERROR(J29/$J$9,"")</f>
        <v>2.3000047867711053E-3</v>
      </c>
      <c r="L29" s="651" t="s">
        <v>539</v>
      </c>
      <c r="M29" s="652">
        <v>0.5</v>
      </c>
      <c r="N29" s="651"/>
      <c r="O29" s="654" t="s">
        <v>604</v>
      </c>
    </row>
    <row r="30" spans="1:15" s="532" customFormat="1" ht="37.5">
      <c r="A30" s="604">
        <v>3.3</v>
      </c>
      <c r="B30" s="602" t="s">
        <v>598</v>
      </c>
      <c r="C30" s="633">
        <f>IF(C11="","",+$K$30)</f>
        <v>7.4981201148825061E-2</v>
      </c>
      <c r="D30" s="633" t="str">
        <f>IF(D11="","",+$K$30)</f>
        <v/>
      </c>
      <c r="E30" s="633" t="str">
        <f>IF(E11="","",+$K$30)</f>
        <v/>
      </c>
      <c r="F30" s="633" t="str">
        <f>IF(F11="","",+$K$30)</f>
        <v/>
      </c>
      <c r="G30" s="633" t="str">
        <f>IF(G11="","",+$K$30)</f>
        <v/>
      </c>
      <c r="J30" s="650">
        <f>+J70</f>
        <v>14358900.02</v>
      </c>
      <c r="K30" s="651">
        <f>IFERROR(J30/$J$9,"")</f>
        <v>7.4981201148825061E-2</v>
      </c>
      <c r="L30" s="651" t="s">
        <v>539</v>
      </c>
      <c r="M30" s="652">
        <v>0.2</v>
      </c>
      <c r="N30" s="651"/>
      <c r="O30" s="654" t="s">
        <v>540</v>
      </c>
    </row>
    <row r="31" spans="1:15" s="532" customFormat="1" ht="21.75" customHeight="1">
      <c r="A31" s="604">
        <v>3.4</v>
      </c>
      <c r="B31" s="76" t="s">
        <v>654</v>
      </c>
      <c r="C31" s="633">
        <f>IF(C11="","",+$K$31)</f>
        <v>2.0365535248041775E-2</v>
      </c>
      <c r="D31" s="633" t="str">
        <f>IF(D11="","",+$K$31)</f>
        <v/>
      </c>
      <c r="E31" s="633" t="str">
        <f>IF(E11="","",+$K$31)</f>
        <v/>
      </c>
      <c r="F31" s="633" t="str">
        <f>IF(F11="","",+$K$31)</f>
        <v/>
      </c>
      <c r="G31" s="633" t="str">
        <f>IF(G11="","",+$K$31)</f>
        <v/>
      </c>
      <c r="J31" s="650">
        <f>+M31*L3</f>
        <v>3900000</v>
      </c>
      <c r="K31" s="651">
        <f>IFERROR(J31/$J$9,"")</f>
        <v>2.0365535248041775E-2</v>
      </c>
      <c r="L31" s="651" t="s">
        <v>536</v>
      </c>
      <c r="M31" s="652">
        <v>3</v>
      </c>
      <c r="N31" s="651"/>
      <c r="O31" s="654" t="s">
        <v>538</v>
      </c>
    </row>
    <row r="32" spans="1:15" ht="15" customHeight="1">
      <c r="A32" s="606"/>
      <c r="B32" s="606" t="s">
        <v>541</v>
      </c>
      <c r="C32" s="608">
        <f>SUM(C28:C31)</f>
        <v>0.13158929993037424</v>
      </c>
      <c r="D32" s="608">
        <f>SUM(D28:D31)</f>
        <v>0</v>
      </c>
      <c r="E32" s="608">
        <f>SUM(E28:E31)</f>
        <v>0</v>
      </c>
      <c r="F32" s="608">
        <f>SUM(F28:F31)</f>
        <v>0</v>
      </c>
      <c r="G32" s="608">
        <f>SUM(G28:G31)</f>
        <v>0</v>
      </c>
      <c r="J32" s="583"/>
      <c r="K32" s="189"/>
      <c r="L32" s="189"/>
      <c r="M32" s="189"/>
      <c r="N32" s="189"/>
      <c r="O32" s="616"/>
    </row>
    <row r="33" spans="1:28" ht="13">
      <c r="A33" s="529"/>
      <c r="B33" s="547"/>
      <c r="C33" s="535"/>
      <c r="D33" s="535"/>
      <c r="E33" s="535"/>
      <c r="F33" s="535"/>
      <c r="G33" s="535"/>
      <c r="J33" s="583"/>
      <c r="K33" s="189">
        <f>SUM(K28:K32)</f>
        <v>0.13158929993037424</v>
      </c>
      <c r="L33" s="189"/>
      <c r="M33" s="189"/>
      <c r="N33" s="189"/>
      <c r="O33" s="616"/>
    </row>
    <row r="34" spans="1:28" ht="27.75" customHeight="1">
      <c r="A34" s="610">
        <v>4</v>
      </c>
      <c r="B34" s="611" t="s">
        <v>557</v>
      </c>
      <c r="C34" s="612">
        <f>IFERROR((C32+C25+C9)*$M$34,"")</f>
        <v>0.13753013204474443</v>
      </c>
      <c r="D34" s="612" t="str">
        <f t="shared" ref="D34:I34" si="0">IFERROR((D32+D25+D9)*$M$34,"")</f>
        <v/>
      </c>
      <c r="E34" s="612" t="str">
        <f t="shared" si="0"/>
        <v/>
      </c>
      <c r="F34" s="612" t="str">
        <f t="shared" si="0"/>
        <v/>
      </c>
      <c r="G34" s="612" t="str">
        <f t="shared" si="0"/>
        <v/>
      </c>
      <c r="H34" s="612">
        <f t="shared" si="0"/>
        <v>0</v>
      </c>
      <c r="I34" s="612">
        <f t="shared" si="0"/>
        <v>0</v>
      </c>
      <c r="J34" s="583"/>
      <c r="K34" s="189"/>
      <c r="L34" s="189" t="s">
        <v>558</v>
      </c>
      <c r="M34" s="653">
        <v>0.08</v>
      </c>
      <c r="N34" s="189"/>
      <c r="O34" s="616"/>
    </row>
    <row r="35" spans="1:28" ht="14.25" customHeight="1">
      <c r="A35" s="529"/>
      <c r="C35" s="609"/>
      <c r="D35" s="609"/>
      <c r="E35" s="609"/>
      <c r="F35" s="609"/>
      <c r="G35" s="609"/>
      <c r="J35" s="583"/>
      <c r="K35" s="189"/>
      <c r="L35" s="189"/>
      <c r="M35" s="189"/>
      <c r="N35" s="189"/>
      <c r="O35" s="616"/>
    </row>
    <row r="36" spans="1:28" ht="20.149999999999999" customHeight="1">
      <c r="A36" s="610">
        <v>5</v>
      </c>
      <c r="B36" s="611" t="s">
        <v>542</v>
      </c>
      <c r="C36" s="610"/>
      <c r="D36" s="610"/>
      <c r="E36" s="610"/>
      <c r="F36" s="610"/>
      <c r="G36" s="610"/>
      <c r="J36" s="583"/>
      <c r="K36" s="189"/>
      <c r="L36" s="189"/>
      <c r="M36" s="189"/>
      <c r="N36" s="189"/>
      <c r="O36" s="616"/>
      <c r="P36" s="607" t="s">
        <v>850</v>
      </c>
    </row>
    <row r="37" spans="1:28" ht="37.5">
      <c r="A37" s="771">
        <v>5.0999999999999996</v>
      </c>
      <c r="B37" s="773" t="s">
        <v>25</v>
      </c>
      <c r="C37" s="633">
        <f ca="1">IF(C11="","",+$K$37)</f>
        <v>7.6659791122715409E-3</v>
      </c>
      <c r="D37" s="633" t="str">
        <f>IF(D11="","",+$K$37)</f>
        <v/>
      </c>
      <c r="E37" s="633" t="str">
        <f t="shared" ref="E37:F37" si="1">IF(E11="","",+$K$37)</f>
        <v/>
      </c>
      <c r="F37" s="633" t="str">
        <f t="shared" si="1"/>
        <v/>
      </c>
      <c r="G37" s="633" t="str">
        <f>IF(G11="","",+$K$37)</f>
        <v/>
      </c>
      <c r="J37" s="583">
        <f ca="1">+'Paso 1 Calculo del Presupuesto'!L86</f>
        <v>1468035</v>
      </c>
      <c r="K37" s="631">
        <f ca="1">IFERROR(J37/$J$9,"")</f>
        <v>7.6659791122715409E-3</v>
      </c>
      <c r="L37" s="616" t="s">
        <v>543</v>
      </c>
      <c r="M37" s="779">
        <v>2E-3</v>
      </c>
      <c r="N37" s="189"/>
      <c r="O37" s="616"/>
    </row>
    <row r="38" spans="1:28" ht="34.5" customHeight="1">
      <c r="A38" s="771">
        <v>5.2</v>
      </c>
      <c r="B38" s="773" t="s">
        <v>28</v>
      </c>
      <c r="C38" s="633">
        <f ca="1">IF(C11="","",+$K$38)</f>
        <v>0</v>
      </c>
      <c r="D38" s="633" t="str">
        <f>IF(D11="","",+$K$38)</f>
        <v/>
      </c>
      <c r="E38" s="633" t="str">
        <f t="shared" ref="E38:F38" si="2">IF(E11="","",+$K$38)</f>
        <v/>
      </c>
      <c r="F38" s="633" t="str">
        <f t="shared" si="2"/>
        <v/>
      </c>
      <c r="G38" s="633" t="str">
        <f>IF(G11="","",+$K$38)</f>
        <v/>
      </c>
      <c r="J38" s="583">
        <f ca="1">+'Paso 1 Calculo del Presupuesto'!L87</f>
        <v>0</v>
      </c>
      <c r="K38" s="631">
        <f ca="1">IFERROR(J38/$J$9,"")</f>
        <v>0</v>
      </c>
      <c r="L38" s="616" t="s">
        <v>544</v>
      </c>
      <c r="M38" s="778">
        <v>1E-4</v>
      </c>
      <c r="N38" s="189"/>
      <c r="O38" s="777" t="s">
        <v>849</v>
      </c>
      <c r="P38" s="532" t="s">
        <v>851</v>
      </c>
    </row>
    <row r="39" spans="1:28" ht="25.5" customHeight="1">
      <c r="A39" s="771">
        <v>5.3</v>
      </c>
      <c r="B39" s="773" t="s">
        <v>29</v>
      </c>
      <c r="C39" s="633">
        <f ca="1">IF(C11="","",+$K$39)</f>
        <v>0</v>
      </c>
      <c r="D39" s="633" t="str">
        <f>IF(D11="","",+$K$39)</f>
        <v/>
      </c>
      <c r="E39" s="633" t="str">
        <f t="shared" ref="E39:F39" si="3">IF(E11="","",+$K$39)</f>
        <v/>
      </c>
      <c r="F39" s="633" t="str">
        <f t="shared" si="3"/>
        <v/>
      </c>
      <c r="G39" s="633" t="str">
        <f>IF(G11="","",+$K$39)</f>
        <v/>
      </c>
      <c r="J39" s="583">
        <f ca="1">+'Paso 1 Calculo del Presupuesto'!L88</f>
        <v>0</v>
      </c>
      <c r="K39" s="631">
        <f ca="1">IFERROR(J39/$J$9,"")</f>
        <v>0</v>
      </c>
      <c r="L39" s="616" t="s">
        <v>545</v>
      </c>
      <c r="M39" s="778">
        <v>2.0000000000000001E-4</v>
      </c>
      <c r="N39" s="189"/>
      <c r="O39" s="775" t="s">
        <v>546</v>
      </c>
      <c r="P39" s="532" t="s">
        <v>851</v>
      </c>
    </row>
    <row r="40" spans="1:28" ht="25.5" customHeight="1">
      <c r="A40" s="771">
        <v>5.4</v>
      </c>
      <c r="B40" s="773" t="s">
        <v>30</v>
      </c>
      <c r="C40" s="633">
        <f ca="1">IF(C11="","",+$K$40)</f>
        <v>3.8329906005221931E-2</v>
      </c>
      <c r="D40" s="633" t="str">
        <f>IF(D11="","",+$K$40)</f>
        <v/>
      </c>
      <c r="E40" s="633" t="str">
        <f t="shared" ref="E40:F40" si="4">IF(E11="","",+$K$40)</f>
        <v/>
      </c>
      <c r="F40" s="633" t="str">
        <f t="shared" si="4"/>
        <v/>
      </c>
      <c r="G40" s="633" t="str">
        <f>IF(G11="","",+$K$40)</f>
        <v/>
      </c>
      <c r="J40" s="618">
        <f ca="1">+'Paso 1 Calculo del Presupuesto'!L89</f>
        <v>7340177</v>
      </c>
      <c r="K40" s="632">
        <f ca="1">IFERROR(J40/$J$9,"")</f>
        <v>3.8329906005221931E-2</v>
      </c>
      <c r="L40" s="617" t="s">
        <v>547</v>
      </c>
      <c r="M40" s="778">
        <v>5.0000000000000002E-5</v>
      </c>
      <c r="N40" s="615"/>
      <c r="O40" s="776" t="s">
        <v>546</v>
      </c>
      <c r="P40" s="532" t="s">
        <v>851</v>
      </c>
    </row>
    <row r="41" spans="1:28" ht="25.5" customHeight="1">
      <c r="A41" s="772">
        <v>5.5</v>
      </c>
      <c r="B41" s="774" t="s">
        <v>652</v>
      </c>
      <c r="C41" s="633">
        <f ca="1">IF(C11="","",+$K$41)</f>
        <v>4.9828877284595299E-2</v>
      </c>
      <c r="D41" s="633" t="str">
        <f>IF(D11="","",+$K$41)</f>
        <v/>
      </c>
      <c r="E41" s="633" t="str">
        <f t="shared" ref="E41:F41" si="5">IF(E11="","",+$K$41)</f>
        <v/>
      </c>
      <c r="F41" s="633" t="str">
        <f t="shared" si="5"/>
        <v/>
      </c>
      <c r="G41" s="633" t="str">
        <f>IF(G11="","",+$K$41)</f>
        <v/>
      </c>
      <c r="J41" s="665">
        <f ca="1">+'Paso 1 Calculo del Presupuesto'!L90</f>
        <v>9542230</v>
      </c>
      <c r="K41" s="632">
        <f ca="1">IFERROR(J41/$J$9,"")</f>
        <v>4.9828877284595299E-2</v>
      </c>
      <c r="L41" s="666" t="s">
        <v>653</v>
      </c>
      <c r="M41" s="778">
        <v>1.2999999999999999E-4</v>
      </c>
      <c r="N41" s="667"/>
      <c r="O41" s="777" t="s">
        <v>849</v>
      </c>
    </row>
    <row r="42" spans="1:28" ht="25.5" customHeight="1">
      <c r="A42" s="663">
        <v>5.6</v>
      </c>
      <c r="B42" s="664" t="s">
        <v>821</v>
      </c>
      <c r="C42" s="633">
        <f>IF(C11="","",+$K$42)</f>
        <v>0</v>
      </c>
      <c r="D42" s="633" t="str">
        <f t="shared" ref="D42:G42" si="6">IF(D11="","",+$K$42)</f>
        <v/>
      </c>
      <c r="E42" s="633" t="str">
        <f t="shared" si="6"/>
        <v/>
      </c>
      <c r="F42" s="633" t="str">
        <f t="shared" si="6"/>
        <v/>
      </c>
      <c r="G42" s="633" t="str">
        <f t="shared" si="6"/>
        <v/>
      </c>
      <c r="J42" s="665">
        <f>+'Paso 1 Calculo del Presupuesto'!L91</f>
        <v>0</v>
      </c>
      <c r="K42" s="632">
        <f t="shared" ref="K42:K43" si="7">IFERROR(J42/$J$9,"")</f>
        <v>0</v>
      </c>
      <c r="L42" s="666" t="s">
        <v>544</v>
      </c>
      <c r="M42" s="778">
        <v>1E-4</v>
      </c>
      <c r="N42" s="667"/>
      <c r="O42" s="777" t="s">
        <v>849</v>
      </c>
    </row>
    <row r="43" spans="1:28" ht="32.25" customHeight="1">
      <c r="A43" s="663">
        <v>5.7</v>
      </c>
      <c r="B43" s="664" t="s">
        <v>822</v>
      </c>
      <c r="C43" s="633">
        <f ca="1">IF(C11="","",+$K$43)</f>
        <v>7.6659806788511753E-2</v>
      </c>
      <c r="D43" s="633" t="str">
        <f>IF(D11="","",+$K$43)</f>
        <v/>
      </c>
      <c r="E43" s="633" t="str">
        <f t="shared" ref="E43:F43" si="8">IF(E11="","",+$K$43)</f>
        <v/>
      </c>
      <c r="F43" s="633" t="str">
        <f t="shared" si="8"/>
        <v/>
      </c>
      <c r="G43" s="633" t="str">
        <f t="shared" ref="G43" si="9">IF(G11="","",+$K$43)</f>
        <v/>
      </c>
      <c r="J43" s="665">
        <f ca="1">+'Paso 1 Calculo del Presupuesto'!L92</f>
        <v>14680353</v>
      </c>
      <c r="K43" s="632">
        <f t="shared" ca="1" si="7"/>
        <v>7.6659806788511753E-2</v>
      </c>
      <c r="L43" s="666" t="s">
        <v>848</v>
      </c>
      <c r="M43" s="778">
        <v>2.0000000000000001E-4</v>
      </c>
      <c r="N43" s="667"/>
      <c r="O43" s="777" t="s">
        <v>849</v>
      </c>
    </row>
    <row r="44" spans="1:28" ht="13.5" customHeight="1">
      <c r="A44" s="611"/>
      <c r="B44" s="611" t="s">
        <v>548</v>
      </c>
      <c r="C44" s="613">
        <f ca="1">SUM(C37:C43)</f>
        <v>0.17248456919060051</v>
      </c>
      <c r="D44" s="613">
        <f>SUM(D37:D43)</f>
        <v>0</v>
      </c>
      <c r="E44" s="613">
        <f t="shared" ref="E44:G44" si="10">SUM(E37:E43)</f>
        <v>0</v>
      </c>
      <c r="F44" s="613">
        <f t="shared" si="10"/>
        <v>0</v>
      </c>
      <c r="G44" s="613">
        <f t="shared" si="10"/>
        <v>0</v>
      </c>
    </row>
    <row r="45" spans="1:28" ht="20.149999999999999" customHeight="1">
      <c r="A45" s="611"/>
      <c r="B45" s="611" t="s">
        <v>549</v>
      </c>
      <c r="C45" s="648">
        <f ca="1">IFERROR(+C9+C25+C32+C34+C44,"")</f>
        <v>2.0291413517946504</v>
      </c>
      <c r="D45" s="648" t="str">
        <f t="shared" ref="D45:G45" si="11">IFERROR(+D9+D25+D32+D34+D44,"")</f>
        <v/>
      </c>
      <c r="E45" s="648" t="str">
        <f t="shared" si="11"/>
        <v/>
      </c>
      <c r="F45" s="648" t="str">
        <f t="shared" si="11"/>
        <v/>
      </c>
      <c r="G45" s="648" t="str">
        <f t="shared" si="11"/>
        <v/>
      </c>
      <c r="H45" s="534"/>
      <c r="I45" s="534"/>
      <c r="J45" s="534"/>
      <c r="K45" s="534"/>
      <c r="L45" s="534"/>
      <c r="M45" s="534"/>
      <c r="N45" s="534"/>
      <c r="O45" s="534"/>
      <c r="P45" s="534"/>
    </row>
    <row r="46" spans="1:28" ht="20.149999999999999" customHeight="1">
      <c r="A46" s="611"/>
      <c r="B46" s="611" t="s">
        <v>550</v>
      </c>
      <c r="C46" s="649">
        <f ca="1">IFERROR(ROUND(C45,2),"")</f>
        <v>2.0299999999999998</v>
      </c>
      <c r="D46" s="649" t="str">
        <f>IFERROR(ROUND(D45,2),"")</f>
        <v/>
      </c>
      <c r="E46" s="649" t="str">
        <f t="shared" ref="E46:F46" si="12">IFERROR(ROUND(E45,2),"")</f>
        <v/>
      </c>
      <c r="F46" s="649" t="str">
        <f t="shared" si="12"/>
        <v/>
      </c>
      <c r="G46" s="649" t="str">
        <f>IFERROR(ROUND(G45,2),"")</f>
        <v/>
      </c>
      <c r="H46" s="534"/>
      <c r="I46" s="534"/>
      <c r="J46" s="534"/>
      <c r="K46" s="534"/>
      <c r="L46" s="534"/>
      <c r="M46" s="534"/>
      <c r="N46" s="534"/>
      <c r="O46" s="534"/>
      <c r="P46" s="534"/>
    </row>
    <row r="47" spans="1:28" ht="18.75" customHeight="1">
      <c r="A47" s="536"/>
      <c r="B47" s="536"/>
      <c r="C47" s="536"/>
      <c r="D47" s="536"/>
      <c r="E47" s="536"/>
      <c r="F47" s="536"/>
      <c r="G47" s="536"/>
      <c r="H47" s="536"/>
      <c r="I47" s="536"/>
      <c r="J47" s="536"/>
      <c r="K47" s="536"/>
      <c r="L47" s="536"/>
      <c r="M47" s="536"/>
      <c r="N47" s="536"/>
      <c r="O47" s="536"/>
      <c r="P47" s="536"/>
      <c r="Q47" s="536"/>
      <c r="S47" s="621" t="s">
        <v>4</v>
      </c>
      <c r="T47" s="621"/>
      <c r="U47" s="621" t="s">
        <v>20</v>
      </c>
      <c r="V47" s="621" t="s">
        <v>21</v>
      </c>
      <c r="W47" s="621"/>
      <c r="X47" s="621" t="s">
        <v>22</v>
      </c>
      <c r="Y47" s="621" t="s">
        <v>23</v>
      </c>
      <c r="Z47" s="621" t="s">
        <v>24</v>
      </c>
      <c r="AA47" s="621"/>
      <c r="AB47" s="621" t="s">
        <v>11</v>
      </c>
    </row>
    <row r="48" spans="1:28" ht="13">
      <c r="A48" s="529"/>
      <c r="B48" s="536"/>
      <c r="C48" s="536"/>
      <c r="D48" s="536"/>
      <c r="E48" s="536"/>
      <c r="F48" s="536"/>
      <c r="G48" s="536"/>
      <c r="H48" s="536"/>
      <c r="I48" s="536"/>
      <c r="J48" s="536"/>
      <c r="K48" s="536"/>
      <c r="L48" s="536"/>
      <c r="M48" s="536"/>
      <c r="N48" s="536"/>
      <c r="O48" s="536"/>
      <c r="P48" s="536"/>
      <c r="Q48" s="536"/>
    </row>
    <row r="49" spans="1:17" ht="18">
      <c r="A49" s="529"/>
      <c r="B49" s="936" t="s">
        <v>551</v>
      </c>
      <c r="C49" s="937"/>
      <c r="D49" s="937"/>
      <c r="E49" s="937"/>
      <c r="F49" s="937"/>
      <c r="G49" s="937"/>
      <c r="H49" s="937"/>
      <c r="I49" s="937"/>
      <c r="J49" s="938"/>
      <c r="K49" s="536"/>
      <c r="L49" s="536"/>
      <c r="M49" s="536"/>
      <c r="N49" s="536"/>
      <c r="O49" s="536"/>
      <c r="P49" s="536"/>
      <c r="Q49" s="536"/>
    </row>
    <row r="50" spans="1:17" s="547" customFormat="1" ht="26">
      <c r="A50" s="544"/>
      <c r="B50" s="945" t="s">
        <v>4</v>
      </c>
      <c r="C50" s="946"/>
      <c r="D50" s="74" t="s">
        <v>6</v>
      </c>
      <c r="E50" s="74" t="s">
        <v>7</v>
      </c>
      <c r="F50" s="74" t="s">
        <v>102</v>
      </c>
      <c r="G50" s="74" t="s">
        <v>8</v>
      </c>
      <c r="H50" s="74" t="s">
        <v>9</v>
      </c>
      <c r="I50" s="74" t="s">
        <v>10</v>
      </c>
      <c r="J50" s="545" t="s">
        <v>11</v>
      </c>
      <c r="K50" s="546"/>
      <c r="L50" s="622" t="s">
        <v>863</v>
      </c>
      <c r="M50" s="546"/>
      <c r="N50" s="546"/>
      <c r="O50" s="546"/>
      <c r="P50" s="546"/>
      <c r="Q50" s="546"/>
    </row>
    <row r="51" spans="1:17" ht="13">
      <c r="A51" s="529"/>
      <c r="B51" s="940" t="s">
        <v>98</v>
      </c>
      <c r="C51" s="941"/>
      <c r="D51" s="189" t="s">
        <v>64</v>
      </c>
      <c r="E51" s="189">
        <v>1</v>
      </c>
      <c r="F51" s="8">
        <v>0.1</v>
      </c>
      <c r="G51" s="583">
        <f>+L3</f>
        <v>1300000</v>
      </c>
      <c r="H51" s="189">
        <f>+IFERROR(ROUND(((IF(G51&lt;($C$170*2),$C$172/G51,0%))+IF(G51&lt;($C$170*2),$D$176/G51,0%)+$D$183+$D$184+$D$185+$D$186+$D$187+$D$189+$D$190+IF(AND(G51&lt;$D$170,'Paso 1 Calculo del Presupuesto'!$C$15="si"),"0%",13.5%)+(IFERROR(VLOOKUP('Paso 2 Calculo Factor Multiplic'!D51,Tabla213[],2,FALSE),0%))),2),"")</f>
        <v>1.7</v>
      </c>
      <c r="I51" s="189">
        <f>IF(G51="","",'Paso 1 Calculo del Presupuesto'!$C$5)</f>
        <v>5</v>
      </c>
      <c r="J51" s="76">
        <f t="shared" ref="J51:J61" si="13">+IFERROR(E51*F51*G51*H51*I51,"")</f>
        <v>1105000</v>
      </c>
      <c r="K51" s="536"/>
      <c r="L51" s="536"/>
      <c r="M51" s="536"/>
      <c r="N51" s="536"/>
      <c r="O51" s="536"/>
      <c r="P51" s="536"/>
      <c r="Q51" s="536"/>
    </row>
    <row r="52" spans="1:17" ht="13">
      <c r="A52" s="529"/>
      <c r="B52" s="940" t="s">
        <v>96</v>
      </c>
      <c r="C52" s="941" t="s">
        <v>96</v>
      </c>
      <c r="D52" s="189" t="s">
        <v>12</v>
      </c>
      <c r="E52" s="189">
        <v>1</v>
      </c>
      <c r="F52" s="8">
        <v>5.0000000000000001E-3</v>
      </c>
      <c r="G52" s="583">
        <f>+L3</f>
        <v>1300000</v>
      </c>
      <c r="H52" s="189">
        <f>+IFERROR(ROUND(((IF(G52&lt;($C$170*2),$C$172/G52,0%))+IF(G52&lt;($C$170*2),$D$176/G52,0%)+$D$183+$D$184+$D$185+$D$186+$D$187+$D$189+$D$190+IF(AND(G52&lt;$D$170,'Paso 1 Calculo del Presupuesto'!$C$15="si"),"0%",13.5%)+(IFERROR(VLOOKUP('Paso 2 Calculo Factor Multiplic'!D52,Tabla213[],2,FALSE),0%))),2),"")</f>
        <v>1.72</v>
      </c>
      <c r="I52" s="189">
        <f>IF(G52="","",'Paso 1 Calculo del Presupuesto'!$C$5)</f>
        <v>5</v>
      </c>
      <c r="J52" s="76">
        <f t="shared" si="13"/>
        <v>55900</v>
      </c>
      <c r="K52" s="536"/>
      <c r="L52" s="536"/>
      <c r="M52" s="536"/>
      <c r="N52" s="536"/>
      <c r="O52" s="536"/>
      <c r="P52" s="536"/>
      <c r="Q52" s="536"/>
    </row>
    <row r="53" spans="1:17" ht="13">
      <c r="A53" s="529"/>
      <c r="B53" s="940" t="s">
        <v>571</v>
      </c>
      <c r="C53" s="941" t="s">
        <v>571</v>
      </c>
      <c r="D53" s="189" t="s">
        <v>64</v>
      </c>
      <c r="E53" s="189">
        <v>1</v>
      </c>
      <c r="F53" s="8">
        <v>0.05</v>
      </c>
      <c r="G53" s="583">
        <f>ROUND(L53*1.0928,0)</f>
        <v>7466499</v>
      </c>
      <c r="H53" s="189">
        <f>+IFERROR(ROUND(((IF(G53&lt;($C$170*2),$C$172/G53,0%))+IF(G53&lt;($C$170*2),$D$176/G53,0%)+$D$183+$D$184+$D$185+$D$186+$D$187+$D$189+$D$190+IF(AND(G53&lt;$D$170,'Paso 1 Calculo del Presupuesto'!$C$15="si"),"0%",13.5%)+(IFERROR(VLOOKUP('Paso 2 Calculo Factor Multiplic'!D53,Tabla213[],2,FALSE),0%))),2),"")</f>
        <v>1.52</v>
      </c>
      <c r="I53" s="189">
        <f>IF(G53="","",'Paso 1 Calculo del Presupuesto'!$C$5)</f>
        <v>5</v>
      </c>
      <c r="J53" s="76">
        <f t="shared" si="13"/>
        <v>2837269.62</v>
      </c>
      <c r="K53" s="536"/>
      <c r="L53" s="783">
        <v>6832448</v>
      </c>
      <c r="M53" s="536"/>
      <c r="N53" s="536"/>
      <c r="O53" s="536"/>
      <c r="P53" s="536"/>
      <c r="Q53" s="536"/>
    </row>
    <row r="54" spans="1:17" ht="13">
      <c r="A54" s="529"/>
      <c r="B54" s="940" t="s">
        <v>572</v>
      </c>
      <c r="C54" s="941" t="s">
        <v>572</v>
      </c>
      <c r="D54" s="189" t="s">
        <v>64</v>
      </c>
      <c r="E54" s="189">
        <v>1</v>
      </c>
      <c r="F54" s="8">
        <v>0.1</v>
      </c>
      <c r="G54" s="583">
        <f t="shared" ref="G54:G60" si="14">ROUND(L54*1.0928,0)</f>
        <v>4544180</v>
      </c>
      <c r="H54" s="189">
        <f>+IFERROR(ROUND(((IF(G54&lt;($C$170*2),$C$172/G54,0%))+IF(G54&lt;($C$170*2),$D$176/G54,0%)+$D$183+$D$184+$D$185+$D$186+$D$187+$D$189+$D$190+IF(AND(G54&lt;$D$170,'Paso 1 Calculo del Presupuesto'!$C$15="si"),"0%",13.5%)+(IFERROR(VLOOKUP('Paso 2 Calculo Factor Multiplic'!D54,Tabla213[],2,FALSE),0%))),2),"")</f>
        <v>1.52</v>
      </c>
      <c r="I54" s="189">
        <f>IF(G54="","",'Paso 1 Calculo del Presupuesto'!$C$5)</f>
        <v>5</v>
      </c>
      <c r="J54" s="76">
        <f t="shared" si="13"/>
        <v>3453576.8</v>
      </c>
      <c r="K54" s="536"/>
      <c r="L54" s="783">
        <v>4158291</v>
      </c>
      <c r="M54" s="536"/>
      <c r="N54" s="536"/>
      <c r="O54" s="536"/>
      <c r="P54" s="536"/>
      <c r="Q54" s="536"/>
    </row>
    <row r="55" spans="1:17" ht="13">
      <c r="A55" s="529"/>
      <c r="B55" s="940" t="s">
        <v>573</v>
      </c>
      <c r="C55" s="941" t="s">
        <v>573</v>
      </c>
      <c r="D55" s="189" t="s">
        <v>64</v>
      </c>
      <c r="E55" s="189">
        <v>1</v>
      </c>
      <c r="F55" s="8">
        <v>0</v>
      </c>
      <c r="G55" s="583">
        <f t="shared" si="14"/>
        <v>5933642</v>
      </c>
      <c r="H55" s="189">
        <f>+IFERROR(ROUND(((IF(G55&lt;($C$170*2),$C$172/G55,0%))+IF(G55&lt;($C$170*2),$D$176/G55,0%)+$D$183+$D$184+$D$185+$D$186+$D$187+$D$189+$D$190+IF(AND(G55&lt;$D$170,'Paso 1 Calculo del Presupuesto'!$C$15="si"),"0%",13.5%)+(IFERROR(VLOOKUP('Paso 2 Calculo Factor Multiplic'!D55,Tabla213[],2,FALSE),0%))),2),"")</f>
        <v>1.52</v>
      </c>
      <c r="I55" s="189">
        <f>IF(G55="","",'Paso 1 Calculo del Presupuesto'!$C$5)</f>
        <v>5</v>
      </c>
      <c r="J55" s="76">
        <f t="shared" si="13"/>
        <v>0</v>
      </c>
      <c r="K55" s="536"/>
      <c r="L55" s="783">
        <v>5429760</v>
      </c>
      <c r="M55" s="536"/>
      <c r="N55" s="536"/>
      <c r="O55" s="536"/>
      <c r="P55" s="536"/>
      <c r="Q55" s="536"/>
    </row>
    <row r="56" spans="1:17" ht="13">
      <c r="A56" s="529"/>
      <c r="B56" s="940" t="s">
        <v>871</v>
      </c>
      <c r="C56" s="941" t="s">
        <v>574</v>
      </c>
      <c r="D56" s="189" t="s">
        <v>64</v>
      </c>
      <c r="E56" s="189">
        <v>1</v>
      </c>
      <c r="F56" s="8">
        <v>0.1</v>
      </c>
      <c r="G56" s="583">
        <f t="shared" si="14"/>
        <v>4544180</v>
      </c>
      <c r="H56" s="189">
        <f>+IFERROR(ROUND(((IF(G56&lt;($C$170*2),$C$172/G56,0%))+IF(G56&lt;($C$170*2),$D$176/G56,0%)+$D$183+$D$184+$D$185+$D$186+$D$187+$D$189+$D$190+IF(AND(G56&lt;$D$170,'Paso 1 Calculo del Presupuesto'!$C$15="si"),"0%",13.5%)+(IFERROR(VLOOKUP('Paso 2 Calculo Factor Multiplic'!D56,Tabla213[],2,FALSE),0%))),2),"")</f>
        <v>1.52</v>
      </c>
      <c r="I56" s="189">
        <f>IF(G56="","",'Paso 1 Calculo del Presupuesto'!$C$5)</f>
        <v>5</v>
      </c>
      <c r="J56" s="76">
        <f t="shared" si="13"/>
        <v>3453576.8</v>
      </c>
      <c r="K56" s="536"/>
      <c r="L56" s="783">
        <v>4158291</v>
      </c>
      <c r="M56" s="536"/>
      <c r="N56" s="536"/>
      <c r="O56" s="536"/>
      <c r="P56" s="536"/>
      <c r="Q56" s="536"/>
    </row>
    <row r="57" spans="1:17" ht="13">
      <c r="A57" s="529"/>
      <c r="B57" s="940" t="s">
        <v>562</v>
      </c>
      <c r="C57" s="941" t="s">
        <v>562</v>
      </c>
      <c r="D57" s="189" t="s">
        <v>64</v>
      </c>
      <c r="E57" s="189">
        <v>1</v>
      </c>
      <c r="F57" s="8">
        <v>0.1</v>
      </c>
      <c r="G57" s="583">
        <f t="shared" si="14"/>
        <v>4544180</v>
      </c>
      <c r="H57" s="189">
        <f>+IFERROR(ROUND(((IF(G57&lt;($C$170*2),$C$172/G57,0%))+IF(G57&lt;($C$170*2),$D$176/G57,0%)+$D$183+$D$184+$D$185+$D$186+$D$187+$D$189+$D$190+IF(AND(G57&lt;$D$170,'Paso 1 Calculo del Presupuesto'!$C$15="si"),"0%",13.5%)+(IFERROR(VLOOKUP('Paso 2 Calculo Factor Multiplic'!D57,Tabla213[],2,FALSE),0%))),2),"")</f>
        <v>1.52</v>
      </c>
      <c r="I57" s="189">
        <f>IF(G57="","",'Paso 1 Calculo del Presupuesto'!$C$5)</f>
        <v>5</v>
      </c>
      <c r="J57" s="76">
        <f t="shared" si="13"/>
        <v>3453576.8</v>
      </c>
      <c r="K57" s="536"/>
      <c r="L57" s="783">
        <v>4158291</v>
      </c>
      <c r="M57" s="536"/>
      <c r="N57" s="536"/>
      <c r="O57" s="536"/>
      <c r="P57" s="536"/>
      <c r="Q57" s="536"/>
    </row>
    <row r="58" spans="1:17" ht="13">
      <c r="A58" s="529"/>
      <c r="B58" s="940" t="s">
        <v>814</v>
      </c>
      <c r="C58" s="941" t="s">
        <v>576</v>
      </c>
      <c r="D58" s="189" t="s">
        <v>64</v>
      </c>
      <c r="E58" s="189">
        <v>1</v>
      </c>
      <c r="F58" s="8">
        <v>0</v>
      </c>
      <c r="G58" s="583">
        <f t="shared" si="14"/>
        <v>4544180</v>
      </c>
      <c r="H58" s="189">
        <f>+IFERROR(ROUND(((IF(G58&lt;($C$170*2),$C$172/G58,0%))+IF(G58&lt;($C$170*2),$D$176/G58,0%)+$D$183+$D$184+$D$185+$D$186+$D$187+$D$189+$D$190+IF(AND(G58&lt;$D$170,'Paso 1 Calculo del Presupuesto'!$C$15="si"),"0%",13.5%)+(IFERROR(VLOOKUP('Paso 2 Calculo Factor Multiplic'!D58,Tabla213[],2,FALSE),0%))),2),"")</f>
        <v>1.52</v>
      </c>
      <c r="I58" s="189">
        <f>IF(G58="","",'Paso 1 Calculo del Presupuesto'!$C$5)</f>
        <v>5</v>
      </c>
      <c r="J58" s="76">
        <f t="shared" si="13"/>
        <v>0</v>
      </c>
      <c r="K58" s="536"/>
      <c r="L58" s="783">
        <v>4158291</v>
      </c>
      <c r="M58" s="536"/>
      <c r="N58" s="536"/>
      <c r="O58" s="536"/>
      <c r="P58" s="536"/>
      <c r="Q58" s="536"/>
    </row>
    <row r="59" spans="1:17" ht="13">
      <c r="A59" s="529"/>
      <c r="B59" s="940" t="s">
        <v>813</v>
      </c>
      <c r="C59" s="941" t="s">
        <v>577</v>
      </c>
      <c r="D59" s="189" t="s">
        <v>64</v>
      </c>
      <c r="E59" s="189">
        <v>1</v>
      </c>
      <c r="F59" s="8">
        <v>0</v>
      </c>
      <c r="G59" s="583">
        <f t="shared" si="14"/>
        <v>4544180</v>
      </c>
      <c r="H59" s="189">
        <f>+IFERROR(ROUND(((IF(G59&lt;($C$170*2),$C$172/G59,0%))+IF(G59&lt;($C$170*2),$D$176/G59,0%)+$D$183+$D$184+$D$185+$D$186+$D$187+$D$189+$D$190+IF(AND(G59&lt;$D$170,'Paso 1 Calculo del Presupuesto'!$C$15="si"),"0%",13.5%)+(IFERROR(VLOOKUP('Paso 2 Calculo Factor Multiplic'!D59,Tabla213[],2,FALSE),0%))),2),"")</f>
        <v>1.52</v>
      </c>
      <c r="I59" s="189">
        <f>IF(G59="","",'Paso 1 Calculo del Presupuesto'!$C$5)</f>
        <v>5</v>
      </c>
      <c r="J59" s="76">
        <f t="shared" si="13"/>
        <v>0</v>
      </c>
      <c r="K59" s="536"/>
      <c r="L59" s="783">
        <v>4158291</v>
      </c>
      <c r="M59" s="536"/>
      <c r="N59" s="536"/>
      <c r="O59" s="536"/>
      <c r="P59" s="536"/>
      <c r="Q59" s="536"/>
    </row>
    <row r="60" spans="1:17" ht="13">
      <c r="A60" s="529"/>
      <c r="B60" s="940" t="s">
        <v>575</v>
      </c>
      <c r="C60" s="941" t="s">
        <v>575</v>
      </c>
      <c r="D60" s="189" t="s">
        <v>64</v>
      </c>
      <c r="E60" s="189">
        <v>1</v>
      </c>
      <c r="F60" s="8">
        <v>0</v>
      </c>
      <c r="G60" s="583">
        <f t="shared" si="14"/>
        <v>1644113</v>
      </c>
      <c r="H60" s="189">
        <f>+IFERROR(ROUND(((IF(G60&lt;($C$170*2),$C$172/G60,0%))+IF(G60&lt;($C$170*2),$D$176/G60,0%)+$D$183+$D$184+$D$185+$D$186+$D$187+$D$189+$D$190+IF(AND(G60&lt;$D$170,'Paso 1 Calculo del Presupuesto'!$C$15="si"),"0%",13.5%)+(IFERROR(VLOOKUP('Paso 2 Calculo Factor Multiplic'!D60,Tabla213[],2,FALSE),0%))),2),"")</f>
        <v>1.66</v>
      </c>
      <c r="I60" s="189">
        <f>IF(G60="","",'Paso 1 Calculo del Presupuesto'!$C$5)</f>
        <v>5</v>
      </c>
      <c r="J60" s="76">
        <f t="shared" si="13"/>
        <v>0</v>
      </c>
      <c r="K60" s="536"/>
      <c r="L60" s="783">
        <v>1504496</v>
      </c>
      <c r="M60" s="536"/>
      <c r="N60" s="536"/>
      <c r="O60" s="536"/>
      <c r="P60" s="536"/>
      <c r="Q60" s="536"/>
    </row>
    <row r="61" spans="1:17" ht="13" hidden="1">
      <c r="A61" s="529"/>
      <c r="B61" s="940"/>
      <c r="C61" s="941"/>
      <c r="D61" s="189"/>
      <c r="E61" s="189"/>
      <c r="F61" s="8"/>
      <c r="G61" s="583"/>
      <c r="H61" s="189" t="str">
        <f>+IFERROR(ROUND(((IF(G61&lt;($C$170*2),$C$172/G61,0%))+IF(G61&lt;($C$170*2),$D$176/G61,0%)+$D$183+$D$184+$D$185+$D$186+$D$187+$D$189+$D$190+IF(AND(G61&lt;$D$170,'Paso 1 Calculo del Presupuesto'!$C$15="si"),"0%",13.5%)+(IFERROR(VLOOKUP('Paso 2 Calculo Factor Multiplic'!D61,Tabla213[],2,FALSE),0%))),2),"")</f>
        <v/>
      </c>
      <c r="I61" s="189" t="str">
        <f>IF(G61="","",'Paso 1 Calculo del Presupuesto'!$C$5)</f>
        <v/>
      </c>
      <c r="J61" s="76" t="str">
        <f t="shared" si="13"/>
        <v/>
      </c>
      <c r="K61" s="536"/>
      <c r="L61" s="536"/>
      <c r="M61" s="536"/>
      <c r="N61" s="536"/>
      <c r="O61" s="536"/>
      <c r="P61" s="536"/>
      <c r="Q61" s="536"/>
    </row>
    <row r="62" spans="1:17" ht="13" hidden="1">
      <c r="A62" s="529"/>
      <c r="B62" s="940"/>
      <c r="C62" s="941"/>
      <c r="D62" s="189"/>
      <c r="E62" s="189"/>
      <c r="F62" s="8"/>
      <c r="G62" s="583"/>
      <c r="H62" s="189"/>
      <c r="I62" s="189" t="str">
        <f>IF(G62="","",'Paso 1 Calculo del Presupuesto'!$C$5)</f>
        <v/>
      </c>
      <c r="J62" s="76"/>
      <c r="K62" s="536"/>
      <c r="L62" s="536"/>
      <c r="M62" s="536"/>
      <c r="N62" s="536"/>
      <c r="O62" s="536"/>
      <c r="P62" s="536"/>
      <c r="Q62" s="536"/>
    </row>
    <row r="63" spans="1:17" ht="13" hidden="1">
      <c r="A63" s="529"/>
      <c r="B63" s="940"/>
      <c r="C63" s="941"/>
      <c r="D63" s="189"/>
      <c r="E63" s="189"/>
      <c r="F63" s="8"/>
      <c r="G63" s="583"/>
      <c r="H63" s="189"/>
      <c r="I63" s="189" t="str">
        <f>IF(G63="","",'Paso 1 Calculo del Presupuesto'!$C$5)</f>
        <v/>
      </c>
      <c r="J63" s="76"/>
      <c r="K63" s="536"/>
      <c r="L63" s="536"/>
      <c r="M63" s="536"/>
      <c r="N63" s="536"/>
      <c r="O63" s="536"/>
      <c r="P63" s="536"/>
      <c r="Q63" s="536"/>
    </row>
    <row r="64" spans="1:17" ht="13" hidden="1">
      <c r="A64" s="529"/>
      <c r="B64" s="940"/>
      <c r="C64" s="941"/>
      <c r="D64" s="189"/>
      <c r="E64" s="189"/>
      <c r="F64" s="8"/>
      <c r="G64" s="583"/>
      <c r="H64" s="189"/>
      <c r="I64" s="189" t="str">
        <f>IF(G64="","",'Paso 1 Calculo del Presupuesto'!$C$5)</f>
        <v/>
      </c>
      <c r="J64" s="76"/>
      <c r="K64" s="536"/>
      <c r="L64" s="536"/>
      <c r="M64" s="536"/>
      <c r="N64" s="536"/>
      <c r="O64" s="536"/>
      <c r="P64" s="536"/>
      <c r="Q64" s="536"/>
    </row>
    <row r="65" spans="1:23" ht="13" hidden="1">
      <c r="A65" s="529"/>
      <c r="B65" s="940"/>
      <c r="C65" s="941"/>
      <c r="D65" s="189"/>
      <c r="E65" s="189"/>
      <c r="F65" s="8"/>
      <c r="G65" s="583"/>
      <c r="H65" s="189"/>
      <c r="I65" s="189" t="str">
        <f>IF(G65="","",'Paso 1 Calculo del Presupuesto'!$C$5)</f>
        <v/>
      </c>
      <c r="J65" s="76"/>
      <c r="K65" s="536"/>
      <c r="L65" s="536"/>
      <c r="M65" s="536"/>
      <c r="N65" s="536"/>
      <c r="O65" s="536"/>
      <c r="P65" s="536"/>
      <c r="Q65" s="536"/>
    </row>
    <row r="66" spans="1:23" ht="13" hidden="1">
      <c r="A66" s="529"/>
      <c r="B66" s="940"/>
      <c r="C66" s="941"/>
      <c r="D66" s="189"/>
      <c r="E66" s="189"/>
      <c r="F66" s="8"/>
      <c r="G66" s="583"/>
      <c r="H66" s="189"/>
      <c r="I66" s="189" t="str">
        <f>IF(G66="","",'Paso 1 Calculo del Presupuesto'!$C$5)</f>
        <v/>
      </c>
      <c r="J66" s="76"/>
      <c r="K66" s="536"/>
      <c r="L66" s="536"/>
      <c r="M66" s="536"/>
      <c r="N66" s="536"/>
      <c r="O66" s="536"/>
      <c r="P66" s="536"/>
      <c r="Q66" s="536"/>
    </row>
    <row r="67" spans="1:23" ht="13" hidden="1">
      <c r="A67" s="529"/>
      <c r="B67" s="940"/>
      <c r="C67" s="941"/>
      <c r="D67" s="189"/>
      <c r="E67" s="189"/>
      <c r="F67" s="8"/>
      <c r="G67" s="583"/>
      <c r="H67" s="189" t="str">
        <f>+IFERROR(ROUND(((IF(G67&lt;($C$170*2),$C$172/G67,0%))+IF(G67&lt;($C$170*2),$D$176/G67,0%)+$D$183+$D$184+$D$185+$D$186+$D$187+$D$189+$D$190+IF(AND(G67&lt;$D$170,'Paso 1 Calculo del Presupuesto'!$C$15="si"),"0%",13.5%)+(IFERROR(VLOOKUP('Paso 2 Calculo Factor Multiplic'!D67,Tabla213[],2,FALSE),0%))),2),"")</f>
        <v/>
      </c>
      <c r="I67" s="189" t="str">
        <f>IF(G67="","",'Paso 1 Calculo del Presupuesto'!$C$5)</f>
        <v/>
      </c>
      <c r="J67" s="76" t="str">
        <f>+IFERROR(E67*F67*G67*H67*I67,"")</f>
        <v/>
      </c>
      <c r="K67" s="536"/>
      <c r="L67" s="536"/>
      <c r="M67" s="536"/>
      <c r="N67" s="536"/>
      <c r="O67" s="536"/>
      <c r="P67" s="536"/>
      <c r="Q67" s="536"/>
    </row>
    <row r="68" spans="1:23" ht="13" hidden="1">
      <c r="A68" s="529"/>
      <c r="B68" s="940"/>
      <c r="C68" s="941"/>
      <c r="D68" s="189"/>
      <c r="E68" s="189"/>
      <c r="F68" s="8"/>
      <c r="G68" s="583"/>
      <c r="H68" s="189" t="str">
        <f>+IFERROR(ROUND(((IF(G68&lt;($C$170*2),$C$172/G68,0%))+IF(G68&lt;($C$170*2),$D$176/G68,0%)+$D$183+$D$184+$D$185+$D$186+$D$187+$D$189+$D$190+IF(AND(G68&lt;$D$170,'Paso 1 Calculo del Presupuesto'!$C$15="si"),"0%",13.5%)+(IFERROR(VLOOKUP('Paso 2 Calculo Factor Multiplic'!D68,Tabla213[],2,FALSE),0%))),2),"")</f>
        <v/>
      </c>
      <c r="I68" s="189" t="str">
        <f>IF(G68="","",'Paso 1 Calculo del Presupuesto'!$C$5)</f>
        <v/>
      </c>
      <c r="J68" s="76" t="str">
        <f>+IFERROR(E68*F68*G68*H68*I68,"")</f>
        <v/>
      </c>
      <c r="K68" s="536"/>
      <c r="L68" s="536"/>
      <c r="M68" s="536"/>
      <c r="N68" s="536"/>
      <c r="O68" s="536"/>
      <c r="P68" s="536"/>
      <c r="Q68" s="536"/>
    </row>
    <row r="69" spans="1:23" ht="13" hidden="1">
      <c r="A69" s="529"/>
      <c r="B69" s="940"/>
      <c r="C69" s="941"/>
      <c r="D69" s="189"/>
      <c r="E69" s="189"/>
      <c r="F69" s="8"/>
      <c r="G69" s="583"/>
      <c r="H69" s="189" t="str">
        <f>+IFERROR(ROUND(((IF(G69&lt;($C$170*2),$C$172/G69,0%))+IF(G69&lt;($C$170*2),$D$176/G69,0%)+$D$183+$D$184+$D$185+$D$186+$D$187+$D$189+$D$190+IF(AND(G69&lt;$D$170,'Paso 1 Calculo del Presupuesto'!$C$15="si"),"0%",13.5%)+(IFERROR(VLOOKUP('Paso 2 Calculo Factor Multiplic'!D69,Tabla213[],2,FALSE),0%))),2),"")</f>
        <v/>
      </c>
      <c r="I69" s="189" t="str">
        <f>IF(G69="","",'Paso 1 Calculo del Presupuesto'!$C$5)</f>
        <v/>
      </c>
      <c r="J69" s="76" t="str">
        <f>+IFERROR(E69*F69*G69*H69*I69,"")</f>
        <v/>
      </c>
      <c r="K69" s="536"/>
      <c r="L69" s="536"/>
      <c r="M69" s="536"/>
      <c r="N69" s="536"/>
      <c r="O69" s="536"/>
      <c r="P69" s="536"/>
      <c r="Q69" s="536"/>
    </row>
    <row r="70" spans="1:23" ht="13">
      <c r="A70" s="529"/>
      <c r="B70" s="529"/>
      <c r="C70" s="529"/>
      <c r="D70" s="529"/>
      <c r="E70" s="529"/>
      <c r="F70" s="529"/>
      <c r="G70" s="529"/>
      <c r="H70" s="529"/>
      <c r="I70" s="529"/>
      <c r="J70" s="76">
        <f>SUM(J51:J69)</f>
        <v>14358900.02</v>
      </c>
      <c r="K70" s="529"/>
      <c r="L70" s="536"/>
      <c r="M70" s="536"/>
      <c r="N70" s="536"/>
      <c r="O70" s="536"/>
      <c r="P70" s="536"/>
      <c r="Q70" s="536"/>
    </row>
    <row r="71" spans="1:23" ht="13">
      <c r="A71" s="529"/>
      <c r="B71" s="529" t="s">
        <v>552</v>
      </c>
      <c r="C71" s="529"/>
      <c r="D71" s="529"/>
      <c r="E71" s="529"/>
      <c r="F71" s="529"/>
      <c r="G71" s="529"/>
      <c r="H71" s="529"/>
      <c r="I71" s="529"/>
      <c r="J71" s="536"/>
      <c r="K71" s="529"/>
      <c r="L71" s="536"/>
      <c r="M71" s="536"/>
      <c r="N71" s="536"/>
      <c r="O71" s="536"/>
      <c r="P71" s="536"/>
      <c r="Q71" s="536"/>
    </row>
    <row r="72" spans="1:23" ht="18">
      <c r="A72" s="529"/>
      <c r="B72" s="902" t="s">
        <v>563</v>
      </c>
      <c r="C72" s="903"/>
      <c r="D72" s="904"/>
      <c r="E72" s="904"/>
      <c r="F72" s="904"/>
      <c r="G72" s="904"/>
      <c r="H72" s="904"/>
      <c r="I72" s="904"/>
      <c r="J72" s="906"/>
      <c r="K72" s="619" t="s">
        <v>566</v>
      </c>
      <c r="L72" s="536"/>
      <c r="M72" s="536"/>
    </row>
    <row r="73" spans="1:23" ht="38.25" customHeight="1">
      <c r="A73" s="529"/>
      <c r="B73" s="939" t="s">
        <v>553</v>
      </c>
      <c r="C73" s="909"/>
      <c r="D73" s="74" t="s">
        <v>554</v>
      </c>
      <c r="E73" s="74" t="s">
        <v>7</v>
      </c>
      <c r="F73" s="74" t="s">
        <v>102</v>
      </c>
      <c r="G73" s="74" t="s">
        <v>555</v>
      </c>
      <c r="H73" s="74" t="s">
        <v>556</v>
      </c>
      <c r="I73" s="74" t="s">
        <v>10</v>
      </c>
      <c r="J73" s="75" t="s">
        <v>11</v>
      </c>
      <c r="K73" s="619" t="s">
        <v>564</v>
      </c>
      <c r="L73" s="536"/>
      <c r="M73" s="536"/>
      <c r="N73" s="607" t="s">
        <v>578</v>
      </c>
      <c r="O73" s="607" t="s">
        <v>579</v>
      </c>
      <c r="P73" s="622" t="s">
        <v>865</v>
      </c>
      <c r="Q73" s="622" t="s">
        <v>592</v>
      </c>
      <c r="R73" s="622" t="s">
        <v>525</v>
      </c>
      <c r="S73" s="622" t="s">
        <v>593</v>
      </c>
      <c r="T73" s="622" t="s">
        <v>594</v>
      </c>
      <c r="U73" s="584"/>
      <c r="V73" s="622" t="s">
        <v>864</v>
      </c>
    </row>
    <row r="74" spans="1:23" ht="12.75" customHeight="1">
      <c r="A74" s="529"/>
      <c r="B74" s="76" t="str">
        <f t="shared" ref="B74:B86" si="15">+N74</f>
        <v xml:space="preserve">Computador </v>
      </c>
      <c r="C74" s="76"/>
      <c r="D74" s="76"/>
      <c r="E74" s="7">
        <v>4</v>
      </c>
      <c r="F74" s="585">
        <v>0.1</v>
      </c>
      <c r="G74" s="76">
        <f t="shared" ref="G74:G86" si="16">+T74</f>
        <v>158665.15</v>
      </c>
      <c r="H74" s="76">
        <f>G74*19%</f>
        <v>30146.378499999999</v>
      </c>
      <c r="I74" s="189">
        <f>IF(G74="","",'Paso 1 Calculo del Presupuesto'!$C$5)</f>
        <v>5</v>
      </c>
      <c r="J74" s="76">
        <f>+IFERROR(E74*F74*G74*I74," ")</f>
        <v>317330.3</v>
      </c>
      <c r="K74" s="619" t="s">
        <v>565</v>
      </c>
      <c r="L74" s="536"/>
      <c r="M74" s="536"/>
      <c r="N74" s="602" t="s">
        <v>760</v>
      </c>
      <c r="O74" s="602" t="s">
        <v>761</v>
      </c>
      <c r="P74" s="76">
        <f>ROUND(V74*1.0928,0)</f>
        <v>9519909</v>
      </c>
      <c r="Q74" s="659">
        <v>1</v>
      </c>
      <c r="R74" s="76">
        <f t="shared" ref="R74:R86" si="17">P74*Q74</f>
        <v>9519909</v>
      </c>
      <c r="S74" s="702">
        <v>60</v>
      </c>
      <c r="T74" s="76">
        <f t="shared" ref="T74:T86" si="18">IFERROR(R74/S74,0)</f>
        <v>158665.15</v>
      </c>
      <c r="U74" s="594"/>
      <c r="V74" s="784">
        <v>8711483</v>
      </c>
      <c r="W74" s="595"/>
    </row>
    <row r="75" spans="1:23" ht="12.75" customHeight="1">
      <c r="A75" s="529"/>
      <c r="B75" s="76" t="str">
        <f t="shared" si="15"/>
        <v>Impresora Láser</v>
      </c>
      <c r="C75" s="76"/>
      <c r="D75" s="76"/>
      <c r="E75" s="7">
        <v>1</v>
      </c>
      <c r="F75" s="585">
        <v>0.1</v>
      </c>
      <c r="G75" s="76">
        <f>+T75</f>
        <v>129549</v>
      </c>
      <c r="H75" s="76">
        <f t="shared" ref="H75:H83" si="19">G75*19%</f>
        <v>24614.31</v>
      </c>
      <c r="I75" s="189">
        <f>IF(G75="","",'Paso 1 Calculo del Presupuesto'!$C$5)</f>
        <v>5</v>
      </c>
      <c r="J75" s="76">
        <f t="shared" ref="J75:J85" si="20">+IFERROR(E75*F75*G75*I75," ")</f>
        <v>64774.500000000007</v>
      </c>
      <c r="K75" s="619" t="s">
        <v>565</v>
      </c>
      <c r="L75" s="536"/>
      <c r="M75" s="536"/>
      <c r="N75" s="76" t="s">
        <v>595</v>
      </c>
      <c r="O75" s="76" t="s">
        <v>762</v>
      </c>
      <c r="P75" s="76">
        <f t="shared" ref="P75:P86" si="21">ROUND(V75*1.0928,0)</f>
        <v>7772940</v>
      </c>
      <c r="Q75" s="659">
        <v>1</v>
      </c>
      <c r="R75" s="76">
        <f t="shared" si="17"/>
        <v>7772940</v>
      </c>
      <c r="S75" s="702">
        <v>60</v>
      </c>
      <c r="T75" s="76">
        <f t="shared" si="18"/>
        <v>129549</v>
      </c>
      <c r="U75" s="594"/>
      <c r="V75" s="784">
        <v>7112866</v>
      </c>
      <c r="W75" s="595"/>
    </row>
    <row r="76" spans="1:23" ht="12.75" customHeight="1">
      <c r="A76" s="529"/>
      <c r="B76" s="76" t="str">
        <f t="shared" si="15"/>
        <v>Archivador horizontal metálico de dos gavetas</v>
      </c>
      <c r="C76" s="76"/>
      <c r="D76" s="76"/>
      <c r="E76" s="7">
        <v>0</v>
      </c>
      <c r="F76" s="585">
        <v>0</v>
      </c>
      <c r="G76" s="76">
        <f t="shared" si="16"/>
        <v>6156.5916666666662</v>
      </c>
      <c r="H76" s="76">
        <f t="shared" si="19"/>
        <v>1169.7524166666667</v>
      </c>
      <c r="I76" s="189">
        <f>IF(G76="","",'Paso 1 Calculo del Presupuesto'!$C$5)</f>
        <v>5</v>
      </c>
      <c r="J76" s="76">
        <f t="shared" si="20"/>
        <v>0</v>
      </c>
      <c r="K76" s="619" t="s">
        <v>567</v>
      </c>
      <c r="L76" s="536"/>
      <c r="M76" s="536"/>
      <c r="N76" s="700" t="s">
        <v>741</v>
      </c>
      <c r="O76" s="603" t="s">
        <v>742</v>
      </c>
      <c r="P76" s="76">
        <f t="shared" si="21"/>
        <v>738791</v>
      </c>
      <c r="Q76" s="659">
        <v>1</v>
      </c>
      <c r="R76" s="76">
        <f t="shared" si="17"/>
        <v>738791</v>
      </c>
      <c r="S76" s="702">
        <v>120</v>
      </c>
      <c r="T76" s="76">
        <f t="shared" si="18"/>
        <v>6156.5916666666662</v>
      </c>
      <c r="U76" s="594"/>
      <c r="V76" s="784">
        <v>676053</v>
      </c>
      <c r="W76" s="595"/>
    </row>
    <row r="77" spans="1:23" ht="12.75" customHeight="1">
      <c r="A77" s="529"/>
      <c r="B77" s="76" t="str">
        <f t="shared" si="15"/>
        <v>Locker metálico 6 puesto</v>
      </c>
      <c r="C77" s="76"/>
      <c r="D77" s="76"/>
      <c r="E77" s="7">
        <v>0</v>
      </c>
      <c r="F77" s="585">
        <v>0</v>
      </c>
      <c r="G77" s="76">
        <f t="shared" si="16"/>
        <v>5885.6833333333334</v>
      </c>
      <c r="H77" s="76">
        <f t="shared" si="19"/>
        <v>1118.2798333333333</v>
      </c>
      <c r="I77" s="189">
        <f>IF(G77="","",'Paso 1 Calculo del Presupuesto'!$C$5)</f>
        <v>5</v>
      </c>
      <c r="J77" s="76">
        <f t="shared" si="20"/>
        <v>0</v>
      </c>
      <c r="K77" s="619" t="s">
        <v>568</v>
      </c>
      <c r="L77" s="536"/>
      <c r="M77" s="536"/>
      <c r="N77" s="699" t="s">
        <v>743</v>
      </c>
      <c r="O77" s="603" t="s">
        <v>744</v>
      </c>
      <c r="P77" s="76">
        <f t="shared" si="21"/>
        <v>706282</v>
      </c>
      <c r="Q77" s="659">
        <v>1</v>
      </c>
      <c r="R77" s="76">
        <f t="shared" si="17"/>
        <v>706282</v>
      </c>
      <c r="S77" s="702">
        <v>120</v>
      </c>
      <c r="T77" s="76">
        <f t="shared" si="18"/>
        <v>5885.6833333333334</v>
      </c>
      <c r="U77" s="594"/>
      <c r="V77" s="784">
        <v>646305</v>
      </c>
      <c r="W77" s="595"/>
    </row>
    <row r="78" spans="1:23" ht="12.75" customHeight="1">
      <c r="A78" s="529"/>
      <c r="B78" s="76" t="str">
        <f t="shared" si="15"/>
        <v>Estante para almacenamiento de dos cuerpos</v>
      </c>
      <c r="C78" s="76"/>
      <c r="D78" s="76"/>
      <c r="E78" s="7">
        <v>0</v>
      </c>
      <c r="F78" s="585">
        <v>0</v>
      </c>
      <c r="G78" s="76">
        <f t="shared" si="16"/>
        <v>8461.8250000000007</v>
      </c>
      <c r="H78" s="76">
        <f t="shared" si="19"/>
        <v>1607.7467500000002</v>
      </c>
      <c r="I78" s="189">
        <f>IF(G78="","",'Paso 1 Calculo del Presupuesto'!$C$5)</f>
        <v>5</v>
      </c>
      <c r="J78" s="76">
        <f t="shared" si="20"/>
        <v>0</v>
      </c>
      <c r="K78" s="619" t="s">
        <v>569</v>
      </c>
      <c r="L78" s="536"/>
      <c r="M78" s="536"/>
      <c r="N78" s="699" t="s">
        <v>745</v>
      </c>
      <c r="O78" s="603" t="s">
        <v>746</v>
      </c>
      <c r="P78" s="76">
        <f t="shared" si="21"/>
        <v>1015419</v>
      </c>
      <c r="Q78" s="659">
        <v>1</v>
      </c>
      <c r="R78" s="76">
        <f t="shared" si="17"/>
        <v>1015419</v>
      </c>
      <c r="S78" s="702">
        <v>120</v>
      </c>
      <c r="T78" s="76">
        <f t="shared" si="18"/>
        <v>8461.8250000000007</v>
      </c>
      <c r="U78" s="594"/>
      <c r="V78" s="784">
        <v>929190</v>
      </c>
      <c r="W78" s="595"/>
    </row>
    <row r="79" spans="1:23" ht="12.75" customHeight="1">
      <c r="A79" s="529"/>
      <c r="B79" s="76" t="str">
        <f t="shared" si="15"/>
        <v>Puesto de trabajo</v>
      </c>
      <c r="C79" s="76"/>
      <c r="D79" s="76"/>
      <c r="E79" s="7">
        <v>4</v>
      </c>
      <c r="F79" s="585">
        <v>0.1</v>
      </c>
      <c r="G79" s="76">
        <f t="shared" si="16"/>
        <v>8604.2333333333336</v>
      </c>
      <c r="H79" s="76">
        <f t="shared" si="19"/>
        <v>1634.8043333333335</v>
      </c>
      <c r="I79" s="189">
        <f>IF(G79="","",'Paso 1 Calculo del Presupuesto'!$C$5)</f>
        <v>5</v>
      </c>
      <c r="J79" s="76">
        <f t="shared" si="20"/>
        <v>17208.466666666667</v>
      </c>
      <c r="K79" s="529"/>
      <c r="L79" s="536"/>
      <c r="M79" s="536"/>
      <c r="N79" s="699" t="s">
        <v>747</v>
      </c>
      <c r="O79" s="603" t="s">
        <v>748</v>
      </c>
      <c r="P79" s="76">
        <f t="shared" si="21"/>
        <v>1032508</v>
      </c>
      <c r="Q79" s="659">
        <v>1</v>
      </c>
      <c r="R79" s="76">
        <f t="shared" si="17"/>
        <v>1032508</v>
      </c>
      <c r="S79" s="702">
        <v>120</v>
      </c>
      <c r="T79" s="76">
        <f t="shared" si="18"/>
        <v>8604.2333333333336</v>
      </c>
      <c r="U79" s="594"/>
      <c r="V79" s="784">
        <v>944828</v>
      </c>
      <c r="W79" s="595"/>
    </row>
    <row r="80" spans="1:23" ht="12.75" customHeight="1">
      <c r="A80" s="529"/>
      <c r="B80" s="76" t="str">
        <f t="shared" si="15"/>
        <v>Mesa rectangular en madera 1 para reuniones y otra para zona común</v>
      </c>
      <c r="C80" s="76"/>
      <c r="D80" s="76"/>
      <c r="E80" s="7">
        <v>1</v>
      </c>
      <c r="F80" s="585">
        <v>0.1</v>
      </c>
      <c r="G80" s="76">
        <f t="shared" si="16"/>
        <v>9814.5916666666672</v>
      </c>
      <c r="H80" s="76">
        <f t="shared" si="19"/>
        <v>1864.7724166666667</v>
      </c>
      <c r="I80" s="189">
        <f>IF(G80="","",'Paso 1 Calculo del Presupuesto'!$C$5)</f>
        <v>5</v>
      </c>
      <c r="J80" s="76">
        <f t="shared" si="20"/>
        <v>4907.2958333333336</v>
      </c>
      <c r="K80" s="529"/>
      <c r="L80" s="536"/>
      <c r="M80" s="536"/>
      <c r="N80" s="602" t="s">
        <v>750</v>
      </c>
      <c r="O80" s="603" t="s">
        <v>749</v>
      </c>
      <c r="P80" s="76">
        <f t="shared" si="21"/>
        <v>1177751</v>
      </c>
      <c r="Q80" s="659">
        <v>1</v>
      </c>
      <c r="R80" s="76">
        <f t="shared" si="17"/>
        <v>1177751</v>
      </c>
      <c r="S80" s="702">
        <v>120</v>
      </c>
      <c r="T80" s="76">
        <f t="shared" si="18"/>
        <v>9814.5916666666672</v>
      </c>
      <c r="U80" s="594"/>
      <c r="V80" s="784">
        <v>1077737</v>
      </c>
      <c r="W80" s="595"/>
    </row>
    <row r="81" spans="1:29" ht="12.75" customHeight="1">
      <c r="A81" s="529"/>
      <c r="B81" s="76" t="str">
        <f t="shared" si="15"/>
        <v>Mesa Para Televisor en Madera Aglomerada</v>
      </c>
      <c r="C81" s="76"/>
      <c r="D81" s="76"/>
      <c r="E81" s="7">
        <v>0</v>
      </c>
      <c r="F81" s="585">
        <v>0</v>
      </c>
      <c r="G81" s="76">
        <f t="shared" si="16"/>
        <v>4128.7250000000004</v>
      </c>
      <c r="H81" s="76">
        <f t="shared" si="19"/>
        <v>784.45775000000003</v>
      </c>
      <c r="I81" s="189">
        <f>IF(G81="","",'Paso 1 Calculo del Presupuesto'!$C$5)</f>
        <v>5</v>
      </c>
      <c r="J81" s="76">
        <f t="shared" si="20"/>
        <v>0</v>
      </c>
      <c r="K81" s="529"/>
      <c r="L81" s="536"/>
      <c r="M81" s="536"/>
      <c r="N81" s="76" t="s">
        <v>580</v>
      </c>
      <c r="O81" s="620" t="s">
        <v>581</v>
      </c>
      <c r="P81" s="76">
        <f t="shared" si="21"/>
        <v>495447</v>
      </c>
      <c r="Q81" s="659">
        <v>1</v>
      </c>
      <c r="R81" s="76">
        <f t="shared" si="17"/>
        <v>495447</v>
      </c>
      <c r="S81" s="702">
        <v>120</v>
      </c>
      <c r="T81" s="76">
        <f t="shared" si="18"/>
        <v>4128.7250000000004</v>
      </c>
      <c r="U81" s="594"/>
      <c r="V81" s="784">
        <v>453374</v>
      </c>
      <c r="W81" s="595"/>
    </row>
    <row r="82" spans="1:29" ht="12.75" customHeight="1">
      <c r="A82" s="529"/>
      <c r="B82" s="76" t="str">
        <f t="shared" si="15"/>
        <v>Silla interlocutora abollonada fija sin brazo</v>
      </c>
      <c r="C82" s="76"/>
      <c r="D82" s="76"/>
      <c r="E82" s="7">
        <v>0</v>
      </c>
      <c r="F82" s="585">
        <v>0</v>
      </c>
      <c r="G82" s="76">
        <f t="shared" si="16"/>
        <v>1428.7166666666667</v>
      </c>
      <c r="H82" s="76">
        <f t="shared" si="19"/>
        <v>271.45616666666666</v>
      </c>
      <c r="I82" s="189">
        <f>IF(G82="","",'Paso 1 Calculo del Presupuesto'!$C$5)</f>
        <v>5</v>
      </c>
      <c r="J82" s="76">
        <f t="shared" si="20"/>
        <v>0</v>
      </c>
      <c r="K82" s="529"/>
      <c r="L82" s="536"/>
      <c r="M82" s="536"/>
      <c r="N82" s="76" t="s">
        <v>751</v>
      </c>
      <c r="O82" s="620" t="s">
        <v>752</v>
      </c>
      <c r="P82" s="76">
        <f t="shared" si="21"/>
        <v>171446</v>
      </c>
      <c r="Q82" s="659">
        <v>1</v>
      </c>
      <c r="R82" s="76">
        <f t="shared" si="17"/>
        <v>171446</v>
      </c>
      <c r="S82" s="702">
        <v>120</v>
      </c>
      <c r="T82" s="76">
        <f t="shared" si="18"/>
        <v>1428.7166666666667</v>
      </c>
      <c r="U82" s="594"/>
      <c r="V82" s="784">
        <v>156887</v>
      </c>
      <c r="W82" s="595"/>
    </row>
    <row r="83" spans="1:29" ht="12.75" customHeight="1">
      <c r="A83" s="529"/>
      <c r="B83" s="76" t="str">
        <f t="shared" si="15"/>
        <v>Silla Ergonómica Ejecutiva sin Descansa Cabeza</v>
      </c>
      <c r="C83" s="76"/>
      <c r="D83" s="76"/>
      <c r="E83" s="7">
        <v>4</v>
      </c>
      <c r="F83" s="585">
        <v>0.1</v>
      </c>
      <c r="G83" s="76">
        <f t="shared" si="16"/>
        <v>17062.616666666665</v>
      </c>
      <c r="H83" s="76">
        <f t="shared" si="19"/>
        <v>3241.8971666666662</v>
      </c>
      <c r="I83" s="189">
        <f>IF(G83="","",'Paso 1 Calculo del Presupuesto'!$C$5)</f>
        <v>5</v>
      </c>
      <c r="J83" s="76">
        <f t="shared" si="20"/>
        <v>34125.23333333333</v>
      </c>
      <c r="K83" s="529"/>
      <c r="L83" s="536"/>
      <c r="M83" s="536"/>
      <c r="N83" s="76" t="s">
        <v>586</v>
      </c>
      <c r="O83" s="603" t="s">
        <v>753</v>
      </c>
      <c r="P83" s="76">
        <f t="shared" si="21"/>
        <v>2047514</v>
      </c>
      <c r="Q83" s="659">
        <v>1</v>
      </c>
      <c r="R83" s="76">
        <f t="shared" si="17"/>
        <v>2047514</v>
      </c>
      <c r="S83" s="702">
        <v>120</v>
      </c>
      <c r="T83" s="76">
        <f t="shared" si="18"/>
        <v>17062.616666666665</v>
      </c>
      <c r="U83" s="594"/>
      <c r="V83" s="784">
        <v>1873640</v>
      </c>
      <c r="W83" s="595"/>
    </row>
    <row r="84" spans="1:29" ht="12.75" customHeight="1">
      <c r="A84" s="529"/>
      <c r="B84" s="76" t="str">
        <f t="shared" si="15"/>
        <v xml:space="preserve">Tablero acrilico </v>
      </c>
      <c r="C84" s="76"/>
      <c r="D84" s="76"/>
      <c r="E84" s="7">
        <v>1</v>
      </c>
      <c r="F84" s="585">
        <v>0.1</v>
      </c>
      <c r="G84" s="76">
        <f t="shared" si="16"/>
        <v>1101.2249999999999</v>
      </c>
      <c r="H84" s="76">
        <f t="shared" ref="H84:H90" si="22">G84*19%</f>
        <v>209.23274999999998</v>
      </c>
      <c r="I84" s="189">
        <f>IF(G84="","",'Paso 1 Calculo del Presupuesto'!$C$5)</f>
        <v>5</v>
      </c>
      <c r="J84" s="76">
        <f t="shared" si="20"/>
        <v>550.61249999999995</v>
      </c>
      <c r="K84" s="529"/>
      <c r="L84" s="536"/>
      <c r="M84" s="536"/>
      <c r="N84" s="76" t="s">
        <v>754</v>
      </c>
      <c r="O84" s="603" t="s">
        <v>755</v>
      </c>
      <c r="P84" s="76">
        <f t="shared" si="21"/>
        <v>132147</v>
      </c>
      <c r="Q84" s="659">
        <v>1</v>
      </c>
      <c r="R84" s="76">
        <f t="shared" si="17"/>
        <v>132147</v>
      </c>
      <c r="S84" s="702">
        <v>120</v>
      </c>
      <c r="T84" s="76">
        <f t="shared" si="18"/>
        <v>1101.2249999999999</v>
      </c>
      <c r="U84" s="594"/>
      <c r="V84" s="784">
        <v>120925</v>
      </c>
      <c r="W84" s="595"/>
    </row>
    <row r="85" spans="1:29" ht="12.75" customHeight="1">
      <c r="A85" s="529"/>
      <c r="B85" s="76" t="str">
        <f t="shared" si="15"/>
        <v>Televisor para proyectar</v>
      </c>
      <c r="C85" s="76"/>
      <c r="D85" s="76"/>
      <c r="E85" s="7">
        <v>0</v>
      </c>
      <c r="F85" s="585">
        <v>0</v>
      </c>
      <c r="G85" s="76">
        <f t="shared" si="16"/>
        <v>72110.233333333337</v>
      </c>
      <c r="H85" s="76">
        <f>G85*19%</f>
        <v>13700.944333333335</v>
      </c>
      <c r="I85" s="189">
        <f>IF(G85="","",'Paso 1 Calculo del Presupuesto'!$C$5)</f>
        <v>5</v>
      </c>
      <c r="J85" s="76">
        <f t="shared" si="20"/>
        <v>0</v>
      </c>
      <c r="K85" s="529"/>
      <c r="L85" s="536"/>
      <c r="M85" s="536"/>
      <c r="N85" s="76" t="s">
        <v>756</v>
      </c>
      <c r="O85" s="603" t="s">
        <v>757</v>
      </c>
      <c r="P85" s="76">
        <f t="shared" si="21"/>
        <v>4326614</v>
      </c>
      <c r="Q85" s="659">
        <v>1</v>
      </c>
      <c r="R85" s="76">
        <f t="shared" si="17"/>
        <v>4326614</v>
      </c>
      <c r="S85" s="702">
        <v>60</v>
      </c>
      <c r="T85" s="76">
        <f t="shared" si="18"/>
        <v>72110.233333333337</v>
      </c>
      <c r="U85" s="594"/>
      <c r="V85" s="784">
        <v>3959200</v>
      </c>
      <c r="W85" s="595"/>
    </row>
    <row r="86" spans="1:29" ht="12.75" customHeight="1">
      <c r="A86" s="529"/>
      <c r="B86" s="76" t="str">
        <f t="shared" si="15"/>
        <v>Basureras - Punto ecológico -</v>
      </c>
      <c r="C86" s="76"/>
      <c r="D86" s="76"/>
      <c r="E86" s="7">
        <v>1</v>
      </c>
      <c r="F86" s="585">
        <v>0.1</v>
      </c>
      <c r="G86" s="76">
        <f t="shared" si="16"/>
        <v>3109.0166666666669</v>
      </c>
      <c r="H86" s="76">
        <f>G86*19%</f>
        <v>590.71316666666667</v>
      </c>
      <c r="I86" s="189">
        <f>IF(G86="","",'Paso 1 Calculo del Presupuesto'!$C$5)</f>
        <v>5</v>
      </c>
      <c r="J86" s="76">
        <f t="shared" ref="J86:J92" si="23">+IFERROR(E86*F86*G86*I86," ")</f>
        <v>1554.5083333333334</v>
      </c>
      <c r="K86" s="529"/>
      <c r="L86" s="536"/>
      <c r="M86" s="536"/>
      <c r="N86" s="76" t="s">
        <v>758</v>
      </c>
      <c r="O86" s="603" t="s">
        <v>759</v>
      </c>
      <c r="P86" s="76">
        <f t="shared" si="21"/>
        <v>373082</v>
      </c>
      <c r="Q86" s="659">
        <v>1</v>
      </c>
      <c r="R86" s="76">
        <f t="shared" si="17"/>
        <v>373082</v>
      </c>
      <c r="S86" s="702">
        <v>120</v>
      </c>
      <c r="T86" s="76">
        <f t="shared" si="18"/>
        <v>3109.0166666666669</v>
      </c>
      <c r="U86" s="594"/>
      <c r="V86" s="784">
        <v>341400</v>
      </c>
      <c r="W86" s="595"/>
    </row>
    <row r="87" spans="1:29" ht="13" hidden="1">
      <c r="A87" s="529"/>
      <c r="B87" s="76"/>
      <c r="C87" s="76"/>
      <c r="D87" s="76"/>
      <c r="E87" s="7">
        <v>1</v>
      </c>
      <c r="F87" s="585">
        <v>1</v>
      </c>
      <c r="G87" s="76">
        <f t="shared" ref="G87:G92" si="24">+T87</f>
        <v>0</v>
      </c>
      <c r="H87" s="76">
        <f>G87*19%</f>
        <v>0</v>
      </c>
      <c r="I87" s="189">
        <f>IF(G87="","",'Paso 1 Calculo del Presupuesto'!$C$5)</f>
        <v>5</v>
      </c>
      <c r="J87" s="76">
        <f t="shared" si="23"/>
        <v>0</v>
      </c>
      <c r="K87" s="529"/>
      <c r="L87" s="536"/>
      <c r="M87" s="536"/>
      <c r="N87" s="76"/>
      <c r="O87" s="603"/>
      <c r="P87" s="76"/>
      <c r="Q87" s="659"/>
      <c r="R87" s="76"/>
      <c r="S87" s="701"/>
      <c r="T87" s="76"/>
      <c r="U87" s="584"/>
      <c r="W87" s="528" t="s">
        <v>582</v>
      </c>
      <c r="X87" s="528" t="s">
        <v>583</v>
      </c>
      <c r="Y87" s="528">
        <v>571315.20000000007</v>
      </c>
      <c r="Z87" s="528">
        <v>2</v>
      </c>
      <c r="AA87" s="528">
        <v>1142630.4000000001</v>
      </c>
      <c r="AB87" s="528">
        <v>24</v>
      </c>
      <c r="AC87" s="528">
        <v>47609.600000000006</v>
      </c>
    </row>
    <row r="88" spans="1:29" ht="13" hidden="1">
      <c r="A88" s="529"/>
      <c r="B88" s="76">
        <f t="shared" ref="B88:B92" si="25">+N88</f>
        <v>0</v>
      </c>
      <c r="C88" s="76"/>
      <c r="D88" s="76"/>
      <c r="E88" s="7">
        <v>2</v>
      </c>
      <c r="F88" s="585">
        <v>1</v>
      </c>
      <c r="G88" s="76">
        <f t="shared" si="24"/>
        <v>0</v>
      </c>
      <c r="H88" s="76">
        <f>G88*19%</f>
        <v>0</v>
      </c>
      <c r="I88" s="189">
        <f>IF(G88="","",'Paso 1 Calculo del Presupuesto'!$C$5)</f>
        <v>5</v>
      </c>
      <c r="J88" s="76">
        <f t="shared" si="23"/>
        <v>0</v>
      </c>
      <c r="K88" s="529"/>
      <c r="L88" s="536"/>
      <c r="M88" s="536"/>
      <c r="N88" s="76"/>
      <c r="O88" s="620"/>
      <c r="P88" s="76"/>
      <c r="Q88" s="659"/>
      <c r="R88" s="76">
        <f t="shared" ref="R88:R92" si="26">P88*Q88</f>
        <v>0</v>
      </c>
      <c r="S88" s="701"/>
      <c r="T88" s="76">
        <f t="shared" ref="T88:T92" si="27">IFERROR(R88/S88,0)</f>
        <v>0</v>
      </c>
      <c r="U88" s="584"/>
      <c r="W88" s="528" t="s">
        <v>584</v>
      </c>
      <c r="X88" s="528" t="s">
        <v>585</v>
      </c>
      <c r="Y88" s="528">
        <v>124560</v>
      </c>
      <c r="Z88" s="528">
        <v>10</v>
      </c>
      <c r="AA88" s="528">
        <v>1245600</v>
      </c>
      <c r="AB88" s="528">
        <v>24</v>
      </c>
      <c r="AC88" s="528">
        <v>51900</v>
      </c>
    </row>
    <row r="89" spans="1:29" ht="13" hidden="1">
      <c r="A89" s="529"/>
      <c r="B89" s="76">
        <f t="shared" si="25"/>
        <v>0</v>
      </c>
      <c r="C89" s="76"/>
      <c r="D89" s="76"/>
      <c r="E89" s="7">
        <v>10</v>
      </c>
      <c r="F89" s="585">
        <v>1</v>
      </c>
      <c r="G89" s="76">
        <f t="shared" si="24"/>
        <v>0</v>
      </c>
      <c r="H89" s="76">
        <f>G89*19%</f>
        <v>0</v>
      </c>
      <c r="I89" s="189">
        <f>IF(G89="","",'Paso 1 Calculo del Presupuesto'!$C$5)</f>
        <v>5</v>
      </c>
      <c r="J89" s="76">
        <f t="shared" si="23"/>
        <v>0</v>
      </c>
      <c r="K89" s="529"/>
      <c r="L89" s="536"/>
      <c r="M89" s="536"/>
      <c r="N89" s="76"/>
      <c r="O89" s="620"/>
      <c r="P89" s="76"/>
      <c r="Q89" s="659"/>
      <c r="R89" s="76">
        <f t="shared" si="26"/>
        <v>0</v>
      </c>
      <c r="S89" s="701"/>
      <c r="T89" s="76">
        <f t="shared" si="27"/>
        <v>0</v>
      </c>
      <c r="U89" s="584"/>
      <c r="W89" s="528" t="s">
        <v>586</v>
      </c>
      <c r="X89" s="528" t="s">
        <v>587</v>
      </c>
      <c r="Y89" s="528">
        <v>1557000</v>
      </c>
      <c r="Z89" s="528">
        <v>1</v>
      </c>
      <c r="AA89" s="528">
        <v>1557000</v>
      </c>
      <c r="AB89" s="528">
        <v>24</v>
      </c>
      <c r="AC89" s="528">
        <v>64875</v>
      </c>
    </row>
    <row r="90" spans="1:29" ht="13" hidden="1">
      <c r="A90" s="529"/>
      <c r="B90" s="76">
        <f t="shared" si="25"/>
        <v>0</v>
      </c>
      <c r="C90" s="76"/>
      <c r="D90" s="76"/>
      <c r="E90" s="7">
        <v>1</v>
      </c>
      <c r="F90" s="585">
        <v>1</v>
      </c>
      <c r="G90" s="76">
        <f t="shared" si="24"/>
        <v>0</v>
      </c>
      <c r="H90" s="76">
        <f t="shared" si="22"/>
        <v>0</v>
      </c>
      <c r="I90" s="189">
        <f>IF(G90="","",'Paso 1 Calculo del Presupuesto'!$C$5)</f>
        <v>5</v>
      </c>
      <c r="J90" s="76">
        <f t="shared" si="23"/>
        <v>0</v>
      </c>
      <c r="K90" s="529"/>
      <c r="L90" s="536"/>
      <c r="M90" s="536"/>
      <c r="N90" s="76"/>
      <c r="O90" s="620"/>
      <c r="P90" s="76"/>
      <c r="Q90" s="659"/>
      <c r="R90" s="76">
        <f t="shared" si="26"/>
        <v>0</v>
      </c>
      <c r="S90" s="701"/>
      <c r="T90" s="76">
        <f t="shared" si="27"/>
        <v>0</v>
      </c>
      <c r="U90" s="584"/>
      <c r="W90" s="528" t="s">
        <v>588</v>
      </c>
      <c r="X90" s="528" t="s">
        <v>589</v>
      </c>
      <c r="Y90" s="528">
        <v>162792.65400000001</v>
      </c>
      <c r="Z90" s="528">
        <v>10</v>
      </c>
      <c r="AA90" s="528">
        <v>1627926.54</v>
      </c>
      <c r="AB90" s="528">
        <v>24</v>
      </c>
      <c r="AC90" s="528">
        <v>67830.272500000006</v>
      </c>
    </row>
    <row r="91" spans="1:29" ht="13" hidden="1">
      <c r="A91" s="529"/>
      <c r="B91" s="76">
        <f t="shared" si="25"/>
        <v>0</v>
      </c>
      <c r="C91" s="76"/>
      <c r="D91" s="76"/>
      <c r="E91" s="7">
        <v>10</v>
      </c>
      <c r="F91" s="585">
        <v>1</v>
      </c>
      <c r="G91" s="76">
        <f t="shared" si="24"/>
        <v>0</v>
      </c>
      <c r="H91" s="76">
        <f>G91*19%</f>
        <v>0</v>
      </c>
      <c r="I91" s="189">
        <f>IF(G91="","",'Paso 1 Calculo del Presupuesto'!$C$5)</f>
        <v>5</v>
      </c>
      <c r="J91" s="76">
        <f t="shared" si="23"/>
        <v>0</v>
      </c>
      <c r="K91" s="529"/>
      <c r="L91" s="536"/>
      <c r="M91" s="536"/>
      <c r="N91" s="76"/>
      <c r="O91" s="620"/>
      <c r="P91" s="76"/>
      <c r="Q91" s="659"/>
      <c r="R91" s="76">
        <f t="shared" si="26"/>
        <v>0</v>
      </c>
      <c r="S91" s="701"/>
      <c r="T91" s="76">
        <f t="shared" si="27"/>
        <v>0</v>
      </c>
      <c r="U91" s="584"/>
      <c r="W91" s="528" t="s">
        <v>590</v>
      </c>
      <c r="X91" s="528" t="s">
        <v>591</v>
      </c>
      <c r="Y91" s="528">
        <v>247766.448</v>
      </c>
      <c r="Z91" s="528">
        <v>2</v>
      </c>
      <c r="AA91" s="528">
        <v>495532.89600000001</v>
      </c>
      <c r="AB91" s="528">
        <v>24</v>
      </c>
      <c r="AC91" s="528">
        <v>20647.204000000002</v>
      </c>
    </row>
    <row r="92" spans="1:29" ht="13" hidden="1">
      <c r="A92" s="529"/>
      <c r="B92" s="76">
        <f t="shared" si="25"/>
        <v>0</v>
      </c>
      <c r="C92" s="76"/>
      <c r="D92" s="76"/>
      <c r="E92" s="7">
        <v>2</v>
      </c>
      <c r="F92" s="585">
        <v>1</v>
      </c>
      <c r="G92" s="76">
        <f t="shared" si="24"/>
        <v>0</v>
      </c>
      <c r="H92" s="76">
        <f>G92*19%</f>
        <v>0</v>
      </c>
      <c r="I92" s="189">
        <f>IF(G92="","",'Paso 1 Calculo del Presupuesto'!$C$5)</f>
        <v>5</v>
      </c>
      <c r="J92" s="76">
        <f t="shared" si="23"/>
        <v>0</v>
      </c>
      <c r="K92" s="529"/>
      <c r="L92" s="536"/>
      <c r="M92" s="536"/>
      <c r="N92" s="76"/>
      <c r="O92" s="620"/>
      <c r="P92" s="76"/>
      <c r="Q92" s="659"/>
      <c r="R92" s="76">
        <f t="shared" si="26"/>
        <v>0</v>
      </c>
      <c r="S92" s="701"/>
      <c r="T92" s="76">
        <f t="shared" si="27"/>
        <v>0</v>
      </c>
    </row>
    <row r="93" spans="1:29" ht="13" hidden="1">
      <c r="A93" s="529"/>
      <c r="B93" s="76"/>
      <c r="C93" s="76"/>
      <c r="D93" s="76"/>
      <c r="E93" s="7"/>
      <c r="F93" s="585"/>
      <c r="G93" s="76"/>
      <c r="H93" s="76"/>
      <c r="I93" s="572" t="str">
        <f>IF(G93="","",'Paso 1 Calculo del Presupuesto'!$C$5)</f>
        <v/>
      </c>
      <c r="J93" s="76"/>
      <c r="K93" s="529"/>
      <c r="L93" s="536"/>
      <c r="M93" s="536"/>
    </row>
    <row r="94" spans="1:29" ht="13" hidden="1">
      <c r="A94" s="529"/>
      <c r="B94" s="76"/>
      <c r="C94" s="76"/>
      <c r="D94" s="76"/>
      <c r="E94" s="7"/>
      <c r="F94" s="585"/>
      <c r="G94" s="76"/>
      <c r="H94" s="76"/>
      <c r="I94" s="572" t="str">
        <f>IF(G94="","",'Paso 1 Calculo del Presupuesto'!$C$5)</f>
        <v/>
      </c>
      <c r="J94" s="76"/>
      <c r="K94" s="529"/>
      <c r="L94" s="536"/>
      <c r="M94" s="536"/>
    </row>
    <row r="95" spans="1:29" ht="13" hidden="1">
      <c r="A95" s="529"/>
      <c r="B95" s="76"/>
      <c r="C95" s="76"/>
      <c r="D95" s="76"/>
      <c r="E95" s="7"/>
      <c r="F95" s="585"/>
      <c r="G95" s="76"/>
      <c r="H95" s="76"/>
      <c r="I95" s="572" t="str">
        <f>IF(G95="","",'Paso 1 Calculo del Presupuesto'!$C$5)</f>
        <v/>
      </c>
      <c r="J95" s="76"/>
      <c r="K95" s="529"/>
      <c r="L95" s="536"/>
      <c r="M95" s="536"/>
    </row>
    <row r="96" spans="1:29" ht="13" hidden="1">
      <c r="A96" s="529"/>
      <c r="B96" s="76"/>
      <c r="C96" s="76"/>
      <c r="D96" s="76"/>
      <c r="E96" s="7"/>
      <c r="F96" s="585"/>
      <c r="G96" s="76"/>
      <c r="H96" s="76"/>
      <c r="I96" s="572" t="str">
        <f>IF(G96="","",'Paso 1 Calculo del Presupuesto'!$C$5)</f>
        <v/>
      </c>
      <c r="J96" s="76"/>
      <c r="K96" s="529"/>
      <c r="L96" s="536"/>
      <c r="M96" s="536"/>
    </row>
    <row r="97" spans="1:17" ht="13" hidden="1">
      <c r="A97" s="529"/>
      <c r="B97" s="76"/>
      <c r="C97" s="76"/>
      <c r="D97" s="76"/>
      <c r="E97" s="7"/>
      <c r="F97" s="585"/>
      <c r="G97" s="76"/>
      <c r="H97" s="76"/>
      <c r="I97" s="572" t="str">
        <f>IF(G97="","",'Paso 1 Calculo del Presupuesto'!$C$5)</f>
        <v/>
      </c>
      <c r="J97" s="76"/>
      <c r="K97" s="529"/>
      <c r="L97" s="536"/>
      <c r="M97" s="536"/>
    </row>
    <row r="98" spans="1:17" ht="13" hidden="1">
      <c r="A98" s="529"/>
      <c r="B98" s="76"/>
      <c r="C98" s="76"/>
      <c r="D98" s="76"/>
      <c r="E98" s="7"/>
      <c r="F98" s="585"/>
      <c r="G98" s="76"/>
      <c r="H98" s="76"/>
      <c r="I98" s="572" t="str">
        <f>IF(G98="","",'Paso 1 Calculo del Presupuesto'!$C$5)</f>
        <v/>
      </c>
      <c r="J98" s="76"/>
      <c r="K98" s="529"/>
      <c r="L98" s="536"/>
      <c r="M98" s="536"/>
    </row>
    <row r="99" spans="1:17" ht="13" hidden="1">
      <c r="A99" s="529"/>
      <c r="B99" s="76"/>
      <c r="C99" s="76"/>
      <c r="D99" s="76"/>
      <c r="E99" s="7"/>
      <c r="F99" s="585"/>
      <c r="G99" s="76"/>
      <c r="H99" s="76"/>
      <c r="I99" s="572" t="str">
        <f>IF(G99="","",'Paso 1 Calculo del Presupuesto'!$C$5)</f>
        <v/>
      </c>
      <c r="J99" s="76"/>
      <c r="K99" s="529"/>
      <c r="L99" s="536"/>
      <c r="M99" s="536"/>
    </row>
    <row r="100" spans="1:17" ht="13" hidden="1">
      <c r="A100" s="529"/>
      <c r="B100" s="76"/>
      <c r="C100" s="76"/>
      <c r="D100" s="76"/>
      <c r="E100" s="7"/>
      <c r="F100" s="585"/>
      <c r="G100" s="76"/>
      <c r="H100" s="76"/>
      <c r="I100" s="572" t="str">
        <f>IF(G100="","",'Paso 1 Calculo del Presupuesto'!$C$5)</f>
        <v/>
      </c>
      <c r="J100" s="76"/>
      <c r="K100" s="529"/>
      <c r="L100" s="536"/>
      <c r="M100" s="536"/>
    </row>
    <row r="101" spans="1:17" ht="13">
      <c r="A101" s="529"/>
      <c r="B101" s="942" t="s">
        <v>648</v>
      </c>
      <c r="C101" s="942"/>
      <c r="D101" s="942"/>
      <c r="E101" s="942"/>
      <c r="F101" s="942"/>
      <c r="G101" s="942"/>
      <c r="H101" s="942"/>
      <c r="I101" s="943"/>
      <c r="J101" s="76">
        <f>SUM(J74:J100)</f>
        <v>440450.91666666669</v>
      </c>
      <c r="K101" s="529"/>
      <c r="L101" s="536"/>
      <c r="M101" s="536"/>
      <c r="N101" s="536"/>
      <c r="O101" s="536"/>
      <c r="P101" s="536"/>
      <c r="Q101" s="536"/>
    </row>
    <row r="102" spans="1:17" ht="12.75" customHeight="1">
      <c r="A102" s="529"/>
      <c r="K102" s="529"/>
      <c r="L102" s="536"/>
      <c r="M102" s="536"/>
      <c r="N102" s="536"/>
      <c r="O102" s="536"/>
      <c r="P102" s="536"/>
      <c r="Q102" s="536"/>
    </row>
    <row r="103" spans="1:17" ht="13">
      <c r="A103" s="529"/>
      <c r="L103" s="536"/>
      <c r="M103" s="536"/>
      <c r="N103" s="536"/>
      <c r="O103" s="536"/>
      <c r="P103" s="536"/>
      <c r="Q103" s="536"/>
    </row>
    <row r="104" spans="1:17" ht="13">
      <c r="A104" s="529"/>
      <c r="K104" s="529"/>
      <c r="L104" s="536"/>
      <c r="M104" s="536"/>
      <c r="N104" s="536"/>
      <c r="O104" s="536"/>
      <c r="P104" s="536"/>
      <c r="Q104" s="536"/>
    </row>
    <row r="105" spans="1:17" ht="12.75" customHeight="1">
      <c r="A105" s="529"/>
      <c r="K105" s="529"/>
      <c r="L105" s="536"/>
      <c r="M105" s="536"/>
      <c r="N105" s="536"/>
      <c r="O105" s="536"/>
      <c r="P105" s="536"/>
      <c r="Q105" s="536"/>
    </row>
    <row r="106" spans="1:17" ht="12.75" customHeight="1">
      <c r="A106" s="529"/>
      <c r="K106" s="529"/>
      <c r="L106" s="536"/>
      <c r="M106" s="536"/>
      <c r="N106" s="536"/>
      <c r="O106" s="536"/>
      <c r="P106" s="536"/>
      <c r="Q106" s="536"/>
    </row>
    <row r="107" spans="1:17" ht="13">
      <c r="A107" s="529"/>
      <c r="K107" s="529"/>
      <c r="L107" s="536"/>
      <c r="M107" s="536"/>
      <c r="N107" s="536"/>
      <c r="O107" s="536"/>
      <c r="P107" s="536"/>
      <c r="Q107" s="536"/>
    </row>
    <row r="108" spans="1:17" ht="13">
      <c r="A108" s="529"/>
      <c r="K108" s="529"/>
      <c r="L108" s="536"/>
      <c r="M108" s="536"/>
      <c r="N108" s="536"/>
      <c r="O108" s="536"/>
      <c r="P108" s="536"/>
      <c r="Q108" s="536"/>
    </row>
    <row r="109" spans="1:17" ht="13">
      <c r="A109" s="529"/>
      <c r="K109" s="529"/>
      <c r="L109" s="536"/>
      <c r="M109" s="536"/>
      <c r="N109" s="536"/>
      <c r="O109" s="536"/>
      <c r="P109" s="536"/>
      <c r="Q109" s="536"/>
    </row>
    <row r="110" spans="1:17" ht="14.5">
      <c r="A110" s="529"/>
      <c r="I110" s="19"/>
      <c r="J110" s="19"/>
      <c r="K110" s="529"/>
      <c r="L110" s="536"/>
      <c r="M110" s="536"/>
      <c r="N110" s="536"/>
      <c r="O110" s="536"/>
      <c r="P110" s="536"/>
      <c r="Q110" s="536"/>
    </row>
    <row r="111" spans="1:17" ht="14.5">
      <c r="A111" s="529"/>
      <c r="I111" s="581"/>
      <c r="J111" s="581"/>
      <c r="K111" s="529"/>
      <c r="L111" s="536"/>
      <c r="M111" s="536"/>
      <c r="N111" s="536"/>
      <c r="O111" s="536"/>
      <c r="P111" s="536"/>
      <c r="Q111" s="536"/>
    </row>
    <row r="112" spans="1:17" ht="15" customHeight="1">
      <c r="A112" s="529"/>
      <c r="I112" s="581"/>
      <c r="J112" s="581"/>
      <c r="K112" s="529"/>
      <c r="L112" s="536"/>
      <c r="M112" s="536"/>
      <c r="N112" s="536"/>
      <c r="O112" s="536"/>
      <c r="P112" s="536"/>
      <c r="Q112" s="536"/>
    </row>
    <row r="113" spans="1:17" ht="14.5">
      <c r="A113" s="529"/>
      <c r="I113" s="581"/>
      <c r="J113" s="581"/>
      <c r="K113" s="529"/>
      <c r="L113" s="536"/>
      <c r="M113" s="536"/>
      <c r="N113" s="536"/>
      <c r="O113" s="536"/>
      <c r="P113" s="536"/>
      <c r="Q113" s="536"/>
    </row>
    <row r="114" spans="1:17" ht="14.5">
      <c r="A114" s="529"/>
      <c r="I114" s="581"/>
      <c r="J114" s="581"/>
      <c r="K114" s="529"/>
      <c r="L114" s="536"/>
      <c r="M114" s="536"/>
      <c r="N114" s="536"/>
      <c r="O114" s="536"/>
      <c r="P114" s="536"/>
      <c r="Q114" s="536"/>
    </row>
    <row r="115" spans="1:17" ht="14.5">
      <c r="A115" s="529"/>
      <c r="I115" s="581"/>
      <c r="J115" s="581"/>
      <c r="K115" s="529"/>
      <c r="L115" s="536"/>
      <c r="M115" s="536"/>
      <c r="N115" s="536"/>
      <c r="O115" s="536"/>
      <c r="P115" s="536"/>
      <c r="Q115" s="536"/>
    </row>
    <row r="116" spans="1:17" ht="14.5">
      <c r="A116" s="529"/>
      <c r="I116" s="581"/>
      <c r="J116" s="581"/>
      <c r="K116" s="529"/>
      <c r="L116" s="536"/>
      <c r="M116" s="536"/>
      <c r="N116" s="536"/>
      <c r="O116" s="536"/>
      <c r="P116" s="536"/>
      <c r="Q116" s="536"/>
    </row>
    <row r="117" spans="1:17" ht="14.5">
      <c r="A117" s="529"/>
      <c r="I117" s="581"/>
      <c r="J117" s="581"/>
      <c r="K117" s="529"/>
      <c r="L117" s="536"/>
      <c r="M117" s="536"/>
      <c r="N117" s="536"/>
      <c r="O117" s="536"/>
      <c r="P117" s="536"/>
      <c r="Q117" s="536"/>
    </row>
    <row r="118" spans="1:17" ht="14.5">
      <c r="A118" s="529"/>
      <c r="I118" s="581"/>
      <c r="J118" s="581"/>
      <c r="K118" s="529"/>
      <c r="L118" s="536"/>
      <c r="M118" s="536"/>
      <c r="N118" s="536"/>
      <c r="O118" s="536"/>
      <c r="P118" s="536"/>
      <c r="Q118" s="536"/>
    </row>
    <row r="119" spans="1:17" ht="14.5">
      <c r="A119" s="529"/>
      <c r="I119" s="581"/>
      <c r="J119" s="581"/>
      <c r="K119" s="529"/>
      <c r="L119" s="536"/>
      <c r="M119" s="536"/>
      <c r="N119" s="536"/>
      <c r="O119" s="536"/>
      <c r="P119" s="536"/>
      <c r="Q119" s="536"/>
    </row>
    <row r="120" spans="1:17" ht="14.5">
      <c r="A120" s="529"/>
      <c r="I120" s="581"/>
      <c r="J120" s="581"/>
      <c r="K120" s="529"/>
      <c r="L120" s="536"/>
      <c r="M120" s="536"/>
      <c r="N120" s="536"/>
      <c r="O120" s="536"/>
      <c r="P120" s="536"/>
      <c r="Q120" s="536"/>
    </row>
    <row r="121" spans="1:17" ht="14.5">
      <c r="A121" s="529"/>
      <c r="I121" s="581"/>
      <c r="J121" s="581"/>
      <c r="K121" s="529"/>
      <c r="L121" s="536"/>
      <c r="M121" s="536"/>
      <c r="N121" s="536"/>
      <c r="O121" s="536"/>
      <c r="P121" s="536"/>
      <c r="Q121" s="536"/>
    </row>
    <row r="122" spans="1:17" ht="14.5">
      <c r="A122" s="529"/>
      <c r="I122" s="581"/>
      <c r="J122" s="581"/>
      <c r="K122" s="529"/>
      <c r="L122" s="536"/>
      <c r="M122" s="536"/>
      <c r="N122" s="536"/>
      <c r="O122" s="536"/>
      <c r="P122" s="536"/>
      <c r="Q122" s="536"/>
    </row>
    <row r="123" spans="1:17" ht="13">
      <c r="A123" s="529"/>
      <c r="I123" s="529"/>
      <c r="J123" s="529"/>
      <c r="K123" s="529"/>
      <c r="L123" s="536"/>
      <c r="M123" s="536"/>
      <c r="N123" s="536"/>
      <c r="O123" s="536"/>
      <c r="P123" s="536"/>
      <c r="Q123" s="536"/>
    </row>
    <row r="124" spans="1:17" ht="13">
      <c r="A124" s="529"/>
      <c r="I124" s="529"/>
      <c r="J124" s="529"/>
      <c r="K124" s="529"/>
      <c r="L124" s="536"/>
      <c r="M124" s="536"/>
      <c r="N124" s="536"/>
      <c r="O124" s="536"/>
      <c r="P124" s="536"/>
      <c r="Q124" s="536"/>
    </row>
    <row r="125" spans="1:17" ht="13">
      <c r="A125" s="529"/>
      <c r="I125" s="529"/>
      <c r="J125" s="529"/>
      <c r="K125" s="529"/>
      <c r="L125" s="536"/>
      <c r="M125" s="536"/>
      <c r="N125" s="536"/>
      <c r="O125" s="536"/>
      <c r="P125" s="536"/>
      <c r="Q125" s="536"/>
    </row>
    <row r="126" spans="1:17" ht="13">
      <c r="A126" s="529"/>
      <c r="I126" s="529"/>
      <c r="J126" s="529"/>
      <c r="K126" s="529"/>
      <c r="L126" s="536"/>
      <c r="M126" s="536"/>
      <c r="N126" s="536"/>
      <c r="O126" s="536"/>
      <c r="P126" s="536"/>
      <c r="Q126" s="536"/>
    </row>
    <row r="127" spans="1:17" ht="26.25" customHeight="1">
      <c r="A127" s="529"/>
      <c r="I127" s="529"/>
      <c r="J127" s="529"/>
      <c r="K127" s="529"/>
      <c r="L127" s="536"/>
      <c r="M127" s="536"/>
      <c r="N127" s="536"/>
      <c r="O127" s="536"/>
      <c r="P127" s="536"/>
      <c r="Q127" s="536"/>
    </row>
    <row r="128" spans="1:17" ht="30" customHeight="1">
      <c r="A128" s="529"/>
      <c r="I128" s="529"/>
      <c r="J128" s="529"/>
      <c r="K128" s="529"/>
      <c r="L128" s="536"/>
      <c r="M128" s="536"/>
      <c r="N128" s="536"/>
      <c r="O128" s="536"/>
      <c r="P128" s="536"/>
      <c r="Q128" s="536"/>
    </row>
    <row r="129" spans="1:17" ht="13">
      <c r="A129" s="529"/>
      <c r="I129" s="529"/>
      <c r="J129" s="529"/>
      <c r="K129" s="529"/>
      <c r="L129" s="536"/>
      <c r="M129" s="536"/>
      <c r="N129" s="536"/>
      <c r="O129" s="536"/>
      <c r="P129" s="536"/>
      <c r="Q129" s="536"/>
    </row>
    <row r="130" spans="1:17" ht="13">
      <c r="A130" s="529"/>
      <c r="I130" s="529"/>
      <c r="J130" s="529"/>
      <c r="K130" s="529"/>
      <c r="L130" s="536"/>
      <c r="M130" s="536"/>
      <c r="N130" s="536"/>
      <c r="O130" s="536"/>
      <c r="P130" s="536"/>
      <c r="Q130" s="536"/>
    </row>
    <row r="131" spans="1:17" ht="13">
      <c r="A131" s="529"/>
      <c r="I131" s="529"/>
      <c r="J131" s="529"/>
      <c r="K131" s="529"/>
      <c r="L131" s="536"/>
      <c r="M131" s="536"/>
      <c r="N131" s="536"/>
      <c r="O131" s="536"/>
      <c r="P131" s="536"/>
      <c r="Q131" s="536"/>
    </row>
    <row r="132" spans="1:17" ht="13">
      <c r="A132" s="529"/>
      <c r="I132" s="529"/>
      <c r="J132" s="529"/>
      <c r="K132" s="529"/>
      <c r="L132" s="536"/>
      <c r="M132" s="536"/>
      <c r="N132" s="536"/>
      <c r="O132" s="536"/>
      <c r="P132" s="536"/>
      <c r="Q132" s="536"/>
    </row>
    <row r="133" spans="1:17" ht="13">
      <c r="A133" s="529"/>
      <c r="I133" s="529"/>
      <c r="J133" s="529"/>
      <c r="K133" s="529"/>
      <c r="L133" s="536"/>
      <c r="M133" s="536"/>
      <c r="N133" s="536"/>
      <c r="O133" s="536"/>
      <c r="P133" s="536"/>
      <c r="Q133" s="536"/>
    </row>
    <row r="134" spans="1:17" ht="13">
      <c r="A134" s="529"/>
      <c r="I134" s="529"/>
      <c r="J134" s="529"/>
      <c r="K134" s="529"/>
      <c r="L134" s="536"/>
      <c r="M134" s="536"/>
      <c r="N134" s="536"/>
      <c r="O134" s="536"/>
      <c r="P134" s="536"/>
      <c r="Q134" s="536"/>
    </row>
    <row r="135" spans="1:17" ht="13">
      <c r="A135" s="529"/>
      <c r="I135" s="529"/>
      <c r="J135" s="529"/>
      <c r="K135" s="529"/>
      <c r="L135" s="536"/>
      <c r="M135" s="536"/>
      <c r="N135" s="536"/>
      <c r="O135" s="536"/>
      <c r="P135" s="536"/>
      <c r="Q135" s="536"/>
    </row>
    <row r="136" spans="1:17" ht="13">
      <c r="A136" s="529"/>
      <c r="I136" s="529"/>
      <c r="J136" s="529"/>
      <c r="K136" s="529"/>
      <c r="L136" s="536"/>
      <c r="M136" s="536"/>
      <c r="N136" s="536"/>
      <c r="O136" s="536"/>
      <c r="P136" s="536"/>
      <c r="Q136" s="536"/>
    </row>
    <row r="137" spans="1:17" ht="13">
      <c r="A137" s="529"/>
      <c r="I137" s="529"/>
      <c r="J137" s="529"/>
      <c r="K137" s="529"/>
      <c r="L137" s="536"/>
      <c r="M137" s="536"/>
      <c r="N137" s="536"/>
      <c r="O137" s="536"/>
      <c r="P137" s="536"/>
      <c r="Q137" s="536"/>
    </row>
    <row r="138" spans="1:17" ht="13">
      <c r="A138" s="529"/>
      <c r="I138" s="529"/>
      <c r="J138" s="529"/>
      <c r="K138" s="529"/>
      <c r="L138" s="536"/>
      <c r="M138" s="536"/>
      <c r="N138" s="536"/>
      <c r="O138" s="536"/>
      <c r="P138" s="536"/>
      <c r="Q138" s="536"/>
    </row>
    <row r="139" spans="1:17" ht="13">
      <c r="A139" s="529"/>
      <c r="I139" s="529"/>
      <c r="J139" s="529"/>
      <c r="K139" s="529"/>
      <c r="L139" s="536"/>
      <c r="M139" s="536"/>
      <c r="N139" s="536"/>
      <c r="O139" s="536"/>
      <c r="P139" s="536"/>
      <c r="Q139" s="536"/>
    </row>
    <row r="140" spans="1:17" ht="13">
      <c r="A140" s="529"/>
      <c r="I140" s="529"/>
      <c r="J140" s="529"/>
      <c r="K140" s="529"/>
      <c r="L140" s="536"/>
      <c r="M140" s="536"/>
      <c r="N140" s="536"/>
      <c r="O140" s="536"/>
      <c r="P140" s="536"/>
      <c r="Q140" s="536"/>
    </row>
    <row r="141" spans="1:17" ht="13">
      <c r="A141" s="529"/>
      <c r="I141" s="529"/>
      <c r="J141" s="529"/>
      <c r="K141" s="529"/>
      <c r="L141" s="536"/>
      <c r="M141" s="536"/>
      <c r="N141" s="536"/>
      <c r="O141" s="536"/>
      <c r="P141" s="536"/>
      <c r="Q141" s="536"/>
    </row>
    <row r="142" spans="1:17" ht="12.75" customHeight="1">
      <c r="A142" s="529"/>
      <c r="I142" s="529"/>
      <c r="J142" s="529"/>
      <c r="K142" s="529"/>
      <c r="L142" s="536"/>
      <c r="M142" s="536"/>
      <c r="N142" s="536"/>
      <c r="O142" s="536"/>
      <c r="P142" s="536"/>
      <c r="Q142" s="536"/>
    </row>
    <row r="143" spans="1:17" ht="21" customHeight="1">
      <c r="A143" s="529"/>
      <c r="I143" s="529"/>
      <c r="J143" s="529"/>
      <c r="K143" s="529"/>
      <c r="L143" s="536"/>
      <c r="M143" s="536"/>
      <c r="N143" s="536"/>
      <c r="O143" s="536"/>
      <c r="P143" s="536"/>
      <c r="Q143" s="536"/>
    </row>
    <row r="144" spans="1:17" ht="13">
      <c r="A144" s="529"/>
      <c r="I144" s="529"/>
      <c r="J144" s="529"/>
      <c r="K144" s="529"/>
      <c r="L144" s="536"/>
      <c r="M144" s="536"/>
      <c r="N144" s="536"/>
      <c r="O144" s="536"/>
      <c r="P144" s="536"/>
      <c r="Q144" s="536"/>
    </row>
    <row r="145" spans="1:17" ht="13">
      <c r="A145" s="529"/>
      <c r="I145" s="529"/>
      <c r="J145" s="529"/>
      <c r="K145" s="529"/>
      <c r="L145" s="536"/>
      <c r="M145" s="536"/>
      <c r="N145" s="536"/>
      <c r="O145" s="536"/>
      <c r="P145" s="536"/>
      <c r="Q145" s="536"/>
    </row>
    <row r="146" spans="1:17" ht="13">
      <c r="A146" s="529"/>
      <c r="I146" s="529"/>
      <c r="J146" s="529"/>
      <c r="K146" s="529"/>
      <c r="L146" s="536"/>
      <c r="M146" s="536"/>
      <c r="N146" s="536"/>
      <c r="O146" s="536"/>
      <c r="P146" s="536"/>
      <c r="Q146" s="536"/>
    </row>
    <row r="147" spans="1:17" ht="13">
      <c r="A147" s="529"/>
      <c r="I147" s="529"/>
      <c r="J147" s="529"/>
      <c r="K147" s="529"/>
      <c r="L147" s="536"/>
      <c r="M147" s="536"/>
      <c r="N147" s="536"/>
      <c r="O147" s="536"/>
      <c r="P147" s="536"/>
      <c r="Q147" s="536"/>
    </row>
    <row r="148" spans="1:17" ht="13">
      <c r="A148" s="529"/>
      <c r="I148" s="529"/>
      <c r="J148" s="529"/>
      <c r="K148" s="529"/>
      <c r="L148" s="536"/>
      <c r="M148" s="536"/>
      <c r="N148" s="536"/>
      <c r="O148" s="536"/>
      <c r="P148" s="536"/>
      <c r="Q148" s="536"/>
    </row>
    <row r="149" spans="1:17" ht="13">
      <c r="A149" s="529"/>
      <c r="I149" s="529"/>
      <c r="J149" s="529"/>
      <c r="K149" s="529"/>
      <c r="L149" s="536"/>
      <c r="M149" s="536"/>
      <c r="N149" s="536"/>
      <c r="O149" s="536"/>
      <c r="P149" s="536"/>
      <c r="Q149" s="536"/>
    </row>
    <row r="150" spans="1:17" ht="13">
      <c r="A150" s="529"/>
      <c r="I150" s="529"/>
      <c r="J150" s="529"/>
      <c r="K150" s="529"/>
      <c r="L150" s="536"/>
      <c r="M150" s="536"/>
      <c r="N150" s="536"/>
      <c r="O150" s="536"/>
      <c r="P150" s="536"/>
      <c r="Q150" s="536"/>
    </row>
    <row r="151" spans="1:17" ht="13">
      <c r="A151" s="529"/>
      <c r="I151" s="529"/>
      <c r="J151" s="529"/>
      <c r="K151" s="529"/>
      <c r="L151" s="536"/>
      <c r="M151" s="536"/>
      <c r="N151" s="536"/>
      <c r="O151" s="536"/>
      <c r="P151" s="536"/>
      <c r="Q151" s="536"/>
    </row>
    <row r="152" spans="1:17" ht="13">
      <c r="A152" s="529"/>
      <c r="I152" s="529"/>
      <c r="J152" s="529"/>
      <c r="K152" s="529"/>
      <c r="L152" s="536"/>
      <c r="M152" s="536"/>
      <c r="N152" s="536"/>
      <c r="O152" s="536"/>
      <c r="P152" s="536"/>
      <c r="Q152" s="536"/>
    </row>
    <row r="153" spans="1:17" ht="13">
      <c r="A153" s="529"/>
      <c r="I153" s="529"/>
      <c r="J153" s="529"/>
      <c r="K153" s="529"/>
      <c r="L153" s="536"/>
      <c r="M153" s="536"/>
      <c r="N153" s="536"/>
      <c r="O153" s="536"/>
      <c r="P153" s="536"/>
      <c r="Q153" s="536"/>
    </row>
    <row r="154" spans="1:17" ht="13">
      <c r="A154" s="529"/>
      <c r="B154" s="529"/>
      <c r="C154" s="529"/>
      <c r="D154" s="529"/>
      <c r="E154" s="529"/>
      <c r="F154" s="529"/>
      <c r="G154" s="529"/>
      <c r="H154" s="529"/>
      <c r="I154" s="529"/>
      <c r="J154" s="529"/>
      <c r="K154" s="529"/>
      <c r="L154" s="536"/>
      <c r="M154" s="536"/>
      <c r="N154" s="536"/>
      <c r="O154" s="536"/>
      <c r="P154" s="536"/>
      <c r="Q154" s="536"/>
    </row>
    <row r="155" spans="1:17" ht="13">
      <c r="A155" s="529"/>
      <c r="B155" s="529"/>
      <c r="C155" s="529"/>
      <c r="D155" s="529"/>
      <c r="E155" s="529"/>
      <c r="F155" s="529"/>
      <c r="G155" s="529"/>
      <c r="H155" s="529"/>
      <c r="I155" s="529"/>
      <c r="J155" s="529"/>
      <c r="K155" s="529"/>
      <c r="L155" s="536"/>
      <c r="M155" s="536"/>
      <c r="N155" s="536"/>
      <c r="O155" s="536"/>
      <c r="P155" s="536"/>
      <c r="Q155" s="536"/>
    </row>
    <row r="156" spans="1:17" ht="13">
      <c r="A156" s="529"/>
      <c r="B156" s="529"/>
      <c r="C156" s="529"/>
      <c r="D156" s="529"/>
      <c r="E156" s="529"/>
      <c r="F156" s="529"/>
      <c r="G156" s="529"/>
      <c r="H156" s="529"/>
      <c r="I156" s="529"/>
      <c r="J156" s="529"/>
      <c r="K156" s="529"/>
      <c r="L156" s="536"/>
      <c r="M156" s="536"/>
      <c r="N156" s="536"/>
      <c r="O156" s="536"/>
      <c r="P156" s="536"/>
      <c r="Q156" s="536"/>
    </row>
    <row r="157" spans="1:17" ht="13">
      <c r="A157" s="529"/>
      <c r="B157" s="529"/>
      <c r="C157" s="529"/>
      <c r="D157" s="529"/>
      <c r="E157" s="529"/>
      <c r="F157" s="529"/>
      <c r="G157" s="529"/>
      <c r="H157" s="529"/>
      <c r="I157" s="529"/>
      <c r="J157" s="529"/>
      <c r="K157" s="529"/>
      <c r="L157" s="536"/>
      <c r="M157" s="536"/>
      <c r="N157" s="536"/>
      <c r="O157" s="536"/>
      <c r="P157" s="536"/>
      <c r="Q157" s="536"/>
    </row>
    <row r="158" spans="1:17" ht="13">
      <c r="A158" s="529"/>
      <c r="B158" s="529"/>
      <c r="C158" s="529"/>
      <c r="D158" s="529"/>
      <c r="E158" s="529"/>
      <c r="F158" s="529"/>
      <c r="G158" s="529"/>
      <c r="H158" s="529"/>
      <c r="I158" s="529"/>
      <c r="J158" s="529"/>
      <c r="K158" s="529"/>
      <c r="L158" s="536"/>
      <c r="M158" s="536"/>
      <c r="N158" s="536"/>
      <c r="O158" s="536"/>
      <c r="P158" s="536"/>
      <c r="Q158" s="536"/>
    </row>
    <row r="159" spans="1:17" ht="13">
      <c r="A159" s="529"/>
      <c r="B159" s="529"/>
      <c r="C159" s="529"/>
      <c r="D159" s="529"/>
      <c r="E159" s="529"/>
      <c r="F159" s="529"/>
      <c r="G159" s="529"/>
      <c r="H159" s="529"/>
      <c r="I159" s="529"/>
      <c r="J159" s="529"/>
      <c r="K159" s="529"/>
      <c r="L159" s="536"/>
      <c r="M159" s="536"/>
      <c r="N159" s="536"/>
      <c r="O159" s="536"/>
      <c r="P159" s="536"/>
      <c r="Q159" s="536"/>
    </row>
    <row r="160" spans="1:17" ht="13">
      <c r="A160" s="529"/>
      <c r="B160" s="529"/>
      <c r="C160" s="529"/>
      <c r="D160" s="529"/>
      <c r="E160" s="529"/>
      <c r="F160" s="529"/>
      <c r="G160" s="529"/>
      <c r="H160" s="529"/>
      <c r="I160" s="529"/>
      <c r="J160" s="529"/>
      <c r="K160" s="529"/>
      <c r="L160" s="536"/>
      <c r="M160" s="536"/>
      <c r="N160" s="536"/>
      <c r="O160" s="536"/>
      <c r="P160" s="536"/>
      <c r="Q160" s="536"/>
    </row>
    <row r="161" spans="1:17" ht="13">
      <c r="A161" s="529"/>
      <c r="B161" s="529"/>
      <c r="C161" s="529"/>
      <c r="D161" s="529"/>
      <c r="E161" s="529"/>
      <c r="F161" s="529"/>
      <c r="G161" s="529"/>
      <c r="H161" s="529"/>
      <c r="I161" s="529"/>
      <c r="J161" s="529"/>
      <c r="K161" s="529"/>
      <c r="L161" s="536"/>
      <c r="M161" s="536"/>
      <c r="N161" s="536"/>
      <c r="O161" s="536"/>
      <c r="P161" s="536"/>
      <c r="Q161" s="536"/>
    </row>
    <row r="162" spans="1:17" ht="13">
      <c r="A162" s="529"/>
      <c r="B162" s="529"/>
      <c r="C162" s="529"/>
      <c r="D162" s="529"/>
      <c r="E162" s="529"/>
      <c r="F162" s="529"/>
      <c r="G162" s="529"/>
      <c r="H162" s="529"/>
      <c r="I162" s="529"/>
      <c r="J162" s="529"/>
      <c r="K162" s="529"/>
      <c r="L162" s="536"/>
      <c r="M162" s="536"/>
      <c r="N162" s="536"/>
      <c r="O162" s="536"/>
      <c r="P162" s="536"/>
      <c r="Q162" s="536"/>
    </row>
    <row r="163" spans="1:17" ht="13">
      <c r="A163" s="529"/>
      <c r="C163" s="536"/>
      <c r="D163" s="536"/>
      <c r="E163" s="536"/>
      <c r="F163" s="536"/>
      <c r="G163" s="536"/>
      <c r="H163" s="536"/>
      <c r="I163" s="536"/>
      <c r="J163" s="536"/>
      <c r="K163" s="536"/>
      <c r="L163" s="536"/>
      <c r="M163" s="536"/>
      <c r="N163" s="536"/>
      <c r="O163" s="536"/>
      <c r="P163" s="536"/>
      <c r="Q163" s="536"/>
    </row>
    <row r="170" spans="1:17" ht="12.75" customHeight="1">
      <c r="B170" s="119" t="s">
        <v>817</v>
      </c>
      <c r="C170" s="746">
        <f>+L3</f>
        <v>1300000</v>
      </c>
      <c r="D170" s="114">
        <f>+C170*10</f>
        <v>13000000</v>
      </c>
    </row>
    <row r="171" spans="1:17" ht="12.75" customHeight="1">
      <c r="B171" s="119"/>
      <c r="C171" s="746"/>
      <c r="D171" s="114"/>
    </row>
    <row r="172" spans="1:17" ht="14.5">
      <c r="B172" s="16" t="s">
        <v>54</v>
      </c>
      <c r="C172" s="100">
        <f>+L4</f>
        <v>162000</v>
      </c>
      <c r="D172"/>
    </row>
    <row r="175" spans="1:17" ht="14.5">
      <c r="B175" t="s">
        <v>58</v>
      </c>
      <c r="C175" t="s">
        <v>59</v>
      </c>
      <c r="D175" t="s">
        <v>60</v>
      </c>
    </row>
    <row r="176" spans="1:17" ht="14.5">
      <c r="B176" s="19">
        <v>0</v>
      </c>
      <c r="C176" s="114">
        <f>C170*2</f>
        <v>2600000</v>
      </c>
      <c r="D176" s="115">
        <f>'Paso 1 Calculo del Presupuesto'!$AB$149</f>
        <v>72514</v>
      </c>
    </row>
    <row r="177" spans="2:4" ht="14.5">
      <c r="B177" s="19"/>
      <c r="C177" s="114">
        <f>'Paso 1 Calculo del Presupuesto'!X154*2</f>
        <v>0</v>
      </c>
      <c r="D177" s="128">
        <v>0</v>
      </c>
    </row>
    <row r="179" spans="2:4" ht="13" thickBot="1"/>
    <row r="180" spans="2:4" ht="13.5" customHeight="1" thickBot="1">
      <c r="B180" s="735" t="s">
        <v>75</v>
      </c>
      <c r="C180" s="736"/>
      <c r="D180" s="737"/>
    </row>
    <row r="181" spans="2:4" ht="15" thickBot="1">
      <c r="B181" s="743" t="s">
        <v>77</v>
      </c>
      <c r="C181" s="747"/>
      <c r="D181" s="150">
        <v>15000000</v>
      </c>
    </row>
    <row r="182" spans="2:4" ht="13.5" thickBot="1">
      <c r="B182" s="733" t="s">
        <v>78</v>
      </c>
      <c r="C182" s="734"/>
      <c r="D182" s="159" t="s">
        <v>79</v>
      </c>
    </row>
    <row r="183" spans="2:4" ht="13.5" thickBot="1">
      <c r="B183" s="166" t="s">
        <v>52</v>
      </c>
      <c r="C183" s="167"/>
      <c r="D183" s="18">
        <v>1</v>
      </c>
    </row>
    <row r="184" spans="2:4" ht="13.5" thickBot="1">
      <c r="B184" s="166" t="s">
        <v>81</v>
      </c>
      <c r="C184" s="167"/>
      <c r="D184" s="174">
        <v>8.3330000000000001E-2</v>
      </c>
    </row>
    <row r="185" spans="2:4" ht="13.5" thickBot="1">
      <c r="B185" s="166" t="s">
        <v>82</v>
      </c>
      <c r="C185" s="167"/>
      <c r="D185" s="174">
        <v>8.3330000000000001E-2</v>
      </c>
    </row>
    <row r="186" spans="2:4" ht="13.5" thickBot="1">
      <c r="B186" s="166" t="s">
        <v>83</v>
      </c>
      <c r="C186" s="167"/>
      <c r="D186" s="18">
        <v>0.01</v>
      </c>
    </row>
    <row r="187" spans="2:4" ht="13.5" thickBot="1">
      <c r="B187" s="166" t="s">
        <v>85</v>
      </c>
      <c r="C187" s="167"/>
      <c r="D187" s="174">
        <v>4.1669999999999999E-2</v>
      </c>
    </row>
    <row r="188" spans="2:4" ht="13.5" thickBot="1">
      <c r="B188" s="177" t="s">
        <v>87</v>
      </c>
      <c r="C188" s="178"/>
      <c r="D188" s="179">
        <f>+IF(D181&lt;10*C170,0%,8.5%)</f>
        <v>8.5000000000000006E-2</v>
      </c>
    </row>
    <row r="189" spans="2:4" ht="13.5" thickBot="1">
      <c r="B189" s="166" t="s">
        <v>89</v>
      </c>
      <c r="C189" s="167"/>
      <c r="D189" s="18">
        <v>0.12</v>
      </c>
    </row>
    <row r="190" spans="2:4" ht="13.5" thickBot="1">
      <c r="B190" s="166" t="s">
        <v>90</v>
      </c>
      <c r="C190" s="167"/>
      <c r="D190" s="18">
        <v>0.04</v>
      </c>
    </row>
    <row r="191" spans="2:4" ht="13.5" thickBot="1">
      <c r="B191" s="177" t="s">
        <v>91</v>
      </c>
      <c r="C191" s="178"/>
      <c r="D191" s="179">
        <f>+IF(D181&lt;10*C170,0%,2%)</f>
        <v>0.02</v>
      </c>
    </row>
    <row r="192" spans="2:4" ht="13.5" thickBot="1">
      <c r="B192" s="177" t="s">
        <v>92</v>
      </c>
      <c r="C192" s="178"/>
      <c r="D192" s="179">
        <f>+IF(D181&lt;10*C170,0%,3%)</f>
        <v>0.03</v>
      </c>
    </row>
    <row r="193" spans="2:4" ht="13.5" thickBot="1">
      <c r="B193" s="166" t="s">
        <v>93</v>
      </c>
      <c r="C193" s="180"/>
      <c r="D193" s="18"/>
    </row>
    <row r="194" spans="2:4" ht="13.5" thickBot="1">
      <c r="B194" s="738" t="s">
        <v>60</v>
      </c>
      <c r="C194" s="739"/>
      <c r="D194" s="181"/>
    </row>
    <row r="195" spans="2:4" ht="13.5" thickBot="1">
      <c r="B195" s="740" t="s">
        <v>54</v>
      </c>
      <c r="C195" s="741"/>
      <c r="D195" s="182"/>
    </row>
    <row r="196" spans="2:4" ht="13.5" thickBot="1">
      <c r="B196" s="183" t="s">
        <v>94</v>
      </c>
      <c r="C196" s="184"/>
      <c r="D196" s="185">
        <f>SUM(D183:D195)</f>
        <v>1.5133300000000001</v>
      </c>
    </row>
    <row r="197" spans="2:4" ht="13.5" thickBot="1">
      <c r="B197" s="744" t="s">
        <v>95</v>
      </c>
      <c r="C197" s="745"/>
      <c r="D197" s="186">
        <f>+ROUND(D196,2)</f>
        <v>1.51</v>
      </c>
    </row>
    <row r="198" spans="2:4" ht="14.5">
      <c r="B198" s="187"/>
      <c r="C198" s="187"/>
      <c r="D198" s="188"/>
    </row>
    <row r="199" spans="2:4" ht="12.75" customHeight="1">
      <c r="B199" s="742" t="s">
        <v>97</v>
      </c>
      <c r="C199" s="742"/>
      <c r="D199" s="742"/>
    </row>
    <row r="1048545" spans="3:23" ht="13" thickBot="1">
      <c r="C1048545" s="528" t="s">
        <v>6</v>
      </c>
      <c r="D1048545" s="528" t="s">
        <v>7</v>
      </c>
      <c r="E1048545" s="528" t="s">
        <v>102</v>
      </c>
      <c r="F1048545" s="528" t="s">
        <v>8</v>
      </c>
      <c r="S1048545" s="528" t="s">
        <v>6</v>
      </c>
      <c r="T1048545" s="528" t="s">
        <v>7</v>
      </c>
      <c r="U1048545" s="528" t="s">
        <v>102</v>
      </c>
      <c r="V1048545" s="528" t="s">
        <v>8</v>
      </c>
    </row>
    <row r="1048546" spans="3:23">
      <c r="C1048546" s="586" t="s">
        <v>76</v>
      </c>
      <c r="D1048546" s="587">
        <v>1</v>
      </c>
      <c r="E1048546" s="587">
        <v>1</v>
      </c>
      <c r="F1048546" s="588">
        <v>7000000</v>
      </c>
      <c r="G1048546" s="528" t="str">
        <f>+IFERROR(LOOKUP(F1048546,$I$1048550:$J$1048552,$K$1048550:$K$1048552),"")</f>
        <v xml:space="preserve">&gt; 2 SMMLV &lt; 10 SMMLV </v>
      </c>
      <c r="S1048546" s="598" t="s">
        <v>76</v>
      </c>
      <c r="T1048546" s="587">
        <v>1</v>
      </c>
      <c r="U1048546" s="587">
        <v>1</v>
      </c>
      <c r="V1048546" s="587">
        <v>7000000</v>
      </c>
      <c r="W1048546" s="588" t="s">
        <v>640</v>
      </c>
    </row>
    <row r="1048547" spans="3:23" ht="14.5">
      <c r="C1048547" s="589" t="s">
        <v>76</v>
      </c>
      <c r="D1048547" s="528">
        <v>1</v>
      </c>
      <c r="E1048547" s="528">
        <v>1</v>
      </c>
      <c r="F1048547" s="597">
        <v>5500000</v>
      </c>
      <c r="G1048547" s="528" t="str">
        <f t="shared" ref="G1048547:G1048570" si="28">+IFERROR(LOOKUP(F1048547,$I$1048550:$J$1048552,$K$1048550:$K$1048552),"")</f>
        <v xml:space="preserve">&gt; 2 SMMLV &lt; 10 SMMLV </v>
      </c>
      <c r="S1048547"/>
      <c r="T1048547"/>
      <c r="U1048547"/>
      <c r="V1048547"/>
      <c r="W1048547" t="s">
        <v>642</v>
      </c>
    </row>
    <row r="1048548" spans="3:23" ht="14.5">
      <c r="C1048548" s="589" t="s">
        <v>76</v>
      </c>
      <c r="D1048548" s="528">
        <v>1</v>
      </c>
      <c r="E1048548" s="528">
        <v>1</v>
      </c>
      <c r="F1048548" s="597">
        <v>5500000</v>
      </c>
      <c r="G1048548" s="528" t="str">
        <f t="shared" si="28"/>
        <v xml:space="preserve">&gt; 2 SMMLV &lt; 10 SMMLV </v>
      </c>
      <c r="S1048548"/>
      <c r="T1048548"/>
      <c r="U1048548"/>
      <c r="V1048548"/>
      <c r="W1048548"/>
    </row>
    <row r="1048549" spans="3:23" ht="14.5">
      <c r="C1048549" s="589" t="s">
        <v>76</v>
      </c>
      <c r="D1048549" s="528">
        <v>1</v>
      </c>
      <c r="E1048549" s="528">
        <v>1</v>
      </c>
      <c r="F1048549" s="597">
        <v>4000000</v>
      </c>
      <c r="G1048549" s="528" t="str">
        <f t="shared" si="28"/>
        <v xml:space="preserve">&gt; 2 SMMLV &lt; 10 SMMLV </v>
      </c>
      <c r="I1048549" s="528" t="s">
        <v>58</v>
      </c>
      <c r="J1048549" s="528" t="s">
        <v>59</v>
      </c>
      <c r="S1048549"/>
      <c r="T1048549"/>
      <c r="U1048549"/>
      <c r="V1048549"/>
      <c r="W1048549"/>
    </row>
    <row r="1048550" spans="3:23" ht="14.5">
      <c r="C1048550" s="589" t="s">
        <v>76</v>
      </c>
      <c r="D1048550" s="528">
        <v>2</v>
      </c>
      <c r="E1048550" s="528">
        <v>1</v>
      </c>
      <c r="F1048550" s="597">
        <v>4000000</v>
      </c>
      <c r="G1048550" s="528" t="str">
        <f t="shared" si="28"/>
        <v xml:space="preserve">&gt; 2 SMMLV &lt; 10 SMMLV </v>
      </c>
      <c r="I1048550" s="528">
        <v>1</v>
      </c>
      <c r="J1048550" s="594">
        <f>+C170*2</f>
        <v>2600000</v>
      </c>
      <c r="K1048550" s="528" t="s">
        <v>639</v>
      </c>
      <c r="S1048550"/>
      <c r="T1048550"/>
      <c r="U1048550"/>
      <c r="V1048550"/>
      <c r="W1048550"/>
    </row>
    <row r="1048551" spans="3:23" ht="14.5">
      <c r="C1048551" s="589" t="s">
        <v>76</v>
      </c>
      <c r="D1048551" s="528">
        <v>1</v>
      </c>
      <c r="E1048551" s="528">
        <v>1</v>
      </c>
      <c r="F1048551" s="590">
        <v>2650000</v>
      </c>
      <c r="G1048551" s="528" t="str">
        <f t="shared" si="28"/>
        <v xml:space="preserve">&gt; 2 SMMLV &lt; 10 SMMLV </v>
      </c>
      <c r="I1048551" s="595">
        <f>+J1048550+1</f>
        <v>2600001</v>
      </c>
      <c r="J1048551" s="596">
        <f>+D170-1</f>
        <v>12999999</v>
      </c>
      <c r="K1048551" s="528" t="s">
        <v>640</v>
      </c>
      <c r="S1048551"/>
      <c r="T1048551"/>
      <c r="U1048551"/>
      <c r="V1048551"/>
      <c r="W1048551"/>
    </row>
    <row r="1048552" spans="3:23" ht="14.5">
      <c r="C1048552" s="589" t="s">
        <v>76</v>
      </c>
      <c r="D1048552" s="528">
        <v>1</v>
      </c>
      <c r="E1048552" s="528">
        <v>1</v>
      </c>
      <c r="F1048552" s="590">
        <v>2650000</v>
      </c>
      <c r="G1048552" s="528" t="str">
        <f t="shared" si="28"/>
        <v xml:space="preserve">&gt; 2 SMMLV &lt; 10 SMMLV </v>
      </c>
      <c r="I1048552" s="596">
        <f>+J1048551+1</f>
        <v>13000000</v>
      </c>
      <c r="K1048552" s="528" t="s">
        <v>641</v>
      </c>
      <c r="S1048552"/>
      <c r="T1048552"/>
      <c r="U1048552"/>
      <c r="V1048552"/>
      <c r="W1048552"/>
    </row>
    <row r="1048553" spans="3:23" ht="14.5">
      <c r="C1048553" s="589" t="s">
        <v>76</v>
      </c>
      <c r="D1048553" s="528">
        <v>1</v>
      </c>
      <c r="E1048553" s="528">
        <v>1</v>
      </c>
      <c r="F1048553" s="590">
        <v>3000000</v>
      </c>
      <c r="G1048553" s="528" t="str">
        <f t="shared" si="28"/>
        <v xml:space="preserve">&gt; 2 SMMLV &lt; 10 SMMLV </v>
      </c>
      <c r="S1048553"/>
      <c r="T1048553"/>
      <c r="U1048553"/>
      <c r="V1048553"/>
      <c r="W1048553"/>
    </row>
    <row r="1048554" spans="3:23" ht="14.5">
      <c r="C1048554" s="589"/>
      <c r="F1048554" s="590"/>
      <c r="G1048554" s="528" t="str">
        <f t="shared" si="28"/>
        <v/>
      </c>
      <c r="S1048554"/>
      <c r="T1048554"/>
      <c r="U1048554"/>
      <c r="V1048554"/>
      <c r="W1048554"/>
    </row>
    <row r="1048555" spans="3:23" ht="14.5">
      <c r="C1048555" s="589"/>
      <c r="F1048555" s="590"/>
      <c r="G1048555" s="528" t="str">
        <f t="shared" si="28"/>
        <v/>
      </c>
      <c r="S1048555"/>
      <c r="T1048555"/>
      <c r="U1048555"/>
      <c r="V1048555"/>
      <c r="W1048555"/>
    </row>
    <row r="1048556" spans="3:23" ht="14.5">
      <c r="C1048556" s="589"/>
      <c r="F1048556" s="590"/>
      <c r="G1048556" s="528" t="str">
        <f t="shared" si="28"/>
        <v/>
      </c>
      <c r="S1048556"/>
      <c r="T1048556"/>
      <c r="U1048556"/>
      <c r="V1048556"/>
      <c r="W1048556"/>
    </row>
    <row r="1048557" spans="3:23" ht="14.5">
      <c r="C1048557" s="589"/>
      <c r="F1048557" s="590"/>
      <c r="G1048557" s="528" t="str">
        <f t="shared" si="28"/>
        <v/>
      </c>
      <c r="S1048557"/>
      <c r="T1048557"/>
      <c r="U1048557"/>
      <c r="V1048557"/>
      <c r="W1048557"/>
    </row>
    <row r="1048558" spans="3:23" ht="14.5">
      <c r="C1048558" s="589"/>
      <c r="F1048558" s="590"/>
      <c r="G1048558" s="528" t="str">
        <f t="shared" si="28"/>
        <v/>
      </c>
      <c r="S1048558"/>
      <c r="T1048558"/>
      <c r="U1048558"/>
      <c r="V1048558"/>
      <c r="W1048558"/>
    </row>
    <row r="1048559" spans="3:23" ht="14.5">
      <c r="C1048559" s="589"/>
      <c r="F1048559" s="590"/>
      <c r="G1048559" s="528" t="str">
        <f t="shared" si="28"/>
        <v/>
      </c>
      <c r="S1048559"/>
      <c r="T1048559"/>
      <c r="U1048559"/>
      <c r="V1048559"/>
      <c r="W1048559"/>
    </row>
    <row r="1048560" spans="3:23" ht="14.5">
      <c r="C1048560" s="589"/>
      <c r="F1048560" s="590"/>
      <c r="G1048560" s="528" t="str">
        <f t="shared" si="28"/>
        <v/>
      </c>
      <c r="S1048560"/>
      <c r="T1048560"/>
      <c r="U1048560"/>
      <c r="V1048560"/>
      <c r="W1048560"/>
    </row>
    <row r="1048561" spans="3:47" ht="14.5">
      <c r="C1048561" s="589"/>
      <c r="F1048561" s="590"/>
      <c r="G1048561" s="528" t="str">
        <f t="shared" si="28"/>
        <v/>
      </c>
      <c r="S1048561"/>
      <c r="T1048561"/>
      <c r="U1048561"/>
      <c r="V1048561"/>
      <c r="W1048561"/>
    </row>
    <row r="1048562" spans="3:47" ht="14.5">
      <c r="C1048562" s="589"/>
      <c r="F1048562" s="590"/>
      <c r="G1048562" s="528" t="str">
        <f t="shared" si="28"/>
        <v/>
      </c>
      <c r="S1048562"/>
      <c r="T1048562"/>
      <c r="U1048562"/>
      <c r="V1048562"/>
      <c r="W1048562"/>
    </row>
    <row r="1048563" spans="3:47" ht="14.5">
      <c r="C1048563" s="589"/>
      <c r="F1048563" s="590"/>
      <c r="G1048563" s="528" t="str">
        <f t="shared" si="28"/>
        <v/>
      </c>
      <c r="S1048563"/>
      <c r="T1048563"/>
      <c r="U1048563"/>
      <c r="V1048563"/>
      <c r="W1048563"/>
    </row>
    <row r="1048564" spans="3:47" ht="14.5">
      <c r="C1048564" s="589"/>
      <c r="F1048564" s="590"/>
      <c r="G1048564" s="528" t="str">
        <f t="shared" si="28"/>
        <v/>
      </c>
      <c r="S1048564"/>
      <c r="T1048564"/>
      <c r="U1048564"/>
      <c r="V1048564"/>
      <c r="W1048564"/>
    </row>
    <row r="1048565" spans="3:47" ht="14.5">
      <c r="C1048565" s="589"/>
      <c r="F1048565" s="590"/>
      <c r="G1048565" s="528" t="str">
        <f t="shared" si="28"/>
        <v/>
      </c>
      <c r="S1048565"/>
      <c r="T1048565"/>
      <c r="U1048565"/>
      <c r="V1048565"/>
      <c r="W1048565"/>
    </row>
    <row r="1048566" spans="3:47" ht="14.5">
      <c r="C1048566" s="589"/>
      <c r="F1048566" s="590"/>
      <c r="G1048566" s="528" t="str">
        <f t="shared" si="28"/>
        <v/>
      </c>
      <c r="S1048566"/>
      <c r="T1048566"/>
      <c r="U1048566"/>
      <c r="V1048566"/>
      <c r="W1048566"/>
    </row>
    <row r="1048567" spans="3:47" ht="14.5">
      <c r="C1048567" s="589"/>
      <c r="F1048567" s="590"/>
      <c r="G1048567" s="528" t="str">
        <f t="shared" si="28"/>
        <v/>
      </c>
      <c r="S1048567"/>
      <c r="T1048567"/>
      <c r="U1048567"/>
      <c r="V1048567"/>
      <c r="W1048567"/>
    </row>
    <row r="1048568" spans="3:47" ht="14.5">
      <c r="C1048568" s="589"/>
      <c r="F1048568" s="590"/>
      <c r="G1048568" s="528" t="str">
        <f t="shared" si="28"/>
        <v/>
      </c>
      <c r="S1048568"/>
      <c r="T1048568"/>
      <c r="U1048568"/>
      <c r="V1048568"/>
      <c r="W1048568"/>
    </row>
    <row r="1048569" spans="3:47" ht="14.5">
      <c r="C1048569" s="589"/>
      <c r="F1048569" s="590"/>
      <c r="G1048569" s="528" t="str">
        <f t="shared" si="28"/>
        <v/>
      </c>
      <c r="S1048569"/>
      <c r="T1048569"/>
      <c r="U1048569"/>
      <c r="V1048569"/>
      <c r="W1048569"/>
    </row>
    <row r="1048570" spans="3:47" ht="14.5">
      <c r="C1048570" s="589"/>
      <c r="F1048570" s="590"/>
      <c r="G1048570" s="528" t="str">
        <f t="shared" si="28"/>
        <v/>
      </c>
      <c r="S1048570"/>
      <c r="T1048570"/>
      <c r="U1048570"/>
      <c r="V1048570"/>
      <c r="W1048570"/>
    </row>
    <row r="1048571" spans="3:47" ht="15" thickBot="1">
      <c r="C1048571" s="591"/>
      <c r="D1048571" s="592"/>
      <c r="E1048571" s="592"/>
      <c r="F1048571" s="593"/>
      <c r="G1048571" s="528" t="str">
        <f t="shared" ref="G1048571" si="29">+IFERROR(LOOKUP(F1048571,$I$1048550:$J$1048552,$K$1048550:$K$1048552),"")</f>
        <v/>
      </c>
      <c r="S1048571"/>
      <c r="T1048571"/>
      <c r="U1048571"/>
      <c r="V1048571"/>
      <c r="W1048571"/>
    </row>
    <row r="1048573" spans="3:47" ht="13" thickBot="1"/>
    <row r="1048574" spans="3:47" ht="15" thickBot="1">
      <c r="S1048574" s="588" t="s">
        <v>640</v>
      </c>
      <c r="T1048574" t="s">
        <v>642</v>
      </c>
      <c r="U1048574"/>
      <c r="V1048574"/>
      <c r="W1048574"/>
      <c r="X1048574"/>
    </row>
    <row r="1048575" spans="3:47" ht="14.5">
      <c r="S1048575" s="598" t="s">
        <v>76</v>
      </c>
      <c r="T1048575"/>
      <c r="U1048575"/>
      <c r="V1048575"/>
      <c r="W1048575"/>
      <c r="X1048575"/>
      <c r="Y1048575"/>
    </row>
    <row r="1048576" spans="3:47" ht="14.5">
      <c r="S1048576" s="589" t="s">
        <v>71</v>
      </c>
      <c r="T1048576"/>
      <c r="U1048576"/>
      <c r="V1048576"/>
      <c r="W1048576"/>
      <c r="X1048576"/>
      <c r="Y1048576"/>
      <c r="Z1048576"/>
      <c r="AA1048576"/>
      <c r="AB1048576"/>
      <c r="AC1048576"/>
      <c r="AD1048576"/>
      <c r="AE1048576"/>
      <c r="AF1048576"/>
      <c r="AG1048576"/>
      <c r="AH1048576"/>
      <c r="AI1048576"/>
      <c r="AJ1048576"/>
      <c r="AK1048576"/>
      <c r="AL1048576"/>
      <c r="AM1048576"/>
      <c r="AN1048576"/>
      <c r="AO1048576"/>
      <c r="AP1048576"/>
      <c r="AQ1048576"/>
      <c r="AU1048576" s="590" t="s">
        <v>640</v>
      </c>
    </row>
  </sheetData>
  <autoFilter ref="S1048545:W1048547" xr:uid="{00000000-0009-0000-0000-000001000000}"/>
  <mergeCells count="33">
    <mergeCell ref="B101:I101"/>
    <mergeCell ref="A7:C7"/>
    <mergeCell ref="B72:J72"/>
    <mergeCell ref="B50:C50"/>
    <mergeCell ref="B55:C55"/>
    <mergeCell ref="B56:C56"/>
    <mergeCell ref="B57:C57"/>
    <mergeCell ref="B58:C58"/>
    <mergeCell ref="B59:C59"/>
    <mergeCell ref="B69:C69"/>
    <mergeCell ref="B60:C60"/>
    <mergeCell ref="B61:C61"/>
    <mergeCell ref="B62:C62"/>
    <mergeCell ref="B63:C63"/>
    <mergeCell ref="C10:G10"/>
    <mergeCell ref="J24:O24"/>
    <mergeCell ref="B49:J49"/>
    <mergeCell ref="B73:C73"/>
    <mergeCell ref="B51:C51"/>
    <mergeCell ref="B52:C52"/>
    <mergeCell ref="B53:C53"/>
    <mergeCell ref="B54:C54"/>
    <mergeCell ref="B64:C64"/>
    <mergeCell ref="B65:C65"/>
    <mergeCell ref="B66:C66"/>
    <mergeCell ref="B67:C67"/>
    <mergeCell ref="B68:C68"/>
    <mergeCell ref="J5:K5"/>
    <mergeCell ref="J12:K12"/>
    <mergeCell ref="J14:K14"/>
    <mergeCell ref="J1:L2"/>
    <mergeCell ref="J3:K3"/>
    <mergeCell ref="J4:K4"/>
  </mergeCells>
  <conditionalFormatting sqref="G52:I52 B52:B69 F61:I69 H53:I60">
    <cfRule type="expression" dxfId="24" priority="72">
      <formula>+TEXT($C52="","")</formula>
    </cfRule>
  </conditionalFormatting>
  <conditionalFormatting sqref="I93:I100 E87:E100 M28:M31 M34">
    <cfRule type="expression" dxfId="23" priority="68">
      <formula>+TEXT($B28="","")</formula>
    </cfRule>
  </conditionalFormatting>
  <conditionalFormatting sqref="M34">
    <cfRule type="cellIs" dxfId="22" priority="17" operator="greaterThan">
      <formula>0.12</formula>
    </cfRule>
  </conditionalFormatting>
  <conditionalFormatting sqref="M28">
    <cfRule type="cellIs" dxfId="21" priority="16" operator="greaterThan">
      <formula>3</formula>
    </cfRule>
  </conditionalFormatting>
  <conditionalFormatting sqref="G8:G9 G11:G21 G26:G33 C25:F33 G46 C42:G43 C35:F41 G35:G40 C34:I34">
    <cfRule type="expression" dxfId="20" priority="14">
      <formula>TEXT(C$11="","")</formula>
    </cfRule>
  </conditionalFormatting>
  <conditionalFormatting sqref="C8:F9 C10 C11:F21 A24 C44:F46 G44:G45 C22:G24">
    <cfRule type="expression" dxfId="19" priority="13">
      <formula>TEXT(A$11="","")</formula>
    </cfRule>
  </conditionalFormatting>
  <conditionalFormatting sqref="G53:G60">
    <cfRule type="expression" dxfId="18" priority="11">
      <formula>+TEXT($C53="","")</formula>
    </cfRule>
  </conditionalFormatting>
  <conditionalFormatting sqref="G41">
    <cfRule type="expression" dxfId="17" priority="10">
      <formula>TEXT(G$11="","")</formula>
    </cfRule>
  </conditionalFormatting>
  <conditionalFormatting sqref="G25">
    <cfRule type="expression" dxfId="16" priority="4">
      <formula>TEXT(G$11="","")</formula>
    </cfRule>
  </conditionalFormatting>
  <conditionalFormatting sqref="F52:F60">
    <cfRule type="expression" dxfId="15" priority="2">
      <formula>+TEXT($C52="","")</formula>
    </cfRule>
  </conditionalFormatting>
  <conditionalFormatting sqref="E74:E86">
    <cfRule type="expression" dxfId="14" priority="1">
      <formula>+TEXT($B74="","")</formula>
    </cfRule>
  </conditionalFormatting>
  <dataValidations disablePrompts="1" count="8">
    <dataValidation allowBlank="1" showInputMessage="1" showErrorMessage="1" promptTitle="% de Dedicación" prompt="% de dedicación de las personas necesarias para cada cargo" sqref="F50 F73 F104" xr:uid="{00000000-0002-0000-0100-000000000000}"/>
    <dataValidation allowBlank="1" showInputMessage="1" showErrorMessage="1" promptTitle="Cantidad" prompt="Número de personas que se necesitan" sqref="E50" xr:uid="{00000000-0002-0000-0100-000001000000}"/>
    <dataValidation allowBlank="1" showInputMessage="1" showErrorMessage="1" promptTitle="F.P" prompt="Factor prestacional" sqref="H50 H73 H104" xr:uid="{00000000-0002-0000-0100-000002000000}"/>
    <dataValidation type="list" allowBlank="1" showInputMessage="1" showErrorMessage="1" sqref="B70 B154:B162" xr:uid="{00000000-0002-0000-0100-000003000000}">
      <formula1>$F$203:$F$226</formula1>
    </dataValidation>
    <dataValidation type="list" allowBlank="1" showInputMessage="1" showErrorMessage="1" sqref="D51:D70 D154:D162 D102" xr:uid="{00000000-0002-0000-0100-000004000000}">
      <formula1>"I,II,III,IV,V"</formula1>
    </dataValidation>
    <dataValidation type="list" allowBlank="1" showInputMessage="1" showErrorMessage="1" promptTitle="Nivel de Riesgo ARL" prompt="Seleccionar el nivel de riego que le aplica" sqref="C193" xr:uid="{00000000-0002-0000-0100-000005000000}">
      <formula1>$U$206:$U$210</formula1>
    </dataValidation>
    <dataValidation allowBlank="1" showErrorMessage="1" sqref="E73 E104" xr:uid="{00000000-0002-0000-0100-000006000000}"/>
    <dataValidation allowBlank="1" showInputMessage="1" showErrorMessage="1" prompt="Digite en esta celda los SMMLV,  que se va a reconocer para cada ITEM." sqref="M26" xr:uid="{00000000-0002-0000-0100-000007000000}"/>
  </dataValidations>
  <hyperlinks>
    <hyperlink ref="O29" location="'CALCULO FACTOR MULTIPLICADOR'!B71" display="Se define el valor a reconocer y se calcula según la tabla adjunta" xr:uid="{00000000-0004-0000-0100-000000000000}"/>
    <hyperlink ref="O30" location="'CALCULO FACTOR MULTIPLICADOR'!B48" display="Se define el tipo de personal que se va a reconocer y se calcula según la tabla adjunta" xr:uid="{00000000-0004-0000-0100-000001000000}"/>
  </hyperlinks>
  <printOptions horizontalCentered="1"/>
  <pageMargins left="0.98425196850393704" right="0.98425196850393704" top="0.59055118110236227" bottom="0.59055118110236227" header="0" footer="0"/>
  <pageSetup scale="68" orientation="portrait" horizontalDpi="4294967295" verticalDpi="4294967295" r:id="rId1"/>
  <headerFooter alignWithMargins="0"/>
  <ignoredErrors>
    <ignoredError sqref="C74:C75 G76:G88 G90:G92 C77:C92 C76" unlockedFormula="1"/>
  </ignoredErrors>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dimension ref="A1:O84"/>
  <sheetViews>
    <sheetView showGridLines="0" tabSelected="1" zoomScale="90" zoomScaleNormal="90" zoomScaleSheetLayoutView="100" workbookViewId="0">
      <selection activeCell="A49" sqref="A49:XFD57"/>
    </sheetView>
  </sheetViews>
  <sheetFormatPr baseColWidth="10" defaultRowHeight="14.5"/>
  <cols>
    <col min="1" max="1" width="3.7265625" customWidth="1"/>
    <col min="2" max="2" width="55.7265625" customWidth="1"/>
    <col min="3" max="6" width="15.7265625" customWidth="1"/>
    <col min="7" max="7" width="8.7265625" customWidth="1"/>
    <col min="8" max="8" width="15.7265625" customWidth="1"/>
    <col min="9" max="9" width="14" bestFit="1" customWidth="1"/>
    <col min="10" max="10" width="22" customWidth="1"/>
    <col min="12" max="12" width="28" customWidth="1"/>
    <col min="14" max="14" width="31.7265625" customWidth="1"/>
    <col min="16" max="16" width="14" bestFit="1" customWidth="1"/>
  </cols>
  <sheetData>
    <row r="1" spans="2:8" ht="92.25" customHeight="1"/>
    <row r="2" spans="2:8">
      <c r="B2" s="952" t="s">
        <v>127</v>
      </c>
      <c r="C2" s="952"/>
      <c r="D2" s="952"/>
      <c r="E2" s="952"/>
      <c r="F2" s="952"/>
      <c r="G2" s="952"/>
      <c r="H2" s="952"/>
    </row>
    <row r="3" spans="2:8" ht="41.25" customHeight="1">
      <c r="B3" s="681" t="s">
        <v>1</v>
      </c>
      <c r="C3" s="958" t="str">
        <f>'Paso 1 Calculo del Presupuesto'!C4:K4</f>
        <v xml:space="preserve"> INTERVENTORÍA TÉCNICA, ADMINSTRATIVA, FINANCIERA, Y LEGAL AL MANTENIMIENTO Y RENOVACIÓN DE OBRAS ELÉCTRICAS Y ELECTROMECÁNICAS EN LAS SEDES PROPIAS DEL DISTRITO</v>
      </c>
      <c r="D3" s="958"/>
      <c r="E3" s="958"/>
      <c r="F3" s="958"/>
      <c r="G3" s="958"/>
      <c r="H3" s="958"/>
    </row>
    <row r="5" spans="2:8">
      <c r="B5" s="962" t="str">
        <f>+'Paso 1 Calculo del Presupuesto'!B18:L18</f>
        <v>A - Costos directos de personal (Profesional, tecnólogo y técnico)</v>
      </c>
      <c r="C5" s="962"/>
      <c r="D5" s="962"/>
      <c r="E5" s="962"/>
      <c r="F5" s="962"/>
      <c r="G5" s="962"/>
      <c r="H5" s="962"/>
    </row>
    <row r="6" spans="2:8">
      <c r="B6" s="575" t="str">
        <f>+'Paso 1 Calculo del Presupuesto'!B19</f>
        <v>Descricpión</v>
      </c>
      <c r="C6" s="683" t="str">
        <f>+'Paso 1 Calculo del Presupuesto'!E19</f>
        <v>Cantidad</v>
      </c>
      <c r="D6" s="678" t="str">
        <f>+'Paso 1 Calculo del Presupuesto'!F19</f>
        <v>% de Dedicación</v>
      </c>
      <c r="E6" s="683" t="str">
        <f>+'Paso 1 Calculo del Presupuesto'!G19</f>
        <v>Salario</v>
      </c>
      <c r="F6" s="683" t="str">
        <f>+'Paso 1 Calculo del Presupuesto'!H19</f>
        <v>Plazo 
(Meses)</v>
      </c>
      <c r="G6" s="683" t="str">
        <f>+'Paso 1 Calculo del Presupuesto'!K19</f>
        <v>FM</v>
      </c>
      <c r="H6" s="678" t="str">
        <f>+'Paso 1 Calculo del Presupuesto'!L19</f>
        <v>Valor Total</v>
      </c>
    </row>
    <row r="7" spans="2:8">
      <c r="B7" s="577" t="str">
        <f>IF('Paso 1 Calculo del Presupuesto'!B20="","",CONCATENATE('Paso 1 Calculo del Presupuesto'!B20,"",'Paso 1 Calculo del Presupuesto'!C20))</f>
        <v>Coordinador de Interventoría.Ing Electricista</v>
      </c>
      <c r="C7" s="578">
        <f>IF(B7="","",+'Paso 1 Calculo del Presupuesto'!E20)</f>
        <v>1</v>
      </c>
      <c r="D7" s="579">
        <f>IF(B7="","",+'Paso 1 Calculo del Presupuesto'!F20)</f>
        <v>1</v>
      </c>
      <c r="E7" s="580">
        <f>IF(B7="","",+'Paso 1 Calculo del Presupuesto'!G20)</f>
        <v>7000000</v>
      </c>
      <c r="F7" s="677">
        <f>IF(B7="","",+'Paso 1 Calculo del Presupuesto'!H20)</f>
        <v>5</v>
      </c>
      <c r="G7" s="578">
        <f ca="1">+'Paso 1 Calculo del Presupuesto'!K20</f>
        <v>2.0299999999999998</v>
      </c>
      <c r="H7" s="580">
        <f ca="1">+'Paso 1 Calculo del Presupuesto'!L20</f>
        <v>71050000</v>
      </c>
    </row>
    <row r="8" spans="2:8">
      <c r="B8" s="577" t="str">
        <f>IF('Paso 1 Calculo del Presupuesto'!B21="","",CONCATENATE('Paso 1 Calculo del Presupuesto'!B21,"",'Paso 1 Calculo del Presupuesto'!C21))</f>
        <v>Residente de Interventoría.Ing Electromecanico</v>
      </c>
      <c r="C8" s="578">
        <f>IF(B8="","",+'Paso 1 Calculo del Presupuesto'!E21)</f>
        <v>1</v>
      </c>
      <c r="D8" s="579">
        <f>IF(B8="","",+'Paso 1 Calculo del Presupuesto'!F21)</f>
        <v>1</v>
      </c>
      <c r="E8" s="580">
        <f>IF(B8="","",+'Paso 1 Calculo del Presupuesto'!G21)</f>
        <v>5500000</v>
      </c>
      <c r="F8" s="677">
        <f>IF(B8="","",+'Paso 1 Calculo del Presupuesto'!H21)</f>
        <v>5</v>
      </c>
      <c r="G8" s="578">
        <f ca="1">+'Paso 1 Calculo del Presupuesto'!K21</f>
        <v>2.0299999999999998</v>
      </c>
      <c r="H8" s="580">
        <f ca="1">+'Paso 1 Calculo del Presupuesto'!L21</f>
        <v>55824999.999999993</v>
      </c>
    </row>
    <row r="9" spans="2:8">
      <c r="B9" s="577" t="str">
        <f>IF('Paso 1 Calculo del Presupuesto'!B22="","",CONCATENATE('Paso 1 Calculo del Presupuesto'!B22,"",'Paso 1 Calculo del Presupuesto'!C22))</f>
        <v>Residente de Interventoría.Ing Electricista</v>
      </c>
      <c r="C9" s="578">
        <f>IF(B9="","",+'Paso 1 Calculo del Presupuesto'!E22)</f>
        <v>1</v>
      </c>
      <c r="D9" s="579">
        <f>IF(B9="","",+'Paso 1 Calculo del Presupuesto'!F22)</f>
        <v>1</v>
      </c>
      <c r="E9" s="580">
        <f>IF(B9="","",+'Paso 1 Calculo del Presupuesto'!G22)</f>
        <v>5500000</v>
      </c>
      <c r="F9" s="677">
        <f>IF(B9="","",+'Paso 1 Calculo del Presupuesto'!H22)</f>
        <v>5</v>
      </c>
      <c r="G9" s="578">
        <f ca="1">+'Paso 1 Calculo del Presupuesto'!K22</f>
        <v>2.0299999999999998</v>
      </c>
      <c r="H9" s="580">
        <f ca="1">+'Paso 1 Calculo del Presupuesto'!L22</f>
        <v>55824999.999999993</v>
      </c>
    </row>
    <row r="10" spans="2:8">
      <c r="B10" s="577" t="str">
        <f>IF('Paso 1 Calculo del Presupuesto'!B23="","",CONCATENATE('Paso 1 Calculo del Presupuesto'!B23,"",'Paso 1 Calculo del Presupuesto'!C23))</f>
        <v>Profesional Ambiental.Ambiental</v>
      </c>
      <c r="C10" s="578">
        <f>IF(B10="","",+'Paso 1 Calculo del Presupuesto'!E23)</f>
        <v>1</v>
      </c>
      <c r="D10" s="579">
        <f>IF(B10="","",+'Paso 1 Calculo del Presupuesto'!F23)</f>
        <v>1</v>
      </c>
      <c r="E10" s="580">
        <f>IF(B10="","",+'Paso 1 Calculo del Presupuesto'!G23)</f>
        <v>4000000</v>
      </c>
      <c r="F10" s="677">
        <f>IF(B10="","",+'Paso 1 Calculo del Presupuesto'!H23)</f>
        <v>5</v>
      </c>
      <c r="G10" s="578">
        <f ca="1">+'Paso 1 Calculo del Presupuesto'!K23</f>
        <v>2.0299999999999998</v>
      </c>
      <c r="H10" s="580">
        <f ca="1">+'Paso 1 Calculo del Presupuesto'!L23</f>
        <v>40599999.999999993</v>
      </c>
    </row>
    <row r="11" spans="2:8">
      <c r="B11" s="577" t="str">
        <f>IF('Paso 1 Calculo del Presupuesto'!B24="","",CONCATENATE('Paso 1 Calculo del Presupuesto'!B24,"",'Paso 1 Calculo del Presupuesto'!C24))</f>
        <v>Profesional Seguridad y Salud en el Trabajo -SST.SST</v>
      </c>
      <c r="C11" s="578">
        <f>IF(B11="","",+'Paso 1 Calculo del Presupuesto'!E24)</f>
        <v>2</v>
      </c>
      <c r="D11" s="579">
        <f>IF(B11="","",+'Paso 1 Calculo del Presupuesto'!F24)</f>
        <v>1</v>
      </c>
      <c r="E11" s="580">
        <f>IF(B11="","",+'Paso 1 Calculo del Presupuesto'!G24)</f>
        <v>4000000</v>
      </c>
      <c r="F11" s="677">
        <f>IF(B11="","",+'Paso 1 Calculo del Presupuesto'!H24)</f>
        <v>5</v>
      </c>
      <c r="G11" s="578">
        <f ca="1">+'Paso 1 Calculo del Presupuesto'!K24</f>
        <v>2.0299999999999998</v>
      </c>
      <c r="H11" s="580">
        <f ca="1">+'Paso 1 Calculo del Presupuesto'!L24</f>
        <v>81199999.999999985</v>
      </c>
    </row>
    <row r="12" spans="2:8">
      <c r="B12" s="577" t="str">
        <f>IF('Paso 1 Calculo del Presupuesto'!B25="","",CONCATENATE('Paso 1 Calculo del Presupuesto'!B25,"",'Paso 1 Calculo del Presupuesto'!C25))</f>
        <v>Otro.Técnico administrativo</v>
      </c>
      <c r="C12" s="578">
        <f>IF(B12="","",+'Paso 1 Calculo del Presupuesto'!E25)</f>
        <v>1</v>
      </c>
      <c r="D12" s="579">
        <f>IF(B12="","",+'Paso 1 Calculo del Presupuesto'!F25)</f>
        <v>1</v>
      </c>
      <c r="E12" s="580">
        <f>IF(B12="","",+'Paso 1 Calculo del Presupuesto'!G25)</f>
        <v>2650000</v>
      </c>
      <c r="F12" s="677">
        <f>IF(B12="","",+'Paso 1 Calculo del Presupuesto'!H25)</f>
        <v>5</v>
      </c>
      <c r="G12" s="578">
        <f ca="1">+'Paso 1 Calculo del Presupuesto'!K25</f>
        <v>2.0299999999999998</v>
      </c>
      <c r="H12" s="580">
        <f ca="1">+'Paso 1 Calculo del Presupuesto'!L25</f>
        <v>26897499.999999996</v>
      </c>
    </row>
    <row r="13" spans="2:8">
      <c r="B13" s="577" t="str">
        <f>IF('Paso 1 Calculo del Presupuesto'!B26="","",CONCATENATE('Paso 1 Calculo del Presupuesto'!B26,"",'Paso 1 Calculo del Presupuesto'!C26))</f>
        <v>Otro.Técnico electricista</v>
      </c>
      <c r="C13" s="578">
        <f>IF(B13="","",+'Paso 1 Calculo del Presupuesto'!E26)</f>
        <v>1</v>
      </c>
      <c r="D13" s="579">
        <f>IF(B13="","",+'Paso 1 Calculo del Presupuesto'!F26)</f>
        <v>1</v>
      </c>
      <c r="E13" s="580">
        <f>IF(B13="","",+'Paso 1 Calculo del Presupuesto'!G26)</f>
        <v>2650000</v>
      </c>
      <c r="F13" s="677">
        <f>IF(B13="","",+'Paso 1 Calculo del Presupuesto'!H26)</f>
        <v>5</v>
      </c>
      <c r="G13" s="578">
        <f ca="1">+'Paso 1 Calculo del Presupuesto'!K26</f>
        <v>2.0299999999999998</v>
      </c>
      <c r="H13" s="580">
        <f ca="1">+'Paso 1 Calculo del Presupuesto'!L26</f>
        <v>26897499.999999996</v>
      </c>
    </row>
    <row r="14" spans="2:8">
      <c r="B14" s="577" t="str">
        <f>IF('Paso 1 Calculo del Presupuesto'!B27="","",CONCATENATE('Paso 1 Calculo del Presupuesto'!B27,"",'Paso 1 Calculo del Presupuesto'!C27))</f>
        <v>Otro.Horas extras</v>
      </c>
      <c r="C14" s="578">
        <f>IF(B14="","",+'Paso 1 Calculo del Presupuesto'!E27)</f>
        <v>1</v>
      </c>
      <c r="D14" s="579">
        <f>IF(B14="","",+'Paso 1 Calculo del Presupuesto'!F27)</f>
        <v>1</v>
      </c>
      <c r="E14" s="580">
        <f>IF(B14="","",+'Paso 1 Calculo del Presupuesto'!G27)</f>
        <v>3000000</v>
      </c>
      <c r="F14" s="677">
        <f>IF(B14="","",+'Paso 1 Calculo del Presupuesto'!H27)</f>
        <v>5</v>
      </c>
      <c r="G14" s="578">
        <f ca="1">+'Paso 1 Calculo del Presupuesto'!K27</f>
        <v>2.0299999999999998</v>
      </c>
      <c r="H14" s="580">
        <f ca="1">+'Paso 1 Calculo del Presupuesto'!L27</f>
        <v>30449999.999999996</v>
      </c>
    </row>
    <row r="15" spans="2:8">
      <c r="B15" s="577" t="str">
        <f>IF('Paso 1 Calculo del Presupuesto'!B28="","",CONCATENATE('Paso 1 Calculo del Presupuesto'!B28,"",'Paso 1 Calculo del Presupuesto'!C28))</f>
        <v/>
      </c>
      <c r="C15" s="578" t="str">
        <f>IF(B15="","",+'Paso 1 Calculo del Presupuesto'!E28)</f>
        <v/>
      </c>
      <c r="D15" s="579" t="str">
        <f>IF(B15="","",+'Paso 1 Calculo del Presupuesto'!F28)</f>
        <v/>
      </c>
      <c r="E15" s="580" t="str">
        <f>IF(B15="","",+'Paso 1 Calculo del Presupuesto'!G28)</f>
        <v/>
      </c>
      <c r="F15" s="677" t="str">
        <f>IF(B15="","",+'Paso 1 Calculo del Presupuesto'!H28)</f>
        <v/>
      </c>
      <c r="G15" s="578" t="str">
        <f>+'Paso 1 Calculo del Presupuesto'!K28</f>
        <v/>
      </c>
      <c r="H15" s="580" t="str">
        <f>+'Paso 1 Calculo del Presupuesto'!L28</f>
        <v/>
      </c>
    </row>
    <row r="16" spans="2:8" hidden="1">
      <c r="B16" s="577" t="str">
        <f>IF('Paso 1 Calculo del Presupuesto'!B29="","",CONCATENATE('Paso 1 Calculo del Presupuesto'!B29,"",'Paso 1 Calculo del Presupuesto'!C29))</f>
        <v/>
      </c>
      <c r="C16" s="578" t="str">
        <f>IF(B16="","",+'Paso 1 Calculo del Presupuesto'!E29)</f>
        <v/>
      </c>
      <c r="D16" s="579" t="str">
        <f>IF(B16="","",+'Paso 1 Calculo del Presupuesto'!F29)</f>
        <v/>
      </c>
      <c r="E16" s="580" t="str">
        <f>IF(B16="","",+'Paso 1 Calculo del Presupuesto'!G29)</f>
        <v/>
      </c>
      <c r="F16" s="677" t="str">
        <f>IF(B16="","",+'Paso 1 Calculo del Presupuesto'!H29)</f>
        <v/>
      </c>
      <c r="G16" s="578" t="str">
        <f>+'Paso 1 Calculo del Presupuesto'!K29</f>
        <v/>
      </c>
      <c r="H16" s="580" t="str">
        <f>+'Paso 1 Calculo del Presupuesto'!L29</f>
        <v/>
      </c>
    </row>
    <row r="17" spans="1:8" hidden="1">
      <c r="B17" s="577" t="str">
        <f>IF('Paso 1 Calculo del Presupuesto'!B30="","",CONCATENATE('Paso 1 Calculo del Presupuesto'!B30,"",'Paso 1 Calculo del Presupuesto'!C30))</f>
        <v/>
      </c>
      <c r="C17" s="578" t="str">
        <f>IF(B17="","",+'Paso 1 Calculo del Presupuesto'!E30)</f>
        <v/>
      </c>
      <c r="D17" s="579" t="str">
        <f>IF(B17="","",+'Paso 1 Calculo del Presupuesto'!F30)</f>
        <v/>
      </c>
      <c r="E17" s="580" t="str">
        <f>IF(B17="","",+'Paso 1 Calculo del Presupuesto'!G30)</f>
        <v/>
      </c>
      <c r="F17" s="677" t="str">
        <f>IF(B17="","",+'Paso 1 Calculo del Presupuesto'!H30)</f>
        <v/>
      </c>
      <c r="G17" s="578" t="str">
        <f>+'Paso 1 Calculo del Presupuesto'!K30</f>
        <v/>
      </c>
      <c r="H17" s="580" t="str">
        <f>+'Paso 1 Calculo del Presupuesto'!L30</f>
        <v/>
      </c>
    </row>
    <row r="18" spans="1:8" hidden="1">
      <c r="B18" s="577" t="str">
        <f>IF('Paso 1 Calculo del Presupuesto'!B31="","",CONCATENATE('Paso 1 Calculo del Presupuesto'!B31,"",'Paso 1 Calculo del Presupuesto'!C31))</f>
        <v/>
      </c>
      <c r="C18" s="578" t="str">
        <f>IF(B18="","",+'Paso 1 Calculo del Presupuesto'!E31)</f>
        <v/>
      </c>
      <c r="D18" s="579" t="str">
        <f>IF(B18="","",+'Paso 1 Calculo del Presupuesto'!F31)</f>
        <v/>
      </c>
      <c r="E18" s="580" t="str">
        <f>IF(B18="","",+'Paso 1 Calculo del Presupuesto'!G31)</f>
        <v/>
      </c>
      <c r="F18" s="677" t="str">
        <f>IF(B18="","",+'Paso 1 Calculo del Presupuesto'!H31)</f>
        <v/>
      </c>
      <c r="G18" s="578" t="str">
        <f>+'Paso 1 Calculo del Presupuesto'!K31</f>
        <v/>
      </c>
      <c r="H18" s="580" t="str">
        <f>+'Paso 1 Calculo del Presupuesto'!L31</f>
        <v/>
      </c>
    </row>
    <row r="19" spans="1:8" hidden="1">
      <c r="B19" s="577" t="str">
        <f>IF('Paso 1 Calculo del Presupuesto'!B32="","",CONCATENATE('Paso 1 Calculo del Presupuesto'!B32,"",'Paso 1 Calculo del Presupuesto'!C32))</f>
        <v/>
      </c>
      <c r="C19" s="578" t="str">
        <f>IF(B19="","",+'Paso 1 Calculo del Presupuesto'!E32)</f>
        <v/>
      </c>
      <c r="D19" s="579" t="str">
        <f>IF(B19="","",+'Paso 1 Calculo del Presupuesto'!F32)</f>
        <v/>
      </c>
      <c r="E19" s="580" t="str">
        <f>IF(B19="","",+'Paso 1 Calculo del Presupuesto'!G32)</f>
        <v/>
      </c>
      <c r="F19" s="677" t="str">
        <f>IF(B19="","",+'Paso 1 Calculo del Presupuesto'!H32)</f>
        <v/>
      </c>
      <c r="G19" s="578" t="str">
        <f>+'Paso 1 Calculo del Presupuesto'!K32</f>
        <v/>
      </c>
      <c r="H19" s="580" t="str">
        <f>+'Paso 1 Calculo del Presupuesto'!L32</f>
        <v/>
      </c>
    </row>
    <row r="20" spans="1:8" hidden="1">
      <c r="B20" s="577" t="str">
        <f>IF('Paso 1 Calculo del Presupuesto'!B33="","",CONCATENATE('Paso 1 Calculo del Presupuesto'!B33,"",'Paso 1 Calculo del Presupuesto'!C33))</f>
        <v/>
      </c>
      <c r="C20" s="578" t="str">
        <f>IF(B20="","",+'Paso 1 Calculo del Presupuesto'!E33)</f>
        <v/>
      </c>
      <c r="D20" s="579" t="str">
        <f>IF(B20="","",+'Paso 1 Calculo del Presupuesto'!F33)</f>
        <v/>
      </c>
      <c r="E20" s="580" t="str">
        <f>IF(B20="","",+'Paso 1 Calculo del Presupuesto'!G33)</f>
        <v/>
      </c>
      <c r="F20" s="677" t="str">
        <f>IF(B20="","",+'Paso 1 Calculo del Presupuesto'!H33)</f>
        <v/>
      </c>
      <c r="G20" s="578" t="str">
        <f>+'Paso 1 Calculo del Presupuesto'!K33</f>
        <v/>
      </c>
      <c r="H20" s="580" t="str">
        <f>+'Paso 1 Calculo del Presupuesto'!L33</f>
        <v/>
      </c>
    </row>
    <row r="21" spans="1:8" hidden="1">
      <c r="B21" s="577" t="str">
        <f>IF('Paso 1 Calculo del Presupuesto'!B34="","",CONCATENATE('Paso 1 Calculo del Presupuesto'!B34,"",'Paso 1 Calculo del Presupuesto'!C34))</f>
        <v/>
      </c>
      <c r="C21" s="578" t="str">
        <f>IF(B21="","",+'Paso 1 Calculo del Presupuesto'!E34)</f>
        <v/>
      </c>
      <c r="D21" s="579" t="str">
        <f>IF(B21="","",+'Paso 1 Calculo del Presupuesto'!F34)</f>
        <v/>
      </c>
      <c r="E21" s="580" t="str">
        <f>IF(B21="","",+'Paso 1 Calculo del Presupuesto'!G34)</f>
        <v/>
      </c>
      <c r="F21" s="677" t="str">
        <f>IF(B21="","",+'Paso 1 Calculo del Presupuesto'!H34)</f>
        <v/>
      </c>
      <c r="G21" s="578" t="str">
        <f>+'Paso 1 Calculo del Presupuesto'!K34</f>
        <v/>
      </c>
      <c r="H21" s="580" t="str">
        <f>+'Paso 1 Calculo del Presupuesto'!L34</f>
        <v/>
      </c>
    </row>
    <row r="22" spans="1:8" hidden="1">
      <c r="B22" s="577" t="str">
        <f>IF('Paso 1 Calculo del Presupuesto'!B35="","",CONCATENATE('Paso 1 Calculo del Presupuesto'!B35,"",'Paso 1 Calculo del Presupuesto'!C35))</f>
        <v/>
      </c>
      <c r="C22" s="578" t="str">
        <f>IF(B22="","",+'Paso 1 Calculo del Presupuesto'!E35)</f>
        <v/>
      </c>
      <c r="D22" s="579" t="str">
        <f>IF(B22="","",+'Paso 1 Calculo del Presupuesto'!F35)</f>
        <v/>
      </c>
      <c r="E22" s="580" t="str">
        <f>IF(B22="","",+'Paso 1 Calculo del Presupuesto'!G35)</f>
        <v/>
      </c>
      <c r="F22" s="677" t="str">
        <f>IF(B22="","",+'Paso 1 Calculo del Presupuesto'!H35)</f>
        <v/>
      </c>
      <c r="G22" s="578" t="str">
        <f>+'Paso 1 Calculo del Presupuesto'!K35</f>
        <v/>
      </c>
      <c r="H22" s="580" t="str">
        <f>+'Paso 1 Calculo del Presupuesto'!L35</f>
        <v/>
      </c>
    </row>
    <row r="23" spans="1:8" hidden="1">
      <c r="B23" s="577" t="str">
        <f>IF('Paso 1 Calculo del Presupuesto'!B36="","",CONCATENATE('Paso 1 Calculo del Presupuesto'!B36,"",'Paso 1 Calculo del Presupuesto'!C36))</f>
        <v/>
      </c>
      <c r="C23" s="578" t="str">
        <f>IF(B23="","",+'Paso 1 Calculo del Presupuesto'!E36)</f>
        <v/>
      </c>
      <c r="D23" s="579" t="str">
        <f>IF(B23="","",+'Paso 1 Calculo del Presupuesto'!F36)</f>
        <v/>
      </c>
      <c r="E23" s="580" t="str">
        <f>IF(B23="","",+'Paso 1 Calculo del Presupuesto'!G36)</f>
        <v/>
      </c>
      <c r="F23" s="677" t="str">
        <f>IF(B23="","",+'Paso 1 Calculo del Presupuesto'!H36)</f>
        <v/>
      </c>
      <c r="G23" s="578" t="str">
        <f>+'Paso 1 Calculo del Presupuesto'!K36</f>
        <v/>
      </c>
      <c r="H23" s="580" t="str">
        <f>+'Paso 1 Calculo del Presupuesto'!L36</f>
        <v/>
      </c>
    </row>
    <row r="24" spans="1:8" hidden="1">
      <c r="B24" s="577" t="str">
        <f>IF('Paso 1 Calculo del Presupuesto'!B37="","",CONCATENATE('Paso 1 Calculo del Presupuesto'!B37,"",'Paso 1 Calculo del Presupuesto'!C37))</f>
        <v/>
      </c>
      <c r="C24" s="578" t="str">
        <f>IF(B24="","",+'Paso 1 Calculo del Presupuesto'!E37)</f>
        <v/>
      </c>
      <c r="D24" s="579" t="str">
        <f>IF(B24="","",+'Paso 1 Calculo del Presupuesto'!F37)</f>
        <v/>
      </c>
      <c r="E24" s="580" t="str">
        <f>IF(B24="","",+'Paso 1 Calculo del Presupuesto'!G37)</f>
        <v/>
      </c>
      <c r="F24" s="677" t="str">
        <f>IF(B24="","",+'Paso 1 Calculo del Presupuesto'!H37)</f>
        <v/>
      </c>
      <c r="G24" s="578" t="str">
        <f>+'Paso 1 Calculo del Presupuesto'!K37</f>
        <v/>
      </c>
      <c r="H24" s="580" t="str">
        <f>+'Paso 1 Calculo del Presupuesto'!L37</f>
        <v/>
      </c>
    </row>
    <row r="25" spans="1:8" hidden="1">
      <c r="B25" s="577" t="str">
        <f>IF('Paso 1 Calculo del Presupuesto'!B38="","",CONCATENATE('Paso 1 Calculo del Presupuesto'!B38,"",'Paso 1 Calculo del Presupuesto'!C38))</f>
        <v/>
      </c>
      <c r="C25" s="578" t="str">
        <f>IF(B25="","",+'Paso 1 Calculo del Presupuesto'!E38)</f>
        <v/>
      </c>
      <c r="D25" s="579" t="str">
        <f>IF(B25="","",+'Paso 1 Calculo del Presupuesto'!F38)</f>
        <v/>
      </c>
      <c r="E25" s="580" t="str">
        <f>IF(B25="","",+'Paso 1 Calculo del Presupuesto'!G38)</f>
        <v/>
      </c>
      <c r="F25" s="677" t="str">
        <f>IF(B25="","",+'Paso 1 Calculo del Presupuesto'!H38)</f>
        <v/>
      </c>
      <c r="G25" s="578" t="str">
        <f>+'Paso 1 Calculo del Presupuesto'!K38</f>
        <v/>
      </c>
      <c r="H25" s="580" t="str">
        <f>+'Paso 1 Calculo del Presupuesto'!L38</f>
        <v/>
      </c>
    </row>
    <row r="26" spans="1:8" hidden="1">
      <c r="B26" s="577" t="str">
        <f>IF('Paso 1 Calculo del Presupuesto'!B39="","",CONCATENATE('Paso 1 Calculo del Presupuesto'!B39,"",'Paso 1 Calculo del Presupuesto'!C39))</f>
        <v/>
      </c>
      <c r="C26" s="578" t="str">
        <f>IF(B26="","",+'Paso 1 Calculo del Presupuesto'!E39)</f>
        <v/>
      </c>
      <c r="D26" s="579" t="str">
        <f>IF(B26="","",+'Paso 1 Calculo del Presupuesto'!F39)</f>
        <v/>
      </c>
      <c r="E26" s="580" t="str">
        <f>IF(B26="","",+'Paso 1 Calculo del Presupuesto'!G39)</f>
        <v/>
      </c>
      <c r="F26" s="677" t="str">
        <f>IF(B26="","",+'Paso 1 Calculo del Presupuesto'!H39)</f>
        <v/>
      </c>
      <c r="G26" s="578" t="str">
        <f>+'Paso 1 Calculo del Presupuesto'!K39</f>
        <v/>
      </c>
      <c r="H26" s="580" t="str">
        <f>+'Paso 1 Calculo del Presupuesto'!L39</f>
        <v/>
      </c>
    </row>
    <row r="27" spans="1:8" hidden="1">
      <c r="B27" s="577" t="str">
        <f>IF('Paso 1 Calculo del Presupuesto'!B40="","",CONCATENATE('Paso 1 Calculo del Presupuesto'!B40,"",'Paso 1 Calculo del Presupuesto'!C40))</f>
        <v/>
      </c>
      <c r="C27" s="578" t="str">
        <f>IF(B27="","",+'Paso 1 Calculo del Presupuesto'!E40)</f>
        <v/>
      </c>
      <c r="D27" s="579" t="str">
        <f>IF(B27="","",+'Paso 1 Calculo del Presupuesto'!F40)</f>
        <v/>
      </c>
      <c r="E27" s="580" t="str">
        <f>IF(B27="","",+'Paso 1 Calculo del Presupuesto'!G40)</f>
        <v/>
      </c>
      <c r="F27" s="677" t="str">
        <f>IF(B27="","",+'Paso 1 Calculo del Presupuesto'!H40)</f>
        <v/>
      </c>
      <c r="G27" s="578" t="str">
        <f>+'Paso 1 Calculo del Presupuesto'!K40</f>
        <v/>
      </c>
      <c r="H27" s="580" t="str">
        <f>+'Paso 1 Calculo del Presupuesto'!L40</f>
        <v/>
      </c>
    </row>
    <row r="28" spans="1:8" hidden="1">
      <c r="B28" s="577" t="str">
        <f>IF('Paso 1 Calculo del Presupuesto'!B41="","",CONCATENATE('Paso 1 Calculo del Presupuesto'!B41,"",'Paso 1 Calculo del Presupuesto'!C41))</f>
        <v/>
      </c>
      <c r="C28" s="578" t="str">
        <f>IF(B28="","",+'Paso 1 Calculo del Presupuesto'!E41)</f>
        <v/>
      </c>
      <c r="D28" s="579" t="str">
        <f>IF(B28="","",+'Paso 1 Calculo del Presupuesto'!F41)</f>
        <v/>
      </c>
      <c r="E28" s="580" t="str">
        <f>IF(B28="","",+'Paso 1 Calculo del Presupuesto'!G41)</f>
        <v/>
      </c>
      <c r="F28" s="677" t="str">
        <f>IF(B28="","",+'Paso 1 Calculo del Presupuesto'!H41)</f>
        <v/>
      </c>
      <c r="G28" s="578" t="str">
        <f>+'Paso 1 Calculo del Presupuesto'!K41</f>
        <v/>
      </c>
      <c r="H28" s="580" t="str">
        <f>+'Paso 1 Calculo del Presupuesto'!L41</f>
        <v/>
      </c>
    </row>
    <row r="29" spans="1:8" hidden="1">
      <c r="B29" s="577" t="str">
        <f>IF('Paso 1 Calculo del Presupuesto'!B42="","",CONCATENATE('Paso 1 Calculo del Presupuesto'!B42,"",'Paso 1 Calculo del Presupuesto'!C42))</f>
        <v/>
      </c>
      <c r="C29" s="578" t="str">
        <f>IF(B29="","",+'Paso 1 Calculo del Presupuesto'!E42)</f>
        <v/>
      </c>
      <c r="D29" s="579" t="str">
        <f>IF(B29="","",+'Paso 1 Calculo del Presupuesto'!F42)</f>
        <v/>
      </c>
      <c r="E29" s="580" t="str">
        <f>IF(B29="","",+'Paso 1 Calculo del Presupuesto'!G42)</f>
        <v/>
      </c>
      <c r="F29" s="677" t="str">
        <f>IF(B29="","",+'Paso 1 Calculo del Presupuesto'!H42)</f>
        <v/>
      </c>
      <c r="G29" s="578" t="str">
        <f>+'Paso 1 Calculo del Presupuesto'!K42</f>
        <v/>
      </c>
      <c r="H29" s="580" t="str">
        <f>+'Paso 1 Calculo del Presupuesto'!L42</f>
        <v/>
      </c>
    </row>
    <row r="30" spans="1:8" hidden="1">
      <c r="B30" s="577" t="str">
        <f>IF('Paso 1 Calculo del Presupuesto'!B43="","",CONCATENATE('Paso 1 Calculo del Presupuesto'!B43,"",'Paso 1 Calculo del Presupuesto'!C43))</f>
        <v/>
      </c>
      <c r="C30" s="578" t="str">
        <f>IF(B30="","",+'Paso 1 Calculo del Presupuesto'!E43)</f>
        <v/>
      </c>
      <c r="D30" s="579" t="str">
        <f>IF(B30="","",+'Paso 1 Calculo del Presupuesto'!F43)</f>
        <v/>
      </c>
      <c r="E30" s="580" t="str">
        <f>IF(B30="","",+'Paso 1 Calculo del Presupuesto'!G43)</f>
        <v/>
      </c>
      <c r="F30" s="677" t="str">
        <f>IF(B30="","",+'Paso 1 Calculo del Presupuesto'!H43)</f>
        <v/>
      </c>
      <c r="G30" s="578" t="str">
        <f>+'Paso 1 Calculo del Presupuesto'!K43</f>
        <v/>
      </c>
      <c r="H30" s="580" t="str">
        <f>+'Paso 1 Calculo del Presupuesto'!L43</f>
        <v/>
      </c>
    </row>
    <row r="31" spans="1:8">
      <c r="A31" s="574"/>
      <c r="B31" s="577" t="str">
        <f>IF('Paso 1 Calculo del Presupuesto'!B44="","",CONCATENATE('Paso 1 Calculo del Presupuesto'!B44,"",'Paso 1 Calculo del Presupuesto'!C44))</f>
        <v/>
      </c>
      <c r="C31" s="578" t="str">
        <f>IF(B31="","",+'Paso 1 Calculo del Presupuesto'!E44)</f>
        <v/>
      </c>
      <c r="D31" s="579" t="str">
        <f>IF(B31="","",+'Paso 1 Calculo del Presupuesto'!F44)</f>
        <v/>
      </c>
      <c r="E31" s="580" t="str">
        <f>IF(B31="","",+'Paso 1 Calculo del Presupuesto'!G44)</f>
        <v/>
      </c>
      <c r="F31" s="677" t="str">
        <f>IF(B31="","",+'Paso 1 Calculo del Presupuesto'!H44)</f>
        <v/>
      </c>
      <c r="G31" s="578" t="str">
        <f>+'Paso 1 Calculo del Presupuesto'!K44</f>
        <v/>
      </c>
      <c r="H31" s="580" t="str">
        <f>+'Paso 1 Calculo del Presupuesto'!L44</f>
        <v/>
      </c>
    </row>
    <row r="32" spans="1:8">
      <c r="A32" s="574"/>
      <c r="B32" s="962" t="str">
        <f>+'Paso 1 Calculo del Presupuesto'!B47:L47</f>
        <v xml:space="preserve">B - Otros Costos directos </v>
      </c>
      <c r="C32" s="962"/>
      <c r="D32" s="962"/>
      <c r="E32" s="962"/>
      <c r="F32" s="962"/>
      <c r="G32" s="962"/>
      <c r="H32" s="962"/>
    </row>
    <row r="33" spans="2:8" ht="26">
      <c r="B33" s="576" t="str">
        <f>+'Paso 1 Calculo del Presupuesto'!B48</f>
        <v>Descricpión</v>
      </c>
      <c r="C33" s="678" t="s">
        <v>7</v>
      </c>
      <c r="D33" s="678" t="str">
        <f>+'Paso 1 Calculo del Presupuesto'!D48</f>
        <v>Unidad de Medida</v>
      </c>
      <c r="E33" s="678" t="s">
        <v>15</v>
      </c>
      <c r="F33" s="678" t="s">
        <v>766</v>
      </c>
      <c r="G33" s="678"/>
      <c r="H33" s="678" t="s">
        <v>605</v>
      </c>
    </row>
    <row r="34" spans="2:8" ht="43.5">
      <c r="B34" s="582" t="str">
        <f>IF('Paso 1 Calculo del Presupuesto'!B49="","",CONCATENATE('Paso 1 Calculo del Presupuesto'!B49,"",'Paso 1 Calculo del Presupuesto'!C49))</f>
        <v>Auxilio para alquiler de equipos de computo con software licenciado de acuerdo con la especificación requerida por la entidad.</v>
      </c>
      <c r="C34" s="578">
        <f>IF(B34="","",+'Paso 1 Calculo del Presupuesto'!E49)</f>
        <v>8</v>
      </c>
      <c r="D34" s="578" t="str">
        <f>IF(B34="","",+'Paso 1 Calculo del Presupuesto'!D49)</f>
        <v>Mes</v>
      </c>
      <c r="E34" s="578">
        <f>IF(B34="","",+'Paso 1 Calculo del Presupuesto'!G49)</f>
        <v>100000</v>
      </c>
      <c r="F34" s="578">
        <f>IF(B34="","",+'Paso 1 Calculo del Presupuesto'!K49)</f>
        <v>5</v>
      </c>
      <c r="G34" s="577"/>
      <c r="H34" s="580">
        <f>IF(B34="","",+'Paso 1 Calculo del Presupuesto'!L49)</f>
        <v>4000000</v>
      </c>
    </row>
    <row r="35" spans="2:8" ht="29">
      <c r="B35" s="582" t="str">
        <f>IF('Paso 1 Calculo del Presupuesto'!B50="","",CONCATENATE('Paso 1 Calculo del Presupuesto'!B50,"",'Paso 1 Calculo del Presupuesto'!C50))</f>
        <v>Auxilio para equipos de impresión, incluye suministro de tinta, de acuerdo con la especificación requerida por la entidad.</v>
      </c>
      <c r="C35" s="578">
        <f>IF(B35="","",+'Paso 1 Calculo del Presupuesto'!E50)</f>
        <v>1</v>
      </c>
      <c r="D35" s="578" t="str">
        <f>IF(B35="","",+'Paso 1 Calculo del Presupuesto'!D50)</f>
        <v>Mes</v>
      </c>
      <c r="E35" s="578">
        <f>IF(B35="","",+'Paso 1 Calculo del Presupuesto'!G50)</f>
        <v>100000</v>
      </c>
      <c r="F35" s="578">
        <f>IF(B35="","",+'Paso 1 Calculo del Presupuesto'!K50)</f>
        <v>5</v>
      </c>
      <c r="G35" s="577"/>
      <c r="H35" s="580">
        <f>IF(B35="","",+'Paso 1 Calculo del Presupuesto'!L50)</f>
        <v>500000</v>
      </c>
    </row>
    <row r="36" spans="2:8">
      <c r="B36" s="582" t="str">
        <f>IF('Paso 1 Calculo del Presupuesto'!B51="","",CONCATENATE('Paso 1 Calculo del Presupuesto'!B51,"",'Paso 1 Calculo del Presupuesto'!C51))</f>
        <v>Auxilio para gastos de papeleria, impresiones, fotocopias y otros.</v>
      </c>
      <c r="C36" s="578">
        <f>IF(B36="","",+'Paso 1 Calculo del Presupuesto'!E51)</f>
        <v>1</v>
      </c>
      <c r="D36" s="578" t="str">
        <f>IF(B36="","",+'Paso 1 Calculo del Presupuesto'!D51)</f>
        <v>Mes</v>
      </c>
      <c r="E36" s="578">
        <f>IF(B36="","",+'Paso 1 Calculo del Presupuesto'!G51)</f>
        <v>50000</v>
      </c>
      <c r="F36" s="578">
        <f>IF(B36="","",+'Paso 1 Calculo del Presupuesto'!K51)</f>
        <v>5</v>
      </c>
      <c r="G36" s="577"/>
      <c r="H36" s="580">
        <f>IF(B36="","",+'Paso 1 Calculo del Presupuesto'!L51)</f>
        <v>250000</v>
      </c>
    </row>
    <row r="37" spans="2:8" ht="43.5">
      <c r="B37" s="582" t="str">
        <f>IF('Paso 1 Calculo del Presupuesto'!B52="","",CONCATENATE('Paso 1 Calculo del Presupuesto'!B52,"",'Paso 1 Calculo del Presupuesto'!C52))</f>
        <v>Transporte: Vehículo con especificaciones definidas en el presupuesto, cuando es subcontratado con un tercero o con el personal.Alquiler de vehiculo</v>
      </c>
      <c r="C37" s="578">
        <f>IF(B37="","",+'Paso 1 Calculo del Presupuesto'!E52)</f>
        <v>2</v>
      </c>
      <c r="D37" s="578" t="str">
        <f>IF(B37="","",+'Paso 1 Calculo del Presupuesto'!D52)</f>
        <v>Mes</v>
      </c>
      <c r="E37" s="578">
        <f>IF(B37="","",+'Paso 1 Calculo del Presupuesto'!G52)</f>
        <v>4500000</v>
      </c>
      <c r="F37" s="578">
        <f>IF(B37="","",+'Paso 1 Calculo del Presupuesto'!K52)</f>
        <v>5</v>
      </c>
      <c r="G37" s="577"/>
      <c r="H37" s="580">
        <f>IF(B37="","",+'Paso 1 Calculo del Presupuesto'!L52)</f>
        <v>45000000</v>
      </c>
    </row>
    <row r="38" spans="2:8" ht="29">
      <c r="B38" s="582" t="str">
        <f>IF('Paso 1 Calculo del Presupuesto'!B53="","",CONCATENATE('Paso 1 Calculo del Presupuesto'!B53,"",'Paso 1 Calculo del Presupuesto'!C53))</f>
        <v>Chaqueta profesionales y personal de obra (según manual de identidad gráfica)</v>
      </c>
      <c r="C38" s="578">
        <f>IF(B38="","",+'Paso 1 Calculo del Presupuesto'!E53)</f>
        <v>8</v>
      </c>
      <c r="D38" s="578" t="str">
        <f>IF(B38="","",+'Paso 1 Calculo del Presupuesto'!D53)</f>
        <v>Unidad</v>
      </c>
      <c r="E38" s="578">
        <f>IF(B38="","",+'Paso 1 Calculo del Presupuesto'!G53)</f>
        <v>100000</v>
      </c>
      <c r="F38" s="578">
        <f>IF(B38="","",+'Paso 1 Calculo del Presupuesto'!K53)</f>
        <v>1</v>
      </c>
      <c r="G38" s="577"/>
      <c r="H38" s="580">
        <f>IF(B38="","",+'Paso 1 Calculo del Presupuesto'!L53)</f>
        <v>800000</v>
      </c>
    </row>
    <row r="39" spans="2:8" ht="29">
      <c r="B39" s="582" t="str">
        <f>IF('Paso 1 Calculo del Presupuesto'!B54="","",CONCATENATE('Paso 1 Calculo del Presupuesto'!B54,"",'Paso 1 Calculo del Presupuesto'!C54))</f>
        <v>Estudios y asesorías juridicas, contables y técnicas especializadas.Diagnostico sistema AA CAD</v>
      </c>
      <c r="C39" s="578">
        <f>IF(B39="","",+'Paso 1 Calculo del Presupuesto'!E54)</f>
        <v>1</v>
      </c>
      <c r="D39" s="578" t="str">
        <f>IF(B39="","",+'Paso 1 Calculo del Presupuesto'!D54)</f>
        <v>Global</v>
      </c>
      <c r="E39" s="578">
        <f>IF(B39="","",+'Paso 1 Calculo del Presupuesto'!G54)</f>
        <v>40000000</v>
      </c>
      <c r="F39" s="578">
        <f>IF(B39="","",+'Paso 1 Calculo del Presupuesto'!K54)</f>
        <v>1</v>
      </c>
      <c r="G39" s="577"/>
      <c r="H39" s="580">
        <f>IF(B39="","",+'Paso 1 Calculo del Presupuesto'!L54)</f>
        <v>40000000</v>
      </c>
    </row>
    <row r="40" spans="2:8" ht="29">
      <c r="B40" s="582" t="str">
        <f>IF('Paso 1 Calculo del Presupuesto'!B55="","",CONCATENATE('Paso 1 Calculo del Presupuesto'!B55,"",'Paso 1 Calculo del Presupuesto'!C55))</f>
        <v>Estudios y asesorías juridicas, contables y técnicas especializadas.Diseño de automatización y control de UMAs CAD</v>
      </c>
      <c r="C40" s="578">
        <f>IF(B40="","",+'Paso 1 Calculo del Presupuesto'!E55)</f>
        <v>1</v>
      </c>
      <c r="D40" s="578" t="str">
        <f>IF(B40="","",+'Paso 1 Calculo del Presupuesto'!D55)</f>
        <v>Global</v>
      </c>
      <c r="E40" s="578">
        <f>IF(B40="","",+'Paso 1 Calculo del Presupuesto'!G55)</f>
        <v>27000000</v>
      </c>
      <c r="F40" s="578">
        <f>IF(B40="","",+'Paso 1 Calculo del Presupuesto'!K55)</f>
        <v>1</v>
      </c>
      <c r="G40" s="577"/>
      <c r="H40" s="580">
        <f>IF(B40="","",+'Paso 1 Calculo del Presupuesto'!L55)</f>
        <v>27000000</v>
      </c>
    </row>
    <row r="41" spans="2:8" ht="29">
      <c r="B41" s="582" t="str">
        <f>IF('Paso 1 Calculo del Presupuesto'!B56="","",CONCATENATE('Paso 1 Calculo del Presupuesto'!B56,"",'Paso 1 Calculo del Presupuesto'!C56))</f>
        <v>Estudios y asesorías juridicas, contables y técnicas especializadas.Diseño sistema inyección aire parqueadero CAD</v>
      </c>
      <c r="C41" s="578">
        <f>IF(B41="","",+'Paso 1 Calculo del Presupuesto'!E56)</f>
        <v>1</v>
      </c>
      <c r="D41" s="578" t="str">
        <f>IF(B41="","",+'Paso 1 Calculo del Presupuesto'!D56)</f>
        <v>Global</v>
      </c>
      <c r="E41" s="578">
        <f>IF(B41="","",+'Paso 1 Calculo del Presupuesto'!G56)</f>
        <v>15000000</v>
      </c>
      <c r="F41" s="578">
        <f>IF(B41="","",+'Paso 1 Calculo del Presupuesto'!K56)</f>
        <v>1</v>
      </c>
      <c r="G41" s="577"/>
      <c r="H41" s="580">
        <f>IF(B41="","",+'Paso 1 Calculo del Presupuesto'!L56)</f>
        <v>15000000</v>
      </c>
    </row>
    <row r="42" spans="2:8" ht="29">
      <c r="B42" s="582" t="str">
        <f>IF('Paso 1 Calculo del Presupuesto'!B57="","",CONCATENATE('Paso 1 Calculo del Presupuesto'!B57,"",'Paso 1 Calculo del Presupuesto'!C57))</f>
        <v>Estudios y asesorías juridicas, contables y técnicas especializadas.Diseños electricos oficinas Movilidad</v>
      </c>
      <c r="C42" s="578">
        <f>IF(B42="","",+'Paso 1 Calculo del Presupuesto'!E57)</f>
        <v>1</v>
      </c>
      <c r="D42" s="578" t="str">
        <f>IF(B42="","",+'Paso 1 Calculo del Presupuesto'!D57)</f>
        <v>Global</v>
      </c>
      <c r="E42" s="578">
        <f>IF(B42="","",+'Paso 1 Calculo del Presupuesto'!G57)</f>
        <v>15000000</v>
      </c>
      <c r="F42" s="578">
        <f>IF(B42="","",+'Paso 1 Calculo del Presupuesto'!K57)</f>
        <v>1</v>
      </c>
      <c r="G42" s="577"/>
      <c r="H42" s="580">
        <f>IF(B42="","",+'Paso 1 Calculo del Presupuesto'!L57)</f>
        <v>15000000</v>
      </c>
    </row>
    <row r="43" spans="2:8" ht="29">
      <c r="B43" s="582" t="str">
        <f>IF('Paso 1 Calculo del Presupuesto'!B58="","",CONCATENATE('Paso 1 Calculo del Presupuesto'!B58,"",'Paso 1 Calculo del Presupuesto'!C58))</f>
        <v>Estudios y asesorías juridicas, contables y técnicas especializadas.Diagnostico sistema extración piso 13 CAD</v>
      </c>
      <c r="C43" s="578">
        <f>IF(B43="","",+'Paso 1 Calculo del Presupuesto'!E58)</f>
        <v>1</v>
      </c>
      <c r="D43" s="578" t="str">
        <f>IF(B43="","",+'Paso 1 Calculo del Presupuesto'!D58)</f>
        <v>Global</v>
      </c>
      <c r="E43" s="578">
        <f>IF(B43="","",+'Paso 1 Calculo del Presupuesto'!G58)</f>
        <v>15000000</v>
      </c>
      <c r="F43" s="578">
        <f>IF(B43="","",+'Paso 1 Calculo del Presupuesto'!K58)</f>
        <v>1</v>
      </c>
      <c r="G43" s="577"/>
      <c r="H43" s="580">
        <f>IF(B43="","",+'Paso 1 Calculo del Presupuesto'!L58)</f>
        <v>15000000</v>
      </c>
    </row>
    <row r="44" spans="2:8" ht="43.5">
      <c r="B44" s="582" t="str">
        <f>IF('Paso 1 Calculo del Presupuesto'!B59="","",CONCATENATE('Paso 1 Calculo del Presupuesto'!B59,"",'Paso 1 Calculo del Presupuesto'!C59))</f>
        <v>Estudios y asesorías juridicas, contables y técnicas especializadas.Diseño sistema de respalo electrico centro de monitoreo Datacenter</v>
      </c>
      <c r="C44" s="578">
        <f>IF(B44="","",+'Paso 1 Calculo del Presupuesto'!E59)</f>
        <v>1</v>
      </c>
      <c r="D44" s="578" t="str">
        <f>IF(B44="","",+'Paso 1 Calculo del Presupuesto'!D59)</f>
        <v>Global</v>
      </c>
      <c r="E44" s="578">
        <f>IF(B44="","",+'Paso 1 Calculo del Presupuesto'!G59)</f>
        <v>15000000</v>
      </c>
      <c r="F44" s="578">
        <f>IF(B44="","",+'Paso 1 Calculo del Presupuesto'!K59)</f>
        <v>1</v>
      </c>
      <c r="G44" s="577"/>
      <c r="H44" s="580">
        <f>IF(B44="","",+'Paso 1 Calculo del Presupuesto'!L59)</f>
        <v>15000000</v>
      </c>
    </row>
    <row r="45" spans="2:8" ht="43.5">
      <c r="B45" s="582" t="str">
        <f>IF('Paso 1 Calculo del Presupuesto'!B60="","",CONCATENATE('Paso 1 Calculo del Presupuesto'!B60,"",'Paso 1 Calculo del Presupuesto'!C60))</f>
        <v>Estudios y asesorías juridicas, contables y técnicas especializadas.Diseño repotenciación circuitos electricos piso 5 terraza</v>
      </c>
      <c r="C45" s="578">
        <f>IF(B45="","",+'Paso 1 Calculo del Presupuesto'!E60)</f>
        <v>1</v>
      </c>
      <c r="D45" s="578" t="str">
        <f>IF(B45="","",+'Paso 1 Calculo del Presupuesto'!D60)</f>
        <v>Global</v>
      </c>
      <c r="E45" s="578">
        <f>IF(B45="","",+'Paso 1 Calculo del Presupuesto'!G60)</f>
        <v>5000000</v>
      </c>
      <c r="F45" s="578">
        <f>IF(B45="","",+'Paso 1 Calculo del Presupuesto'!K60)</f>
        <v>1</v>
      </c>
      <c r="G45" s="577"/>
      <c r="H45" s="580">
        <f>IF(B45="","",+'Paso 1 Calculo del Presupuesto'!L60)</f>
        <v>5000000</v>
      </c>
    </row>
    <row r="46" spans="2:8" ht="43.5">
      <c r="B46" s="582" t="str">
        <f>IF('Paso 1 Calculo del Presupuesto'!B61="","",CONCATENATE('Paso 1 Calculo del Presupuesto'!B61,"",'Paso 1 Calculo del Presupuesto'!C61))</f>
        <v>Estudios y asesorías juridicas, contables y técnicas especializadas.Diseño reubicación sistema aire acondicionado auditorios A y B</v>
      </c>
      <c r="C46" s="578">
        <f>IF(B46="","",+'Paso 1 Calculo del Presupuesto'!E61)</f>
        <v>1</v>
      </c>
      <c r="D46" s="578" t="str">
        <f>IF(B46="","",+'Paso 1 Calculo del Presupuesto'!D61)</f>
        <v>Global</v>
      </c>
      <c r="E46" s="578">
        <f>IF(B46="","",+'Paso 1 Calculo del Presupuesto'!G61)</f>
        <v>10000000</v>
      </c>
      <c r="F46" s="578">
        <f>IF(B46="","",+'Paso 1 Calculo del Presupuesto'!K61)</f>
        <v>1</v>
      </c>
      <c r="G46" s="577"/>
      <c r="H46" s="580">
        <f>IF(B46="","",+'Paso 1 Calculo del Presupuesto'!L61)</f>
        <v>10000000</v>
      </c>
    </row>
    <row r="47" spans="2:8" ht="29">
      <c r="B47" s="582" t="str">
        <f>IF('Paso 1 Calculo del Presupuesto'!B62="","",CONCATENATE('Paso 1 Calculo del Presupuesto'!B62,"",'Paso 1 Calculo del Presupuesto'!C62))</f>
        <v>Estudios y asesorías juridicas, contables y técnicas especializadas.Según necesidad</v>
      </c>
      <c r="C47" s="578">
        <f>IF(B47="","",+'Paso 1 Calculo del Presupuesto'!E62)</f>
        <v>1</v>
      </c>
      <c r="D47" s="578" t="str">
        <f>IF(B47="","",+'Paso 1 Calculo del Presupuesto'!D62)</f>
        <v>Global</v>
      </c>
      <c r="E47" s="578">
        <f>IF(B47="","",+'Paso 1 Calculo del Presupuesto'!G62)</f>
        <v>150364992</v>
      </c>
      <c r="F47" s="578">
        <f>IF(B47="","",+'Paso 1 Calculo del Presupuesto'!K62)</f>
        <v>1</v>
      </c>
      <c r="G47" s="577"/>
      <c r="H47" s="580">
        <f>IF(B47="","",+'Paso 1 Calculo del Presupuesto'!L62)</f>
        <v>150364992</v>
      </c>
    </row>
    <row r="48" spans="2:8">
      <c r="B48" s="577" t="str">
        <f>IF('Paso 1 Calculo del Presupuesto'!B63="","",CONCATENATE('Paso 1 Calculo del Presupuesto'!B63,"",'Paso 1 Calculo del Presupuesto'!C63))</f>
        <v/>
      </c>
      <c r="C48" s="578" t="str">
        <f>IF(B48="","",+'Paso 1 Calculo del Presupuesto'!E63)</f>
        <v/>
      </c>
      <c r="D48" s="578" t="str">
        <f>IF(B48="","",+'Paso 1 Calculo del Presupuesto'!D63)</f>
        <v/>
      </c>
      <c r="E48" s="578" t="str">
        <f>IF(B48="","",+'Paso 1 Calculo del Presupuesto'!G63)</f>
        <v/>
      </c>
      <c r="F48" s="578" t="str">
        <f>IF(B48="","",+'Paso 1 Calculo del Presupuesto'!K63)</f>
        <v/>
      </c>
      <c r="G48" s="577"/>
      <c r="H48" s="580" t="str">
        <f>IF(B48="","",+'Paso 1 Calculo del Presupuesto'!L63)</f>
        <v/>
      </c>
    </row>
    <row r="49" spans="2:8" hidden="1">
      <c r="B49" s="577" t="str">
        <f>IF('Paso 1 Calculo del Presupuesto'!B64="","",CONCATENATE('Paso 1 Calculo del Presupuesto'!B64,"",'Paso 1 Calculo del Presupuesto'!C64))</f>
        <v/>
      </c>
      <c r="C49" s="578" t="str">
        <f>IF(B49="","",+'Paso 1 Calculo del Presupuesto'!E64)</f>
        <v/>
      </c>
      <c r="D49" s="578" t="str">
        <f>IF(B49="","",+'Paso 1 Calculo del Presupuesto'!D64)</f>
        <v/>
      </c>
      <c r="E49" s="578" t="str">
        <f>IF(B49="","",+'Paso 1 Calculo del Presupuesto'!G64)</f>
        <v/>
      </c>
      <c r="F49" s="578" t="str">
        <f>IF(B49="","",+'Paso 1 Calculo del Presupuesto'!K64)</f>
        <v/>
      </c>
      <c r="G49" s="577"/>
      <c r="H49" s="580" t="str">
        <f>IF(B49="","",+'Paso 1 Calculo del Presupuesto'!L64)</f>
        <v/>
      </c>
    </row>
    <row r="50" spans="2:8" hidden="1">
      <c r="B50" s="577" t="str">
        <f>IF('Paso 1 Calculo del Presupuesto'!B65="","",CONCATENATE('Paso 1 Calculo del Presupuesto'!B65,"",'Paso 1 Calculo del Presupuesto'!C65))</f>
        <v/>
      </c>
      <c r="C50" s="578" t="str">
        <f>IF(B50="","",+'Paso 1 Calculo del Presupuesto'!E65)</f>
        <v/>
      </c>
      <c r="D50" s="578" t="str">
        <f>IF(B50="","",+'Paso 1 Calculo del Presupuesto'!D65)</f>
        <v/>
      </c>
      <c r="E50" s="578" t="str">
        <f>IF(B50="","",+'Paso 1 Calculo del Presupuesto'!G65)</f>
        <v/>
      </c>
      <c r="F50" s="578" t="str">
        <f>IF(B50="","",+'Paso 1 Calculo del Presupuesto'!K65)</f>
        <v/>
      </c>
      <c r="G50" s="577"/>
      <c r="H50" s="580" t="str">
        <f>IF(B50="","",+'Paso 1 Calculo del Presupuesto'!L65)</f>
        <v/>
      </c>
    </row>
    <row r="51" spans="2:8" hidden="1">
      <c r="B51" s="577" t="str">
        <f>IF('Paso 1 Calculo del Presupuesto'!B66="","",CONCATENATE('Paso 1 Calculo del Presupuesto'!B66,"",'Paso 1 Calculo del Presupuesto'!C66))</f>
        <v/>
      </c>
      <c r="C51" s="578" t="str">
        <f>IF(B51="","",+'Paso 1 Calculo del Presupuesto'!E66)</f>
        <v/>
      </c>
      <c r="D51" s="578" t="str">
        <f>IF(B51="","",+'Paso 1 Calculo del Presupuesto'!D66)</f>
        <v/>
      </c>
      <c r="E51" s="578" t="str">
        <f>IF(B51="","",+'Paso 1 Calculo del Presupuesto'!G66)</f>
        <v/>
      </c>
      <c r="F51" s="578" t="str">
        <f>IF(B51="","",+'Paso 1 Calculo del Presupuesto'!K66)</f>
        <v/>
      </c>
      <c r="G51" s="577"/>
      <c r="H51" s="580" t="str">
        <f>IF(B51="","",+'Paso 1 Calculo del Presupuesto'!L66)</f>
        <v/>
      </c>
    </row>
    <row r="52" spans="2:8" hidden="1">
      <c r="B52" s="577" t="str">
        <f>IF('Paso 1 Calculo del Presupuesto'!B67="","",CONCATENATE('Paso 1 Calculo del Presupuesto'!B67,"",'Paso 1 Calculo del Presupuesto'!C67))</f>
        <v/>
      </c>
      <c r="C52" s="578" t="str">
        <f>IF(B52="","",+'Paso 1 Calculo del Presupuesto'!E67)</f>
        <v/>
      </c>
      <c r="D52" s="578" t="str">
        <f>IF(B52="","",+'Paso 1 Calculo del Presupuesto'!D67)</f>
        <v/>
      </c>
      <c r="E52" s="578" t="str">
        <f>IF(B52="","",+'Paso 1 Calculo del Presupuesto'!G67)</f>
        <v/>
      </c>
      <c r="F52" s="578" t="str">
        <f>IF(B52="","",+'Paso 1 Calculo del Presupuesto'!K67)</f>
        <v/>
      </c>
      <c r="G52" s="577"/>
      <c r="H52" s="580" t="str">
        <f>IF(B52="","",+'Paso 1 Calculo del Presupuesto'!L67)</f>
        <v/>
      </c>
    </row>
    <row r="53" spans="2:8" hidden="1">
      <c r="B53" s="577" t="str">
        <f>IF('Paso 1 Calculo del Presupuesto'!B68="","",CONCATENATE('Paso 1 Calculo del Presupuesto'!B68,"",'Paso 1 Calculo del Presupuesto'!C68))</f>
        <v/>
      </c>
      <c r="C53" s="578" t="str">
        <f>IF(B53="","",+'Paso 1 Calculo del Presupuesto'!E68)</f>
        <v/>
      </c>
      <c r="D53" s="578" t="str">
        <f>IF(B53="","",+'Paso 1 Calculo del Presupuesto'!D68)</f>
        <v/>
      </c>
      <c r="E53" s="578" t="str">
        <f>IF(B53="","",+'Paso 1 Calculo del Presupuesto'!G68)</f>
        <v/>
      </c>
      <c r="F53" s="578" t="str">
        <f>IF(B53="","",+'Paso 1 Calculo del Presupuesto'!K68)</f>
        <v/>
      </c>
      <c r="G53" s="577"/>
      <c r="H53" s="580" t="str">
        <f>IF(B53="","",+'Paso 1 Calculo del Presupuesto'!L68)</f>
        <v/>
      </c>
    </row>
    <row r="54" spans="2:8" hidden="1">
      <c r="B54" s="577" t="str">
        <f>IF('Paso 1 Calculo del Presupuesto'!B69="","",CONCATENATE('Paso 1 Calculo del Presupuesto'!B69,"",'Paso 1 Calculo del Presupuesto'!C69))</f>
        <v/>
      </c>
      <c r="C54" s="578" t="str">
        <f>IF(B54="","",+'Paso 1 Calculo del Presupuesto'!E69)</f>
        <v/>
      </c>
      <c r="D54" s="578" t="str">
        <f>IF(B54="","",+'Paso 1 Calculo del Presupuesto'!D69)</f>
        <v/>
      </c>
      <c r="E54" s="578" t="str">
        <f>IF(B54="","",+'Paso 1 Calculo del Presupuesto'!G69)</f>
        <v/>
      </c>
      <c r="F54" s="578" t="str">
        <f>IF(B54="","",+'Paso 1 Calculo del Presupuesto'!K69)</f>
        <v/>
      </c>
      <c r="G54" s="577"/>
      <c r="H54" s="580" t="str">
        <f>IF(B54="","",+'Paso 1 Calculo del Presupuesto'!L69)</f>
        <v/>
      </c>
    </row>
    <row r="55" spans="2:8" hidden="1">
      <c r="B55" s="577" t="str">
        <f>IF('Paso 1 Calculo del Presupuesto'!B70="","",CONCATENATE('Paso 1 Calculo del Presupuesto'!B70,"",'Paso 1 Calculo del Presupuesto'!C70))</f>
        <v/>
      </c>
      <c r="C55" s="578" t="str">
        <f>IF(B55="","",+'Paso 1 Calculo del Presupuesto'!E70)</f>
        <v/>
      </c>
      <c r="D55" s="578" t="str">
        <f>IF(B55="","",+'Paso 1 Calculo del Presupuesto'!D70)</f>
        <v/>
      </c>
      <c r="E55" s="578" t="str">
        <f>IF(B55="","",+'Paso 1 Calculo del Presupuesto'!G70)</f>
        <v/>
      </c>
      <c r="F55" s="578" t="str">
        <f>IF(B55="","",+'Paso 1 Calculo del Presupuesto'!K70)</f>
        <v/>
      </c>
      <c r="G55" s="577"/>
      <c r="H55" s="580" t="str">
        <f>IF(B55="","",+'Paso 1 Calculo del Presupuesto'!L70)</f>
        <v/>
      </c>
    </row>
    <row r="56" spans="2:8" hidden="1">
      <c r="B56" s="577" t="str">
        <f>IF('Paso 1 Calculo del Presupuesto'!B71="","",CONCATENATE('Paso 1 Calculo del Presupuesto'!B71,"",'Paso 1 Calculo del Presupuesto'!C71))</f>
        <v/>
      </c>
      <c r="C56" s="578" t="str">
        <f>IF(B56="","",+'Paso 1 Calculo del Presupuesto'!E71)</f>
        <v/>
      </c>
      <c r="D56" s="578" t="str">
        <f>IF(B56="","",+'Paso 1 Calculo del Presupuesto'!D71)</f>
        <v/>
      </c>
      <c r="E56" s="578" t="str">
        <f>IF(B56="","",+'Paso 1 Calculo del Presupuesto'!G71)</f>
        <v/>
      </c>
      <c r="F56" s="578" t="str">
        <f>IF(B56="","",+'Paso 1 Calculo del Presupuesto'!K71)</f>
        <v/>
      </c>
      <c r="G56" s="577"/>
      <c r="H56" s="580" t="str">
        <f>IF(B56="","",+'Paso 1 Calculo del Presupuesto'!L71)</f>
        <v/>
      </c>
    </row>
    <row r="57" spans="2:8" hidden="1">
      <c r="B57" s="577" t="str">
        <f>IF('Paso 1 Calculo del Presupuesto'!B72="","",CONCATENATE('Paso 1 Calculo del Presupuesto'!B72,"",'Paso 1 Calculo del Presupuesto'!C72))</f>
        <v/>
      </c>
      <c r="C57" s="578" t="str">
        <f>IF(B57="","",+'Paso 1 Calculo del Presupuesto'!E72)</f>
        <v/>
      </c>
      <c r="D57" s="578" t="str">
        <f>IF(B57="","",+'Paso 1 Calculo del Presupuesto'!D72)</f>
        <v/>
      </c>
      <c r="E57" s="578" t="str">
        <f>IF(B57="","",+'Paso 1 Calculo del Presupuesto'!G72)</f>
        <v/>
      </c>
      <c r="F57" s="578" t="str">
        <f>IF(B57="","",+'Paso 1 Calculo del Presupuesto'!K72)</f>
        <v/>
      </c>
      <c r="G57" s="577"/>
      <c r="H57" s="580" t="str">
        <f>IF(B57="","",+'Paso 1 Calculo del Presupuesto'!L72)</f>
        <v/>
      </c>
    </row>
    <row r="58" spans="2:8">
      <c r="B58" s="577" t="str">
        <f>IF('Paso 1 Calculo del Presupuesto'!B73="","",CONCATENATE('Paso 1 Calculo del Presupuesto'!B73,"",'Paso 1 Calculo del Presupuesto'!C73))</f>
        <v/>
      </c>
      <c r="C58" s="578" t="str">
        <f>IF(B58="","",+'Paso 1 Calculo del Presupuesto'!E73)</f>
        <v/>
      </c>
      <c r="D58" s="578" t="str">
        <f>IF(B58="","",+'Paso 1 Calculo del Presupuesto'!D73)</f>
        <v/>
      </c>
      <c r="E58" s="578" t="str">
        <f>IF(B58="","",+'Paso 1 Calculo del Presupuesto'!G73)</f>
        <v/>
      </c>
      <c r="F58" s="578" t="str">
        <f>IF(B58="","",+'Paso 1 Calculo del Presupuesto'!K73)</f>
        <v/>
      </c>
      <c r="G58" s="577"/>
      <c r="H58" s="580" t="str">
        <f>IF(B58="","",+'Paso 1 Calculo del Presupuesto'!L73)</f>
        <v/>
      </c>
    </row>
    <row r="59" spans="2:8">
      <c r="B59" s="953" t="s">
        <v>670</v>
      </c>
      <c r="C59" s="954"/>
      <c r="D59" s="954"/>
      <c r="E59" s="954"/>
      <c r="F59" s="954"/>
      <c r="G59" s="955"/>
      <c r="H59" s="580">
        <f ca="1">+'Paso 1 Calculo del Presupuesto'!L75</f>
        <v>388745000</v>
      </c>
    </row>
    <row r="60" spans="2:8">
      <c r="B60" s="953" t="s">
        <v>671</v>
      </c>
      <c r="C60" s="954"/>
      <c r="D60" s="954"/>
      <c r="E60" s="954"/>
      <c r="F60" s="954"/>
      <c r="G60" s="955"/>
      <c r="H60" s="580">
        <f>+'Paso 1 Calculo del Presupuesto'!L76</f>
        <v>342914992</v>
      </c>
    </row>
    <row r="61" spans="2:8">
      <c r="B61" s="953" t="s">
        <v>764</v>
      </c>
      <c r="C61" s="954"/>
      <c r="D61" s="954"/>
      <c r="E61" s="954"/>
      <c r="F61" s="954"/>
      <c r="G61" s="955"/>
      <c r="H61" s="580">
        <f ca="1">+'Paso 1 Calculo del Presupuesto'!L77</f>
        <v>731659992</v>
      </c>
    </row>
    <row r="62" spans="2:8">
      <c r="B62" s="953" t="s">
        <v>675</v>
      </c>
      <c r="C62" s="954"/>
      <c r="D62" s="954"/>
      <c r="E62" s="954"/>
      <c r="F62" s="955"/>
      <c r="G62" s="679">
        <v>0.19</v>
      </c>
      <c r="H62" s="580">
        <f ca="1">+'Paso 1 Calculo del Presupuesto'!L78</f>
        <v>139015398</v>
      </c>
    </row>
    <row r="63" spans="2:8">
      <c r="B63" s="953" t="s">
        <v>695</v>
      </c>
      <c r="C63" s="954"/>
      <c r="D63" s="954"/>
      <c r="E63" s="954"/>
      <c r="F63" s="954"/>
      <c r="G63" s="955"/>
      <c r="H63" s="686">
        <f ca="1">+'Paso 1 Calculo del Presupuesto'!L79</f>
        <v>870675390</v>
      </c>
    </row>
    <row r="64" spans="2:8">
      <c r="B64" s="689" t="s">
        <v>673</v>
      </c>
      <c r="C64" s="690"/>
      <c r="D64" s="690"/>
      <c r="E64" s="690"/>
      <c r="F64" s="690"/>
      <c r="G64" s="691"/>
      <c r="H64" s="580">
        <f ca="1">+'Paso 1 Calculo del Presupuesto'!L80</f>
        <v>2805619</v>
      </c>
    </row>
    <row r="65" spans="1:15">
      <c r="B65" s="959" t="s">
        <v>674</v>
      </c>
      <c r="C65" s="960"/>
      <c r="D65" s="960"/>
      <c r="E65" s="960"/>
      <c r="F65" s="961"/>
      <c r="G65" s="672"/>
      <c r="H65" s="580">
        <f ca="1">+'Paso 1 Calculo del Presupuesto'!L81</f>
        <v>873481009</v>
      </c>
    </row>
    <row r="67" spans="1:15" ht="24.75" customHeight="1">
      <c r="B67" s="966" t="s">
        <v>646</v>
      </c>
      <c r="C67" s="966"/>
      <c r="D67" s="966"/>
      <c r="E67" s="966"/>
      <c r="F67" s="966"/>
      <c r="G67" s="966"/>
      <c r="H67" s="966"/>
      <c r="I67" s="951"/>
      <c r="J67" s="951"/>
      <c r="K67" s="951"/>
      <c r="L67" s="951"/>
      <c r="M67" s="951"/>
      <c r="N67" s="951"/>
      <c r="O67" s="951"/>
    </row>
    <row r="68" spans="1:15">
      <c r="B68" s="965" t="s">
        <v>677</v>
      </c>
      <c r="C68" s="965"/>
      <c r="D68" s="965"/>
      <c r="E68" s="965"/>
      <c r="F68" s="965"/>
      <c r="G68" s="965"/>
      <c r="H68" s="965"/>
      <c r="I68" s="951"/>
      <c r="J68" s="951"/>
      <c r="K68" s="951"/>
      <c r="L68" s="951"/>
      <c r="M68" s="951"/>
      <c r="N68" s="951"/>
      <c r="O68" s="951"/>
    </row>
    <row r="69" spans="1:15" ht="108" customHeight="1">
      <c r="B69" s="965" t="s">
        <v>740</v>
      </c>
      <c r="C69" s="967"/>
      <c r="D69" s="967"/>
      <c r="E69" s="967"/>
      <c r="F69" s="967"/>
      <c r="G69" s="967"/>
      <c r="H69" s="967"/>
      <c r="I69" s="951"/>
      <c r="J69" s="951"/>
      <c r="K69" s="951"/>
      <c r="L69" s="951"/>
      <c r="M69" s="951"/>
      <c r="N69" s="951"/>
      <c r="O69" s="951"/>
    </row>
    <row r="70" spans="1:15" ht="18" customHeight="1">
      <c r="B70" s="965" t="s">
        <v>678</v>
      </c>
      <c r="C70" s="965"/>
      <c r="D70" s="965"/>
      <c r="E70" s="965"/>
      <c r="F70" s="965"/>
      <c r="G70" s="965"/>
      <c r="H70" s="965"/>
      <c r="I70" s="951"/>
      <c r="J70" s="951"/>
      <c r="K70" s="951"/>
      <c r="L70" s="951"/>
      <c r="M70" s="951"/>
      <c r="N70" s="951"/>
      <c r="O70" s="951"/>
    </row>
    <row r="71" spans="1:15" ht="42" customHeight="1">
      <c r="B71" s="965" t="s">
        <v>787</v>
      </c>
      <c r="C71" s="965"/>
      <c r="D71" s="965"/>
      <c r="E71" s="965"/>
      <c r="F71" s="965"/>
      <c r="G71" s="965"/>
      <c r="H71" s="965"/>
      <c r="I71" s="951"/>
      <c r="J71" s="951"/>
      <c r="K71" s="951"/>
      <c r="L71" s="951"/>
      <c r="M71" s="951"/>
      <c r="N71" s="951"/>
      <c r="O71" s="951"/>
    </row>
    <row r="72" spans="1:15" ht="66" customHeight="1">
      <c r="B72" s="965" t="s">
        <v>680</v>
      </c>
      <c r="C72" s="965"/>
      <c r="D72" s="965"/>
      <c r="E72" s="965"/>
      <c r="F72" s="965"/>
      <c r="G72" s="965"/>
      <c r="H72" s="965"/>
      <c r="I72" s="951"/>
      <c r="J72" s="951"/>
      <c r="K72" s="951"/>
      <c r="L72" s="951"/>
      <c r="M72" s="951"/>
      <c r="N72" s="951"/>
      <c r="O72" s="951"/>
    </row>
    <row r="73" spans="1:15" ht="27.75" customHeight="1">
      <c r="B73" s="963" t="s">
        <v>681</v>
      </c>
      <c r="C73" s="963"/>
      <c r="D73" s="963"/>
      <c r="E73" s="963"/>
      <c r="F73" s="963"/>
      <c r="G73" s="963"/>
      <c r="H73" s="963"/>
      <c r="I73" s="951"/>
      <c r="J73" s="951"/>
      <c r="K73" s="951"/>
      <c r="L73" s="951"/>
      <c r="M73" s="951"/>
      <c r="N73" s="951"/>
      <c r="O73" s="951"/>
    </row>
    <row r="74" spans="1:15" ht="33" customHeight="1">
      <c r="B74" s="963" t="s">
        <v>682</v>
      </c>
      <c r="C74" s="963"/>
      <c r="D74" s="963"/>
      <c r="E74" s="963"/>
      <c r="F74" s="963"/>
      <c r="G74" s="963"/>
      <c r="H74" s="963"/>
      <c r="I74" s="951"/>
      <c r="J74" s="951"/>
      <c r="K74" s="951"/>
      <c r="L74" s="951"/>
      <c r="M74" s="951"/>
      <c r="N74" s="951"/>
      <c r="O74" s="951"/>
    </row>
    <row r="75" spans="1:15" ht="39.75" customHeight="1">
      <c r="A75" s="574"/>
      <c r="B75" s="963" t="s">
        <v>659</v>
      </c>
      <c r="C75" s="963"/>
      <c r="D75" s="963"/>
      <c r="E75" s="963"/>
      <c r="F75" s="963"/>
      <c r="G75" s="963"/>
      <c r="H75" s="963"/>
      <c r="I75" s="951"/>
      <c r="J75" s="951"/>
      <c r="K75" s="951"/>
      <c r="L75" s="951"/>
      <c r="M75" s="951"/>
      <c r="N75" s="951"/>
      <c r="O75" s="951"/>
    </row>
    <row r="76" spans="1:15" ht="239.25" customHeight="1">
      <c r="B76" s="965" t="s">
        <v>699</v>
      </c>
      <c r="C76" s="965"/>
      <c r="D76" s="965"/>
      <c r="E76" s="965"/>
      <c r="F76" s="965"/>
      <c r="G76" s="965"/>
      <c r="H76" s="965"/>
      <c r="I76" s="951"/>
      <c r="J76" s="951"/>
      <c r="K76" s="951"/>
      <c r="L76" s="951"/>
      <c r="M76" s="951"/>
      <c r="N76" s="951"/>
      <c r="O76" s="951"/>
    </row>
    <row r="77" spans="1:15">
      <c r="B77" s="680"/>
      <c r="C77" s="680"/>
      <c r="D77" s="680"/>
      <c r="E77" s="680"/>
      <c r="F77" s="680"/>
      <c r="G77" s="680"/>
      <c r="H77" s="680"/>
    </row>
    <row r="78" spans="1:15">
      <c r="B78" s="61" t="s">
        <v>116</v>
      </c>
      <c r="C78" s="680"/>
      <c r="D78" s="62" t="s">
        <v>117</v>
      </c>
      <c r="E78" s="62"/>
      <c r="F78" s="63"/>
      <c r="G78" s="62"/>
      <c r="H78" s="62"/>
    </row>
    <row r="80" spans="1:15" ht="50.25" customHeight="1">
      <c r="B80" s="957"/>
      <c r="C80" s="957"/>
      <c r="D80" s="957"/>
      <c r="E80" s="957"/>
      <c r="F80" s="957"/>
      <c r="G80" s="957"/>
      <c r="H80" s="957"/>
    </row>
    <row r="81" spans="2:8" ht="31.5" customHeight="1">
      <c r="B81" s="956"/>
      <c r="C81" s="956"/>
      <c r="D81" s="956"/>
      <c r="E81" s="956"/>
      <c r="F81" s="956"/>
      <c r="G81" s="956"/>
      <c r="H81" s="956"/>
    </row>
    <row r="82" spans="2:8" ht="51.75" customHeight="1">
      <c r="B82" s="956"/>
      <c r="C82" s="956"/>
      <c r="D82" s="956"/>
      <c r="E82" s="956"/>
      <c r="F82" s="956"/>
      <c r="G82" s="956"/>
      <c r="H82" s="956"/>
    </row>
    <row r="83" spans="2:8" ht="35.25" customHeight="1">
      <c r="B83" s="956"/>
      <c r="C83" s="956"/>
      <c r="D83" s="956"/>
      <c r="E83" s="956"/>
      <c r="F83" s="956"/>
      <c r="G83" s="956"/>
      <c r="H83" s="956"/>
    </row>
    <row r="84" spans="2:8" ht="38.25" customHeight="1">
      <c r="B84" s="964"/>
      <c r="C84" s="964"/>
      <c r="D84" s="964"/>
      <c r="E84" s="964"/>
      <c r="F84" s="964"/>
      <c r="G84" s="964"/>
      <c r="H84" s="964"/>
    </row>
  </sheetData>
  <mergeCells count="35">
    <mergeCell ref="B84:H84"/>
    <mergeCell ref="B83:H83"/>
    <mergeCell ref="B82:H82"/>
    <mergeCell ref="I67:O67"/>
    <mergeCell ref="I71:O71"/>
    <mergeCell ref="I69:O69"/>
    <mergeCell ref="B72:H72"/>
    <mergeCell ref="B76:H76"/>
    <mergeCell ref="B67:H67"/>
    <mergeCell ref="B69:H69"/>
    <mergeCell ref="B71:H71"/>
    <mergeCell ref="B68:H68"/>
    <mergeCell ref="I70:O70"/>
    <mergeCell ref="I72:O72"/>
    <mergeCell ref="B70:H70"/>
    <mergeCell ref="B73:H73"/>
    <mergeCell ref="B2:H2"/>
    <mergeCell ref="B62:F62"/>
    <mergeCell ref="B63:G63"/>
    <mergeCell ref="B81:H81"/>
    <mergeCell ref="B80:H80"/>
    <mergeCell ref="C3:H3"/>
    <mergeCell ref="B65:F65"/>
    <mergeCell ref="B5:H5"/>
    <mergeCell ref="B32:H32"/>
    <mergeCell ref="B59:G59"/>
    <mergeCell ref="B60:G60"/>
    <mergeCell ref="B61:G61"/>
    <mergeCell ref="B74:H74"/>
    <mergeCell ref="B75:H75"/>
    <mergeCell ref="I68:O68"/>
    <mergeCell ref="I73:O73"/>
    <mergeCell ref="I74:O74"/>
    <mergeCell ref="I75:O75"/>
    <mergeCell ref="I76:O76"/>
  </mergeCells>
  <pageMargins left="0.70866141732283472" right="0.70866141732283472" top="0.74803149606299213" bottom="0.7480314960629921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6"/>
  <dimension ref="A1:O85"/>
  <sheetViews>
    <sheetView showGridLines="0" topLeftCell="A37" zoomScaleNormal="100" zoomScaleSheetLayoutView="100" workbookViewId="0">
      <selection activeCell="B35" sqref="B35:B48"/>
    </sheetView>
  </sheetViews>
  <sheetFormatPr baseColWidth="10" defaultRowHeight="14.5"/>
  <cols>
    <col min="1" max="1" width="3.7265625" customWidth="1"/>
    <col min="2" max="2" width="55.7265625" customWidth="1"/>
    <col min="3" max="6" width="15.7265625" customWidth="1"/>
    <col min="7" max="7" width="8.7265625" customWidth="1"/>
    <col min="8" max="8" width="15.7265625" customWidth="1"/>
    <col min="10" max="10" width="22" customWidth="1"/>
    <col min="12" max="12" width="28" customWidth="1"/>
    <col min="14" max="14" width="31.7265625" customWidth="1"/>
  </cols>
  <sheetData>
    <row r="1" spans="1:12" ht="21">
      <c r="A1" s="70"/>
      <c r="B1" s="71" t="s">
        <v>696</v>
      </c>
      <c r="C1" s="692"/>
      <c r="D1" s="693"/>
      <c r="E1" s="693"/>
      <c r="F1" s="693"/>
      <c r="G1" s="693"/>
      <c r="H1" s="693"/>
      <c r="I1" s="693"/>
      <c r="J1" s="693"/>
      <c r="K1" s="693"/>
      <c r="L1" s="693"/>
    </row>
    <row r="2" spans="1:12" ht="92.25" customHeight="1"/>
    <row r="3" spans="1:12">
      <c r="B3" s="952" t="s">
        <v>683</v>
      </c>
      <c r="C3" s="952"/>
      <c r="D3" s="952"/>
      <c r="E3" s="952"/>
      <c r="F3" s="952"/>
      <c r="G3" s="952"/>
      <c r="H3" s="952"/>
    </row>
    <row r="4" spans="1:12" ht="41.25" customHeight="1">
      <c r="B4" s="682" t="s">
        <v>1</v>
      </c>
      <c r="C4" s="969" t="str">
        <f>'Paso 1 Calculo del Presupuesto'!C4:K4</f>
        <v xml:space="preserve"> INTERVENTORÍA TÉCNICA, ADMINSTRATIVA, FINANCIERA, Y LEGAL AL MANTENIMIENTO Y RENOVACIÓN DE OBRAS ELÉCTRICAS Y ELECTROMECÁNICAS EN LAS SEDES PROPIAS DEL DISTRITO</v>
      </c>
      <c r="D4" s="969"/>
      <c r="E4" s="969"/>
      <c r="F4" s="969"/>
      <c r="G4" s="969"/>
      <c r="H4" s="969"/>
    </row>
    <row r="6" spans="1:12">
      <c r="B6" s="962" t="str">
        <f>+'Paso 1 Calculo del Presupuesto'!B18:L18</f>
        <v>A - Costos directos de personal (Profesional, tecnólogo y técnico)</v>
      </c>
      <c r="C6" s="962"/>
      <c r="D6" s="962"/>
      <c r="E6" s="962"/>
      <c r="F6" s="962"/>
      <c r="G6" s="962"/>
      <c r="H6" s="962"/>
    </row>
    <row r="7" spans="1:12" ht="39.75" customHeight="1">
      <c r="B7" s="683" t="s">
        <v>4</v>
      </c>
      <c r="C7" s="678" t="s">
        <v>738</v>
      </c>
      <c r="D7" s="678" t="s">
        <v>685</v>
      </c>
      <c r="E7" s="678" t="s">
        <v>686</v>
      </c>
      <c r="F7" s="678" t="s">
        <v>687</v>
      </c>
      <c r="G7" s="678" t="s">
        <v>688</v>
      </c>
      <c r="H7" s="678" t="s">
        <v>689</v>
      </c>
    </row>
    <row r="8" spans="1:12">
      <c r="B8" s="577" t="str">
        <f>IF('Paso 1 Calculo del Presupuesto'!B20="","",CONCATENATE('Paso 1 Calculo del Presupuesto'!B20,"",'Paso 1 Calculo del Presupuesto'!C20))</f>
        <v>Coordinador de Interventoría.Ing Electricista</v>
      </c>
      <c r="C8" s="578">
        <f>IF(B8="","",+'Paso 1 Calculo del Presupuesto'!E20)</f>
        <v>1</v>
      </c>
      <c r="D8" s="579">
        <f>IF(B8="","",+'Paso 1 Calculo del Presupuesto'!F20)</f>
        <v>1</v>
      </c>
      <c r="E8" s="684"/>
      <c r="F8" s="677">
        <f>IF(B8="","",+'Paso 1 Calculo del Presupuesto'!H20)</f>
        <v>5</v>
      </c>
      <c r="G8" s="685"/>
      <c r="H8" s="580">
        <f>IFERROR(C8*D8*E8*F8*G8,"")</f>
        <v>0</v>
      </c>
    </row>
    <row r="9" spans="1:12">
      <c r="B9" s="577" t="str">
        <f>IF('Paso 1 Calculo del Presupuesto'!B21="","",CONCATENATE('Paso 1 Calculo del Presupuesto'!B21,"",'Paso 1 Calculo del Presupuesto'!C21))</f>
        <v>Residente de Interventoría.Ing Electromecanico</v>
      </c>
      <c r="C9" s="578">
        <f>IF(B9="","",+'Paso 1 Calculo del Presupuesto'!E21)</f>
        <v>1</v>
      </c>
      <c r="D9" s="579">
        <f>IF(B9="","",+'Paso 1 Calculo del Presupuesto'!F21)</f>
        <v>1</v>
      </c>
      <c r="E9" s="684"/>
      <c r="F9" s="677">
        <f>IF(B9="","",+'Paso 1 Calculo del Presupuesto'!H21)</f>
        <v>5</v>
      </c>
      <c r="G9" s="685"/>
      <c r="H9" s="580">
        <f>IFERROR(C9*D9*E9*F9*G9,"")</f>
        <v>0</v>
      </c>
    </row>
    <row r="10" spans="1:12">
      <c r="B10" s="577" t="str">
        <f>IF('Paso 1 Calculo del Presupuesto'!B22="","",CONCATENATE('Paso 1 Calculo del Presupuesto'!B22,"",'Paso 1 Calculo del Presupuesto'!C22))</f>
        <v>Residente de Interventoría.Ing Electricista</v>
      </c>
      <c r="C10" s="578">
        <f>IF(B10="","",+'Paso 1 Calculo del Presupuesto'!E22)</f>
        <v>1</v>
      </c>
      <c r="D10" s="579">
        <f>IF(B10="","",+'Paso 1 Calculo del Presupuesto'!F22)</f>
        <v>1</v>
      </c>
      <c r="E10" s="684"/>
      <c r="F10" s="677">
        <f>IF(B10="","",+'Paso 1 Calculo del Presupuesto'!H22)</f>
        <v>5</v>
      </c>
      <c r="G10" s="685"/>
      <c r="H10" s="580">
        <f t="shared" ref="H10:H32" si="0">IFERROR(C10*D10*E10*F10*G10,"")</f>
        <v>0</v>
      </c>
    </row>
    <row r="11" spans="1:12">
      <c r="B11" s="577" t="str">
        <f>IF('Paso 1 Calculo del Presupuesto'!B23="","",CONCATENATE('Paso 1 Calculo del Presupuesto'!B23,"",'Paso 1 Calculo del Presupuesto'!C23))</f>
        <v>Profesional Ambiental.Ambiental</v>
      </c>
      <c r="C11" s="578">
        <f>IF(B11="","",+'Paso 1 Calculo del Presupuesto'!E23)</f>
        <v>1</v>
      </c>
      <c r="D11" s="579">
        <f>IF(B11="","",+'Paso 1 Calculo del Presupuesto'!F23)</f>
        <v>1</v>
      </c>
      <c r="E11" s="684"/>
      <c r="F11" s="677">
        <f>IF(B11="","",+'Paso 1 Calculo del Presupuesto'!H23)</f>
        <v>5</v>
      </c>
      <c r="G11" s="685"/>
      <c r="H11" s="580">
        <f>IFERROR(C11*D11*E11*F11*G11,"")</f>
        <v>0</v>
      </c>
    </row>
    <row r="12" spans="1:12">
      <c r="B12" s="577" t="str">
        <f>IF('Paso 1 Calculo del Presupuesto'!B24="","",CONCATENATE('Paso 1 Calculo del Presupuesto'!B24,"",'Paso 1 Calculo del Presupuesto'!C24))</f>
        <v>Profesional Seguridad y Salud en el Trabajo -SST.SST</v>
      </c>
      <c r="C12" s="578">
        <f>IF(B12="","",+'Paso 1 Calculo del Presupuesto'!E24)</f>
        <v>2</v>
      </c>
      <c r="D12" s="579">
        <f>IF(B12="","",+'Paso 1 Calculo del Presupuesto'!F24)</f>
        <v>1</v>
      </c>
      <c r="E12" s="684"/>
      <c r="F12" s="677">
        <f>IF(B12="","",+'Paso 1 Calculo del Presupuesto'!H24)</f>
        <v>5</v>
      </c>
      <c r="G12" s="685"/>
      <c r="H12" s="580">
        <f t="shared" si="0"/>
        <v>0</v>
      </c>
    </row>
    <row r="13" spans="1:12">
      <c r="B13" s="577" t="str">
        <f>IF('Paso 1 Calculo del Presupuesto'!B25="","",CONCATENATE('Paso 1 Calculo del Presupuesto'!B25,"",'Paso 1 Calculo del Presupuesto'!C25))</f>
        <v>Otro.Técnico administrativo</v>
      </c>
      <c r="C13" s="578">
        <f>IF(B13="","",+'Paso 1 Calculo del Presupuesto'!E25)</f>
        <v>1</v>
      </c>
      <c r="D13" s="579">
        <f>IF(B13="","",+'Paso 1 Calculo del Presupuesto'!F25)</f>
        <v>1</v>
      </c>
      <c r="E13" s="684"/>
      <c r="F13" s="677">
        <f>IF(B13="","",+'Paso 1 Calculo del Presupuesto'!H25)</f>
        <v>5</v>
      </c>
      <c r="G13" s="685"/>
      <c r="H13" s="580">
        <f t="shared" si="0"/>
        <v>0</v>
      </c>
    </row>
    <row r="14" spans="1:12">
      <c r="B14" s="577" t="str">
        <f>IF('Paso 1 Calculo del Presupuesto'!B26="","",CONCATENATE('Paso 1 Calculo del Presupuesto'!B26,"",'Paso 1 Calculo del Presupuesto'!C26))</f>
        <v>Otro.Técnico electricista</v>
      </c>
      <c r="C14" s="578">
        <f>IF(B14="","",+'Paso 1 Calculo del Presupuesto'!E26)</f>
        <v>1</v>
      </c>
      <c r="D14" s="579">
        <f>IF(B14="","",+'Paso 1 Calculo del Presupuesto'!F26)</f>
        <v>1</v>
      </c>
      <c r="E14" s="684"/>
      <c r="F14" s="677">
        <f>IF(B14="","",+'Paso 1 Calculo del Presupuesto'!H26)</f>
        <v>5</v>
      </c>
      <c r="G14" s="685"/>
      <c r="H14" s="580">
        <f t="shared" si="0"/>
        <v>0</v>
      </c>
    </row>
    <row r="15" spans="1:12">
      <c r="B15" s="577" t="str">
        <f>IF('Paso 1 Calculo del Presupuesto'!B27="","",CONCATENATE('Paso 1 Calculo del Presupuesto'!B27,"",'Paso 1 Calculo del Presupuesto'!C27))</f>
        <v>Otro.Horas extras</v>
      </c>
      <c r="C15" s="578">
        <f>IF(B15="","",+'Paso 1 Calculo del Presupuesto'!E27)</f>
        <v>1</v>
      </c>
      <c r="D15" s="579">
        <f>IF(B15="","",+'Paso 1 Calculo del Presupuesto'!F27)</f>
        <v>1</v>
      </c>
      <c r="E15" s="684"/>
      <c r="F15" s="677">
        <f>IF(B15="","",+'Paso 1 Calculo del Presupuesto'!H27)</f>
        <v>5</v>
      </c>
      <c r="G15" s="685"/>
      <c r="H15" s="580">
        <f t="shared" si="0"/>
        <v>0</v>
      </c>
    </row>
    <row r="16" spans="1:12">
      <c r="B16" s="577" t="str">
        <f>IF('Paso 1 Calculo del Presupuesto'!B28="","",CONCATENATE('Paso 1 Calculo del Presupuesto'!B28,"",'Paso 1 Calculo del Presupuesto'!C28))</f>
        <v/>
      </c>
      <c r="C16" s="578" t="str">
        <f>IF(B16="","",+'Paso 1 Calculo del Presupuesto'!E28)</f>
        <v/>
      </c>
      <c r="D16" s="579" t="str">
        <f>IF(B16="","",+'Paso 1 Calculo del Presupuesto'!F28)</f>
        <v/>
      </c>
      <c r="E16" s="684"/>
      <c r="F16" s="677" t="str">
        <f>IF(B16="","",+'Paso 1 Calculo del Presupuesto'!H28)</f>
        <v/>
      </c>
      <c r="G16" s="685"/>
      <c r="H16" s="580" t="str">
        <f t="shared" si="0"/>
        <v/>
      </c>
    </row>
    <row r="17" spans="1:8">
      <c r="B17" s="577" t="str">
        <f>IF('Paso 1 Calculo del Presupuesto'!B29="","",CONCATENATE('Paso 1 Calculo del Presupuesto'!B29,"",'Paso 1 Calculo del Presupuesto'!C29))</f>
        <v/>
      </c>
      <c r="C17" s="578" t="str">
        <f>IF(B17="","",+'Paso 1 Calculo del Presupuesto'!E29)</f>
        <v/>
      </c>
      <c r="D17" s="579" t="str">
        <f>IF(B17="","",+'Paso 1 Calculo del Presupuesto'!F29)</f>
        <v/>
      </c>
      <c r="E17" s="684"/>
      <c r="F17" s="677" t="str">
        <f>IF(B17="","",+'Paso 1 Calculo del Presupuesto'!H29)</f>
        <v/>
      </c>
      <c r="G17" s="685"/>
      <c r="H17" s="580" t="str">
        <f t="shared" si="0"/>
        <v/>
      </c>
    </row>
    <row r="18" spans="1:8">
      <c r="B18" s="577" t="str">
        <f>IF('Paso 1 Calculo del Presupuesto'!B30="","",CONCATENATE('Paso 1 Calculo del Presupuesto'!B30,"",'Paso 1 Calculo del Presupuesto'!C30))</f>
        <v/>
      </c>
      <c r="C18" s="578" t="str">
        <f>IF(B18="","",+'Paso 1 Calculo del Presupuesto'!E30)</f>
        <v/>
      </c>
      <c r="D18" s="579" t="str">
        <f>IF(B18="","",+'Paso 1 Calculo del Presupuesto'!F30)</f>
        <v/>
      </c>
      <c r="E18" s="684"/>
      <c r="F18" s="677" t="str">
        <f>IF(B18="","",+'Paso 1 Calculo del Presupuesto'!H30)</f>
        <v/>
      </c>
      <c r="G18" s="685"/>
      <c r="H18" s="580" t="str">
        <f t="shared" si="0"/>
        <v/>
      </c>
    </row>
    <row r="19" spans="1:8">
      <c r="B19" s="577" t="str">
        <f>IF('Paso 1 Calculo del Presupuesto'!B31="","",CONCATENATE('Paso 1 Calculo del Presupuesto'!B31,"",'Paso 1 Calculo del Presupuesto'!C31))</f>
        <v/>
      </c>
      <c r="C19" s="578" t="str">
        <f>IF(B19="","",+'Paso 1 Calculo del Presupuesto'!E31)</f>
        <v/>
      </c>
      <c r="D19" s="579" t="str">
        <f>IF(B19="","",+'Paso 1 Calculo del Presupuesto'!F31)</f>
        <v/>
      </c>
      <c r="E19" s="684"/>
      <c r="F19" s="677" t="str">
        <f>IF(B19="","",+'Paso 1 Calculo del Presupuesto'!H31)</f>
        <v/>
      </c>
      <c r="G19" s="685"/>
      <c r="H19" s="580" t="str">
        <f t="shared" si="0"/>
        <v/>
      </c>
    </row>
    <row r="20" spans="1:8">
      <c r="B20" s="577" t="str">
        <f>IF('Paso 1 Calculo del Presupuesto'!B32="","",CONCATENATE('Paso 1 Calculo del Presupuesto'!B32,"",'Paso 1 Calculo del Presupuesto'!C32))</f>
        <v/>
      </c>
      <c r="C20" s="578" t="str">
        <f>IF(B20="","",+'Paso 1 Calculo del Presupuesto'!E32)</f>
        <v/>
      </c>
      <c r="D20" s="579" t="str">
        <f>IF(B20="","",+'Paso 1 Calculo del Presupuesto'!F32)</f>
        <v/>
      </c>
      <c r="E20" s="684"/>
      <c r="F20" s="677" t="str">
        <f>IF(B20="","",+'Paso 1 Calculo del Presupuesto'!H32)</f>
        <v/>
      </c>
      <c r="G20" s="685"/>
      <c r="H20" s="580" t="str">
        <f t="shared" si="0"/>
        <v/>
      </c>
    </row>
    <row r="21" spans="1:8">
      <c r="B21" s="577" t="str">
        <f>IF('Paso 1 Calculo del Presupuesto'!B33="","",CONCATENATE('Paso 1 Calculo del Presupuesto'!B33,"",'Paso 1 Calculo del Presupuesto'!C33))</f>
        <v/>
      </c>
      <c r="C21" s="578" t="str">
        <f>IF(B21="","",+'Paso 1 Calculo del Presupuesto'!E33)</f>
        <v/>
      </c>
      <c r="D21" s="579" t="str">
        <f>IF(B21="","",+'Paso 1 Calculo del Presupuesto'!F33)</f>
        <v/>
      </c>
      <c r="E21" s="684"/>
      <c r="F21" s="677" t="str">
        <f>IF(B21="","",+'Paso 1 Calculo del Presupuesto'!H33)</f>
        <v/>
      </c>
      <c r="G21" s="685"/>
      <c r="H21" s="580" t="str">
        <f t="shared" si="0"/>
        <v/>
      </c>
    </row>
    <row r="22" spans="1:8">
      <c r="B22" s="577" t="str">
        <f>IF('Paso 1 Calculo del Presupuesto'!B34="","",CONCATENATE('Paso 1 Calculo del Presupuesto'!B34,"",'Paso 1 Calculo del Presupuesto'!C34))</f>
        <v/>
      </c>
      <c r="C22" s="578" t="str">
        <f>IF(B22="","",+'Paso 1 Calculo del Presupuesto'!E34)</f>
        <v/>
      </c>
      <c r="D22" s="579" t="str">
        <f>IF(B22="","",+'Paso 1 Calculo del Presupuesto'!F34)</f>
        <v/>
      </c>
      <c r="E22" s="684"/>
      <c r="F22" s="677" t="str">
        <f>IF(B22="","",+'Paso 1 Calculo del Presupuesto'!H34)</f>
        <v/>
      </c>
      <c r="G22" s="685"/>
      <c r="H22" s="580" t="str">
        <f t="shared" si="0"/>
        <v/>
      </c>
    </row>
    <row r="23" spans="1:8">
      <c r="B23" s="577" t="str">
        <f>IF('Paso 1 Calculo del Presupuesto'!B35="","",CONCATENATE('Paso 1 Calculo del Presupuesto'!B35,"",'Paso 1 Calculo del Presupuesto'!C35))</f>
        <v/>
      </c>
      <c r="C23" s="578" t="str">
        <f>IF(B23="","",+'Paso 1 Calculo del Presupuesto'!E35)</f>
        <v/>
      </c>
      <c r="D23" s="579" t="str">
        <f>IF(B23="","",+'Paso 1 Calculo del Presupuesto'!F35)</f>
        <v/>
      </c>
      <c r="E23" s="684"/>
      <c r="F23" s="677" t="str">
        <f>IF(B23="","",+'Paso 1 Calculo del Presupuesto'!H35)</f>
        <v/>
      </c>
      <c r="G23" s="685"/>
      <c r="H23" s="580" t="str">
        <f t="shared" si="0"/>
        <v/>
      </c>
    </row>
    <row r="24" spans="1:8">
      <c r="B24" s="577" t="str">
        <f>IF('Paso 1 Calculo del Presupuesto'!B36="","",CONCATENATE('Paso 1 Calculo del Presupuesto'!B36,"",'Paso 1 Calculo del Presupuesto'!C36))</f>
        <v/>
      </c>
      <c r="C24" s="578" t="str">
        <f>IF(B24="","",+'Paso 1 Calculo del Presupuesto'!E36)</f>
        <v/>
      </c>
      <c r="D24" s="579" t="str">
        <f>IF(B24="","",+'Paso 1 Calculo del Presupuesto'!F36)</f>
        <v/>
      </c>
      <c r="E24" s="684"/>
      <c r="F24" s="677" t="str">
        <f>IF(B24="","",+'Paso 1 Calculo del Presupuesto'!H36)</f>
        <v/>
      </c>
      <c r="G24" s="685"/>
      <c r="H24" s="580" t="str">
        <f t="shared" si="0"/>
        <v/>
      </c>
    </row>
    <row r="25" spans="1:8">
      <c r="B25" s="577" t="str">
        <f>IF('Paso 1 Calculo del Presupuesto'!B37="","",CONCATENATE('Paso 1 Calculo del Presupuesto'!B37,"",'Paso 1 Calculo del Presupuesto'!C37))</f>
        <v/>
      </c>
      <c r="C25" s="578" t="str">
        <f>IF(B25="","",+'Paso 1 Calculo del Presupuesto'!E37)</f>
        <v/>
      </c>
      <c r="D25" s="579" t="str">
        <f>IF(B25="","",+'Paso 1 Calculo del Presupuesto'!F37)</f>
        <v/>
      </c>
      <c r="E25" s="684"/>
      <c r="F25" s="677" t="str">
        <f>IF(B25="","",+'Paso 1 Calculo del Presupuesto'!H37)</f>
        <v/>
      </c>
      <c r="G25" s="685"/>
      <c r="H25" s="580" t="str">
        <f t="shared" si="0"/>
        <v/>
      </c>
    </row>
    <row r="26" spans="1:8">
      <c r="B26" s="577" t="str">
        <f>IF('Paso 1 Calculo del Presupuesto'!B38="","",CONCATENATE('Paso 1 Calculo del Presupuesto'!B38,"",'Paso 1 Calculo del Presupuesto'!C38))</f>
        <v/>
      </c>
      <c r="C26" s="578" t="str">
        <f>IF(B26="","",+'Paso 1 Calculo del Presupuesto'!E38)</f>
        <v/>
      </c>
      <c r="D26" s="579" t="str">
        <f>IF(B26="","",+'Paso 1 Calculo del Presupuesto'!F38)</f>
        <v/>
      </c>
      <c r="E26" s="684"/>
      <c r="F26" s="677" t="str">
        <f>IF(B26="","",+'Paso 1 Calculo del Presupuesto'!H38)</f>
        <v/>
      </c>
      <c r="G26" s="685"/>
      <c r="H26" s="580" t="str">
        <f t="shared" si="0"/>
        <v/>
      </c>
    </row>
    <row r="27" spans="1:8">
      <c r="B27" s="577" t="str">
        <f>IF('Paso 1 Calculo del Presupuesto'!B39="","",CONCATENATE('Paso 1 Calculo del Presupuesto'!B39,"",'Paso 1 Calculo del Presupuesto'!C39))</f>
        <v/>
      </c>
      <c r="C27" s="578" t="str">
        <f>IF(B27="","",+'Paso 1 Calculo del Presupuesto'!E39)</f>
        <v/>
      </c>
      <c r="D27" s="579" t="str">
        <f>IF(B27="","",+'Paso 1 Calculo del Presupuesto'!F39)</f>
        <v/>
      </c>
      <c r="E27" s="684"/>
      <c r="F27" s="677" t="str">
        <f>IF(B27="","",+'Paso 1 Calculo del Presupuesto'!H39)</f>
        <v/>
      </c>
      <c r="G27" s="685"/>
      <c r="H27" s="580" t="str">
        <f t="shared" si="0"/>
        <v/>
      </c>
    </row>
    <row r="28" spans="1:8">
      <c r="B28" s="577" t="str">
        <f>IF('Paso 1 Calculo del Presupuesto'!B40="","",CONCATENATE('Paso 1 Calculo del Presupuesto'!B40,"",'Paso 1 Calculo del Presupuesto'!C40))</f>
        <v/>
      </c>
      <c r="C28" s="578" t="str">
        <f>IF(B28="","",+'Paso 1 Calculo del Presupuesto'!E40)</f>
        <v/>
      </c>
      <c r="D28" s="579" t="str">
        <f>IF(B28="","",+'Paso 1 Calculo del Presupuesto'!F40)</f>
        <v/>
      </c>
      <c r="E28" s="684"/>
      <c r="F28" s="677" t="str">
        <f>IF(B28="","",+'Paso 1 Calculo del Presupuesto'!H40)</f>
        <v/>
      </c>
      <c r="G28" s="685"/>
      <c r="H28" s="580" t="str">
        <f t="shared" si="0"/>
        <v/>
      </c>
    </row>
    <row r="29" spans="1:8">
      <c r="B29" s="577" t="str">
        <f>IF('Paso 1 Calculo del Presupuesto'!B41="","",CONCATENATE('Paso 1 Calculo del Presupuesto'!B41,"",'Paso 1 Calculo del Presupuesto'!C41))</f>
        <v/>
      </c>
      <c r="C29" s="578" t="str">
        <f>IF(B29="","",+'Paso 1 Calculo del Presupuesto'!E41)</f>
        <v/>
      </c>
      <c r="D29" s="579" t="str">
        <f>IF(B29="","",+'Paso 1 Calculo del Presupuesto'!F41)</f>
        <v/>
      </c>
      <c r="E29" s="684"/>
      <c r="F29" s="677" t="str">
        <f>IF(B29="","",+'Paso 1 Calculo del Presupuesto'!H41)</f>
        <v/>
      </c>
      <c r="G29" s="685"/>
      <c r="H29" s="580" t="str">
        <f t="shared" si="0"/>
        <v/>
      </c>
    </row>
    <row r="30" spans="1:8">
      <c r="B30" s="577" t="str">
        <f>IF('Paso 1 Calculo del Presupuesto'!B42="","",CONCATENATE('Paso 1 Calculo del Presupuesto'!B42,"",'Paso 1 Calculo del Presupuesto'!C42))</f>
        <v/>
      </c>
      <c r="C30" s="578" t="str">
        <f>IF(B30="","",+'Paso 1 Calculo del Presupuesto'!E42)</f>
        <v/>
      </c>
      <c r="D30" s="579" t="str">
        <f>IF(B30="","",+'Paso 1 Calculo del Presupuesto'!F42)</f>
        <v/>
      </c>
      <c r="E30" s="684"/>
      <c r="F30" s="677" t="str">
        <f>IF(B30="","",+'Paso 1 Calculo del Presupuesto'!H42)</f>
        <v/>
      </c>
      <c r="G30" s="685"/>
      <c r="H30" s="580" t="str">
        <f t="shared" si="0"/>
        <v/>
      </c>
    </row>
    <row r="31" spans="1:8">
      <c r="B31" s="577" t="str">
        <f>IF('Paso 1 Calculo del Presupuesto'!B43="","",CONCATENATE('Paso 1 Calculo del Presupuesto'!B43,"",'Paso 1 Calculo del Presupuesto'!C43))</f>
        <v/>
      </c>
      <c r="C31" s="578" t="str">
        <f>IF(B31="","",+'Paso 1 Calculo del Presupuesto'!E43)</f>
        <v/>
      </c>
      <c r="D31" s="579" t="str">
        <f>IF(B31="","",+'Paso 1 Calculo del Presupuesto'!F43)</f>
        <v/>
      </c>
      <c r="E31" s="684"/>
      <c r="F31" s="677" t="str">
        <f>IF(B31="","",+'Paso 1 Calculo del Presupuesto'!H43)</f>
        <v/>
      </c>
      <c r="G31" s="685"/>
      <c r="H31" s="580" t="str">
        <f t="shared" si="0"/>
        <v/>
      </c>
    </row>
    <row r="32" spans="1:8">
      <c r="A32" s="574"/>
      <c r="B32" s="577" t="str">
        <f>IF('Paso 1 Calculo del Presupuesto'!B44="","",CONCATENATE('Paso 1 Calculo del Presupuesto'!B44,"",'Paso 1 Calculo del Presupuesto'!C44))</f>
        <v/>
      </c>
      <c r="C32" s="578" t="str">
        <f>IF(B32="","",+'Paso 1 Calculo del Presupuesto'!E44)</f>
        <v/>
      </c>
      <c r="D32" s="579" t="str">
        <f>IF(B32="","",+'Paso 1 Calculo del Presupuesto'!F44)</f>
        <v/>
      </c>
      <c r="E32" s="684"/>
      <c r="F32" s="677" t="str">
        <f>IF(B32="","",+'Paso 1 Calculo del Presupuesto'!H44)</f>
        <v/>
      </c>
      <c r="G32" s="685"/>
      <c r="H32" s="580" t="str">
        <f t="shared" si="0"/>
        <v/>
      </c>
    </row>
    <row r="33" spans="1:8">
      <c r="A33" s="574"/>
      <c r="B33" s="962" t="str">
        <f>+'Paso 1 Calculo del Presupuesto'!B47:L47</f>
        <v xml:space="preserve">B - Otros Costos directos </v>
      </c>
      <c r="C33" s="962"/>
      <c r="D33" s="962"/>
      <c r="E33" s="962"/>
      <c r="F33" s="962"/>
      <c r="G33" s="962"/>
      <c r="H33" s="962"/>
    </row>
    <row r="34" spans="1:8" ht="39.75" customHeight="1">
      <c r="B34" s="678" t="str">
        <f>+'Paso 1 Calculo del Presupuesto'!B48</f>
        <v>Descricpión</v>
      </c>
      <c r="C34" s="678" t="s">
        <v>691</v>
      </c>
      <c r="D34" s="678" t="str">
        <f>+'Paso 1 Calculo del Presupuesto'!D48</f>
        <v>Unidad de Medida</v>
      </c>
      <c r="E34" s="678" t="s">
        <v>692</v>
      </c>
      <c r="F34" s="678" t="s">
        <v>768</v>
      </c>
      <c r="G34" s="678"/>
      <c r="H34" s="678" t="s">
        <v>693</v>
      </c>
    </row>
    <row r="35" spans="1:8" ht="43.5">
      <c r="B35" s="582" t="str">
        <f>IF('Paso 1 Calculo del Presupuesto'!B49="","",CONCATENATE('Paso 1 Calculo del Presupuesto'!B49,"",'Paso 1 Calculo del Presupuesto'!C49))</f>
        <v>Auxilio para alquiler de equipos de computo con software licenciado de acuerdo con la especificación requerida por la entidad.</v>
      </c>
      <c r="C35" s="578">
        <f>IF(B35="","",+'Paso 1 Calculo del Presupuesto'!E49)</f>
        <v>8</v>
      </c>
      <c r="D35" s="578" t="str">
        <f>IF(B35="","",+'Paso 1 Calculo del Presupuesto'!D49)</f>
        <v>Mes</v>
      </c>
      <c r="E35" s="684"/>
      <c r="F35" s="578">
        <f>IF(B35="","",+'Paso 1 Calculo del Presupuesto'!K49)</f>
        <v>5</v>
      </c>
      <c r="G35" s="577"/>
      <c r="H35" s="580">
        <f>IFERROR(C35*E35*F35,"")</f>
        <v>0</v>
      </c>
    </row>
    <row r="36" spans="1:8" ht="29">
      <c r="B36" s="582" t="str">
        <f>IF('Paso 1 Calculo del Presupuesto'!B50="","",CONCATENATE('Paso 1 Calculo del Presupuesto'!B50,"",'Paso 1 Calculo del Presupuesto'!C50))</f>
        <v>Auxilio para equipos de impresión, incluye suministro de tinta, de acuerdo con la especificación requerida por la entidad.</v>
      </c>
      <c r="C36" s="578">
        <f>IF(B36="","",+'Paso 1 Calculo del Presupuesto'!E50)</f>
        <v>1</v>
      </c>
      <c r="D36" s="578" t="str">
        <f>IF(B36="","",+'Paso 1 Calculo del Presupuesto'!D50)</f>
        <v>Mes</v>
      </c>
      <c r="E36" s="684"/>
      <c r="F36" s="578">
        <f>IF(B36="","",+'Paso 1 Calculo del Presupuesto'!K50)</f>
        <v>5</v>
      </c>
      <c r="G36" s="577"/>
      <c r="H36" s="580">
        <f>IFERROR(C36*E36*F36,"")</f>
        <v>0</v>
      </c>
    </row>
    <row r="37" spans="1:8">
      <c r="B37" s="582" t="str">
        <f>IF('Paso 1 Calculo del Presupuesto'!B51="","",CONCATENATE('Paso 1 Calculo del Presupuesto'!B51,"",'Paso 1 Calculo del Presupuesto'!C51))</f>
        <v>Auxilio para gastos de papeleria, impresiones, fotocopias y otros.</v>
      </c>
      <c r="C37" s="578">
        <f>IF(B37="","",+'Paso 1 Calculo del Presupuesto'!E51)</f>
        <v>1</v>
      </c>
      <c r="D37" s="578" t="str">
        <f>IF(B37="","",+'Paso 1 Calculo del Presupuesto'!D51)</f>
        <v>Mes</v>
      </c>
      <c r="E37" s="684"/>
      <c r="F37" s="578">
        <f>IF(B37="","",+'Paso 1 Calculo del Presupuesto'!K51)</f>
        <v>5</v>
      </c>
      <c r="G37" s="577"/>
      <c r="H37" s="580">
        <f t="shared" ref="H37:H58" si="1">IFERROR(C37*E37*F37,"")</f>
        <v>0</v>
      </c>
    </row>
    <row r="38" spans="1:8" ht="43.5">
      <c r="B38" s="582" t="str">
        <f>IF('Paso 1 Calculo del Presupuesto'!B52="","",CONCATENATE('Paso 1 Calculo del Presupuesto'!B52,"",'Paso 1 Calculo del Presupuesto'!C52))</f>
        <v>Transporte: Vehículo con especificaciones definidas en el presupuesto, cuando es subcontratado con un tercero o con el personal.Alquiler de vehiculo</v>
      </c>
      <c r="C38" s="578">
        <f>IF(B38="","",+'Paso 1 Calculo del Presupuesto'!E52)</f>
        <v>2</v>
      </c>
      <c r="D38" s="578" t="str">
        <f>IF(B38="","",+'Paso 1 Calculo del Presupuesto'!D52)</f>
        <v>Mes</v>
      </c>
      <c r="E38" s="684"/>
      <c r="F38" s="578">
        <f>IF(B38="","",+'Paso 1 Calculo del Presupuesto'!K52)</f>
        <v>5</v>
      </c>
      <c r="G38" s="577"/>
      <c r="H38" s="580">
        <f t="shared" si="1"/>
        <v>0</v>
      </c>
    </row>
    <row r="39" spans="1:8" ht="29">
      <c r="B39" s="582" t="str">
        <f>IF('Paso 1 Calculo del Presupuesto'!B53="","",CONCATENATE('Paso 1 Calculo del Presupuesto'!B53,"",'Paso 1 Calculo del Presupuesto'!C53))</f>
        <v>Chaqueta profesionales y personal de obra (según manual de identidad gráfica)</v>
      </c>
      <c r="C39" s="578">
        <f>IF(B39="","",+'Paso 1 Calculo del Presupuesto'!E53)</f>
        <v>8</v>
      </c>
      <c r="D39" s="578" t="str">
        <f>IF(B39="","",+'Paso 1 Calculo del Presupuesto'!D53)</f>
        <v>Unidad</v>
      </c>
      <c r="E39" s="684"/>
      <c r="F39" s="578">
        <f>IF(B39="","",+'Paso 1 Calculo del Presupuesto'!K53)</f>
        <v>1</v>
      </c>
      <c r="G39" s="577"/>
      <c r="H39" s="580">
        <f>IFERROR(C39*E39*F39,"")</f>
        <v>0</v>
      </c>
    </row>
    <row r="40" spans="1:8" ht="29">
      <c r="B40" s="582" t="str">
        <f>IF('Paso 1 Calculo del Presupuesto'!B54="","",CONCATENATE('Paso 1 Calculo del Presupuesto'!B54,"",'Paso 1 Calculo del Presupuesto'!C54))</f>
        <v>Estudios y asesorías juridicas, contables y técnicas especializadas.Diagnostico sistema AA CAD</v>
      </c>
      <c r="C40" s="578">
        <f>IF(B40="","",+'Paso 1 Calculo del Presupuesto'!E54)</f>
        <v>1</v>
      </c>
      <c r="D40" s="578" t="str">
        <f>IF(B40="","",+'Paso 1 Calculo del Presupuesto'!D54)</f>
        <v>Global</v>
      </c>
      <c r="E40" s="684"/>
      <c r="F40" s="578">
        <f>IF(B40="","",+'Paso 1 Calculo del Presupuesto'!K54)</f>
        <v>1</v>
      </c>
      <c r="G40" s="577"/>
      <c r="H40" s="580">
        <f t="shared" si="1"/>
        <v>0</v>
      </c>
    </row>
    <row r="41" spans="1:8" ht="29">
      <c r="B41" s="582" t="str">
        <f>IF('Paso 1 Calculo del Presupuesto'!B55="","",CONCATENATE('Paso 1 Calculo del Presupuesto'!B55,"",'Paso 1 Calculo del Presupuesto'!C55))</f>
        <v>Estudios y asesorías juridicas, contables y técnicas especializadas.Diseño de automatización y control de UMAs CAD</v>
      </c>
      <c r="C41" s="578">
        <f>IF(B41="","",+'Paso 1 Calculo del Presupuesto'!E55)</f>
        <v>1</v>
      </c>
      <c r="D41" s="578" t="str">
        <f>IF(B41="","",+'Paso 1 Calculo del Presupuesto'!D55)</f>
        <v>Global</v>
      </c>
      <c r="E41" s="684"/>
      <c r="F41" s="578">
        <f>IF(B41="","",+'Paso 1 Calculo del Presupuesto'!K55)</f>
        <v>1</v>
      </c>
      <c r="G41" s="577"/>
      <c r="H41" s="580">
        <f t="shared" si="1"/>
        <v>0</v>
      </c>
    </row>
    <row r="42" spans="1:8" ht="29">
      <c r="B42" s="582" t="str">
        <f>IF('Paso 1 Calculo del Presupuesto'!B56="","",CONCATENATE('Paso 1 Calculo del Presupuesto'!B56,"",'Paso 1 Calculo del Presupuesto'!C56))</f>
        <v>Estudios y asesorías juridicas, contables y técnicas especializadas.Diseño sistema inyección aire parqueadero CAD</v>
      </c>
      <c r="C42" s="578">
        <f>IF(B42="","",+'Paso 1 Calculo del Presupuesto'!E56)</f>
        <v>1</v>
      </c>
      <c r="D42" s="578" t="str">
        <f>IF(B42="","",+'Paso 1 Calculo del Presupuesto'!D56)</f>
        <v>Global</v>
      </c>
      <c r="E42" s="684"/>
      <c r="F42" s="578">
        <f>IF(B42="","",+'Paso 1 Calculo del Presupuesto'!K56)</f>
        <v>1</v>
      </c>
      <c r="G42" s="577"/>
      <c r="H42" s="580">
        <f>IFERROR(C42*E42*F42,"")</f>
        <v>0</v>
      </c>
    </row>
    <row r="43" spans="1:8" ht="29">
      <c r="B43" s="582" t="str">
        <f>IF('Paso 1 Calculo del Presupuesto'!B57="","",CONCATENATE('Paso 1 Calculo del Presupuesto'!B57,"",'Paso 1 Calculo del Presupuesto'!C57))</f>
        <v>Estudios y asesorías juridicas, contables y técnicas especializadas.Diseños electricos oficinas Movilidad</v>
      </c>
      <c r="C43" s="578">
        <f>IF(B43="","",+'Paso 1 Calculo del Presupuesto'!E57)</f>
        <v>1</v>
      </c>
      <c r="D43" s="578" t="str">
        <f>IF(B43="","",+'Paso 1 Calculo del Presupuesto'!D57)</f>
        <v>Global</v>
      </c>
      <c r="E43" s="684"/>
      <c r="F43" s="578">
        <f>IF(B43="","",+'Paso 1 Calculo del Presupuesto'!K57)</f>
        <v>1</v>
      </c>
      <c r="G43" s="577"/>
      <c r="H43" s="580">
        <f t="shared" si="1"/>
        <v>0</v>
      </c>
    </row>
    <row r="44" spans="1:8" ht="29">
      <c r="B44" s="582" t="str">
        <f>IF('Paso 1 Calculo del Presupuesto'!B58="","",CONCATENATE('Paso 1 Calculo del Presupuesto'!B58,"",'Paso 1 Calculo del Presupuesto'!C58))</f>
        <v>Estudios y asesorías juridicas, contables y técnicas especializadas.Diagnostico sistema extración piso 13 CAD</v>
      </c>
      <c r="C44" s="578">
        <f>IF(B44="","",+'Paso 1 Calculo del Presupuesto'!E58)</f>
        <v>1</v>
      </c>
      <c r="D44" s="578" t="str">
        <f>IF(B44="","",+'Paso 1 Calculo del Presupuesto'!D58)</f>
        <v>Global</v>
      </c>
      <c r="E44" s="684"/>
      <c r="F44" s="578">
        <f>IF(B44="","",+'Paso 1 Calculo del Presupuesto'!K58)</f>
        <v>1</v>
      </c>
      <c r="G44" s="577"/>
      <c r="H44" s="580">
        <f t="shared" si="1"/>
        <v>0</v>
      </c>
    </row>
    <row r="45" spans="1:8" ht="43.5">
      <c r="B45" s="582" t="str">
        <f>IF('Paso 1 Calculo del Presupuesto'!B59="","",CONCATENATE('Paso 1 Calculo del Presupuesto'!B59,"",'Paso 1 Calculo del Presupuesto'!C59))</f>
        <v>Estudios y asesorías juridicas, contables y técnicas especializadas.Diseño sistema de respalo electrico centro de monitoreo Datacenter</v>
      </c>
      <c r="C45" s="578">
        <f>IF(B45="","",+'Paso 1 Calculo del Presupuesto'!E59)</f>
        <v>1</v>
      </c>
      <c r="D45" s="578" t="str">
        <f>IF(B45="","",+'Paso 1 Calculo del Presupuesto'!D59)</f>
        <v>Global</v>
      </c>
      <c r="E45" s="684"/>
      <c r="F45" s="578">
        <f>IF(B45="","",+'Paso 1 Calculo del Presupuesto'!K59)</f>
        <v>1</v>
      </c>
      <c r="G45" s="577"/>
      <c r="H45" s="580">
        <f t="shared" si="1"/>
        <v>0</v>
      </c>
    </row>
    <row r="46" spans="1:8" ht="43.5">
      <c r="B46" s="582" t="str">
        <f>IF('Paso 1 Calculo del Presupuesto'!B60="","",CONCATENATE('Paso 1 Calculo del Presupuesto'!B60,"",'Paso 1 Calculo del Presupuesto'!C60))</f>
        <v>Estudios y asesorías juridicas, contables y técnicas especializadas.Diseño repotenciación circuitos electricos piso 5 terraza</v>
      </c>
      <c r="C46" s="578">
        <f>IF(B46="","",+'Paso 1 Calculo del Presupuesto'!E60)</f>
        <v>1</v>
      </c>
      <c r="D46" s="578" t="str">
        <f>IF(B46="","",+'Paso 1 Calculo del Presupuesto'!D60)</f>
        <v>Global</v>
      </c>
      <c r="E46" s="684"/>
      <c r="F46" s="578">
        <f>IF(B46="","",+'Paso 1 Calculo del Presupuesto'!K60)</f>
        <v>1</v>
      </c>
      <c r="G46" s="577"/>
      <c r="H46" s="580">
        <f t="shared" si="1"/>
        <v>0</v>
      </c>
    </row>
    <row r="47" spans="1:8" ht="43.5">
      <c r="B47" s="582" t="str">
        <f>IF('Paso 1 Calculo del Presupuesto'!B61="","",CONCATENATE('Paso 1 Calculo del Presupuesto'!B61,"",'Paso 1 Calculo del Presupuesto'!C61))</f>
        <v>Estudios y asesorías juridicas, contables y técnicas especializadas.Diseño reubicación sistema aire acondicionado auditorios A y B</v>
      </c>
      <c r="C47" s="578">
        <f>IF(B47="","",+'Paso 1 Calculo del Presupuesto'!E61)</f>
        <v>1</v>
      </c>
      <c r="D47" s="578" t="str">
        <f>IF(B47="","",+'Paso 1 Calculo del Presupuesto'!D61)</f>
        <v>Global</v>
      </c>
      <c r="E47" s="684"/>
      <c r="F47" s="578">
        <f>IF(B47="","",+'Paso 1 Calculo del Presupuesto'!K61)</f>
        <v>1</v>
      </c>
      <c r="G47" s="577"/>
      <c r="H47" s="580">
        <f t="shared" si="1"/>
        <v>0</v>
      </c>
    </row>
    <row r="48" spans="1:8" ht="29">
      <c r="B48" s="582" t="str">
        <f>IF('Paso 1 Calculo del Presupuesto'!B62="","",CONCATENATE('Paso 1 Calculo del Presupuesto'!B62,"",'Paso 1 Calculo del Presupuesto'!C62))</f>
        <v>Estudios y asesorías juridicas, contables y técnicas especializadas.Según necesidad</v>
      </c>
      <c r="C48" s="578">
        <f>IF(B48="","",+'Paso 1 Calculo del Presupuesto'!E62)</f>
        <v>1</v>
      </c>
      <c r="D48" s="578" t="str">
        <f>IF(B48="","",+'Paso 1 Calculo del Presupuesto'!D62)</f>
        <v>Global</v>
      </c>
      <c r="E48" s="684"/>
      <c r="F48" s="578">
        <f>IF(B48="","",+'Paso 1 Calculo del Presupuesto'!K62)</f>
        <v>1</v>
      </c>
      <c r="G48" s="577"/>
      <c r="H48" s="580">
        <f t="shared" si="1"/>
        <v>0</v>
      </c>
    </row>
    <row r="49" spans="2:8">
      <c r="B49" s="577" t="str">
        <f>IF('Paso 1 Calculo del Presupuesto'!B63="","",CONCATENATE('Paso 1 Calculo del Presupuesto'!B63,"",'Paso 1 Calculo del Presupuesto'!C63))</f>
        <v/>
      </c>
      <c r="C49" s="578" t="str">
        <f>IF(B49="","",+'Paso 1 Calculo del Presupuesto'!E63)</f>
        <v/>
      </c>
      <c r="D49" s="578" t="str">
        <f>IF(B49="","",+'Paso 1 Calculo del Presupuesto'!D63)</f>
        <v/>
      </c>
      <c r="E49" s="684"/>
      <c r="F49" s="578" t="str">
        <f>IF(B49="","",+'Paso 1 Calculo del Presupuesto'!K63)</f>
        <v/>
      </c>
      <c r="G49" s="577"/>
      <c r="H49" s="580" t="str">
        <f t="shared" si="1"/>
        <v/>
      </c>
    </row>
    <row r="50" spans="2:8">
      <c r="B50" s="577" t="str">
        <f>IF('Paso 1 Calculo del Presupuesto'!B64="","",CONCATENATE('Paso 1 Calculo del Presupuesto'!B64,"",'Paso 1 Calculo del Presupuesto'!C64))</f>
        <v/>
      </c>
      <c r="C50" s="578" t="str">
        <f>IF(B50="","",+'Paso 1 Calculo del Presupuesto'!E64)</f>
        <v/>
      </c>
      <c r="D50" s="578" t="str">
        <f>IF(B50="","",+'Paso 1 Calculo del Presupuesto'!D64)</f>
        <v/>
      </c>
      <c r="E50" s="684"/>
      <c r="F50" s="578" t="str">
        <f>IF(B50="","",+'Paso 1 Calculo del Presupuesto'!K64)</f>
        <v/>
      </c>
      <c r="G50" s="577"/>
      <c r="H50" s="580" t="str">
        <f t="shared" si="1"/>
        <v/>
      </c>
    </row>
    <row r="51" spans="2:8">
      <c r="B51" s="577" t="str">
        <f>IF('Paso 1 Calculo del Presupuesto'!B65="","",CONCATENATE('Paso 1 Calculo del Presupuesto'!B65,"",'Paso 1 Calculo del Presupuesto'!C65))</f>
        <v/>
      </c>
      <c r="C51" s="578" t="str">
        <f>IF(B51="","",+'Paso 1 Calculo del Presupuesto'!E65)</f>
        <v/>
      </c>
      <c r="D51" s="578" t="str">
        <f>IF(B51="","",+'Paso 1 Calculo del Presupuesto'!D65)</f>
        <v/>
      </c>
      <c r="E51" s="684"/>
      <c r="F51" s="578" t="str">
        <f>IF(B51="","",+'Paso 1 Calculo del Presupuesto'!K65)</f>
        <v/>
      </c>
      <c r="G51" s="577"/>
      <c r="H51" s="580" t="str">
        <f t="shared" si="1"/>
        <v/>
      </c>
    </row>
    <row r="52" spans="2:8">
      <c r="B52" s="577" t="str">
        <f>IF('Paso 1 Calculo del Presupuesto'!B66="","",CONCATENATE('Paso 1 Calculo del Presupuesto'!B66,"",'Paso 1 Calculo del Presupuesto'!C66))</f>
        <v/>
      </c>
      <c r="C52" s="578" t="str">
        <f>IF(B52="","",+'Paso 1 Calculo del Presupuesto'!E66)</f>
        <v/>
      </c>
      <c r="D52" s="578" t="str">
        <f>IF(B52="","",+'Paso 1 Calculo del Presupuesto'!D66)</f>
        <v/>
      </c>
      <c r="E52" s="684"/>
      <c r="F52" s="578" t="str">
        <f>IF(B52="","",+'Paso 1 Calculo del Presupuesto'!K66)</f>
        <v/>
      </c>
      <c r="G52" s="577"/>
      <c r="H52" s="580" t="str">
        <f>IFERROR(C52*E52*F52,"")</f>
        <v/>
      </c>
    </row>
    <row r="53" spans="2:8">
      <c r="B53" s="577" t="str">
        <f>IF('Paso 1 Calculo del Presupuesto'!B67="","",CONCATENATE('Paso 1 Calculo del Presupuesto'!B67,"",'Paso 1 Calculo del Presupuesto'!C67))</f>
        <v/>
      </c>
      <c r="C53" s="578" t="str">
        <f>IF(B53="","",+'Paso 1 Calculo del Presupuesto'!E67)</f>
        <v/>
      </c>
      <c r="D53" s="578" t="str">
        <f>IF(B53="","",+'Paso 1 Calculo del Presupuesto'!D67)</f>
        <v/>
      </c>
      <c r="E53" s="684"/>
      <c r="F53" s="578" t="str">
        <f>IF(B53="","",+'Paso 1 Calculo del Presupuesto'!K67)</f>
        <v/>
      </c>
      <c r="G53" s="577"/>
      <c r="H53" s="580" t="str">
        <f t="shared" si="1"/>
        <v/>
      </c>
    </row>
    <row r="54" spans="2:8">
      <c r="B54" s="577" t="str">
        <f>IF('Paso 1 Calculo del Presupuesto'!B68="","",CONCATENATE('Paso 1 Calculo del Presupuesto'!B68,"",'Paso 1 Calculo del Presupuesto'!C68))</f>
        <v/>
      </c>
      <c r="C54" s="578" t="str">
        <f>IF(B54="","",+'Paso 1 Calculo del Presupuesto'!E68)</f>
        <v/>
      </c>
      <c r="D54" s="578" t="str">
        <f>IF(B54="","",+'Paso 1 Calculo del Presupuesto'!D68)</f>
        <v/>
      </c>
      <c r="E54" s="684"/>
      <c r="F54" s="578" t="str">
        <f>IF(B54="","",+'Paso 1 Calculo del Presupuesto'!K68)</f>
        <v/>
      </c>
      <c r="G54" s="577"/>
      <c r="H54" s="580" t="str">
        <f t="shared" si="1"/>
        <v/>
      </c>
    </row>
    <row r="55" spans="2:8">
      <c r="B55" s="577" t="str">
        <f>IF('Paso 1 Calculo del Presupuesto'!B69="","",CONCATENATE('Paso 1 Calculo del Presupuesto'!B69,"",'Paso 1 Calculo del Presupuesto'!C69))</f>
        <v/>
      </c>
      <c r="C55" s="578" t="str">
        <f>IF(B55="","",+'Paso 1 Calculo del Presupuesto'!E69)</f>
        <v/>
      </c>
      <c r="D55" s="578" t="str">
        <f>IF(B55="","",+'Paso 1 Calculo del Presupuesto'!D69)</f>
        <v/>
      </c>
      <c r="E55" s="684"/>
      <c r="F55" s="578" t="str">
        <f>IF(B55="","",+'Paso 1 Calculo del Presupuesto'!K69)</f>
        <v/>
      </c>
      <c r="G55" s="577"/>
      <c r="H55" s="580" t="str">
        <f t="shared" si="1"/>
        <v/>
      </c>
    </row>
    <row r="56" spans="2:8">
      <c r="B56" s="577" t="str">
        <f>IF('Paso 1 Calculo del Presupuesto'!B70="","",CONCATENATE('Paso 1 Calculo del Presupuesto'!B70,"",'Paso 1 Calculo del Presupuesto'!C70))</f>
        <v/>
      </c>
      <c r="C56" s="578" t="str">
        <f>IF(B56="","",+'Paso 1 Calculo del Presupuesto'!E70)</f>
        <v/>
      </c>
      <c r="D56" s="578" t="str">
        <f>IF(B56="","",+'Paso 1 Calculo del Presupuesto'!D70)</f>
        <v/>
      </c>
      <c r="E56" s="684"/>
      <c r="F56" s="578" t="str">
        <f>IF(B56="","",+'Paso 1 Calculo del Presupuesto'!K70)</f>
        <v/>
      </c>
      <c r="G56" s="577"/>
      <c r="H56" s="580" t="str">
        <f t="shared" si="1"/>
        <v/>
      </c>
    </row>
    <row r="57" spans="2:8">
      <c r="B57" s="577" t="str">
        <f>IF('Paso 1 Calculo del Presupuesto'!B71="","",CONCATENATE('Paso 1 Calculo del Presupuesto'!B71,"",'Paso 1 Calculo del Presupuesto'!C71))</f>
        <v/>
      </c>
      <c r="C57" s="578" t="str">
        <f>IF(B57="","",+'Paso 1 Calculo del Presupuesto'!E71)</f>
        <v/>
      </c>
      <c r="D57" s="578" t="str">
        <f>IF(B57="","",+'Paso 1 Calculo del Presupuesto'!D71)</f>
        <v/>
      </c>
      <c r="E57" s="684"/>
      <c r="F57" s="578" t="str">
        <f>IF(B57="","",+'Paso 1 Calculo del Presupuesto'!K71)</f>
        <v/>
      </c>
      <c r="G57" s="577"/>
      <c r="H57" s="580" t="str">
        <f t="shared" si="1"/>
        <v/>
      </c>
    </row>
    <row r="58" spans="2:8">
      <c r="B58" s="577" t="str">
        <f>IF('Paso 1 Calculo del Presupuesto'!B72="","",CONCATENATE('Paso 1 Calculo del Presupuesto'!B72,"",'Paso 1 Calculo del Presupuesto'!C72))</f>
        <v/>
      </c>
      <c r="C58" s="578" t="str">
        <f>IF(B58="","",+'Paso 1 Calculo del Presupuesto'!E72)</f>
        <v/>
      </c>
      <c r="D58" s="578" t="str">
        <f>IF(B58="","",+'Paso 1 Calculo del Presupuesto'!D72)</f>
        <v/>
      </c>
      <c r="E58" s="684"/>
      <c r="F58" s="578" t="str">
        <f>IF(B58="","",+'Paso 1 Calculo del Presupuesto'!K72)</f>
        <v/>
      </c>
      <c r="G58" s="577"/>
      <c r="H58" s="580" t="str">
        <f t="shared" si="1"/>
        <v/>
      </c>
    </row>
    <row r="59" spans="2:8">
      <c r="B59" s="577" t="str">
        <f>IF('Paso 1 Calculo del Presupuesto'!B73="","",CONCATENATE('Paso 1 Calculo del Presupuesto'!B73,"",'Paso 1 Calculo del Presupuesto'!C73))</f>
        <v/>
      </c>
      <c r="C59" s="578" t="str">
        <f>IF(B59="","",+'Paso 1 Calculo del Presupuesto'!E73)</f>
        <v/>
      </c>
      <c r="D59" s="578" t="str">
        <f>IF(B59="","",+'Paso 1 Calculo del Presupuesto'!D73)</f>
        <v/>
      </c>
      <c r="E59" s="684"/>
      <c r="F59" s="578" t="str">
        <f>IF(B59="","",+'Paso 1 Calculo del Presupuesto'!K73)</f>
        <v/>
      </c>
      <c r="G59" s="577"/>
      <c r="H59" s="580" t="str">
        <f>IFERROR(C59*E59*F59,"")</f>
        <v/>
      </c>
    </row>
    <row r="60" spans="2:8">
      <c r="B60" s="953" t="s">
        <v>690</v>
      </c>
      <c r="C60" s="954"/>
      <c r="D60" s="954"/>
      <c r="E60" s="954"/>
      <c r="F60" s="954"/>
      <c r="G60" s="955"/>
      <c r="H60" s="580">
        <f>ROUND(SUM(H8:H32),0)</f>
        <v>0</v>
      </c>
    </row>
    <row r="61" spans="2:8">
      <c r="B61" s="953" t="s">
        <v>694</v>
      </c>
      <c r="C61" s="954"/>
      <c r="D61" s="954"/>
      <c r="E61" s="954"/>
      <c r="F61" s="954"/>
      <c r="G61" s="955"/>
      <c r="H61" s="580">
        <f>ROUND(SUM(H35:H59),0)</f>
        <v>0</v>
      </c>
    </row>
    <row r="62" spans="2:8">
      <c r="B62" s="953" t="s">
        <v>672</v>
      </c>
      <c r="C62" s="954"/>
      <c r="D62" s="954"/>
      <c r="E62" s="954"/>
      <c r="F62" s="954"/>
      <c r="G62" s="955"/>
      <c r="H62" s="580">
        <f>+H60+H61</f>
        <v>0</v>
      </c>
    </row>
    <row r="63" spans="2:8">
      <c r="B63" s="687" t="s">
        <v>675</v>
      </c>
      <c r="C63" s="688"/>
      <c r="D63" s="688"/>
      <c r="E63" s="688"/>
      <c r="F63" s="688"/>
      <c r="G63" s="679">
        <v>0.19</v>
      </c>
      <c r="H63" s="580">
        <f>ROUND(H62*G63,0)</f>
        <v>0</v>
      </c>
    </row>
    <row r="64" spans="2:8">
      <c r="B64" s="953" t="s">
        <v>695</v>
      </c>
      <c r="C64" s="954"/>
      <c r="D64" s="954"/>
      <c r="E64" s="954"/>
      <c r="F64" s="954"/>
      <c r="G64" s="955"/>
      <c r="H64" s="686">
        <f>+H62+H63</f>
        <v>0</v>
      </c>
    </row>
    <row r="65" spans="2:15">
      <c r="B65" s="953" t="s">
        <v>673</v>
      </c>
      <c r="C65" s="954"/>
      <c r="D65" s="954"/>
      <c r="E65" s="954"/>
      <c r="F65" s="954"/>
      <c r="G65" s="955"/>
      <c r="H65" s="580">
        <f ca="1">IF(B65="","",+'Paso 1 Calculo del Presupuesto'!L80)</f>
        <v>2805619</v>
      </c>
    </row>
    <row r="66" spans="2:15">
      <c r="B66" s="959" t="s">
        <v>674</v>
      </c>
      <c r="C66" s="960"/>
      <c r="D66" s="960"/>
      <c r="E66" s="960"/>
      <c r="F66" s="960"/>
      <c r="G66" s="961"/>
      <c r="H66" s="580">
        <f ca="1">ROUND(H64+H65,0)</f>
        <v>2805619</v>
      </c>
    </row>
    <row r="68" spans="2:15" ht="24.75" customHeight="1">
      <c r="B68" s="966" t="s">
        <v>646</v>
      </c>
      <c r="C68" s="966"/>
      <c r="D68" s="966"/>
      <c r="E68" s="966"/>
      <c r="F68" s="966"/>
      <c r="G68" s="966"/>
      <c r="H68" s="966"/>
      <c r="I68" s="951"/>
      <c r="J68" s="951"/>
      <c r="K68" s="951"/>
      <c r="L68" s="951"/>
      <c r="M68" s="951"/>
      <c r="N68" s="951"/>
      <c r="O68" s="951"/>
    </row>
    <row r="69" spans="2:15">
      <c r="B69" s="965" t="s">
        <v>677</v>
      </c>
      <c r="C69" s="965"/>
      <c r="D69" s="965"/>
      <c r="E69" s="965"/>
      <c r="F69" s="965"/>
      <c r="G69" s="965"/>
      <c r="H69" s="965"/>
    </row>
    <row r="70" spans="2:15" ht="105.75" customHeight="1">
      <c r="B70" s="965" t="s">
        <v>739</v>
      </c>
      <c r="C70" s="967"/>
      <c r="D70" s="967"/>
      <c r="E70" s="967"/>
      <c r="F70" s="967"/>
      <c r="G70" s="967"/>
      <c r="H70" s="967"/>
      <c r="I70" s="968"/>
      <c r="J70" s="968"/>
      <c r="K70" s="968"/>
      <c r="L70" s="968"/>
      <c r="M70" s="968"/>
      <c r="N70" s="968"/>
      <c r="O70" s="968"/>
    </row>
    <row r="71" spans="2:15" ht="18" customHeight="1">
      <c r="B71" s="965" t="s">
        <v>684</v>
      </c>
      <c r="C71" s="965"/>
      <c r="D71" s="965"/>
      <c r="E71" s="965"/>
      <c r="F71" s="965"/>
      <c r="G71" s="965"/>
      <c r="H71" s="965"/>
      <c r="I71" s="956"/>
      <c r="J71" s="956"/>
      <c r="K71" s="956"/>
      <c r="L71" s="956"/>
      <c r="M71" s="956"/>
      <c r="N71" s="956"/>
      <c r="O71" s="956"/>
    </row>
    <row r="72" spans="2:15" ht="29.25" customHeight="1">
      <c r="B72" s="965" t="s">
        <v>679</v>
      </c>
      <c r="C72" s="965"/>
      <c r="D72" s="965"/>
      <c r="E72" s="965"/>
      <c r="F72" s="965"/>
      <c r="G72" s="965"/>
      <c r="H72" s="965"/>
      <c r="I72" s="951"/>
      <c r="J72" s="951"/>
      <c r="K72" s="951"/>
      <c r="L72" s="951"/>
      <c r="M72" s="951"/>
      <c r="N72" s="951"/>
      <c r="O72" s="951"/>
    </row>
    <row r="73" spans="2:15" ht="55.5" customHeight="1">
      <c r="B73" s="965" t="s">
        <v>680</v>
      </c>
      <c r="C73" s="965"/>
      <c r="D73" s="965"/>
      <c r="E73" s="965"/>
      <c r="F73" s="965"/>
      <c r="G73" s="965"/>
      <c r="H73" s="965"/>
      <c r="I73" s="956"/>
      <c r="J73" s="956"/>
      <c r="K73" s="956"/>
      <c r="L73" s="956"/>
      <c r="M73" s="956"/>
      <c r="N73" s="956"/>
      <c r="O73" s="956"/>
    </row>
    <row r="74" spans="2:15" ht="27.75" customHeight="1">
      <c r="B74" s="963" t="s">
        <v>681</v>
      </c>
      <c r="C74" s="963"/>
      <c r="D74" s="963"/>
      <c r="E74" s="963"/>
      <c r="F74" s="963"/>
      <c r="G74" s="963"/>
      <c r="H74" s="963"/>
      <c r="I74" s="673"/>
      <c r="J74" s="673"/>
      <c r="K74" s="673"/>
      <c r="L74" s="673"/>
      <c r="M74" s="673"/>
      <c r="N74" s="673"/>
      <c r="O74" s="673"/>
    </row>
    <row r="75" spans="2:15" ht="34.5" customHeight="1">
      <c r="B75" s="963" t="s">
        <v>682</v>
      </c>
      <c r="C75" s="963"/>
      <c r="D75" s="963"/>
      <c r="E75" s="963"/>
      <c r="F75" s="963"/>
      <c r="G75" s="963"/>
      <c r="H75" s="963"/>
      <c r="I75" s="673"/>
      <c r="J75" s="673"/>
      <c r="K75" s="673"/>
      <c r="L75" s="673"/>
      <c r="M75" s="673"/>
      <c r="N75" s="673"/>
      <c r="O75" s="673"/>
    </row>
    <row r="76" spans="2:15" ht="31.5" customHeight="1">
      <c r="B76" s="963" t="s">
        <v>697</v>
      </c>
      <c r="C76" s="963"/>
      <c r="D76" s="963"/>
      <c r="E76" s="963"/>
      <c r="F76" s="963"/>
      <c r="G76" s="963"/>
      <c r="H76" s="963"/>
      <c r="I76" s="673"/>
      <c r="J76" s="673"/>
      <c r="K76" s="673"/>
      <c r="L76" s="673"/>
      <c r="M76" s="673"/>
      <c r="N76" s="673"/>
      <c r="O76" s="673"/>
    </row>
    <row r="77" spans="2:15" ht="243" customHeight="1">
      <c r="B77" s="965" t="s">
        <v>698</v>
      </c>
      <c r="C77" s="965"/>
      <c r="D77" s="965"/>
      <c r="E77" s="965"/>
      <c r="F77" s="965"/>
      <c r="G77" s="965"/>
      <c r="H77" s="965"/>
      <c r="I77" s="673"/>
      <c r="J77" s="673"/>
      <c r="K77" s="673"/>
      <c r="L77" s="673"/>
      <c r="M77" s="673"/>
      <c r="N77" s="673"/>
      <c r="O77" s="673"/>
    </row>
    <row r="78" spans="2:15">
      <c r="B78" s="680"/>
      <c r="C78" s="680"/>
      <c r="D78" s="680"/>
      <c r="E78" s="680"/>
      <c r="F78" s="680"/>
      <c r="G78" s="680"/>
      <c r="H78" s="680"/>
    </row>
    <row r="79" spans="2:15">
      <c r="B79" s="61"/>
      <c r="C79" s="680"/>
      <c r="D79" s="62"/>
      <c r="E79" s="62"/>
      <c r="F79" s="63"/>
      <c r="G79" s="62"/>
      <c r="H79" s="62"/>
    </row>
    <row r="80" spans="2:15" ht="15.75" customHeight="1">
      <c r="B80" s="61" t="s">
        <v>700</v>
      </c>
      <c r="C80" s="61"/>
      <c r="D80" s="61" t="s">
        <v>701</v>
      </c>
      <c r="F80" s="61"/>
      <c r="G80" s="61"/>
      <c r="H80" s="61"/>
    </row>
    <row r="81" spans="2:8" ht="50.25" customHeight="1">
      <c r="B81" s="957"/>
      <c r="C81" s="957"/>
      <c r="D81" s="957"/>
      <c r="E81" s="957"/>
      <c r="F81" s="957"/>
      <c r="G81" s="957"/>
      <c r="H81" s="957"/>
    </row>
    <row r="82" spans="2:8" ht="31.5" customHeight="1">
      <c r="B82" s="956"/>
      <c r="C82" s="956"/>
      <c r="D82" s="956"/>
      <c r="E82" s="956"/>
      <c r="F82" s="956"/>
      <c r="G82" s="956"/>
      <c r="H82" s="956"/>
    </row>
    <row r="83" spans="2:8" ht="51.75" customHeight="1">
      <c r="B83" s="956"/>
      <c r="C83" s="956"/>
      <c r="D83" s="956"/>
      <c r="E83" s="956"/>
      <c r="F83" s="956"/>
      <c r="G83" s="956"/>
      <c r="H83" s="956"/>
    </row>
    <row r="84" spans="2:8" ht="35.25" customHeight="1">
      <c r="B84" s="956"/>
      <c r="C84" s="956"/>
      <c r="D84" s="956"/>
      <c r="E84" s="956"/>
      <c r="F84" s="956"/>
      <c r="G84" s="956"/>
      <c r="H84" s="956"/>
    </row>
    <row r="85" spans="2:8" ht="38.25" customHeight="1">
      <c r="B85" s="964"/>
      <c r="C85" s="964"/>
      <c r="D85" s="964"/>
      <c r="E85" s="964"/>
      <c r="F85" s="964"/>
      <c r="G85" s="964"/>
      <c r="H85" s="964"/>
    </row>
  </sheetData>
  <mergeCells count="30">
    <mergeCell ref="I68:O68"/>
    <mergeCell ref="B69:H69"/>
    <mergeCell ref="C4:H4"/>
    <mergeCell ref="B6:H6"/>
    <mergeCell ref="B33:H33"/>
    <mergeCell ref="B60:G60"/>
    <mergeCell ref="B61:G61"/>
    <mergeCell ref="B62:G62"/>
    <mergeCell ref="I70:O70"/>
    <mergeCell ref="B71:H71"/>
    <mergeCell ref="I71:O71"/>
    <mergeCell ref="B72:H72"/>
    <mergeCell ref="I72:O72"/>
    <mergeCell ref="I73:O73"/>
    <mergeCell ref="B74:H74"/>
    <mergeCell ref="B75:H75"/>
    <mergeCell ref="B76:H76"/>
    <mergeCell ref="B77:H77"/>
    <mergeCell ref="B3:H3"/>
    <mergeCell ref="B64:G64"/>
    <mergeCell ref="B65:G65"/>
    <mergeCell ref="B66:G66"/>
    <mergeCell ref="B73:H73"/>
    <mergeCell ref="B70:H70"/>
    <mergeCell ref="B68:H68"/>
    <mergeCell ref="B81:H81"/>
    <mergeCell ref="B82:H82"/>
    <mergeCell ref="B83:H83"/>
    <mergeCell ref="B84:H84"/>
    <mergeCell ref="B85:H85"/>
  </mergeCells>
  <pageMargins left="0.7" right="0.7" top="0.75" bottom="0.75" header="0.3" footer="0.3"/>
  <pageSetup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dimension ref="A1:N33"/>
  <sheetViews>
    <sheetView zoomScaleNormal="100" workbookViewId="0">
      <selection activeCell="K23" sqref="K23"/>
    </sheetView>
  </sheetViews>
  <sheetFormatPr baseColWidth="10" defaultRowHeight="14.5"/>
  <cols>
    <col min="1" max="1" width="45.7265625" customWidth="1"/>
    <col min="2" max="2" width="10.7265625" customWidth="1"/>
    <col min="3" max="3" width="45.7265625" customWidth="1"/>
    <col min="4" max="4" width="18.7265625" customWidth="1"/>
    <col min="5" max="5" width="17.453125" bestFit="1" customWidth="1"/>
    <col min="6" max="6" width="17.26953125" customWidth="1"/>
    <col min="7" max="7" width="15.81640625" bestFit="1" customWidth="1"/>
    <col min="8" max="8" width="17.1796875" customWidth="1"/>
    <col min="9" max="9" width="15.81640625" bestFit="1" customWidth="1"/>
    <col min="13" max="13" width="22.7265625" customWidth="1"/>
    <col min="14" max="14" width="17.7265625" customWidth="1"/>
  </cols>
  <sheetData>
    <row r="1" spans="3:14" ht="25.5" customHeight="1" thickBot="1">
      <c r="C1" s="795" t="s">
        <v>816</v>
      </c>
      <c r="D1" s="796">
        <v>9.2799999999999994E-2</v>
      </c>
      <c r="K1" s="4" t="s">
        <v>773</v>
      </c>
    </row>
    <row r="2" spans="3:14" ht="29.25" customHeight="1" thickBot="1">
      <c r="C2" s="797" t="s">
        <v>847</v>
      </c>
      <c r="D2" s="768">
        <v>12899941</v>
      </c>
      <c r="E2" s="768">
        <v>10749951</v>
      </c>
      <c r="F2" s="768">
        <v>9674956</v>
      </c>
      <c r="G2" s="768">
        <v>7524965</v>
      </c>
      <c r="H2" s="768">
        <v>4299981</v>
      </c>
      <c r="I2" s="768">
        <v>3224986</v>
      </c>
    </row>
    <row r="3" spans="3:14" ht="39.5" thickBot="1">
      <c r="C3" s="795" t="s">
        <v>606</v>
      </c>
      <c r="D3" s="798">
        <f>+D4/'Paso 2 Calculo Factor Multiplic'!$L$3</f>
        <v>10.038461538461538</v>
      </c>
      <c r="E3" s="798">
        <f>+E4/'Paso 2 Calculo Factor Multiplic'!$L$3</f>
        <v>8.365384615384615</v>
      </c>
      <c r="F3" s="798">
        <f>+F4/'Paso 2 Calculo Factor Multiplic'!$L$3</f>
        <v>7.5846153846153843</v>
      </c>
      <c r="G3" s="798">
        <f>+G4/'Paso 2 Calculo Factor Multiplic'!$L$3</f>
        <v>5.9115384615384619</v>
      </c>
      <c r="H3" s="798">
        <f>+H4/'Paso 2 Calculo Factor Multiplic'!$L$3</f>
        <v>3.5692307692307694</v>
      </c>
      <c r="I3" s="798">
        <f>+I4/'Paso 2 Calculo Factor Multiplic'!$L$3</f>
        <v>2.9</v>
      </c>
      <c r="K3" s="703" t="s">
        <v>769</v>
      </c>
      <c r="L3" s="703" t="s">
        <v>770</v>
      </c>
      <c r="M3" s="703" t="s">
        <v>771</v>
      </c>
      <c r="N3" s="703" t="s">
        <v>772</v>
      </c>
    </row>
    <row r="4" spans="3:14" s="4" customFormat="1" ht="33" customHeight="1">
      <c r="C4" s="769" t="s">
        <v>607</v>
      </c>
      <c r="D4" s="770">
        <v>13050000</v>
      </c>
      <c r="E4" s="770">
        <v>10875000</v>
      </c>
      <c r="F4" s="770">
        <v>9860000</v>
      </c>
      <c r="G4" s="770">
        <v>7685000</v>
      </c>
      <c r="H4" s="770">
        <v>4640000</v>
      </c>
      <c r="I4" s="770">
        <v>3770000</v>
      </c>
      <c r="K4" s="704">
        <v>1</v>
      </c>
      <c r="L4" s="705">
        <v>1</v>
      </c>
      <c r="M4" s="706">
        <v>12</v>
      </c>
      <c r="N4" s="707">
        <v>5</v>
      </c>
    </row>
    <row r="5" spans="3:14">
      <c r="C5" s="979" t="s">
        <v>608</v>
      </c>
      <c r="D5" s="974" t="s">
        <v>609</v>
      </c>
      <c r="E5" s="975"/>
      <c r="F5" s="975"/>
      <c r="G5" s="975"/>
      <c r="H5" s="975"/>
      <c r="I5" s="976"/>
      <c r="K5" s="704">
        <v>2</v>
      </c>
      <c r="L5" s="705">
        <v>2</v>
      </c>
      <c r="M5" s="706">
        <f>M4-2</f>
        <v>10</v>
      </c>
      <c r="N5" s="707">
        <v>4</v>
      </c>
    </row>
    <row r="6" spans="3:14">
      <c r="C6" s="980"/>
      <c r="D6" s="624" t="s">
        <v>610</v>
      </c>
      <c r="E6" s="624" t="s">
        <v>611</v>
      </c>
      <c r="F6" s="624" t="s">
        <v>612</v>
      </c>
      <c r="G6" s="624" t="s">
        <v>613</v>
      </c>
      <c r="H6" s="624" t="s">
        <v>614</v>
      </c>
      <c r="I6" s="624" t="s">
        <v>615</v>
      </c>
      <c r="K6" s="704">
        <v>3</v>
      </c>
      <c r="L6" s="705">
        <v>3</v>
      </c>
      <c r="M6" s="706">
        <v>8</v>
      </c>
      <c r="N6" s="707">
        <v>3</v>
      </c>
    </row>
    <row r="7" spans="3:14">
      <c r="C7" s="981"/>
      <c r="D7" s="623">
        <v>1</v>
      </c>
      <c r="E7" s="623">
        <v>2</v>
      </c>
      <c r="F7" s="623">
        <v>3</v>
      </c>
      <c r="G7" s="623">
        <v>4</v>
      </c>
      <c r="H7" s="623">
        <v>5</v>
      </c>
      <c r="I7" s="623">
        <v>6</v>
      </c>
      <c r="K7" s="704">
        <v>4</v>
      </c>
      <c r="L7" s="705">
        <v>4</v>
      </c>
      <c r="M7" s="706">
        <v>6</v>
      </c>
      <c r="N7" s="707">
        <v>2</v>
      </c>
    </row>
    <row r="8" spans="3:14">
      <c r="C8" s="625" t="s">
        <v>616</v>
      </c>
      <c r="D8" s="727">
        <v>1</v>
      </c>
      <c r="E8" s="727"/>
      <c r="F8" s="727"/>
      <c r="G8" s="727"/>
      <c r="H8" s="727"/>
      <c r="I8" s="727"/>
      <c r="K8" s="704">
        <v>5</v>
      </c>
      <c r="L8" s="705">
        <v>5</v>
      </c>
      <c r="M8" s="706">
        <v>4</v>
      </c>
      <c r="N8" s="707">
        <v>2</v>
      </c>
    </row>
    <row r="9" spans="3:14">
      <c r="C9" s="625" t="s">
        <v>617</v>
      </c>
      <c r="D9" s="727">
        <v>0.92500000000000004</v>
      </c>
      <c r="E9" s="727">
        <v>1</v>
      </c>
      <c r="F9" s="727"/>
      <c r="G9" s="727"/>
      <c r="H9" s="727"/>
      <c r="I9" s="727"/>
      <c r="K9" s="704">
        <v>6</v>
      </c>
      <c r="L9" s="705">
        <v>6</v>
      </c>
      <c r="M9" s="706">
        <v>2</v>
      </c>
      <c r="N9" s="707">
        <v>1</v>
      </c>
    </row>
    <row r="10" spans="3:14">
      <c r="C10" s="625" t="s">
        <v>618</v>
      </c>
      <c r="D10" s="727">
        <v>0.85</v>
      </c>
      <c r="E10" s="727">
        <v>0.92500000000000004</v>
      </c>
      <c r="F10" s="727">
        <v>1</v>
      </c>
      <c r="G10" s="727"/>
      <c r="H10" s="727"/>
      <c r="I10" s="727"/>
      <c r="K10" s="704">
        <v>7</v>
      </c>
      <c r="L10" s="705">
        <v>7</v>
      </c>
      <c r="M10" s="706">
        <v>2</v>
      </c>
      <c r="N10" s="706">
        <v>0</v>
      </c>
    </row>
    <row r="11" spans="3:14">
      <c r="C11" s="625" t="s">
        <v>619</v>
      </c>
      <c r="D11" s="727">
        <v>0.77500000000000002</v>
      </c>
      <c r="E11" s="727">
        <v>0.85</v>
      </c>
      <c r="F11" s="727">
        <v>0.92500000000000004</v>
      </c>
      <c r="G11" s="727">
        <v>1</v>
      </c>
      <c r="H11" s="727"/>
      <c r="I11" s="727"/>
    </row>
    <row r="12" spans="3:14">
      <c r="C12" s="625" t="s">
        <v>620</v>
      </c>
      <c r="D12" s="727">
        <v>0.7</v>
      </c>
      <c r="E12" s="727">
        <v>0.77500000000000002</v>
      </c>
      <c r="F12" s="727">
        <v>0.85</v>
      </c>
      <c r="G12" s="727">
        <v>0.92500000000000004</v>
      </c>
      <c r="H12" s="727">
        <v>1</v>
      </c>
      <c r="I12" s="727"/>
    </row>
    <row r="13" spans="3:14">
      <c r="C13" s="625" t="s">
        <v>621</v>
      </c>
      <c r="D13" s="727">
        <v>0.625</v>
      </c>
      <c r="E13" s="727">
        <v>0.7</v>
      </c>
      <c r="F13" s="727">
        <v>0.77500000000000002</v>
      </c>
      <c r="G13" s="727">
        <v>0.84499999999999997</v>
      </c>
      <c r="H13" s="727">
        <v>0.92500000000000004</v>
      </c>
      <c r="I13" s="727">
        <v>1</v>
      </c>
    </row>
    <row r="14" spans="3:14">
      <c r="C14" s="625" t="s">
        <v>622</v>
      </c>
      <c r="D14" s="727">
        <v>0.625</v>
      </c>
      <c r="E14" s="727">
        <v>0.7</v>
      </c>
      <c r="F14" s="727">
        <v>0.77500000000000002</v>
      </c>
      <c r="G14" s="727">
        <v>0.84499999999999997</v>
      </c>
      <c r="H14" s="727">
        <v>0.84499999999999997</v>
      </c>
      <c r="I14" s="727">
        <v>0.6</v>
      </c>
    </row>
    <row r="15" spans="3:14">
      <c r="C15" s="625" t="s">
        <v>623</v>
      </c>
      <c r="D15" s="727">
        <v>0.625</v>
      </c>
      <c r="E15" s="727">
        <v>0.7</v>
      </c>
      <c r="F15" s="727">
        <v>0.77500000000000002</v>
      </c>
      <c r="G15" s="727">
        <v>0.84499999999999997</v>
      </c>
      <c r="H15" s="727">
        <v>0.84499999999999997</v>
      </c>
      <c r="I15" s="727">
        <v>1</v>
      </c>
    </row>
    <row r="16" spans="3:14">
      <c r="C16" s="625"/>
      <c r="D16" s="727"/>
      <c r="E16" s="727"/>
      <c r="F16" s="727"/>
      <c r="G16" s="727"/>
      <c r="H16" s="727"/>
      <c r="I16" s="727">
        <v>0.5</v>
      </c>
    </row>
    <row r="17" spans="1:11">
      <c r="C17" s="529"/>
      <c r="D17" s="529"/>
      <c r="E17" s="529"/>
      <c r="F17" s="529"/>
      <c r="G17" s="529"/>
      <c r="H17" s="529"/>
      <c r="I17" s="529"/>
    </row>
    <row r="18" spans="1:11" s="4" customFormat="1" ht="24.75" customHeight="1">
      <c r="C18" s="723" t="s">
        <v>630</v>
      </c>
      <c r="D18" s="724">
        <v>1.45</v>
      </c>
      <c r="E18" s="723" t="s">
        <v>631</v>
      </c>
      <c r="F18" s="725"/>
      <c r="G18" s="725"/>
      <c r="H18" s="725"/>
      <c r="I18" s="725"/>
    </row>
    <row r="19" spans="1:11" ht="23.25" customHeight="1">
      <c r="C19" s="529"/>
      <c r="D19" s="530" t="s">
        <v>774</v>
      </c>
      <c r="E19" s="530" t="s">
        <v>776</v>
      </c>
      <c r="F19" s="530" t="s">
        <v>775</v>
      </c>
      <c r="G19" s="530" t="s">
        <v>777</v>
      </c>
      <c r="H19" s="530" t="s">
        <v>778</v>
      </c>
      <c r="I19" s="530" t="s">
        <v>779</v>
      </c>
    </row>
    <row r="20" spans="1:11" ht="20.25" customHeight="1">
      <c r="A20" s="970" t="s">
        <v>638</v>
      </c>
      <c r="B20" s="971"/>
      <c r="C20" s="982" t="s">
        <v>645</v>
      </c>
      <c r="D20" s="977" t="s">
        <v>781</v>
      </c>
      <c r="E20" s="977" t="s">
        <v>780</v>
      </c>
      <c r="F20" s="977" t="s">
        <v>782</v>
      </c>
      <c r="G20" s="977" t="s">
        <v>783</v>
      </c>
      <c r="H20" s="977" t="s">
        <v>784</v>
      </c>
      <c r="I20" s="977" t="s">
        <v>785</v>
      </c>
      <c r="K20" s="4" t="s">
        <v>876</v>
      </c>
    </row>
    <row r="21" spans="1:11" ht="22.5" customHeight="1">
      <c r="A21" s="972"/>
      <c r="B21" s="973"/>
      <c r="C21" s="983"/>
      <c r="D21" s="978"/>
      <c r="E21" s="978"/>
      <c r="F21" s="978"/>
      <c r="G21" s="978"/>
      <c r="H21" s="978"/>
      <c r="I21" s="978"/>
    </row>
    <row r="22" spans="1:11">
      <c r="D22" s="529"/>
      <c r="E22" s="529"/>
      <c r="F22" s="529"/>
      <c r="G22" s="529"/>
      <c r="H22" s="529"/>
      <c r="I22" s="529"/>
    </row>
    <row r="23" spans="1:11" s="4" customFormat="1" ht="45" customHeight="1">
      <c r="A23" s="788" t="s">
        <v>632</v>
      </c>
      <c r="B23" s="722" t="s">
        <v>616</v>
      </c>
      <c r="C23" s="785" t="s">
        <v>649</v>
      </c>
      <c r="D23" s="786">
        <f>IF(E18="Por Salarios",(($D$4*D8)/$D$18),$D$4*D8)</f>
        <v>9000000</v>
      </c>
      <c r="E23" s="787">
        <f t="shared" ref="E23:E30" si="0">IF($E$18="Por Salarios",(($E$4*E8)/$D$18),$E$4*E8)</f>
        <v>0</v>
      </c>
      <c r="F23" s="787">
        <f t="shared" ref="F23:F30" si="1">IF($E$18="Por Salarios",(($F$4*F8)/$D$18),$F$4*F8)</f>
        <v>0</v>
      </c>
      <c r="G23" s="787">
        <f t="shared" ref="G23:G30" si="2">IF($E$18="Por Salarios",(($G$4*G8)/$D$18),$G$4*G8)</f>
        <v>0</v>
      </c>
      <c r="H23" s="787">
        <f t="shared" ref="H23:H30" si="3">IF($E$18="Por Salarios",(($H$4*H8)/$D$18),$H$4*H8)</f>
        <v>0</v>
      </c>
      <c r="I23" s="787">
        <f t="shared" ref="I23:I29" si="4">IF($E$18="Por Salarios",(($I$4*I8)/$D$18),$I$4*I8)</f>
        <v>0</v>
      </c>
      <c r="K23" s="799">
        <f>AVERAGE(D23,E24,F25,G26,H27)</f>
        <v>6360000</v>
      </c>
    </row>
    <row r="24" spans="1:11" s="4" customFormat="1" ht="30" customHeight="1">
      <c r="A24" s="788" t="s">
        <v>651</v>
      </c>
      <c r="B24" s="722" t="s">
        <v>617</v>
      </c>
      <c r="C24" s="785" t="s">
        <v>650</v>
      </c>
      <c r="D24" s="787">
        <f t="shared" ref="D24:D31" si="5">IF($E$18="Por Salarios",(($D$4*D9)/$D$18),$D$4*D9)</f>
        <v>8325000</v>
      </c>
      <c r="E24" s="786">
        <f t="shared" si="0"/>
        <v>7500000</v>
      </c>
      <c r="F24" s="787">
        <f t="shared" si="1"/>
        <v>0</v>
      </c>
      <c r="G24" s="787">
        <f t="shared" si="2"/>
        <v>0</v>
      </c>
      <c r="H24" s="787">
        <f t="shared" si="3"/>
        <v>0</v>
      </c>
      <c r="I24" s="787">
        <f t="shared" si="4"/>
        <v>0</v>
      </c>
    </row>
    <row r="25" spans="1:11" s="4" customFormat="1" ht="30" customHeight="1">
      <c r="A25" s="788" t="s">
        <v>874</v>
      </c>
      <c r="B25" s="722" t="s">
        <v>618</v>
      </c>
      <c r="C25" s="785" t="s">
        <v>624</v>
      </c>
      <c r="D25" s="787">
        <f t="shared" si="5"/>
        <v>7650000</v>
      </c>
      <c r="E25" s="787">
        <f t="shared" si="0"/>
        <v>6937500</v>
      </c>
      <c r="F25" s="786">
        <f t="shared" si="1"/>
        <v>6800000</v>
      </c>
      <c r="G25" s="787">
        <f t="shared" si="2"/>
        <v>0</v>
      </c>
      <c r="H25" s="787">
        <f t="shared" si="3"/>
        <v>0</v>
      </c>
      <c r="I25" s="787">
        <f t="shared" si="4"/>
        <v>0</v>
      </c>
    </row>
    <row r="26" spans="1:11" s="4" customFormat="1" ht="30" customHeight="1">
      <c r="A26" s="788" t="s">
        <v>633</v>
      </c>
      <c r="B26" s="722" t="s">
        <v>619</v>
      </c>
      <c r="C26" s="785" t="s">
        <v>625</v>
      </c>
      <c r="D26" s="787">
        <f t="shared" si="5"/>
        <v>6975000</v>
      </c>
      <c r="E26" s="787">
        <f t="shared" si="0"/>
        <v>6375000</v>
      </c>
      <c r="F26" s="787">
        <f t="shared" si="1"/>
        <v>6290000</v>
      </c>
      <c r="G26" s="786">
        <f t="shared" si="2"/>
        <v>5300000</v>
      </c>
      <c r="H26" s="787">
        <f t="shared" si="3"/>
        <v>0</v>
      </c>
      <c r="I26" s="787">
        <f t="shared" si="4"/>
        <v>0</v>
      </c>
    </row>
    <row r="27" spans="1:11" s="4" customFormat="1" ht="45" customHeight="1">
      <c r="A27" s="788" t="s">
        <v>634</v>
      </c>
      <c r="B27" s="722" t="s">
        <v>620</v>
      </c>
      <c r="C27" s="785" t="s">
        <v>626</v>
      </c>
      <c r="D27" s="787">
        <f t="shared" si="5"/>
        <v>6300000</v>
      </c>
      <c r="E27" s="787">
        <f t="shared" si="0"/>
        <v>5812500</v>
      </c>
      <c r="F27" s="787">
        <f t="shared" si="1"/>
        <v>5780000</v>
      </c>
      <c r="G27" s="787">
        <f t="shared" si="2"/>
        <v>4902500</v>
      </c>
      <c r="H27" s="786">
        <f t="shared" si="3"/>
        <v>3200000</v>
      </c>
      <c r="I27" s="787">
        <f>IF($E$18="Por Salarios",(($I$4*I12)/$D$18),$I$4*I12)</f>
        <v>0</v>
      </c>
    </row>
    <row r="28" spans="1:11" s="4" customFormat="1" ht="30" customHeight="1">
      <c r="A28" s="788" t="s">
        <v>635</v>
      </c>
      <c r="B28" s="722" t="s">
        <v>621</v>
      </c>
      <c r="C28" s="785" t="s">
        <v>627</v>
      </c>
      <c r="D28" s="787">
        <f t="shared" si="5"/>
        <v>5625000</v>
      </c>
      <c r="E28" s="787">
        <f t="shared" si="0"/>
        <v>5249999.9999999991</v>
      </c>
      <c r="F28" s="787">
        <f t="shared" si="1"/>
        <v>5270000</v>
      </c>
      <c r="G28" s="787">
        <f t="shared" si="2"/>
        <v>4478500</v>
      </c>
      <c r="H28" s="787">
        <f t="shared" si="3"/>
        <v>2960000</v>
      </c>
      <c r="I28" s="786">
        <f>IF($E$18="Por Salarios",(($I$4*I13)/$D$18),$I$4*I13)</f>
        <v>2600000</v>
      </c>
    </row>
    <row r="29" spans="1:11" s="4" customFormat="1" ht="30" customHeight="1">
      <c r="A29" s="788" t="s">
        <v>636</v>
      </c>
      <c r="B29" s="722" t="s">
        <v>622</v>
      </c>
      <c r="C29" s="785" t="s">
        <v>628</v>
      </c>
      <c r="D29" s="787">
        <f t="shared" si="5"/>
        <v>5625000</v>
      </c>
      <c r="E29" s="787">
        <f t="shared" si="0"/>
        <v>5249999.9999999991</v>
      </c>
      <c r="F29" s="787">
        <f t="shared" si="1"/>
        <v>5270000</v>
      </c>
      <c r="G29" s="787">
        <f t="shared" si="2"/>
        <v>4478500</v>
      </c>
      <c r="H29" s="787">
        <f t="shared" si="3"/>
        <v>2704000</v>
      </c>
      <c r="I29" s="787">
        <f t="shared" si="4"/>
        <v>1560000</v>
      </c>
    </row>
    <row r="30" spans="1:11" s="4" customFormat="1" ht="15" customHeight="1">
      <c r="A30" s="788" t="s">
        <v>637</v>
      </c>
      <c r="B30" s="722" t="s">
        <v>623</v>
      </c>
      <c r="C30" s="785" t="s">
        <v>629</v>
      </c>
      <c r="D30" s="787">
        <f t="shared" si="5"/>
        <v>5625000</v>
      </c>
      <c r="E30" s="787">
        <f t="shared" si="0"/>
        <v>5249999.9999999991</v>
      </c>
      <c r="F30" s="787">
        <f t="shared" si="1"/>
        <v>5270000</v>
      </c>
      <c r="G30" s="787">
        <f t="shared" si="2"/>
        <v>4478500</v>
      </c>
      <c r="H30" s="787">
        <f t="shared" si="3"/>
        <v>2704000</v>
      </c>
      <c r="I30" s="787">
        <f>+'Paso 2 Calculo Factor Multiplic'!L3</f>
        <v>1300000</v>
      </c>
    </row>
    <row r="31" spans="1:11" s="4" customFormat="1" ht="15" customHeight="1">
      <c r="A31" s="788"/>
      <c r="B31" s="788"/>
      <c r="C31" s="785" t="s">
        <v>101</v>
      </c>
      <c r="D31" s="787">
        <f t="shared" si="5"/>
        <v>0</v>
      </c>
      <c r="E31" s="787">
        <f>IF(E26="Por Salarios",(($E$4*E16)/$D$18),$E$4*E16)</f>
        <v>0</v>
      </c>
      <c r="F31" s="787">
        <f>IF(E26="Por Salarios",(($F$4*F16)/$D$18),$F$4*F16)</f>
        <v>0</v>
      </c>
      <c r="G31" s="787">
        <f>IF(E26="Por Salarios",(($G$4*G16)/$D$18),$G$4*G16)</f>
        <v>0</v>
      </c>
      <c r="H31" s="787">
        <f>IF(E26="Por Salarios",(($H$4*H16)/$D$18),$H$4*H16)</f>
        <v>0</v>
      </c>
      <c r="I31" s="787">
        <f>+'Paso 2 Calculo Factor Multiplic'!L3</f>
        <v>1300000</v>
      </c>
    </row>
    <row r="32" spans="1:11" s="4" customFormat="1">
      <c r="C32" s="725"/>
      <c r="D32" s="725"/>
      <c r="E32" s="725"/>
      <c r="F32" s="725"/>
      <c r="G32" s="725"/>
      <c r="H32" s="725"/>
      <c r="I32" s="725"/>
    </row>
    <row r="33" spans="3:9">
      <c r="C33" s="529"/>
      <c r="D33" s="529"/>
      <c r="E33" s="529"/>
      <c r="F33" s="529"/>
      <c r="G33" s="529"/>
      <c r="H33" s="529"/>
      <c r="I33" s="529"/>
    </row>
  </sheetData>
  <mergeCells count="10">
    <mergeCell ref="A20:B21"/>
    <mergeCell ref="D5:I5"/>
    <mergeCell ref="E20:E21"/>
    <mergeCell ref="F20:F21"/>
    <mergeCell ref="G20:G21"/>
    <mergeCell ref="H20:H21"/>
    <mergeCell ref="I20:I21"/>
    <mergeCell ref="C5:C7"/>
    <mergeCell ref="C20:C21"/>
    <mergeCell ref="D20:D21"/>
  </mergeCells>
  <conditionalFormatting sqref="C23:I31">
    <cfRule type="expression" dxfId="8" priority="8">
      <formula>+TEXT($C23="","")</formula>
    </cfRule>
  </conditionalFormatting>
  <conditionalFormatting sqref="B24:B30">
    <cfRule type="expression" dxfId="7" priority="4">
      <formula>+TEXT($C24="","")</formula>
    </cfRule>
  </conditionalFormatting>
  <conditionalFormatting sqref="A23:B23">
    <cfRule type="expression" dxfId="6" priority="3">
      <formula>+TEXT($C23="","")</formula>
    </cfRule>
  </conditionalFormatting>
  <conditionalFormatting sqref="A24:A30">
    <cfRule type="expression" dxfId="5" priority="2">
      <formula>+TEXT($C24="","")</formula>
    </cfRule>
  </conditionalFormatting>
  <conditionalFormatting sqref="A31:B31">
    <cfRule type="expression" dxfId="4" priority="1">
      <formula>+TEXT($C31="","")</formula>
    </cfRule>
  </conditionalFormatting>
  <dataValidations disablePrompts="1" count="3">
    <dataValidation type="list" allowBlank="1" showInputMessage="1" showErrorMessage="1" sqref="E18" xr:uid="{00000000-0002-0000-0400-000000000000}">
      <formula1>"Por Salarios, Por Honorarios"</formula1>
    </dataValidation>
    <dataValidation type="list" allowBlank="1" showInputMessage="1" showErrorMessage="1" sqref="E16" xr:uid="{00000000-0002-0000-0400-000001000000}">
      <formula1>"I,II,III,IV,V"</formula1>
    </dataValidation>
    <dataValidation type="list" allowBlank="1" showInputMessage="1" showErrorMessage="1" sqref="C16" xr:uid="{00000000-0002-0000-0400-000002000000}">
      <formula1>$G$189:$G$212</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dimension ref="A1:B61"/>
  <sheetViews>
    <sheetView workbookViewId="0">
      <selection activeCell="A57" sqref="A57"/>
    </sheetView>
  </sheetViews>
  <sheetFormatPr baseColWidth="10" defaultColWidth="11.453125" defaultRowHeight="18.5"/>
  <cols>
    <col min="1" max="1" width="90.7265625" style="730" customWidth="1"/>
    <col min="2" max="2" width="51.54296875" style="730" customWidth="1"/>
    <col min="3" max="16384" width="11.453125" style="730"/>
  </cols>
  <sheetData>
    <row r="1" spans="1:1" ht="33" customHeight="1">
      <c r="A1" s="762" t="s">
        <v>14</v>
      </c>
    </row>
    <row r="2" spans="1:1">
      <c r="A2" s="730" t="s">
        <v>600</v>
      </c>
    </row>
    <row r="3" spans="1:1">
      <c r="A3" s="730" t="s">
        <v>601</v>
      </c>
    </row>
    <row r="4" spans="1:1">
      <c r="A4" s="730" t="s">
        <v>602</v>
      </c>
    </row>
    <row r="5" spans="1:1">
      <c r="A5" s="730" t="s">
        <v>554</v>
      </c>
    </row>
    <row r="6" spans="1:1">
      <c r="A6" s="730" t="s">
        <v>603</v>
      </c>
    </row>
    <row r="7" spans="1:1">
      <c r="A7" s="730" t="s">
        <v>736</v>
      </c>
    </row>
    <row r="10" spans="1:1" ht="38.25" customHeight="1">
      <c r="A10" s="762" t="s">
        <v>51</v>
      </c>
    </row>
    <row r="11" spans="1:1">
      <c r="A11" s="760" t="s">
        <v>827</v>
      </c>
    </row>
    <row r="12" spans="1:1">
      <c r="A12" s="760" t="s">
        <v>828</v>
      </c>
    </row>
    <row r="13" spans="1:1">
      <c r="A13" s="760" t="s">
        <v>829</v>
      </c>
    </row>
    <row r="14" spans="1:1">
      <c r="A14" s="760" t="s">
        <v>826</v>
      </c>
    </row>
    <row r="15" spans="1:1">
      <c r="A15" s="760" t="s">
        <v>830</v>
      </c>
    </row>
    <row r="16" spans="1:1">
      <c r="A16" s="760" t="s">
        <v>885</v>
      </c>
    </row>
    <row r="17" spans="1:1">
      <c r="A17" s="760" t="s">
        <v>720</v>
      </c>
    </row>
    <row r="18" spans="1:1">
      <c r="A18" s="760" t="s">
        <v>831</v>
      </c>
    </row>
    <row r="19" spans="1:1">
      <c r="A19" s="760" t="s">
        <v>832</v>
      </c>
    </row>
    <row r="20" spans="1:1">
      <c r="A20" s="760" t="s">
        <v>833</v>
      </c>
    </row>
    <row r="21" spans="1:1">
      <c r="A21" s="760" t="s">
        <v>834</v>
      </c>
    </row>
    <row r="22" spans="1:1">
      <c r="A22" s="760" t="s">
        <v>835</v>
      </c>
    </row>
    <row r="23" spans="1:1">
      <c r="A23" s="760" t="s">
        <v>836</v>
      </c>
    </row>
    <row r="24" spans="1:1">
      <c r="A24" s="760" t="s">
        <v>727</v>
      </c>
    </row>
    <row r="25" spans="1:1">
      <c r="A25" s="760" t="s">
        <v>728</v>
      </c>
    </row>
    <row r="26" spans="1:1">
      <c r="A26" s="760" t="s">
        <v>837</v>
      </c>
    </row>
    <row r="27" spans="1:1">
      <c r="A27" s="760" t="s">
        <v>838</v>
      </c>
    </row>
    <row r="28" spans="1:1">
      <c r="A28" s="760" t="s">
        <v>839</v>
      </c>
    </row>
    <row r="29" spans="1:1">
      <c r="A29" s="760" t="s">
        <v>840</v>
      </c>
    </row>
    <row r="30" spans="1:1">
      <c r="A30" s="760" t="s">
        <v>841</v>
      </c>
    </row>
    <row r="31" spans="1:1">
      <c r="A31" s="760" t="s">
        <v>842</v>
      </c>
    </row>
    <row r="32" spans="1:1">
      <c r="A32" s="760" t="s">
        <v>843</v>
      </c>
    </row>
    <row r="33" spans="1:1">
      <c r="A33" s="761" t="s">
        <v>844</v>
      </c>
    </row>
    <row r="34" spans="1:1">
      <c r="A34" s="760" t="s">
        <v>845</v>
      </c>
    </row>
    <row r="35" spans="1:1">
      <c r="A35" s="761" t="s">
        <v>96</v>
      </c>
    </row>
    <row r="36" spans="1:1">
      <c r="A36" s="760" t="s">
        <v>714</v>
      </c>
    </row>
    <row r="41" spans="1:1" ht="41.25" customHeight="1">
      <c r="A41" s="762" t="s">
        <v>702</v>
      </c>
    </row>
    <row r="42" spans="1:1" ht="30" customHeight="1">
      <c r="A42" s="731" t="s">
        <v>790</v>
      </c>
    </row>
    <row r="43" spans="1:1" ht="45" customHeight="1">
      <c r="A43" s="731" t="s">
        <v>791</v>
      </c>
    </row>
    <row r="44" spans="1:1" ht="45" customHeight="1">
      <c r="A44" s="731" t="s">
        <v>792</v>
      </c>
    </row>
    <row r="45" spans="1:1" ht="45" customHeight="1">
      <c r="A45" s="731" t="s">
        <v>793</v>
      </c>
    </row>
    <row r="46" spans="1:1" ht="45" customHeight="1">
      <c r="A46" s="731" t="s">
        <v>704</v>
      </c>
    </row>
    <row r="47" spans="1:1" ht="30" customHeight="1">
      <c r="A47" s="731" t="s">
        <v>882</v>
      </c>
    </row>
    <row r="48" spans="1:1" ht="30" customHeight="1">
      <c r="A48" s="731" t="s">
        <v>794</v>
      </c>
    </row>
    <row r="49" spans="1:2" ht="30" customHeight="1">
      <c r="A49" s="731" t="s">
        <v>708</v>
      </c>
    </row>
    <row r="50" spans="1:2" ht="30" customHeight="1">
      <c r="A50" s="731" t="s">
        <v>705</v>
      </c>
    </row>
    <row r="51" spans="1:2" ht="45" customHeight="1">
      <c r="A51" s="731" t="s">
        <v>881</v>
      </c>
    </row>
    <row r="52" spans="1:2" ht="60" customHeight="1">
      <c r="A52" s="731" t="s">
        <v>710</v>
      </c>
    </row>
    <row r="53" spans="1:2" ht="60" customHeight="1">
      <c r="A53" s="731" t="s">
        <v>706</v>
      </c>
      <c r="B53" s="731" t="s">
        <v>883</v>
      </c>
    </row>
    <row r="54" spans="1:2" ht="55.5">
      <c r="A54" s="731" t="s">
        <v>703</v>
      </c>
      <c r="B54" s="731" t="s">
        <v>883</v>
      </c>
    </row>
    <row r="55" spans="1:2" ht="30" customHeight="1">
      <c r="A55" s="731" t="s">
        <v>711</v>
      </c>
    </row>
    <row r="56" spans="1:2" ht="30" customHeight="1">
      <c r="A56" s="731" t="s">
        <v>712</v>
      </c>
    </row>
    <row r="57" spans="1:2" ht="30" customHeight="1">
      <c r="A57" s="731" t="s">
        <v>884</v>
      </c>
    </row>
    <row r="58" spans="1:2" ht="30" customHeight="1">
      <c r="A58" s="731" t="s">
        <v>795</v>
      </c>
    </row>
    <row r="59" spans="1:2" ht="30" customHeight="1">
      <c r="A59" s="731" t="s">
        <v>714</v>
      </c>
    </row>
    <row r="60" spans="1:2">
      <c r="A60" s="731"/>
    </row>
    <row r="61" spans="1:2">
      <c r="A61" s="73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dimension ref="A1:O14"/>
  <sheetViews>
    <sheetView topLeftCell="A13" workbookViewId="0">
      <selection activeCell="Q5" sqref="Q5"/>
    </sheetView>
  </sheetViews>
  <sheetFormatPr baseColWidth="10" defaultRowHeight="14.5"/>
  <cols>
    <col min="1" max="1" width="30.7265625" customWidth="1"/>
    <col min="2" max="2" width="120.7265625" customWidth="1"/>
    <col min="3" max="3" width="15.7265625" style="4" customWidth="1"/>
    <col min="4" max="7" width="15.7265625" customWidth="1"/>
    <col min="9" max="9" width="15.7265625" customWidth="1"/>
    <col min="10" max="10" width="5.7265625" customWidth="1"/>
    <col min="11" max="11" width="17.1796875" customWidth="1"/>
    <col min="13" max="15" width="15.7265625" customWidth="1"/>
  </cols>
  <sheetData>
    <row r="1" spans="1:15" ht="49.5" customHeight="1">
      <c r="A1" s="607" t="s">
        <v>578</v>
      </c>
      <c r="B1" s="607" t="s">
        <v>579</v>
      </c>
      <c r="C1" s="622" t="s">
        <v>786</v>
      </c>
      <c r="D1" s="622" t="s">
        <v>592</v>
      </c>
      <c r="E1" s="622" t="s">
        <v>525</v>
      </c>
      <c r="F1" s="622" t="s">
        <v>593</v>
      </c>
      <c r="G1" s="622" t="s">
        <v>594</v>
      </c>
      <c r="I1" s="622" t="s">
        <v>864</v>
      </c>
      <c r="K1" s="622" t="s">
        <v>866</v>
      </c>
      <c r="M1" s="622" t="s">
        <v>525</v>
      </c>
      <c r="N1" s="622" t="s">
        <v>593</v>
      </c>
      <c r="O1" s="622" t="s">
        <v>594</v>
      </c>
    </row>
    <row r="2" spans="1:15" s="4" customFormat="1" ht="45" customHeight="1">
      <c r="A2" s="755" t="s">
        <v>760</v>
      </c>
      <c r="B2" s="756" t="s">
        <v>761</v>
      </c>
      <c r="C2" s="767">
        <v>8711483.1887999997</v>
      </c>
      <c r="D2" s="753">
        <v>1</v>
      </c>
      <c r="E2" s="699">
        <f t="shared" ref="E2:E14" si="0">C2*D2</f>
        <v>8711483.1887999997</v>
      </c>
      <c r="F2" s="754">
        <v>60</v>
      </c>
      <c r="G2" s="699">
        <f t="shared" ref="G2:G14" si="1">IFERROR(E2/F2,0)</f>
        <v>145191.38647999999</v>
      </c>
      <c r="I2" s="699">
        <v>8711483</v>
      </c>
      <c r="K2" s="699">
        <f>ROUND(I2*1.0928,0)</f>
        <v>9519909</v>
      </c>
      <c r="M2" s="699">
        <f>+K2*D2</f>
        <v>9519909</v>
      </c>
      <c r="N2" s="754">
        <v>60</v>
      </c>
      <c r="O2" s="699">
        <f t="shared" ref="O2:O14" si="2">IFERROR(M2/N2,0)</f>
        <v>158665.15</v>
      </c>
    </row>
    <row r="3" spans="1:15" s="4" customFormat="1" ht="30" customHeight="1">
      <c r="A3" s="755" t="s">
        <v>595</v>
      </c>
      <c r="B3" s="757" t="s">
        <v>762</v>
      </c>
      <c r="C3" s="767">
        <v>7112865.6928000003</v>
      </c>
      <c r="D3" s="753">
        <v>1</v>
      </c>
      <c r="E3" s="699">
        <f t="shared" si="0"/>
        <v>7112865.6928000003</v>
      </c>
      <c r="F3" s="754">
        <v>60</v>
      </c>
      <c r="G3" s="699">
        <f t="shared" si="1"/>
        <v>118547.76154666668</v>
      </c>
      <c r="I3" s="699">
        <v>7112866</v>
      </c>
      <c r="K3" s="699">
        <f t="shared" ref="K3:K14" si="3">ROUND(I3*1.0928,0)</f>
        <v>7772940</v>
      </c>
      <c r="M3" s="699">
        <f t="shared" ref="M3:M14" si="4">+K3*D3</f>
        <v>7772940</v>
      </c>
      <c r="N3" s="754">
        <v>60</v>
      </c>
      <c r="O3" s="699">
        <f t="shared" si="2"/>
        <v>129549</v>
      </c>
    </row>
    <row r="4" spans="1:15" s="4" customFormat="1" ht="90" customHeight="1">
      <c r="A4" s="755" t="s">
        <v>741</v>
      </c>
      <c r="B4" s="758" t="s">
        <v>742</v>
      </c>
      <c r="C4" s="767">
        <v>676052.63040000002</v>
      </c>
      <c r="D4" s="753">
        <v>1</v>
      </c>
      <c r="E4" s="699">
        <f t="shared" si="0"/>
        <v>676052.63040000002</v>
      </c>
      <c r="F4" s="754">
        <v>120</v>
      </c>
      <c r="G4" s="699">
        <f t="shared" si="1"/>
        <v>5633.7719200000001</v>
      </c>
      <c r="I4" s="699">
        <v>676053</v>
      </c>
      <c r="K4" s="699">
        <f t="shared" si="3"/>
        <v>738791</v>
      </c>
      <c r="M4" s="699">
        <f t="shared" si="4"/>
        <v>738791</v>
      </c>
      <c r="N4" s="754">
        <v>120</v>
      </c>
      <c r="O4" s="699">
        <f t="shared" si="2"/>
        <v>6156.5916666666662</v>
      </c>
    </row>
    <row r="5" spans="1:15" ht="75" customHeight="1">
      <c r="A5" s="755" t="s">
        <v>743</v>
      </c>
      <c r="B5" s="758" t="s">
        <v>744</v>
      </c>
      <c r="C5" s="767">
        <v>646305.46400000004</v>
      </c>
      <c r="D5" s="753">
        <v>1</v>
      </c>
      <c r="E5" s="699">
        <f t="shared" si="0"/>
        <v>646305.46400000004</v>
      </c>
      <c r="F5" s="754">
        <v>120</v>
      </c>
      <c r="G5" s="699">
        <f t="shared" si="1"/>
        <v>5385.8788666666669</v>
      </c>
      <c r="I5" s="699">
        <v>646305</v>
      </c>
      <c r="K5" s="699">
        <f t="shared" si="3"/>
        <v>706282</v>
      </c>
      <c r="M5" s="699">
        <f t="shared" si="4"/>
        <v>706282</v>
      </c>
      <c r="N5" s="754">
        <v>120</v>
      </c>
      <c r="O5" s="699">
        <f t="shared" si="2"/>
        <v>5885.6833333333334</v>
      </c>
    </row>
    <row r="6" spans="1:15" ht="90" customHeight="1">
      <c r="A6" s="755" t="s">
        <v>745</v>
      </c>
      <c r="B6" s="758" t="s">
        <v>746</v>
      </c>
      <c r="C6" s="767">
        <v>929190.304</v>
      </c>
      <c r="D6" s="753">
        <v>1</v>
      </c>
      <c r="E6" s="699">
        <f t="shared" si="0"/>
        <v>929190.304</v>
      </c>
      <c r="F6" s="754">
        <v>120</v>
      </c>
      <c r="G6" s="699">
        <f t="shared" si="1"/>
        <v>7743.2525333333333</v>
      </c>
      <c r="I6" s="699">
        <v>929190</v>
      </c>
      <c r="K6" s="699">
        <f t="shared" si="3"/>
        <v>1015419</v>
      </c>
      <c r="M6" s="699">
        <f t="shared" si="4"/>
        <v>1015419</v>
      </c>
      <c r="N6" s="754">
        <v>120</v>
      </c>
      <c r="O6" s="699">
        <f t="shared" si="2"/>
        <v>8461.8250000000007</v>
      </c>
    </row>
    <row r="7" spans="1:15" ht="90" customHeight="1">
      <c r="A7" s="755" t="s">
        <v>747</v>
      </c>
      <c r="B7" s="758" t="s">
        <v>748</v>
      </c>
      <c r="C7" s="767">
        <v>944828.01280000003</v>
      </c>
      <c r="D7" s="753">
        <v>1</v>
      </c>
      <c r="E7" s="699">
        <f t="shared" si="0"/>
        <v>944828.01280000003</v>
      </c>
      <c r="F7" s="754">
        <v>120</v>
      </c>
      <c r="G7" s="699">
        <f t="shared" si="1"/>
        <v>7873.5667733333339</v>
      </c>
      <c r="I7" s="699">
        <v>944828</v>
      </c>
      <c r="K7" s="699">
        <f t="shared" si="3"/>
        <v>1032508</v>
      </c>
      <c r="M7" s="699">
        <f t="shared" si="4"/>
        <v>1032508</v>
      </c>
      <c r="N7" s="754">
        <v>120</v>
      </c>
      <c r="O7" s="699">
        <f t="shared" si="2"/>
        <v>8604.2333333333336</v>
      </c>
    </row>
    <row r="8" spans="1:15" ht="60" customHeight="1">
      <c r="A8" s="755" t="s">
        <v>750</v>
      </c>
      <c r="B8" s="758" t="s">
        <v>749</v>
      </c>
      <c r="C8" s="767">
        <v>1077737.2256</v>
      </c>
      <c r="D8" s="753">
        <v>1</v>
      </c>
      <c r="E8" s="699">
        <f t="shared" si="0"/>
        <v>1077737.2256</v>
      </c>
      <c r="F8" s="754">
        <v>120</v>
      </c>
      <c r="G8" s="699">
        <f t="shared" si="1"/>
        <v>8981.1435466666662</v>
      </c>
      <c r="I8" s="699">
        <v>1077737</v>
      </c>
      <c r="K8" s="699">
        <f t="shared" si="3"/>
        <v>1177751</v>
      </c>
      <c r="M8" s="699">
        <f t="shared" si="4"/>
        <v>1177751</v>
      </c>
      <c r="N8" s="754">
        <v>120</v>
      </c>
      <c r="O8" s="699">
        <f t="shared" si="2"/>
        <v>9814.5916666666672</v>
      </c>
    </row>
    <row r="9" spans="1:15" ht="30" customHeight="1">
      <c r="A9" s="755" t="s">
        <v>580</v>
      </c>
      <c r="B9" s="759" t="s">
        <v>581</v>
      </c>
      <c r="C9" s="767">
        <v>453374.19550079998</v>
      </c>
      <c r="D9" s="753">
        <v>1</v>
      </c>
      <c r="E9" s="699">
        <f t="shared" si="0"/>
        <v>453374.19550079998</v>
      </c>
      <c r="F9" s="754">
        <v>120</v>
      </c>
      <c r="G9" s="699">
        <f t="shared" si="1"/>
        <v>3778.11829584</v>
      </c>
      <c r="I9" s="699">
        <v>453374</v>
      </c>
      <c r="K9" s="699">
        <f t="shared" si="3"/>
        <v>495447</v>
      </c>
      <c r="M9" s="699">
        <f t="shared" si="4"/>
        <v>495447</v>
      </c>
      <c r="N9" s="754">
        <v>120</v>
      </c>
      <c r="O9" s="699">
        <f t="shared" si="2"/>
        <v>4128.7250000000004</v>
      </c>
    </row>
    <row r="10" spans="1:15" ht="120" customHeight="1">
      <c r="A10" s="755" t="s">
        <v>751</v>
      </c>
      <c r="B10" s="759" t="s">
        <v>752</v>
      </c>
      <c r="C10" s="767">
        <v>156887.2592</v>
      </c>
      <c r="D10" s="753">
        <v>1</v>
      </c>
      <c r="E10" s="699">
        <f t="shared" si="0"/>
        <v>156887.2592</v>
      </c>
      <c r="F10" s="754">
        <v>120</v>
      </c>
      <c r="G10" s="699">
        <f t="shared" si="1"/>
        <v>1307.3938266666667</v>
      </c>
      <c r="I10" s="699">
        <v>156887</v>
      </c>
      <c r="K10" s="699">
        <f t="shared" si="3"/>
        <v>171446</v>
      </c>
      <c r="M10" s="699">
        <f t="shared" si="4"/>
        <v>171446</v>
      </c>
      <c r="N10" s="754">
        <v>120</v>
      </c>
      <c r="O10" s="699">
        <f t="shared" si="2"/>
        <v>1428.7166666666667</v>
      </c>
    </row>
    <row r="11" spans="1:15" ht="105" customHeight="1">
      <c r="A11" s="755" t="s">
        <v>586</v>
      </c>
      <c r="B11" s="758" t="s">
        <v>753</v>
      </c>
      <c r="C11" s="767">
        <v>1873640.496</v>
      </c>
      <c r="D11" s="753">
        <v>1</v>
      </c>
      <c r="E11" s="699">
        <f t="shared" si="0"/>
        <v>1873640.496</v>
      </c>
      <c r="F11" s="754">
        <v>120</v>
      </c>
      <c r="G11" s="699">
        <f t="shared" si="1"/>
        <v>15613.6708</v>
      </c>
      <c r="I11" s="699">
        <v>1873640</v>
      </c>
      <c r="K11" s="699">
        <f t="shared" si="3"/>
        <v>2047514</v>
      </c>
      <c r="M11" s="699">
        <f t="shared" si="4"/>
        <v>2047514</v>
      </c>
      <c r="N11" s="754">
        <v>120</v>
      </c>
      <c r="O11" s="699">
        <f t="shared" si="2"/>
        <v>17062.616666666665</v>
      </c>
    </row>
    <row r="12" spans="1:15" ht="30" customHeight="1">
      <c r="A12" s="755" t="s">
        <v>754</v>
      </c>
      <c r="B12" s="758" t="s">
        <v>755</v>
      </c>
      <c r="C12" s="767">
        <v>120925.28</v>
      </c>
      <c r="D12" s="753">
        <v>1</v>
      </c>
      <c r="E12" s="699">
        <f t="shared" si="0"/>
        <v>120925.28</v>
      </c>
      <c r="F12" s="754">
        <v>120</v>
      </c>
      <c r="G12" s="699">
        <f t="shared" si="1"/>
        <v>1007.7106666666666</v>
      </c>
      <c r="I12" s="699">
        <v>120925</v>
      </c>
      <c r="K12" s="699">
        <f t="shared" si="3"/>
        <v>132147</v>
      </c>
      <c r="M12" s="699">
        <f t="shared" si="4"/>
        <v>132147</v>
      </c>
      <c r="N12" s="754">
        <v>120</v>
      </c>
      <c r="O12" s="699">
        <f t="shared" si="2"/>
        <v>1101.2249999999999</v>
      </c>
    </row>
    <row r="13" spans="1:15" ht="30" customHeight="1">
      <c r="A13" s="755" t="s">
        <v>756</v>
      </c>
      <c r="B13" s="758" t="s">
        <v>757</v>
      </c>
      <c r="C13" s="767">
        <v>3959200</v>
      </c>
      <c r="D13" s="753">
        <v>1</v>
      </c>
      <c r="E13" s="699">
        <f t="shared" si="0"/>
        <v>3959200</v>
      </c>
      <c r="F13" s="754">
        <v>60</v>
      </c>
      <c r="G13" s="699">
        <f t="shared" si="1"/>
        <v>65986.666666666672</v>
      </c>
      <c r="I13" s="699">
        <v>3959200</v>
      </c>
      <c r="K13" s="699">
        <f t="shared" si="3"/>
        <v>4326614</v>
      </c>
      <c r="M13" s="699">
        <f t="shared" si="4"/>
        <v>4326614</v>
      </c>
      <c r="N13" s="754">
        <v>60</v>
      </c>
      <c r="O13" s="699">
        <f t="shared" si="2"/>
        <v>72110.233333333337</v>
      </c>
    </row>
    <row r="14" spans="1:15" ht="30" customHeight="1">
      <c r="A14" s="755" t="s">
        <v>758</v>
      </c>
      <c r="B14" s="758" t="s">
        <v>759</v>
      </c>
      <c r="C14" s="767">
        <v>341399.55359999998</v>
      </c>
      <c r="D14" s="753">
        <v>1</v>
      </c>
      <c r="E14" s="699">
        <f t="shared" si="0"/>
        <v>341399.55359999998</v>
      </c>
      <c r="F14" s="754">
        <v>120</v>
      </c>
      <c r="G14" s="699">
        <f t="shared" si="1"/>
        <v>2844.9962799999998</v>
      </c>
      <c r="I14" s="699">
        <v>341400</v>
      </c>
      <c r="K14" s="699">
        <f t="shared" si="3"/>
        <v>373082</v>
      </c>
      <c r="M14" s="699">
        <f t="shared" si="4"/>
        <v>373082</v>
      </c>
      <c r="N14" s="754">
        <v>120</v>
      </c>
      <c r="O14" s="699">
        <f t="shared" si="2"/>
        <v>3109.0166666666669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1"/>
  <dimension ref="C1:J1048570"/>
  <sheetViews>
    <sheetView showGridLines="0" topLeftCell="A5" zoomScale="85" zoomScaleNormal="85" workbookViewId="0">
      <selection activeCell="D24" sqref="D24"/>
    </sheetView>
  </sheetViews>
  <sheetFormatPr baseColWidth="10" defaultColWidth="11.453125" defaultRowHeight="14.5"/>
  <cols>
    <col min="1" max="1" width="17.26953125" style="20" customWidth="1"/>
    <col min="2" max="2" width="4.81640625" style="20" customWidth="1"/>
    <col min="3" max="3" width="5.54296875" style="20" customWidth="1"/>
    <col min="4" max="4" width="53.453125" style="20" customWidth="1"/>
    <col min="5" max="5" width="12.26953125" style="20" customWidth="1"/>
    <col min="6" max="6" width="20.1796875" style="20" customWidth="1"/>
    <col min="7" max="7" width="5.54296875" style="20" customWidth="1"/>
    <col min="8" max="8" width="14.1796875" style="20" bestFit="1" customWidth="1"/>
    <col min="9" max="9" width="15.1796875" style="20" bestFit="1" customWidth="1"/>
    <col min="10" max="10" width="14.1796875" style="20" bestFit="1" customWidth="1"/>
    <col min="11" max="16384" width="11.453125" style="20"/>
  </cols>
  <sheetData>
    <row r="1" spans="3:8">
      <c r="D1" s="20" t="s">
        <v>70</v>
      </c>
      <c r="E1" s="990">
        <f>781242*1.06</f>
        <v>828116.52</v>
      </c>
      <c r="F1" s="990"/>
    </row>
    <row r="2" spans="3:8">
      <c r="D2" s="20" t="s">
        <v>103</v>
      </c>
      <c r="E2" s="990">
        <f>+E1*10</f>
        <v>8281165.2000000002</v>
      </c>
      <c r="F2" s="990"/>
    </row>
    <row r="3" spans="3:8">
      <c r="E3" s="21"/>
    </row>
    <row r="4" spans="3:8" ht="6" customHeight="1" thickBot="1"/>
    <row r="5" spans="3:8" ht="18.75" customHeight="1" thickBot="1">
      <c r="C5" s="28"/>
      <c r="D5" s="194" t="s">
        <v>122</v>
      </c>
    </row>
    <row r="6" spans="3:8" ht="9.75" customHeight="1" thickBot="1">
      <c r="C6" s="194"/>
      <c r="D6" s="194"/>
    </row>
    <row r="7" spans="3:8" ht="32.25" customHeight="1">
      <c r="C7" s="22"/>
      <c r="D7" s="991" t="s">
        <v>104</v>
      </c>
      <c r="E7" s="991"/>
      <c r="F7" s="991"/>
      <c r="G7" s="23"/>
    </row>
    <row r="8" spans="3:8" ht="6.75" customHeight="1">
      <c r="C8" s="24"/>
      <c r="D8" s="25"/>
      <c r="E8" s="25"/>
      <c r="F8" s="25"/>
      <c r="G8" s="26"/>
    </row>
    <row r="9" spans="3:8" ht="6.75" customHeight="1" thickBot="1">
      <c r="C9" s="24"/>
      <c r="D9" s="25"/>
      <c r="E9" s="25"/>
      <c r="F9" s="25"/>
      <c r="G9" s="26"/>
    </row>
    <row r="10" spans="3:8" ht="32.25" customHeight="1" thickBot="1">
      <c r="C10" s="24"/>
      <c r="D10" s="27" t="s">
        <v>105</v>
      </c>
      <c r="E10" s="28" t="s">
        <v>27</v>
      </c>
      <c r="F10" s="25"/>
      <c r="G10" s="26"/>
    </row>
    <row r="11" spans="3:8" ht="4.5" customHeight="1">
      <c r="C11" s="24"/>
      <c r="D11" s="992"/>
      <c r="E11" s="992"/>
      <c r="F11" s="25"/>
      <c r="G11" s="26"/>
    </row>
    <row r="12" spans="3:8" ht="15.5">
      <c r="C12" s="29"/>
      <c r="D12" s="30" t="s">
        <v>106</v>
      </c>
      <c r="E12" s="993"/>
      <c r="F12" s="993"/>
      <c r="G12" s="994"/>
    </row>
    <row r="13" spans="3:8" ht="8.25" customHeight="1" thickBot="1">
      <c r="C13" s="24"/>
      <c r="D13" s="25"/>
      <c r="E13" s="25"/>
      <c r="F13" s="25"/>
      <c r="G13" s="26"/>
    </row>
    <row r="14" spans="3:8" ht="16" thickBot="1">
      <c r="C14" s="24"/>
      <c r="D14" s="995" t="s">
        <v>107</v>
      </c>
      <c r="E14" s="996"/>
      <c r="F14" s="31">
        <v>9000000</v>
      </c>
      <c r="G14" s="32"/>
    </row>
    <row r="15" spans="3:8" ht="13.5" customHeight="1" thickBot="1">
      <c r="C15" s="24"/>
      <c r="D15" s="984" t="s">
        <v>78</v>
      </c>
      <c r="E15" s="985"/>
      <c r="F15" s="60" t="s">
        <v>79</v>
      </c>
      <c r="G15" s="32"/>
    </row>
    <row r="16" spans="3:8" ht="21" customHeight="1" thickBot="1">
      <c r="C16" s="24"/>
      <c r="D16" s="33" t="s">
        <v>8</v>
      </c>
      <c r="E16" s="34"/>
      <c r="F16" s="35">
        <v>1</v>
      </c>
      <c r="G16" s="32"/>
      <c r="H16" s="36"/>
    </row>
    <row r="17" spans="3:10" ht="21" customHeight="1" thickBot="1">
      <c r="C17" s="24"/>
      <c r="D17" s="33" t="s">
        <v>108</v>
      </c>
      <c r="E17" s="34"/>
      <c r="F17" s="37">
        <v>8.3330000000000001E-2</v>
      </c>
      <c r="G17" s="32"/>
      <c r="H17" s="36"/>
    </row>
    <row r="18" spans="3:10" ht="21" customHeight="1" thickBot="1">
      <c r="C18" s="24"/>
      <c r="D18" s="33" t="s">
        <v>109</v>
      </c>
      <c r="E18" s="34"/>
      <c r="F18" s="37">
        <v>8.3330000000000001E-2</v>
      </c>
      <c r="G18" s="32"/>
      <c r="H18" s="36"/>
    </row>
    <row r="19" spans="3:10" ht="21" customHeight="1" thickBot="1">
      <c r="C19" s="24"/>
      <c r="D19" s="33" t="s">
        <v>110</v>
      </c>
      <c r="E19" s="34"/>
      <c r="F19" s="35">
        <v>0.01</v>
      </c>
      <c r="G19" s="32"/>
      <c r="H19" s="36"/>
    </row>
    <row r="20" spans="3:10" ht="21" customHeight="1" thickBot="1">
      <c r="C20" s="24"/>
      <c r="D20" s="33" t="s">
        <v>111</v>
      </c>
      <c r="E20" s="34"/>
      <c r="F20" s="37">
        <v>4.1669999999999999E-2</v>
      </c>
      <c r="G20" s="32"/>
      <c r="H20" s="36"/>
    </row>
    <row r="21" spans="3:10" ht="21" customHeight="1" thickBot="1">
      <c r="C21" s="24"/>
      <c r="D21" s="33" t="s">
        <v>87</v>
      </c>
      <c r="E21" s="38">
        <v>8.5000000000000006E-2</v>
      </c>
      <c r="F21" s="39">
        <f>+IF(AND($F$14&lt;$E$2),IF(AND($E$10="Si"),0%,E21))+IF($F$14&gt;$E$2,E21)</f>
        <v>8.5000000000000006E-2</v>
      </c>
      <c r="G21" s="40"/>
      <c r="H21" s="36"/>
    </row>
    <row r="22" spans="3:10" ht="21" customHeight="1" thickBot="1">
      <c r="C22" s="24"/>
      <c r="D22" s="33" t="s">
        <v>89</v>
      </c>
      <c r="E22" s="34"/>
      <c r="F22" s="35">
        <v>0.12</v>
      </c>
      <c r="G22" s="32"/>
      <c r="H22" s="36"/>
    </row>
    <row r="23" spans="3:10" ht="21" customHeight="1" thickBot="1">
      <c r="C23" s="24"/>
      <c r="D23" s="33" t="s">
        <v>90</v>
      </c>
      <c r="E23" s="34"/>
      <c r="F23" s="35">
        <v>0.04</v>
      </c>
      <c r="G23" s="32"/>
      <c r="H23" s="36"/>
    </row>
    <row r="24" spans="3:10" ht="21" customHeight="1" thickBot="1">
      <c r="C24" s="24"/>
      <c r="D24" s="33" t="s">
        <v>91</v>
      </c>
      <c r="E24" s="41">
        <v>0.02</v>
      </c>
      <c r="F24" s="39">
        <f>+IF(AND($F$14&lt;$E$2),IF(AND($E$10="Si"),0%,E24))+IF($F$14&gt;$E$2,E24)</f>
        <v>0.02</v>
      </c>
      <c r="G24" s="42"/>
      <c r="H24" s="36"/>
    </row>
    <row r="25" spans="3:10" ht="21" customHeight="1" thickBot="1">
      <c r="C25" s="24"/>
      <c r="D25" s="33" t="s">
        <v>92</v>
      </c>
      <c r="E25" s="41">
        <v>0.03</v>
      </c>
      <c r="F25" s="39">
        <f>+IF(AND($F$14&lt;$E$2),IF(AND($E$10="Si"),0%,E25))+IF($F$14&gt;$E$2,E25)</f>
        <v>0.03</v>
      </c>
      <c r="G25" s="42"/>
      <c r="H25" s="36"/>
      <c r="J25" s="43"/>
    </row>
    <row r="26" spans="3:10" ht="21" customHeight="1" thickBot="1">
      <c r="C26" s="24"/>
      <c r="D26" s="33" t="s">
        <v>93</v>
      </c>
      <c r="E26" s="44" t="s">
        <v>76</v>
      </c>
      <c r="F26" s="35" t="s">
        <v>599</v>
      </c>
      <c r="G26" s="32"/>
      <c r="H26" s="36"/>
    </row>
    <row r="27" spans="3:10" ht="21" customHeight="1" thickBot="1">
      <c r="C27" s="24"/>
      <c r="D27" s="45" t="s">
        <v>60</v>
      </c>
      <c r="E27" s="46">
        <v>47500</v>
      </c>
      <c r="F27" s="47" t="str">
        <f>+IFERROR(IF(F14&lt;($E$1*2),E27/F14,"0%"),"")</f>
        <v>0%</v>
      </c>
      <c r="G27" s="32"/>
      <c r="H27" s="36"/>
      <c r="I27" s="48"/>
    </row>
    <row r="28" spans="3:10" ht="21" customHeight="1" thickBot="1">
      <c r="C28" s="24"/>
      <c r="D28" s="45" t="s">
        <v>54</v>
      </c>
      <c r="E28" s="49">
        <f>88211*1.1</f>
        <v>97032.1</v>
      </c>
      <c r="F28" s="50" t="str">
        <f>+IFERROR(IF(F14&lt;($E$1*2),E28/F14,"0%"),"")</f>
        <v>0%</v>
      </c>
      <c r="G28" s="32"/>
      <c r="H28" s="36"/>
      <c r="I28" s="51"/>
    </row>
    <row r="29" spans="3:10" ht="21" customHeight="1" thickBot="1">
      <c r="C29" s="24"/>
      <c r="D29" s="986" t="s">
        <v>112</v>
      </c>
      <c r="E29" s="987"/>
      <c r="F29" s="52">
        <f>SUM(F16:F28)</f>
        <v>1.5133300000000001</v>
      </c>
      <c r="G29" s="32"/>
      <c r="H29" s="53"/>
      <c r="I29" s="48"/>
      <c r="J29" s="54"/>
    </row>
    <row r="30" spans="3:10" ht="21" customHeight="1" thickBot="1">
      <c r="C30" s="24"/>
      <c r="D30" s="988" t="s">
        <v>95</v>
      </c>
      <c r="E30" s="989"/>
      <c r="F30" s="55">
        <f>+ROUND(F29,2)</f>
        <v>1.51</v>
      </c>
      <c r="G30" s="26"/>
      <c r="H30" s="36"/>
      <c r="I30" s="48"/>
    </row>
    <row r="31" spans="3:10" ht="9" customHeight="1">
      <c r="C31" s="24"/>
      <c r="D31" s="25"/>
      <c r="E31" s="25"/>
      <c r="F31" s="25"/>
      <c r="G31" s="26"/>
      <c r="H31" s="36"/>
      <c r="I31" s="48"/>
    </row>
    <row r="32" spans="3:10" ht="12.75" customHeight="1">
      <c r="C32" s="24"/>
      <c r="D32" s="25" t="s">
        <v>113</v>
      </c>
      <c r="E32" s="25"/>
      <c r="F32" s="25"/>
      <c r="G32" s="26"/>
      <c r="H32" s="36"/>
      <c r="I32" s="48"/>
    </row>
    <row r="33" spans="3:8" ht="2.25" customHeight="1" thickBot="1">
      <c r="C33" s="56"/>
      <c r="D33" s="57"/>
      <c r="E33" s="57"/>
      <c r="F33" s="57"/>
      <c r="G33" s="58"/>
    </row>
    <row r="35" spans="3:8">
      <c r="D35"/>
      <c r="E35"/>
      <c r="F35"/>
      <c r="G35"/>
    </row>
    <row r="36" spans="3:8">
      <c r="F36" s="59"/>
      <c r="H36" s="59"/>
    </row>
    <row r="53" spans="4:4">
      <c r="D53" s="59"/>
    </row>
    <row r="55" spans="4:4">
      <c r="D55" s="59"/>
    </row>
    <row r="56" spans="4:4">
      <c r="D56" s="59"/>
    </row>
    <row r="1048565" spans="4:5">
      <c r="D1048565" s="16" t="s">
        <v>56</v>
      </c>
      <c r="E1048565" s="16" t="s">
        <v>57</v>
      </c>
    </row>
    <row r="1048566" spans="4:5">
      <c r="D1048566" s="19" t="s">
        <v>64</v>
      </c>
      <c r="E1048566" s="17">
        <v>5.2199999999999998E-3</v>
      </c>
    </row>
    <row r="1048567" spans="4:5">
      <c r="D1048567" s="19" t="s">
        <v>71</v>
      </c>
      <c r="E1048567" s="17">
        <v>1.044E-2</v>
      </c>
    </row>
    <row r="1048568" spans="4:5">
      <c r="D1048568" s="19" t="s">
        <v>12</v>
      </c>
      <c r="E1048568" s="17">
        <v>2.436E-2</v>
      </c>
    </row>
    <row r="1048569" spans="4:5">
      <c r="D1048569" s="19" t="s">
        <v>74</v>
      </c>
      <c r="E1048569" s="17">
        <v>4.3499999999999997E-2</v>
      </c>
    </row>
    <row r="1048570" spans="4:5">
      <c r="D1048570" s="19" t="s">
        <v>76</v>
      </c>
      <c r="E1048570" s="17">
        <v>6.9599999999999995E-2</v>
      </c>
    </row>
  </sheetData>
  <mergeCells count="9">
    <mergeCell ref="D15:E15"/>
    <mergeCell ref="D29:E29"/>
    <mergeCell ref="D30:E30"/>
    <mergeCell ref="E1:F1"/>
    <mergeCell ref="E2:F2"/>
    <mergeCell ref="D7:F7"/>
    <mergeCell ref="D11:E11"/>
    <mergeCell ref="E12:G12"/>
    <mergeCell ref="D14:E14"/>
  </mergeCells>
  <dataValidations count="2">
    <dataValidation type="list" allowBlank="1" showInputMessage="1" showErrorMessage="1" sqref="E26" xr:uid="{00000000-0002-0000-0700-000000000000}">
      <formula1>"I,II,III,IV,V"</formula1>
    </dataValidation>
    <dataValidation type="list" allowBlank="1" showInputMessage="1" showErrorMessage="1" sqref="E10 C5:C6" xr:uid="{00000000-0002-0000-0700-000001000000}">
      <formula1>"Si,No"</formula1>
    </dataValidation>
  </dataValidations>
  <pageMargins left="0.7" right="0.7" top="0.75" bottom="0.75" header="0.3" footer="0.3"/>
  <pageSetup orientation="portrait"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
  <dimension ref="A1:T113"/>
  <sheetViews>
    <sheetView showGridLines="0" view="pageBreakPreview" zoomScale="70" zoomScaleNormal="80" zoomScaleSheetLayoutView="70" workbookViewId="0">
      <selection activeCell="R93" sqref="R93"/>
    </sheetView>
  </sheetViews>
  <sheetFormatPr baseColWidth="10" defaultColWidth="11.453125" defaultRowHeight="15.5"/>
  <cols>
    <col min="1" max="2" width="3.453125" style="198" customWidth="1"/>
    <col min="3" max="3" width="5.1796875" style="198" customWidth="1"/>
    <col min="4" max="4" width="11.26953125" style="198" customWidth="1"/>
    <col min="5" max="5" width="13.453125" style="199" customWidth="1"/>
    <col min="6" max="6" width="16.81640625" style="198" customWidth="1"/>
    <col min="7" max="7" width="74.1796875" style="198" customWidth="1"/>
    <col min="8" max="8" width="9.54296875" style="198" customWidth="1"/>
    <col min="9" max="9" width="18.81640625" style="198" customWidth="1"/>
    <col min="10" max="10" width="23.81640625" style="198" customWidth="1"/>
    <col min="11" max="11" width="30" style="198" customWidth="1"/>
    <col min="12" max="12" width="3.26953125" style="198" customWidth="1"/>
    <col min="13" max="13" width="2.7265625" style="198" customWidth="1"/>
    <col min="14" max="15" width="21.7265625" style="198" customWidth="1"/>
    <col min="16" max="16" width="20.26953125" style="198" customWidth="1"/>
    <col min="17" max="17" width="22.54296875" style="198" customWidth="1"/>
    <col min="18" max="18" width="18.26953125" style="198" customWidth="1"/>
    <col min="19" max="19" width="15.453125" style="198" bestFit="1" customWidth="1"/>
    <col min="20" max="20" width="18" style="198" customWidth="1"/>
    <col min="21" max="16384" width="11.453125" style="198"/>
  </cols>
  <sheetData>
    <row r="1" spans="1:20" ht="16" thickBot="1"/>
    <row r="2" spans="1:20" ht="78.75" customHeight="1" thickTop="1">
      <c r="B2" s="200"/>
      <c r="C2" s="201"/>
      <c r="D2" s="201"/>
      <c r="E2" s="202"/>
      <c r="F2" s="201"/>
      <c r="G2" s="201"/>
      <c r="H2" s="201"/>
      <c r="I2" s="201"/>
      <c r="J2" s="201"/>
      <c r="K2" s="201"/>
      <c r="L2" s="203"/>
    </row>
    <row r="3" spans="1:20">
      <c r="B3" s="1000" t="s">
        <v>124</v>
      </c>
      <c r="C3" s="1001"/>
      <c r="D3" s="1001"/>
      <c r="E3" s="1001"/>
      <c r="F3" s="1001"/>
      <c r="G3" s="1001"/>
      <c r="H3" s="1001"/>
      <c r="I3" s="1001"/>
      <c r="J3" s="1001"/>
      <c r="K3" s="1001"/>
      <c r="L3" s="1002"/>
    </row>
    <row r="4" spans="1:20" hidden="1">
      <c r="B4" s="1000" t="s">
        <v>125</v>
      </c>
      <c r="C4" s="1001"/>
      <c r="D4" s="1001"/>
      <c r="E4" s="1001"/>
      <c r="F4" s="1001"/>
      <c r="G4" s="1001"/>
      <c r="H4" s="1001"/>
      <c r="I4" s="1001"/>
      <c r="J4" s="1001"/>
      <c r="K4" s="1001"/>
      <c r="L4" s="1002"/>
    </row>
    <row r="5" spans="1:20" ht="8.25" customHeight="1" thickBot="1">
      <c r="B5" s="204"/>
      <c r="C5" s="199"/>
      <c r="D5" s="199"/>
      <c r="F5" s="199"/>
      <c r="G5" s="199"/>
      <c r="H5" s="199"/>
      <c r="I5" s="199"/>
      <c r="J5" s="199"/>
      <c r="K5" s="199"/>
      <c r="L5" s="205"/>
    </row>
    <row r="6" spans="1:20">
      <c r="B6" s="206"/>
      <c r="C6" s="1003" t="s">
        <v>126</v>
      </c>
      <c r="D6" s="1004"/>
      <c r="E6" s="1004"/>
      <c r="F6" s="1004"/>
      <c r="G6" s="1004"/>
      <c r="H6" s="1004"/>
      <c r="I6" s="1004"/>
      <c r="J6" s="1004"/>
      <c r="K6" s="1005"/>
      <c r="L6" s="207"/>
    </row>
    <row r="7" spans="1:20" ht="16" thickBot="1">
      <c r="B7" s="206"/>
      <c r="C7" s="1006" t="s">
        <v>127</v>
      </c>
      <c r="D7" s="1007"/>
      <c r="E7" s="1007"/>
      <c r="F7" s="1007"/>
      <c r="G7" s="1007"/>
      <c r="H7" s="1007"/>
      <c r="I7" s="1007"/>
      <c r="J7" s="1007"/>
      <c r="K7" s="1008"/>
      <c r="L7" s="207"/>
    </row>
    <row r="8" spans="1:20" ht="30" customHeight="1" thickBot="1">
      <c r="B8" s="206"/>
      <c r="C8" s="1009" t="s">
        <v>123</v>
      </c>
      <c r="D8" s="1010"/>
      <c r="E8" s="1010"/>
      <c r="F8" s="1010"/>
      <c r="G8" s="1010"/>
      <c r="H8" s="1010"/>
      <c r="I8" s="1010"/>
      <c r="J8" s="1010"/>
      <c r="K8" s="1011"/>
      <c r="L8" s="207"/>
    </row>
    <row r="9" spans="1:20">
      <c r="B9" s="206"/>
      <c r="C9" s="1012" t="s">
        <v>128</v>
      </c>
      <c r="D9" s="1014" t="s">
        <v>129</v>
      </c>
      <c r="E9" s="1016" t="s">
        <v>130</v>
      </c>
      <c r="F9" s="1016"/>
      <c r="G9" s="1012" t="s">
        <v>131</v>
      </c>
      <c r="H9" s="1014" t="s">
        <v>132</v>
      </c>
      <c r="I9" s="1014" t="s">
        <v>133</v>
      </c>
      <c r="J9" s="1017" t="s">
        <v>134</v>
      </c>
      <c r="K9" s="1019" t="s">
        <v>135</v>
      </c>
      <c r="L9" s="207"/>
    </row>
    <row r="10" spans="1:20" ht="16" thickBot="1">
      <c r="B10" s="206"/>
      <c r="C10" s="1013"/>
      <c r="D10" s="1015"/>
      <c r="E10" s="208" t="s">
        <v>136</v>
      </c>
      <c r="F10" s="208" t="s">
        <v>137</v>
      </c>
      <c r="G10" s="1013"/>
      <c r="H10" s="1015"/>
      <c r="I10" s="1015"/>
      <c r="J10" s="1018"/>
      <c r="K10" s="1020"/>
      <c r="L10" s="207"/>
    </row>
    <row r="11" spans="1:20" ht="16" thickBot="1">
      <c r="B11" s="206"/>
      <c r="C11" s="209"/>
      <c r="D11" s="210"/>
      <c r="E11" s="210"/>
      <c r="F11" s="210"/>
      <c r="G11" s="210"/>
      <c r="H11" s="210"/>
      <c r="I11" s="210"/>
      <c r="J11" s="210"/>
      <c r="K11" s="211"/>
      <c r="L11" s="207"/>
      <c r="N11" s="212"/>
      <c r="O11" s="212"/>
      <c r="P11" s="212"/>
      <c r="Q11" s="212"/>
      <c r="R11" s="212"/>
      <c r="S11" s="212"/>
      <c r="T11" s="212"/>
    </row>
    <row r="12" spans="1:20" ht="62">
      <c r="B12" s="206"/>
      <c r="C12" s="213"/>
      <c r="D12" s="214">
        <v>1</v>
      </c>
      <c r="E12" s="214"/>
      <c r="F12" s="214"/>
      <c r="G12" s="215" t="s">
        <v>138</v>
      </c>
      <c r="H12" s="214" t="s">
        <v>139</v>
      </c>
      <c r="I12" s="216">
        <v>5</v>
      </c>
      <c r="J12" s="217">
        <f>'ITEM DE PAGO'!N64</f>
        <v>522064</v>
      </c>
      <c r="K12" s="218">
        <f>ROUND(J12*I12,0)</f>
        <v>2610320</v>
      </c>
      <c r="L12" s="207"/>
      <c r="N12" s="212"/>
      <c r="O12" s="212"/>
      <c r="P12" s="212"/>
      <c r="Q12" s="212"/>
      <c r="R12" s="212"/>
    </row>
    <row r="13" spans="1:20" ht="46.5">
      <c r="B13" s="206"/>
      <c r="C13" s="219"/>
      <c r="D13" s="220">
        <v>2</v>
      </c>
      <c r="E13" s="220"/>
      <c r="F13" s="220"/>
      <c r="G13" s="221" t="s">
        <v>140</v>
      </c>
      <c r="H13" s="220" t="s">
        <v>141</v>
      </c>
      <c r="I13" s="222">
        <v>3785.89</v>
      </c>
      <c r="J13" s="223">
        <f>'ITEM DE PAGO'!N151</f>
        <v>1176</v>
      </c>
      <c r="K13" s="224">
        <f>ROUND(J13*I13,0)</f>
        <v>4452207</v>
      </c>
      <c r="L13" s="207"/>
      <c r="N13" s="212"/>
      <c r="O13" s="212"/>
      <c r="P13" s="212"/>
      <c r="Q13" s="212"/>
      <c r="R13" s="212"/>
    </row>
    <row r="14" spans="1:20" s="226" customFormat="1" ht="46.5">
      <c r="A14" s="198"/>
      <c r="B14" s="206"/>
      <c r="C14" s="219"/>
      <c r="D14" s="220">
        <v>3</v>
      </c>
      <c r="E14" s="220"/>
      <c r="F14" s="220"/>
      <c r="G14" s="221" t="s">
        <v>142</v>
      </c>
      <c r="H14" s="220" t="s">
        <v>143</v>
      </c>
      <c r="I14" s="222">
        <v>140</v>
      </c>
      <c r="J14" s="223">
        <f>'ITEM DE PAGO'!N245</f>
        <v>14720</v>
      </c>
      <c r="K14" s="224">
        <f>ROUND(J14*I14,0)</f>
        <v>2060800</v>
      </c>
      <c r="L14" s="225"/>
      <c r="N14" s="212"/>
      <c r="O14" s="212"/>
      <c r="P14" s="212"/>
      <c r="Q14" s="212"/>
      <c r="R14" s="212"/>
    </row>
    <row r="15" spans="1:20" s="226" customFormat="1" ht="62">
      <c r="B15" s="227"/>
      <c r="C15" s="219"/>
      <c r="D15" s="220">
        <v>4</v>
      </c>
      <c r="E15" s="220"/>
      <c r="F15" s="220"/>
      <c r="G15" s="221" t="s">
        <v>144</v>
      </c>
      <c r="H15" s="220" t="s">
        <v>143</v>
      </c>
      <c r="I15" s="222">
        <v>200</v>
      </c>
      <c r="J15" s="223">
        <f>'ITEM DE PAGO'!N337</f>
        <v>13270</v>
      </c>
      <c r="K15" s="224">
        <f>ROUND(J15*I15,0)</f>
        <v>2654000</v>
      </c>
      <c r="L15" s="225"/>
      <c r="N15" s="212"/>
      <c r="O15" s="212"/>
      <c r="P15" s="212"/>
      <c r="Q15" s="212"/>
      <c r="R15" s="212"/>
    </row>
    <row r="16" spans="1:20" s="226" customFormat="1" ht="31">
      <c r="B16" s="227"/>
      <c r="C16" s="219"/>
      <c r="D16" s="220">
        <v>5</v>
      </c>
      <c r="E16" s="220"/>
      <c r="F16" s="220"/>
      <c r="G16" s="221" t="s">
        <v>145</v>
      </c>
      <c r="H16" s="220" t="s">
        <v>141</v>
      </c>
      <c r="I16" s="222">
        <v>600</v>
      </c>
      <c r="J16" s="223">
        <f>'ITEM DE PAGO'!N431</f>
        <v>6937</v>
      </c>
      <c r="K16" s="224">
        <f t="shared" ref="K16:K79" si="0">ROUND(J16*I16,0)</f>
        <v>4162200</v>
      </c>
      <c r="L16" s="225"/>
      <c r="N16" s="212"/>
      <c r="O16" s="212"/>
      <c r="P16" s="212"/>
      <c r="Q16" s="212"/>
      <c r="R16" s="212"/>
    </row>
    <row r="17" spans="1:18" s="226" customFormat="1" ht="46.5">
      <c r="B17" s="227"/>
      <c r="C17" s="219"/>
      <c r="D17" s="220">
        <v>6</v>
      </c>
      <c r="E17" s="220"/>
      <c r="F17" s="220"/>
      <c r="G17" s="221" t="s">
        <v>146</v>
      </c>
      <c r="H17" s="220" t="s">
        <v>147</v>
      </c>
      <c r="I17" s="222">
        <v>20</v>
      </c>
      <c r="J17" s="223">
        <f>'ITEM DE PAGO'!N525</f>
        <v>180763</v>
      </c>
      <c r="K17" s="224">
        <f t="shared" si="0"/>
        <v>3615260</v>
      </c>
      <c r="L17" s="225"/>
      <c r="N17" s="212"/>
      <c r="O17" s="212"/>
      <c r="P17" s="212"/>
      <c r="Q17" s="212"/>
      <c r="R17" s="212"/>
    </row>
    <row r="18" spans="1:18" s="226" customFormat="1" ht="62">
      <c r="B18" s="227"/>
      <c r="C18" s="219"/>
      <c r="D18" s="220">
        <v>7</v>
      </c>
      <c r="E18" s="220"/>
      <c r="F18" s="220"/>
      <c r="G18" s="221" t="s">
        <v>148</v>
      </c>
      <c r="H18" s="220" t="s">
        <v>141</v>
      </c>
      <c r="I18" s="222">
        <v>200</v>
      </c>
      <c r="J18" s="223">
        <f>'ITEM DE PAGO'!N619</f>
        <v>33047</v>
      </c>
      <c r="K18" s="224">
        <f t="shared" si="0"/>
        <v>6609400</v>
      </c>
      <c r="L18" s="225"/>
      <c r="N18" s="212"/>
      <c r="O18" s="212"/>
      <c r="P18" s="212"/>
      <c r="Q18" s="212"/>
      <c r="R18" s="212"/>
    </row>
    <row r="19" spans="1:18" s="226" customFormat="1" ht="62">
      <c r="B19" s="227"/>
      <c r="C19" s="219"/>
      <c r="D19" s="220">
        <v>8</v>
      </c>
      <c r="E19" s="220"/>
      <c r="F19" s="220"/>
      <c r="G19" s="221" t="s">
        <v>149</v>
      </c>
      <c r="H19" s="220" t="s">
        <v>141</v>
      </c>
      <c r="I19" s="222">
        <v>500</v>
      </c>
      <c r="J19" s="223">
        <f>'ITEM DE PAGO'!N713</f>
        <v>22364</v>
      </c>
      <c r="K19" s="224">
        <f t="shared" si="0"/>
        <v>11182000</v>
      </c>
      <c r="L19" s="225"/>
      <c r="N19" s="212"/>
      <c r="O19" s="212"/>
      <c r="P19" s="212"/>
      <c r="Q19" s="212"/>
      <c r="R19" s="212"/>
    </row>
    <row r="20" spans="1:18" s="226" customFormat="1" ht="31">
      <c r="B20" s="227"/>
      <c r="C20" s="219"/>
      <c r="D20" s="220">
        <v>9</v>
      </c>
      <c r="E20" s="220"/>
      <c r="F20" s="220"/>
      <c r="G20" s="221" t="s">
        <v>150</v>
      </c>
      <c r="H20" s="220" t="s">
        <v>143</v>
      </c>
      <c r="I20" s="222">
        <v>200</v>
      </c>
      <c r="J20" s="223">
        <f>'ITEM DE PAGO'!N807</f>
        <v>22288</v>
      </c>
      <c r="K20" s="224">
        <f t="shared" si="0"/>
        <v>4457600</v>
      </c>
      <c r="L20" s="225"/>
      <c r="N20" s="212"/>
      <c r="O20" s="212"/>
      <c r="P20" s="212"/>
      <c r="Q20" s="212"/>
      <c r="R20" s="212"/>
    </row>
    <row r="21" spans="1:18" s="226" customFormat="1" ht="46.5">
      <c r="B21" s="227"/>
      <c r="C21" s="219"/>
      <c r="D21" s="220">
        <v>10</v>
      </c>
      <c r="E21" s="220"/>
      <c r="F21" s="220"/>
      <c r="G21" s="221" t="s">
        <v>151</v>
      </c>
      <c r="H21" s="220" t="s">
        <v>141</v>
      </c>
      <c r="I21" s="222">
        <v>350</v>
      </c>
      <c r="J21" s="223">
        <f>'ITEM DE PAGO'!N901</f>
        <v>14422</v>
      </c>
      <c r="K21" s="224">
        <f t="shared" si="0"/>
        <v>5047700</v>
      </c>
      <c r="L21" s="225"/>
      <c r="N21" s="212"/>
      <c r="O21" s="212"/>
      <c r="P21" s="212"/>
      <c r="Q21" s="212"/>
      <c r="R21" s="212"/>
    </row>
    <row r="22" spans="1:18" s="226" customFormat="1" ht="46.5">
      <c r="B22" s="227"/>
      <c r="C22" s="219"/>
      <c r="D22" s="220">
        <v>11</v>
      </c>
      <c r="E22" s="220"/>
      <c r="F22" s="220"/>
      <c r="G22" s="221" t="s">
        <v>152</v>
      </c>
      <c r="H22" s="220" t="s">
        <v>147</v>
      </c>
      <c r="I22" s="222">
        <v>40</v>
      </c>
      <c r="J22" s="223">
        <f>'ITEM DE PAGO'!N994</f>
        <v>164256</v>
      </c>
      <c r="K22" s="224">
        <f t="shared" si="0"/>
        <v>6570240</v>
      </c>
      <c r="L22" s="225"/>
      <c r="N22" s="212"/>
      <c r="O22" s="212"/>
      <c r="P22" s="212"/>
      <c r="Q22" s="212"/>
      <c r="R22" s="212"/>
    </row>
    <row r="23" spans="1:18" s="226" customFormat="1" ht="46.5">
      <c r="B23" s="227"/>
      <c r="C23" s="219"/>
      <c r="D23" s="220">
        <v>12</v>
      </c>
      <c r="E23" s="220"/>
      <c r="F23" s="220"/>
      <c r="G23" s="221" t="s">
        <v>153</v>
      </c>
      <c r="H23" s="220" t="s">
        <v>147</v>
      </c>
      <c r="I23" s="222">
        <v>904</v>
      </c>
      <c r="J23" s="223">
        <f>'ITEM DE PAGO'!N1083</f>
        <v>17904</v>
      </c>
      <c r="K23" s="224">
        <f t="shared" si="0"/>
        <v>16185216</v>
      </c>
      <c r="L23" s="225"/>
      <c r="N23" s="212"/>
      <c r="O23" s="212"/>
      <c r="P23" s="212"/>
      <c r="Q23" s="212"/>
      <c r="R23" s="212"/>
    </row>
    <row r="24" spans="1:18" s="226" customFormat="1" ht="46.5">
      <c r="B24" s="227"/>
      <c r="C24" s="219"/>
      <c r="D24" s="220">
        <v>13</v>
      </c>
      <c r="E24" s="220"/>
      <c r="F24" s="220"/>
      <c r="G24" s="221" t="s">
        <v>154</v>
      </c>
      <c r="H24" s="220" t="s">
        <v>147</v>
      </c>
      <c r="I24" s="222">
        <v>80</v>
      </c>
      <c r="J24" s="223">
        <f>'ITEM DE PAGO'!N1176</f>
        <v>57955</v>
      </c>
      <c r="K24" s="224">
        <f t="shared" si="0"/>
        <v>4636400</v>
      </c>
      <c r="L24" s="228"/>
      <c r="N24" s="212"/>
      <c r="O24" s="212"/>
      <c r="P24" s="212"/>
      <c r="Q24" s="212"/>
      <c r="R24" s="212"/>
    </row>
    <row r="25" spans="1:18" s="226" customFormat="1" ht="31">
      <c r="B25" s="227"/>
      <c r="C25" s="219"/>
      <c r="D25" s="220">
        <v>14</v>
      </c>
      <c r="E25" s="220"/>
      <c r="F25" s="220"/>
      <c r="G25" s="221" t="s">
        <v>155</v>
      </c>
      <c r="H25" s="220" t="s">
        <v>147</v>
      </c>
      <c r="I25" s="222">
        <v>30</v>
      </c>
      <c r="J25" s="223">
        <f>'ITEM DE PAGO'!N1271</f>
        <v>475533</v>
      </c>
      <c r="K25" s="224">
        <f t="shared" si="0"/>
        <v>14265990</v>
      </c>
      <c r="L25" s="229"/>
      <c r="N25" s="212"/>
      <c r="O25" s="212"/>
      <c r="P25" s="212"/>
      <c r="Q25" s="212"/>
      <c r="R25" s="212"/>
    </row>
    <row r="26" spans="1:18" s="226" customFormat="1" ht="93">
      <c r="B26" s="227"/>
      <c r="C26" s="219"/>
      <c r="D26" s="220">
        <v>15</v>
      </c>
      <c r="E26" s="220"/>
      <c r="F26" s="220"/>
      <c r="G26" s="221" t="s">
        <v>156</v>
      </c>
      <c r="H26" s="220" t="s">
        <v>147</v>
      </c>
      <c r="I26" s="222">
        <v>8</v>
      </c>
      <c r="J26" s="223">
        <f>'ITEM DE PAGO'!N1364</f>
        <v>413405</v>
      </c>
      <c r="K26" s="224">
        <f t="shared" si="0"/>
        <v>3307240</v>
      </c>
      <c r="L26" s="229"/>
      <c r="N26" s="212"/>
      <c r="O26" s="212"/>
      <c r="P26" s="212"/>
      <c r="Q26" s="212"/>
      <c r="R26" s="212"/>
    </row>
    <row r="27" spans="1:18" s="226" customFormat="1" ht="31">
      <c r="B27" s="227"/>
      <c r="C27" s="219"/>
      <c r="D27" s="220">
        <v>16</v>
      </c>
      <c r="E27" s="220"/>
      <c r="F27" s="220"/>
      <c r="G27" s="221" t="s">
        <v>157</v>
      </c>
      <c r="H27" s="220" t="s">
        <v>141</v>
      </c>
      <c r="I27" s="222">
        <v>300</v>
      </c>
      <c r="J27" s="223">
        <f>'ITEM DE PAGO'!N1454</f>
        <v>34227</v>
      </c>
      <c r="K27" s="224">
        <f t="shared" si="0"/>
        <v>10268100</v>
      </c>
      <c r="L27" s="229"/>
      <c r="N27" s="212"/>
      <c r="O27" s="212"/>
      <c r="P27" s="212"/>
      <c r="Q27" s="212"/>
      <c r="R27" s="212"/>
    </row>
    <row r="28" spans="1:18" s="226" customFormat="1" ht="46.5">
      <c r="B28" s="227"/>
      <c r="C28" s="219"/>
      <c r="D28" s="220">
        <v>17</v>
      </c>
      <c r="E28" s="220"/>
      <c r="F28" s="220"/>
      <c r="G28" s="221" t="s">
        <v>158</v>
      </c>
      <c r="H28" s="220" t="s">
        <v>147</v>
      </c>
      <c r="I28" s="222">
        <v>700</v>
      </c>
      <c r="J28" s="223">
        <f>'ITEM DE PAGO'!N1542</f>
        <v>50810</v>
      </c>
      <c r="K28" s="224">
        <f t="shared" si="0"/>
        <v>35567000</v>
      </c>
      <c r="L28" s="225"/>
      <c r="N28" s="212"/>
      <c r="O28" s="212"/>
      <c r="P28" s="212"/>
      <c r="Q28" s="212"/>
      <c r="R28" s="212"/>
    </row>
    <row r="29" spans="1:18" ht="31">
      <c r="A29" s="226"/>
      <c r="B29" s="227"/>
      <c r="C29" s="219"/>
      <c r="D29" s="220">
        <v>18</v>
      </c>
      <c r="E29" s="220"/>
      <c r="F29" s="220"/>
      <c r="G29" s="221" t="s">
        <v>159</v>
      </c>
      <c r="H29" s="220" t="s">
        <v>147</v>
      </c>
      <c r="I29" s="222">
        <v>190</v>
      </c>
      <c r="J29" s="223">
        <f>'ITEM DE PAGO'!N1630</f>
        <v>120271</v>
      </c>
      <c r="K29" s="224">
        <f t="shared" si="0"/>
        <v>22851490</v>
      </c>
      <c r="L29" s="207"/>
      <c r="N29" s="212"/>
      <c r="O29" s="212"/>
      <c r="P29" s="212"/>
      <c r="Q29" s="212"/>
      <c r="R29" s="212"/>
    </row>
    <row r="30" spans="1:18" ht="46.5">
      <c r="B30" s="206"/>
      <c r="C30" s="219"/>
      <c r="D30" s="220">
        <v>19</v>
      </c>
      <c r="E30" s="220"/>
      <c r="F30" s="220"/>
      <c r="G30" s="221" t="s">
        <v>160</v>
      </c>
      <c r="H30" s="220" t="s">
        <v>147</v>
      </c>
      <c r="I30" s="222">
        <v>181</v>
      </c>
      <c r="J30" s="223">
        <f>'ITEM DE PAGO'!N1721</f>
        <v>30956</v>
      </c>
      <c r="K30" s="224">
        <f t="shared" si="0"/>
        <v>5603036</v>
      </c>
      <c r="L30" s="207"/>
      <c r="N30" s="212"/>
      <c r="O30" s="212"/>
      <c r="P30" s="212"/>
      <c r="Q30" s="212"/>
      <c r="R30" s="212"/>
    </row>
    <row r="31" spans="1:18" ht="46.5">
      <c r="B31" s="206"/>
      <c r="C31" s="219"/>
      <c r="D31" s="220">
        <v>20</v>
      </c>
      <c r="E31" s="220"/>
      <c r="F31" s="220"/>
      <c r="G31" s="221" t="s">
        <v>161</v>
      </c>
      <c r="H31" s="220" t="s">
        <v>147</v>
      </c>
      <c r="I31" s="222">
        <v>362</v>
      </c>
      <c r="J31" s="223">
        <f>'ITEM DE PAGO'!N1812</f>
        <v>38446</v>
      </c>
      <c r="K31" s="224">
        <f t="shared" si="0"/>
        <v>13917452</v>
      </c>
      <c r="L31" s="207"/>
      <c r="N31" s="212"/>
      <c r="O31" s="212"/>
      <c r="P31" s="212"/>
      <c r="Q31" s="212"/>
      <c r="R31" s="212"/>
    </row>
    <row r="32" spans="1:18" ht="46.5">
      <c r="B32" s="206"/>
      <c r="C32" s="219"/>
      <c r="D32" s="220">
        <v>21</v>
      </c>
      <c r="E32" s="220"/>
      <c r="F32" s="220"/>
      <c r="G32" s="221" t="s">
        <v>162</v>
      </c>
      <c r="H32" s="220" t="s">
        <v>147</v>
      </c>
      <c r="I32" s="222">
        <v>10</v>
      </c>
      <c r="J32" s="223">
        <f>'ITEM DE PAGO'!N1903</f>
        <v>41442</v>
      </c>
      <c r="K32" s="224">
        <f t="shared" si="0"/>
        <v>414420</v>
      </c>
      <c r="L32" s="207"/>
      <c r="N32" s="212"/>
      <c r="O32" s="212"/>
      <c r="P32" s="212"/>
      <c r="Q32" s="212"/>
      <c r="R32" s="212"/>
    </row>
    <row r="33" spans="1:18" ht="46.5">
      <c r="B33" s="206"/>
      <c r="C33" s="219"/>
      <c r="D33" s="220">
        <v>22</v>
      </c>
      <c r="E33" s="220"/>
      <c r="F33" s="220"/>
      <c r="G33" s="221" t="s">
        <v>163</v>
      </c>
      <c r="H33" s="220" t="s">
        <v>147</v>
      </c>
      <c r="I33" s="222">
        <v>362</v>
      </c>
      <c r="J33" s="223">
        <f>'ITEM DE PAGO'!N1994</f>
        <v>45941</v>
      </c>
      <c r="K33" s="224">
        <f t="shared" si="0"/>
        <v>16630642</v>
      </c>
      <c r="L33" s="207"/>
      <c r="N33" s="212"/>
      <c r="O33" s="212"/>
      <c r="P33" s="212"/>
      <c r="Q33" s="212"/>
      <c r="R33" s="212"/>
    </row>
    <row r="34" spans="1:18" ht="46.5">
      <c r="B34" s="206"/>
      <c r="C34" s="219"/>
      <c r="D34" s="220">
        <v>23</v>
      </c>
      <c r="E34" s="220"/>
      <c r="F34" s="220"/>
      <c r="G34" s="221" t="s">
        <v>164</v>
      </c>
      <c r="H34" s="220" t="s">
        <v>147</v>
      </c>
      <c r="I34" s="222">
        <v>10</v>
      </c>
      <c r="J34" s="223">
        <f>'ITEM DE PAGO'!N2085</f>
        <v>44438</v>
      </c>
      <c r="K34" s="224">
        <f t="shared" si="0"/>
        <v>444380</v>
      </c>
      <c r="L34" s="225"/>
      <c r="M34" s="226"/>
      <c r="N34" s="212"/>
      <c r="O34" s="212"/>
      <c r="P34" s="212"/>
      <c r="Q34" s="212"/>
      <c r="R34" s="212"/>
    </row>
    <row r="35" spans="1:18" ht="62">
      <c r="A35" s="226"/>
      <c r="B35" s="227"/>
      <c r="C35" s="219"/>
      <c r="D35" s="220">
        <v>24</v>
      </c>
      <c r="E35" s="220"/>
      <c r="F35" s="220"/>
      <c r="G35" s="221" t="s">
        <v>165</v>
      </c>
      <c r="H35" s="220" t="s">
        <v>147</v>
      </c>
      <c r="I35" s="222">
        <v>20</v>
      </c>
      <c r="J35" s="223">
        <f>'ITEM DE PAGO'!N2176</f>
        <v>50430</v>
      </c>
      <c r="K35" s="224">
        <f t="shared" si="0"/>
        <v>1008600</v>
      </c>
      <c r="L35" s="225"/>
      <c r="M35" s="226"/>
      <c r="N35" s="212"/>
      <c r="O35" s="212"/>
      <c r="P35" s="212"/>
      <c r="Q35" s="212"/>
      <c r="R35" s="212"/>
    </row>
    <row r="36" spans="1:18" ht="46.5">
      <c r="A36" s="226"/>
      <c r="B36" s="227"/>
      <c r="C36" s="219"/>
      <c r="D36" s="220">
        <v>25</v>
      </c>
      <c r="E36" s="220"/>
      <c r="F36" s="220"/>
      <c r="G36" s="221" t="s">
        <v>166</v>
      </c>
      <c r="H36" s="220" t="s">
        <v>143</v>
      </c>
      <c r="I36" s="222">
        <v>68</v>
      </c>
      <c r="J36" s="223">
        <f>'ITEM DE PAGO'!N2270</f>
        <v>294424</v>
      </c>
      <c r="K36" s="224">
        <f t="shared" si="0"/>
        <v>20020832</v>
      </c>
      <c r="L36" s="225"/>
      <c r="M36" s="226"/>
      <c r="N36" s="212"/>
      <c r="O36" s="212"/>
      <c r="P36" s="212"/>
      <c r="Q36" s="212"/>
      <c r="R36" s="212"/>
    </row>
    <row r="37" spans="1:18" ht="46.5">
      <c r="A37" s="226"/>
      <c r="B37" s="227"/>
      <c r="C37" s="219"/>
      <c r="D37" s="220">
        <v>26</v>
      </c>
      <c r="E37" s="220"/>
      <c r="F37" s="220"/>
      <c r="G37" s="221" t="s">
        <v>167</v>
      </c>
      <c r="H37" s="220" t="s">
        <v>143</v>
      </c>
      <c r="I37" s="222">
        <v>68</v>
      </c>
      <c r="J37" s="223">
        <f>'ITEM DE PAGO'!N2364</f>
        <v>299593</v>
      </c>
      <c r="K37" s="224">
        <f t="shared" si="0"/>
        <v>20372324</v>
      </c>
      <c r="L37" s="225"/>
      <c r="M37" s="226"/>
      <c r="N37" s="212"/>
      <c r="O37" s="212"/>
      <c r="P37" s="212"/>
      <c r="Q37" s="212"/>
      <c r="R37" s="212"/>
    </row>
    <row r="38" spans="1:18" ht="46.5">
      <c r="A38" s="226"/>
      <c r="B38" s="227"/>
      <c r="C38" s="219"/>
      <c r="D38" s="220">
        <v>27</v>
      </c>
      <c r="E38" s="220"/>
      <c r="F38" s="220"/>
      <c r="G38" s="221" t="s">
        <v>168</v>
      </c>
      <c r="H38" s="220" t="s">
        <v>143</v>
      </c>
      <c r="I38" s="222">
        <v>57</v>
      </c>
      <c r="J38" s="223">
        <f>'ITEM DE PAGO'!N2458</f>
        <v>310182</v>
      </c>
      <c r="K38" s="224">
        <f t="shared" si="0"/>
        <v>17680374</v>
      </c>
      <c r="L38" s="225"/>
      <c r="M38" s="226"/>
      <c r="N38" s="212"/>
      <c r="O38" s="212"/>
      <c r="P38" s="212"/>
      <c r="Q38" s="212"/>
      <c r="R38" s="212"/>
    </row>
    <row r="39" spans="1:18" ht="46.5">
      <c r="A39" s="226"/>
      <c r="B39" s="227"/>
      <c r="C39" s="219"/>
      <c r="D39" s="220">
        <v>28</v>
      </c>
      <c r="E39" s="220"/>
      <c r="F39" s="220"/>
      <c r="G39" s="221" t="s">
        <v>169</v>
      </c>
      <c r="H39" s="220" t="s">
        <v>143</v>
      </c>
      <c r="I39" s="222">
        <v>25</v>
      </c>
      <c r="J39" s="223">
        <f>'ITEM DE PAGO'!N2552</f>
        <v>318868</v>
      </c>
      <c r="K39" s="224">
        <f t="shared" si="0"/>
        <v>7971700</v>
      </c>
      <c r="L39" s="225"/>
      <c r="M39" s="226"/>
      <c r="N39" s="212"/>
      <c r="O39" s="212"/>
      <c r="P39" s="212"/>
      <c r="Q39" s="212"/>
      <c r="R39" s="212"/>
    </row>
    <row r="40" spans="1:18" ht="46.5">
      <c r="A40" s="226"/>
      <c r="B40" s="227"/>
      <c r="C40" s="219"/>
      <c r="D40" s="220">
        <v>29</v>
      </c>
      <c r="E40" s="220"/>
      <c r="F40" s="220"/>
      <c r="G40" s="221" t="s">
        <v>170</v>
      </c>
      <c r="H40" s="220" t="s">
        <v>143</v>
      </c>
      <c r="I40" s="222">
        <v>20</v>
      </c>
      <c r="J40" s="223">
        <f>'ITEM DE PAGO'!N2646</f>
        <v>342242</v>
      </c>
      <c r="K40" s="224">
        <f t="shared" si="0"/>
        <v>6844840</v>
      </c>
      <c r="L40" s="225"/>
      <c r="M40" s="226"/>
      <c r="N40" s="212"/>
      <c r="O40" s="212"/>
      <c r="P40" s="212"/>
      <c r="Q40" s="212"/>
      <c r="R40" s="212"/>
    </row>
    <row r="41" spans="1:18" ht="31">
      <c r="A41" s="226"/>
      <c r="B41" s="227"/>
      <c r="C41" s="219"/>
      <c r="D41" s="220">
        <v>30</v>
      </c>
      <c r="E41" s="220"/>
      <c r="F41" s="220"/>
      <c r="G41" s="221" t="s">
        <v>171</v>
      </c>
      <c r="H41" s="220" t="s">
        <v>147</v>
      </c>
      <c r="I41" s="222">
        <v>5</v>
      </c>
      <c r="J41" s="223">
        <f>'ITEM DE PAGO'!N2737</f>
        <v>667689</v>
      </c>
      <c r="K41" s="224">
        <f t="shared" si="0"/>
        <v>3338445</v>
      </c>
      <c r="L41" s="225"/>
      <c r="M41" s="226"/>
      <c r="N41" s="212"/>
      <c r="O41" s="212"/>
      <c r="P41" s="212"/>
      <c r="Q41" s="212"/>
      <c r="R41" s="212"/>
    </row>
    <row r="42" spans="1:18" ht="31">
      <c r="A42" s="226"/>
      <c r="B42" s="227"/>
      <c r="C42" s="219"/>
      <c r="D42" s="220">
        <v>31</v>
      </c>
      <c r="E42" s="220"/>
      <c r="F42" s="220"/>
      <c r="G42" s="221" t="s">
        <v>172</v>
      </c>
      <c r="H42" s="220" t="s">
        <v>147</v>
      </c>
      <c r="I42" s="222">
        <v>25</v>
      </c>
      <c r="J42" s="223">
        <f>'ITEM DE PAGO'!N2828</f>
        <v>667689</v>
      </c>
      <c r="K42" s="224">
        <f t="shared" si="0"/>
        <v>16692225</v>
      </c>
      <c r="L42" s="225"/>
      <c r="M42" s="226"/>
      <c r="N42" s="212"/>
      <c r="O42" s="212"/>
      <c r="P42" s="212"/>
      <c r="Q42" s="212"/>
      <c r="R42" s="212"/>
    </row>
    <row r="43" spans="1:18" ht="46.5">
      <c r="A43" s="226"/>
      <c r="B43" s="227"/>
      <c r="C43" s="219"/>
      <c r="D43" s="220">
        <v>32</v>
      </c>
      <c r="E43" s="220"/>
      <c r="F43" s="220"/>
      <c r="G43" s="221" t="s">
        <v>173</v>
      </c>
      <c r="H43" s="220" t="s">
        <v>147</v>
      </c>
      <c r="I43" s="222">
        <v>159</v>
      </c>
      <c r="J43" s="223">
        <f>'ITEM DE PAGO'!N2914</f>
        <v>454606</v>
      </c>
      <c r="K43" s="224">
        <f t="shared" si="0"/>
        <v>72282354</v>
      </c>
      <c r="L43" s="225"/>
      <c r="M43" s="226"/>
      <c r="N43" s="212"/>
      <c r="O43" s="212"/>
      <c r="P43" s="212"/>
      <c r="Q43" s="212"/>
      <c r="R43" s="212"/>
    </row>
    <row r="44" spans="1:18" ht="31">
      <c r="A44" s="226"/>
      <c r="B44" s="227"/>
      <c r="C44" s="219"/>
      <c r="D44" s="220">
        <v>33</v>
      </c>
      <c r="E44" s="220"/>
      <c r="F44" s="220"/>
      <c r="G44" s="221" t="s">
        <v>174</v>
      </c>
      <c r="H44" s="220" t="s">
        <v>147</v>
      </c>
      <c r="I44" s="222">
        <v>20</v>
      </c>
      <c r="J44" s="223">
        <f>'ITEM DE PAGO'!N3000</f>
        <v>376610</v>
      </c>
      <c r="K44" s="224">
        <f t="shared" si="0"/>
        <v>7532200</v>
      </c>
      <c r="L44" s="228"/>
      <c r="M44" s="226"/>
      <c r="N44" s="212"/>
      <c r="O44" s="212"/>
      <c r="P44" s="212"/>
      <c r="Q44" s="212"/>
      <c r="R44" s="212"/>
    </row>
    <row r="45" spans="1:18" ht="31">
      <c r="A45" s="226"/>
      <c r="B45" s="227"/>
      <c r="C45" s="219"/>
      <c r="D45" s="220">
        <v>34</v>
      </c>
      <c r="E45" s="220"/>
      <c r="F45" s="220"/>
      <c r="G45" s="221" t="s">
        <v>175</v>
      </c>
      <c r="H45" s="220" t="s">
        <v>141</v>
      </c>
      <c r="I45" s="222">
        <v>500</v>
      </c>
      <c r="J45" s="223">
        <f>'ITEM DE PAGO'!N3086</f>
        <v>22762</v>
      </c>
      <c r="K45" s="224">
        <f t="shared" si="0"/>
        <v>11381000</v>
      </c>
      <c r="L45" s="229"/>
      <c r="M45" s="226"/>
      <c r="N45" s="212"/>
      <c r="O45" s="212"/>
      <c r="P45" s="212"/>
      <c r="Q45" s="212"/>
      <c r="R45" s="212"/>
    </row>
    <row r="46" spans="1:18" ht="46.5">
      <c r="A46" s="226"/>
      <c r="B46" s="227"/>
      <c r="C46" s="219"/>
      <c r="D46" s="220">
        <v>35</v>
      </c>
      <c r="E46" s="220"/>
      <c r="F46" s="220"/>
      <c r="G46" s="221" t="s">
        <v>176</v>
      </c>
      <c r="H46" s="220" t="s">
        <v>147</v>
      </c>
      <c r="I46" s="230">
        <v>24</v>
      </c>
      <c r="J46" s="223">
        <f>'ITEM DE PAGO'!N3174</f>
        <v>663614</v>
      </c>
      <c r="K46" s="224">
        <f t="shared" si="0"/>
        <v>15926736</v>
      </c>
      <c r="L46" s="229"/>
      <c r="M46" s="226"/>
      <c r="N46" s="231"/>
      <c r="O46" s="232"/>
      <c r="P46" s="212"/>
      <c r="Q46" s="212"/>
      <c r="R46" s="212"/>
    </row>
    <row r="47" spans="1:18" ht="46.5">
      <c r="A47" s="226"/>
      <c r="B47" s="227"/>
      <c r="C47" s="219"/>
      <c r="D47" s="220">
        <v>36</v>
      </c>
      <c r="E47" s="220"/>
      <c r="F47" s="220"/>
      <c r="G47" s="221" t="s">
        <v>177</v>
      </c>
      <c r="H47" s="220" t="s">
        <v>147</v>
      </c>
      <c r="I47" s="222">
        <v>3</v>
      </c>
      <c r="J47" s="223">
        <f>'ITEM DE PAGO'!N3260</f>
        <v>544733</v>
      </c>
      <c r="K47" s="224">
        <f t="shared" si="0"/>
        <v>1634199</v>
      </c>
      <c r="L47" s="229"/>
      <c r="M47" s="226"/>
      <c r="N47" s="231"/>
      <c r="O47" s="232"/>
      <c r="P47" s="212"/>
      <c r="Q47" s="212"/>
      <c r="R47" s="212"/>
    </row>
    <row r="48" spans="1:18" ht="31">
      <c r="A48" s="226"/>
      <c r="B48" s="227"/>
      <c r="C48" s="219"/>
      <c r="D48" s="220">
        <v>37</v>
      </c>
      <c r="E48" s="220"/>
      <c r="F48" s="220"/>
      <c r="G48" s="221" t="s">
        <v>178</v>
      </c>
      <c r="H48" s="220" t="s">
        <v>147</v>
      </c>
      <c r="I48" s="222">
        <v>8</v>
      </c>
      <c r="J48" s="223">
        <f>'ITEM DE PAGO'!N3349</f>
        <v>552275</v>
      </c>
      <c r="K48" s="224">
        <f t="shared" si="0"/>
        <v>4418200</v>
      </c>
      <c r="L48" s="225"/>
      <c r="M48" s="226"/>
      <c r="N48" s="231"/>
      <c r="O48" s="232"/>
      <c r="P48" s="212"/>
      <c r="Q48" s="212"/>
      <c r="R48" s="212"/>
    </row>
    <row r="49" spans="1:18" ht="31">
      <c r="A49" s="226"/>
      <c r="B49" s="227"/>
      <c r="C49" s="219"/>
      <c r="D49" s="220">
        <v>38</v>
      </c>
      <c r="E49" s="220"/>
      <c r="F49" s="220"/>
      <c r="G49" s="221" t="s">
        <v>179</v>
      </c>
      <c r="H49" s="220" t="s">
        <v>147</v>
      </c>
      <c r="I49" s="222">
        <v>4</v>
      </c>
      <c r="J49" s="223">
        <f>'ITEM DE PAGO'!N3438</f>
        <v>558540</v>
      </c>
      <c r="K49" s="224">
        <f t="shared" si="0"/>
        <v>2234160</v>
      </c>
      <c r="L49" s="225"/>
      <c r="N49" s="231"/>
      <c r="O49" s="232"/>
      <c r="P49" s="212"/>
      <c r="Q49" s="212"/>
      <c r="R49" s="212"/>
    </row>
    <row r="50" spans="1:18" ht="31">
      <c r="B50" s="227"/>
      <c r="C50" s="219"/>
      <c r="D50" s="220">
        <v>39</v>
      </c>
      <c r="E50" s="220"/>
      <c r="F50" s="220"/>
      <c r="G50" s="221" t="s">
        <v>180</v>
      </c>
      <c r="H50" s="220" t="s">
        <v>147</v>
      </c>
      <c r="I50" s="222">
        <v>4</v>
      </c>
      <c r="J50" s="223">
        <f>'ITEM DE PAGO'!N3527</f>
        <v>566044</v>
      </c>
      <c r="K50" s="224">
        <f t="shared" si="0"/>
        <v>2264176</v>
      </c>
      <c r="L50" s="225"/>
      <c r="N50" s="231"/>
      <c r="O50" s="232"/>
      <c r="P50" s="212"/>
      <c r="Q50" s="212"/>
      <c r="R50" s="212"/>
    </row>
    <row r="51" spans="1:18" ht="31">
      <c r="B51" s="227"/>
      <c r="C51" s="219"/>
      <c r="D51" s="220">
        <v>40</v>
      </c>
      <c r="E51" s="220"/>
      <c r="F51" s="220"/>
      <c r="G51" s="221" t="s">
        <v>181</v>
      </c>
      <c r="H51" s="220" t="s">
        <v>147</v>
      </c>
      <c r="I51" s="222">
        <v>21</v>
      </c>
      <c r="J51" s="223">
        <f>'ITEM DE PAGO'!N3616</f>
        <v>565989</v>
      </c>
      <c r="K51" s="224">
        <f t="shared" si="0"/>
        <v>11885769</v>
      </c>
      <c r="L51" s="225"/>
      <c r="N51" s="231"/>
      <c r="O51" s="232"/>
      <c r="P51" s="212"/>
      <c r="Q51" s="212"/>
      <c r="R51" s="212"/>
    </row>
    <row r="52" spans="1:18" ht="46.5">
      <c r="B52" s="227"/>
      <c r="C52" s="219"/>
      <c r="D52" s="220">
        <v>41</v>
      </c>
      <c r="E52" s="220"/>
      <c r="F52" s="220"/>
      <c r="G52" s="221" t="s">
        <v>182</v>
      </c>
      <c r="H52" s="220" t="s">
        <v>147</v>
      </c>
      <c r="I52" s="222">
        <v>200</v>
      </c>
      <c r="J52" s="223">
        <f>'ITEM DE PAGO'!N3708</f>
        <v>748848</v>
      </c>
      <c r="K52" s="224">
        <f t="shared" si="0"/>
        <v>149769600</v>
      </c>
      <c r="L52" s="225"/>
      <c r="N52" s="231"/>
      <c r="O52" s="232"/>
      <c r="P52" s="212"/>
      <c r="Q52" s="212"/>
      <c r="R52" s="212"/>
    </row>
    <row r="53" spans="1:18" ht="31">
      <c r="B53" s="227"/>
      <c r="C53" s="219"/>
      <c r="D53" s="220">
        <v>42</v>
      </c>
      <c r="E53" s="220"/>
      <c r="F53" s="220"/>
      <c r="G53" s="221" t="s">
        <v>183</v>
      </c>
      <c r="H53" s="220" t="s">
        <v>147</v>
      </c>
      <c r="I53" s="222">
        <v>150</v>
      </c>
      <c r="J53" s="223">
        <f>'ITEM DE PAGO'!N3794</f>
        <v>569327</v>
      </c>
      <c r="K53" s="224">
        <f t="shared" si="0"/>
        <v>85399050</v>
      </c>
      <c r="L53" s="225"/>
      <c r="N53" s="231"/>
      <c r="O53" s="232"/>
      <c r="P53" s="212"/>
      <c r="Q53" s="212"/>
      <c r="R53" s="212"/>
    </row>
    <row r="54" spans="1:18" ht="62">
      <c r="B54" s="227"/>
      <c r="C54" s="219"/>
      <c r="D54" s="220">
        <v>43</v>
      </c>
      <c r="E54" s="220"/>
      <c r="F54" s="220"/>
      <c r="G54" s="221" t="s">
        <v>184</v>
      </c>
      <c r="H54" s="220" t="s">
        <v>141</v>
      </c>
      <c r="I54" s="222">
        <v>400</v>
      </c>
      <c r="J54" s="223">
        <f>'ITEM DE PAGO'!N3883</f>
        <v>80029</v>
      </c>
      <c r="K54" s="224">
        <f t="shared" si="0"/>
        <v>32011600</v>
      </c>
      <c r="L54" s="225"/>
      <c r="M54" s="226"/>
      <c r="N54" s="231"/>
      <c r="O54" s="232"/>
      <c r="P54" s="212"/>
      <c r="Q54" s="212"/>
      <c r="R54" s="212"/>
    </row>
    <row r="55" spans="1:18" ht="31">
      <c r="A55" s="226"/>
      <c r="B55" s="227"/>
      <c r="C55" s="219"/>
      <c r="D55" s="220">
        <v>44</v>
      </c>
      <c r="E55" s="220"/>
      <c r="F55" s="220"/>
      <c r="G55" s="221" t="s">
        <v>185</v>
      </c>
      <c r="H55" s="220" t="s">
        <v>141</v>
      </c>
      <c r="I55" s="222">
        <v>50</v>
      </c>
      <c r="J55" s="223">
        <f>'ITEM DE PAGO'!N3975</f>
        <v>116161</v>
      </c>
      <c r="K55" s="224">
        <f t="shared" si="0"/>
        <v>5808050</v>
      </c>
      <c r="L55" s="225"/>
      <c r="M55" s="226"/>
      <c r="N55" s="231"/>
      <c r="O55" s="232"/>
      <c r="P55" s="212"/>
      <c r="Q55" s="212"/>
      <c r="R55" s="212"/>
    </row>
    <row r="56" spans="1:18" ht="31">
      <c r="A56" s="226"/>
      <c r="B56" s="227"/>
      <c r="C56" s="219"/>
      <c r="D56" s="220">
        <v>45</v>
      </c>
      <c r="E56" s="220"/>
      <c r="F56" s="220"/>
      <c r="G56" s="221" t="s">
        <v>186</v>
      </c>
      <c r="H56" s="220" t="s">
        <v>141</v>
      </c>
      <c r="I56" s="222">
        <v>250</v>
      </c>
      <c r="J56" s="223">
        <f>'ITEM DE PAGO'!N4071</f>
        <v>138529</v>
      </c>
      <c r="K56" s="224">
        <f t="shared" si="0"/>
        <v>34632250</v>
      </c>
      <c r="L56" s="225"/>
      <c r="M56" s="226"/>
      <c r="N56" s="231"/>
      <c r="O56" s="232"/>
      <c r="P56" s="212"/>
      <c r="Q56" s="212"/>
      <c r="R56" s="212"/>
    </row>
    <row r="57" spans="1:18" ht="31">
      <c r="A57" s="226"/>
      <c r="B57" s="227"/>
      <c r="C57" s="219"/>
      <c r="D57" s="220">
        <v>46</v>
      </c>
      <c r="E57" s="220"/>
      <c r="F57" s="220"/>
      <c r="G57" s="221" t="s">
        <v>187</v>
      </c>
      <c r="H57" s="220" t="s">
        <v>147</v>
      </c>
      <c r="I57" s="222">
        <v>3</v>
      </c>
      <c r="J57" s="223">
        <f>'ITEM DE PAGO'!N4162</f>
        <v>705882</v>
      </c>
      <c r="K57" s="224">
        <f t="shared" si="0"/>
        <v>2117646</v>
      </c>
      <c r="L57" s="228"/>
      <c r="M57" s="226"/>
      <c r="N57" s="231"/>
      <c r="O57" s="232"/>
      <c r="P57" s="212"/>
      <c r="Q57" s="212"/>
      <c r="R57" s="212"/>
    </row>
    <row r="58" spans="1:18" ht="31">
      <c r="A58" s="226"/>
      <c r="B58" s="227"/>
      <c r="C58" s="219"/>
      <c r="D58" s="220">
        <v>47</v>
      </c>
      <c r="E58" s="220"/>
      <c r="F58" s="220"/>
      <c r="G58" s="221" t="s">
        <v>188</v>
      </c>
      <c r="H58" s="220" t="s">
        <v>141</v>
      </c>
      <c r="I58" s="222">
        <v>50</v>
      </c>
      <c r="J58" s="223">
        <f>'ITEM DE PAGO'!N4247</f>
        <v>131898</v>
      </c>
      <c r="K58" s="224">
        <f t="shared" si="0"/>
        <v>6594900</v>
      </c>
      <c r="L58" s="229"/>
      <c r="M58" s="226"/>
      <c r="N58" s="231"/>
      <c r="O58" s="232"/>
      <c r="P58" s="212"/>
      <c r="Q58" s="212"/>
      <c r="R58" s="212"/>
    </row>
    <row r="59" spans="1:18" ht="46.5">
      <c r="A59" s="226"/>
      <c r="B59" s="227"/>
      <c r="C59" s="219"/>
      <c r="D59" s="220">
        <v>48</v>
      </c>
      <c r="E59" s="220"/>
      <c r="F59" s="220"/>
      <c r="G59" s="221" t="s">
        <v>189</v>
      </c>
      <c r="H59" s="220" t="s">
        <v>190</v>
      </c>
      <c r="I59" s="222">
        <v>67610</v>
      </c>
      <c r="J59" s="223">
        <f>'ITEM DE PAGO'!N4332</f>
        <v>4380</v>
      </c>
      <c r="K59" s="224">
        <f t="shared" si="0"/>
        <v>296131800</v>
      </c>
      <c r="L59" s="225"/>
      <c r="M59" s="226"/>
      <c r="N59" s="231"/>
      <c r="O59" s="232"/>
      <c r="P59" s="212"/>
      <c r="Q59" s="212"/>
      <c r="R59" s="212"/>
    </row>
    <row r="60" spans="1:18">
      <c r="A60" s="226"/>
      <c r="B60" s="227"/>
      <c r="C60" s="219"/>
      <c r="D60" s="220">
        <v>49</v>
      </c>
      <c r="E60" s="220"/>
      <c r="F60" s="220"/>
      <c r="G60" s="221" t="s">
        <v>191</v>
      </c>
      <c r="H60" s="220" t="s">
        <v>141</v>
      </c>
      <c r="I60" s="222">
        <v>1200</v>
      </c>
      <c r="J60" s="223">
        <f>'ITEM DE PAGO'!N4417</f>
        <v>4533</v>
      </c>
      <c r="K60" s="224">
        <f t="shared" si="0"/>
        <v>5439600</v>
      </c>
      <c r="L60" s="225"/>
      <c r="M60" s="226"/>
      <c r="N60" s="231"/>
      <c r="O60" s="232"/>
      <c r="P60" s="212"/>
      <c r="Q60" s="212"/>
      <c r="R60" s="212"/>
    </row>
    <row r="61" spans="1:18" ht="46.5">
      <c r="A61" s="226"/>
      <c r="B61" s="227"/>
      <c r="C61" s="219"/>
      <c r="D61" s="220">
        <v>50</v>
      </c>
      <c r="E61" s="220"/>
      <c r="F61" s="220"/>
      <c r="G61" s="221" t="s">
        <v>192</v>
      </c>
      <c r="H61" s="220" t="s">
        <v>143</v>
      </c>
      <c r="I61" s="222">
        <v>200</v>
      </c>
      <c r="J61" s="223">
        <f>'ITEM DE PAGO'!N4502</f>
        <v>30991</v>
      </c>
      <c r="K61" s="224">
        <f t="shared" si="0"/>
        <v>6198200</v>
      </c>
      <c r="L61" s="225"/>
      <c r="M61" s="226"/>
      <c r="N61" s="231"/>
      <c r="O61" s="232"/>
      <c r="P61" s="212"/>
      <c r="Q61" s="212"/>
      <c r="R61" s="212"/>
    </row>
    <row r="62" spans="1:18" ht="31">
      <c r="A62" s="226"/>
      <c r="B62" s="227"/>
      <c r="C62" s="219"/>
      <c r="D62" s="220">
        <v>51</v>
      </c>
      <c r="E62" s="220"/>
      <c r="F62" s="220"/>
      <c r="G62" s="221" t="s">
        <v>193</v>
      </c>
      <c r="H62" s="220" t="s">
        <v>141</v>
      </c>
      <c r="I62" s="222">
        <v>900</v>
      </c>
      <c r="J62" s="223">
        <f>'ITEM DE PAGO'!N4587</f>
        <v>8130</v>
      </c>
      <c r="K62" s="224">
        <f t="shared" si="0"/>
        <v>7317000</v>
      </c>
      <c r="L62" s="225"/>
      <c r="M62" s="226"/>
      <c r="N62" s="231"/>
      <c r="O62" s="232"/>
      <c r="P62" s="212"/>
      <c r="Q62" s="212"/>
      <c r="R62" s="212"/>
    </row>
    <row r="63" spans="1:18" ht="108.5">
      <c r="A63" s="226"/>
      <c r="B63" s="227"/>
      <c r="C63" s="219"/>
      <c r="D63" s="220">
        <v>52</v>
      </c>
      <c r="E63" s="220"/>
      <c r="F63" s="220"/>
      <c r="G63" s="221" t="s">
        <v>194</v>
      </c>
      <c r="H63" s="220" t="s">
        <v>143</v>
      </c>
      <c r="I63" s="222">
        <v>120</v>
      </c>
      <c r="J63" s="223">
        <f>'ITEM DE PAGO'!N4677</f>
        <v>183446</v>
      </c>
      <c r="K63" s="224">
        <f t="shared" si="0"/>
        <v>22013520</v>
      </c>
      <c r="L63" s="225"/>
      <c r="M63" s="226"/>
      <c r="N63" s="231"/>
      <c r="O63" s="232"/>
      <c r="P63" s="212"/>
      <c r="Q63" s="212"/>
      <c r="R63" s="212"/>
    </row>
    <row r="64" spans="1:18">
      <c r="A64" s="226"/>
      <c r="B64" s="227"/>
      <c r="C64" s="219"/>
      <c r="D64" s="220">
        <v>53</v>
      </c>
      <c r="E64" s="220"/>
      <c r="F64" s="220"/>
      <c r="G64" s="221" t="s">
        <v>195</v>
      </c>
      <c r="H64" s="220" t="s">
        <v>196</v>
      </c>
      <c r="I64" s="222">
        <v>600</v>
      </c>
      <c r="J64" s="223">
        <f>'ITEM DE PAGO'!N4762</f>
        <v>10495</v>
      </c>
      <c r="K64" s="224">
        <f t="shared" si="0"/>
        <v>6297000</v>
      </c>
      <c r="L64" s="228"/>
      <c r="M64" s="226"/>
      <c r="N64" s="212"/>
      <c r="O64" s="212"/>
      <c r="P64" s="212"/>
      <c r="Q64" s="212"/>
      <c r="R64" s="212"/>
    </row>
    <row r="65" spans="1:18" ht="46.5">
      <c r="A65" s="226"/>
      <c r="B65" s="227"/>
      <c r="C65" s="219"/>
      <c r="D65" s="220">
        <v>54</v>
      </c>
      <c r="E65" s="220"/>
      <c r="F65" s="220"/>
      <c r="G65" s="221" t="s">
        <v>197</v>
      </c>
      <c r="H65" s="220" t="s">
        <v>143</v>
      </c>
      <c r="I65" s="222">
        <v>120</v>
      </c>
      <c r="J65" s="223">
        <f>'ITEM DE PAGO'!N4846</f>
        <v>36152</v>
      </c>
      <c r="K65" s="224">
        <f t="shared" si="0"/>
        <v>4338240</v>
      </c>
      <c r="L65" s="229"/>
      <c r="M65" s="226"/>
      <c r="N65" s="231"/>
      <c r="O65" s="232"/>
      <c r="P65" s="212"/>
      <c r="Q65" s="212"/>
      <c r="R65" s="212"/>
    </row>
    <row r="66" spans="1:18" ht="46.5">
      <c r="A66" s="226"/>
      <c r="B66" s="227"/>
      <c r="C66" s="219"/>
      <c r="D66" s="220">
        <v>55</v>
      </c>
      <c r="E66" s="220"/>
      <c r="F66" s="220"/>
      <c r="G66" s="221" t="s">
        <v>198</v>
      </c>
      <c r="H66" s="220" t="s">
        <v>143</v>
      </c>
      <c r="I66" s="222">
        <v>120</v>
      </c>
      <c r="J66" s="223">
        <f>'ITEM DE PAGO'!N4932</f>
        <v>59374</v>
      </c>
      <c r="K66" s="224">
        <f t="shared" si="0"/>
        <v>7124880</v>
      </c>
      <c r="L66" s="229"/>
      <c r="M66" s="226"/>
      <c r="N66" s="231"/>
      <c r="O66" s="232"/>
      <c r="P66" s="212"/>
      <c r="Q66" s="212"/>
      <c r="R66" s="212"/>
    </row>
    <row r="67" spans="1:18" ht="46.5">
      <c r="A67" s="226"/>
      <c r="B67" s="227"/>
      <c r="C67" s="219"/>
      <c r="D67" s="220">
        <v>56</v>
      </c>
      <c r="E67" s="220"/>
      <c r="F67" s="220"/>
      <c r="G67" s="221" t="s">
        <v>199</v>
      </c>
      <c r="H67" s="220" t="s">
        <v>143</v>
      </c>
      <c r="I67" s="222">
        <v>300</v>
      </c>
      <c r="J67" s="223">
        <f>'ITEM DE PAGO'!N5016</f>
        <v>67276</v>
      </c>
      <c r="K67" s="224">
        <f t="shared" si="0"/>
        <v>20182800</v>
      </c>
      <c r="L67" s="229"/>
      <c r="M67" s="226"/>
      <c r="N67" s="231"/>
      <c r="O67" s="232"/>
      <c r="P67" s="212"/>
      <c r="Q67" s="212"/>
      <c r="R67" s="212"/>
    </row>
    <row r="68" spans="1:18" ht="62">
      <c r="A68" s="226"/>
      <c r="B68" s="227"/>
      <c r="C68" s="219"/>
      <c r="D68" s="220">
        <v>57</v>
      </c>
      <c r="E68" s="220"/>
      <c r="F68" s="220"/>
      <c r="G68" s="221" t="s">
        <v>200</v>
      </c>
      <c r="H68" s="220" t="s">
        <v>147</v>
      </c>
      <c r="I68" s="222">
        <v>10</v>
      </c>
      <c r="J68" s="223">
        <f>'ITEM DE PAGO'!N5101</f>
        <v>250381</v>
      </c>
      <c r="K68" s="224">
        <f t="shared" si="0"/>
        <v>2503810</v>
      </c>
      <c r="L68" s="225"/>
      <c r="M68" s="226"/>
      <c r="N68" s="231"/>
      <c r="O68" s="232"/>
      <c r="P68" s="212"/>
      <c r="Q68" s="212"/>
      <c r="R68" s="212"/>
    </row>
    <row r="69" spans="1:18" ht="31">
      <c r="A69" s="226"/>
      <c r="B69" s="227"/>
      <c r="C69" s="219"/>
      <c r="D69" s="220">
        <v>58</v>
      </c>
      <c r="E69" s="220"/>
      <c r="F69" s="220"/>
      <c r="G69" s="221" t="s">
        <v>201</v>
      </c>
      <c r="H69" s="220" t="s">
        <v>147</v>
      </c>
      <c r="I69" s="222">
        <v>10</v>
      </c>
      <c r="J69" s="223">
        <f>'ITEM DE PAGO'!N5187</f>
        <v>587806</v>
      </c>
      <c r="K69" s="224">
        <f t="shared" si="0"/>
        <v>5878060</v>
      </c>
      <c r="L69" s="225"/>
      <c r="N69" s="231"/>
      <c r="O69" s="232"/>
      <c r="P69" s="212"/>
      <c r="Q69" s="212"/>
      <c r="R69" s="212"/>
    </row>
    <row r="70" spans="1:18" ht="31">
      <c r="B70" s="227"/>
      <c r="C70" s="219"/>
      <c r="D70" s="220">
        <v>59</v>
      </c>
      <c r="E70" s="220"/>
      <c r="F70" s="220"/>
      <c r="G70" s="221" t="s">
        <v>202</v>
      </c>
      <c r="H70" s="220" t="s">
        <v>141</v>
      </c>
      <c r="I70" s="222">
        <v>200</v>
      </c>
      <c r="J70" s="223">
        <f>'ITEM DE PAGO'!N5271</f>
        <v>25120</v>
      </c>
      <c r="K70" s="224">
        <f t="shared" si="0"/>
        <v>5024000</v>
      </c>
      <c r="L70" s="225"/>
      <c r="N70" s="231"/>
      <c r="O70" s="232"/>
      <c r="P70" s="212"/>
      <c r="Q70" s="212"/>
      <c r="R70" s="212"/>
    </row>
    <row r="71" spans="1:18" ht="46.5">
      <c r="B71" s="227"/>
      <c r="C71" s="219"/>
      <c r="D71" s="220">
        <v>60</v>
      </c>
      <c r="E71" s="220"/>
      <c r="F71" s="220"/>
      <c r="G71" s="221" t="s">
        <v>203</v>
      </c>
      <c r="H71" s="220" t="s">
        <v>143</v>
      </c>
      <c r="I71" s="222">
        <v>100</v>
      </c>
      <c r="J71" s="223">
        <f>'ITEM DE PAGO'!N5355</f>
        <v>52431</v>
      </c>
      <c r="K71" s="224">
        <f t="shared" si="0"/>
        <v>5243100</v>
      </c>
      <c r="L71" s="225"/>
      <c r="N71" s="231"/>
      <c r="O71" s="232"/>
      <c r="P71" s="212"/>
      <c r="Q71" s="212"/>
      <c r="R71" s="212"/>
    </row>
    <row r="72" spans="1:18" ht="77.5">
      <c r="B72" s="227"/>
      <c r="C72" s="219"/>
      <c r="D72" s="220">
        <v>61</v>
      </c>
      <c r="E72" s="220"/>
      <c r="F72" s="220"/>
      <c r="G72" s="221" t="s">
        <v>204</v>
      </c>
      <c r="H72" s="220" t="s">
        <v>147</v>
      </c>
      <c r="I72" s="222">
        <v>35</v>
      </c>
      <c r="J72" s="223">
        <f>'ITEM DE PAGO'!N5446</f>
        <v>1074722</v>
      </c>
      <c r="K72" s="224">
        <f t="shared" si="0"/>
        <v>37615270</v>
      </c>
      <c r="L72" s="225"/>
      <c r="N72" s="231"/>
      <c r="O72" s="232"/>
      <c r="P72" s="212"/>
      <c r="Q72" s="212"/>
      <c r="R72" s="212"/>
    </row>
    <row r="73" spans="1:18" ht="31">
      <c r="B73" s="227"/>
      <c r="C73" s="219"/>
      <c r="D73" s="220">
        <v>62</v>
      </c>
      <c r="E73" s="220"/>
      <c r="F73" s="220"/>
      <c r="G73" s="221" t="s">
        <v>205</v>
      </c>
      <c r="H73" s="220" t="s">
        <v>196</v>
      </c>
      <c r="I73" s="222">
        <v>5</v>
      </c>
      <c r="J73" s="223">
        <f>'ITEM DE PAGO'!N5531</f>
        <v>481897</v>
      </c>
      <c r="K73" s="224">
        <f t="shared" si="0"/>
        <v>2409485</v>
      </c>
      <c r="L73" s="225"/>
      <c r="N73" s="231"/>
      <c r="O73" s="232"/>
      <c r="P73" s="212"/>
      <c r="Q73" s="212"/>
      <c r="R73" s="212"/>
    </row>
    <row r="74" spans="1:18" ht="139.5">
      <c r="B74" s="227"/>
      <c r="C74" s="219"/>
      <c r="D74" s="220">
        <v>63</v>
      </c>
      <c r="E74" s="220"/>
      <c r="F74" s="220"/>
      <c r="G74" s="221" t="s">
        <v>206</v>
      </c>
      <c r="H74" s="220" t="s">
        <v>141</v>
      </c>
      <c r="I74" s="222">
        <v>600</v>
      </c>
      <c r="J74" s="223">
        <f>'ITEM DE PAGO'!N5616</f>
        <v>66338</v>
      </c>
      <c r="K74" s="224">
        <f t="shared" si="0"/>
        <v>39802800</v>
      </c>
      <c r="L74" s="225"/>
      <c r="M74" s="226"/>
      <c r="N74" s="231"/>
      <c r="O74" s="232"/>
      <c r="P74" s="212"/>
      <c r="Q74" s="212"/>
      <c r="R74" s="212"/>
    </row>
    <row r="75" spans="1:18" ht="46.5">
      <c r="A75" s="226"/>
      <c r="B75" s="227"/>
      <c r="C75" s="219"/>
      <c r="D75" s="220">
        <v>64</v>
      </c>
      <c r="E75" s="220"/>
      <c r="F75" s="220"/>
      <c r="G75" s="221" t="s">
        <v>207</v>
      </c>
      <c r="H75" s="220" t="s">
        <v>190</v>
      </c>
      <c r="I75" s="222">
        <v>10400</v>
      </c>
      <c r="J75" s="223">
        <f>'ITEM DE PAGO'!N5699</f>
        <v>293</v>
      </c>
      <c r="K75" s="224">
        <f t="shared" si="0"/>
        <v>3047200</v>
      </c>
      <c r="L75" s="225"/>
      <c r="M75" s="226"/>
      <c r="N75" s="231"/>
      <c r="O75" s="232"/>
      <c r="P75" s="212"/>
      <c r="Q75" s="212"/>
      <c r="R75" s="212"/>
    </row>
    <row r="76" spans="1:18">
      <c r="A76" s="226"/>
      <c r="B76" s="227"/>
      <c r="C76" s="219"/>
      <c r="D76" s="220">
        <v>65</v>
      </c>
      <c r="E76" s="220"/>
      <c r="F76" s="220"/>
      <c r="G76" s="221" t="s">
        <v>208</v>
      </c>
      <c r="H76" s="220" t="s">
        <v>147</v>
      </c>
      <c r="I76" s="222">
        <v>680</v>
      </c>
      <c r="J76" s="223">
        <f>'ITEM DE PAGO'!N5782</f>
        <v>2926</v>
      </c>
      <c r="K76" s="224">
        <f t="shared" si="0"/>
        <v>1989680</v>
      </c>
      <c r="L76" s="225"/>
      <c r="M76" s="226"/>
      <c r="N76" s="231"/>
      <c r="O76" s="232"/>
      <c r="P76" s="212"/>
      <c r="Q76" s="212"/>
      <c r="R76" s="212"/>
    </row>
    <row r="77" spans="1:18">
      <c r="A77" s="226"/>
      <c r="B77" s="227"/>
      <c r="C77" s="219"/>
      <c r="D77" s="220">
        <v>66</v>
      </c>
      <c r="E77" s="220"/>
      <c r="F77" s="220"/>
      <c r="G77" s="221" t="s">
        <v>209</v>
      </c>
      <c r="H77" s="220" t="s">
        <v>147</v>
      </c>
      <c r="I77" s="222">
        <v>280</v>
      </c>
      <c r="J77" s="223">
        <f>'ITEM DE PAGO'!N5865</f>
        <v>5853</v>
      </c>
      <c r="K77" s="224">
        <f t="shared" si="0"/>
        <v>1638840</v>
      </c>
      <c r="L77" s="225"/>
      <c r="M77" s="226"/>
      <c r="N77" s="231"/>
      <c r="O77" s="232"/>
      <c r="P77" s="212"/>
      <c r="Q77" s="212"/>
      <c r="R77" s="212"/>
    </row>
    <row r="78" spans="1:18">
      <c r="A78" s="226"/>
      <c r="B78" s="227"/>
      <c r="C78" s="219"/>
      <c r="D78" s="220">
        <v>67</v>
      </c>
      <c r="E78" s="220"/>
      <c r="F78" s="220"/>
      <c r="G78" s="221" t="s">
        <v>210</v>
      </c>
      <c r="H78" s="220" t="s">
        <v>147</v>
      </c>
      <c r="I78" s="222">
        <v>280</v>
      </c>
      <c r="J78" s="223">
        <f>'ITEM DE PAGO'!N5948</f>
        <v>9754</v>
      </c>
      <c r="K78" s="224">
        <f t="shared" si="0"/>
        <v>2731120</v>
      </c>
      <c r="L78" s="225"/>
      <c r="M78" s="226"/>
      <c r="N78" s="231"/>
      <c r="O78" s="232"/>
      <c r="P78" s="212"/>
      <c r="Q78" s="212"/>
      <c r="R78" s="212"/>
    </row>
    <row r="79" spans="1:18">
      <c r="A79" s="226"/>
      <c r="B79" s="227"/>
      <c r="C79" s="219"/>
      <c r="D79" s="220">
        <v>68</v>
      </c>
      <c r="E79" s="220"/>
      <c r="F79" s="220"/>
      <c r="G79" s="221" t="s">
        <v>211</v>
      </c>
      <c r="H79" s="220" t="s">
        <v>147</v>
      </c>
      <c r="I79" s="222">
        <v>100</v>
      </c>
      <c r="J79" s="223">
        <f>'ITEM DE PAGO'!N6031</f>
        <v>11705</v>
      </c>
      <c r="K79" s="224">
        <f t="shared" si="0"/>
        <v>1170500</v>
      </c>
      <c r="L79" s="225"/>
      <c r="M79" s="226"/>
      <c r="N79" s="231"/>
      <c r="O79" s="232"/>
      <c r="P79" s="212"/>
      <c r="Q79" s="212"/>
      <c r="R79" s="212"/>
    </row>
    <row r="80" spans="1:18" ht="46.5">
      <c r="A80" s="226"/>
      <c r="B80" s="227"/>
      <c r="C80" s="219"/>
      <c r="D80" s="220">
        <v>69</v>
      </c>
      <c r="E80" s="220"/>
      <c r="F80" s="220"/>
      <c r="G80" s="221" t="s">
        <v>212</v>
      </c>
      <c r="H80" s="220" t="s">
        <v>143</v>
      </c>
      <c r="I80" s="222">
        <v>240</v>
      </c>
      <c r="J80" s="223">
        <f>'ITEM DE PAGO'!N6115</f>
        <v>52637</v>
      </c>
      <c r="K80" s="224">
        <f t="shared" ref="K80:K91" si="1">ROUND(J80*I80,0)</f>
        <v>12632880</v>
      </c>
      <c r="L80" s="225"/>
      <c r="M80" s="226"/>
      <c r="N80" s="231"/>
      <c r="O80" s="232"/>
      <c r="P80" s="212"/>
      <c r="Q80" s="212"/>
      <c r="R80" s="212"/>
    </row>
    <row r="81" spans="1:18" ht="31">
      <c r="A81" s="226"/>
      <c r="B81" s="227"/>
      <c r="C81" s="219"/>
      <c r="D81" s="220">
        <v>70</v>
      </c>
      <c r="E81" s="220"/>
      <c r="F81" s="220"/>
      <c r="G81" s="221" t="s">
        <v>213</v>
      </c>
      <c r="H81" s="220" t="s">
        <v>143</v>
      </c>
      <c r="I81" s="222">
        <v>50</v>
      </c>
      <c r="J81" s="223">
        <f>'ITEM DE PAGO'!N6200</f>
        <v>165478</v>
      </c>
      <c r="K81" s="224">
        <f t="shared" si="1"/>
        <v>8273900</v>
      </c>
      <c r="L81" s="225"/>
      <c r="M81" s="226"/>
      <c r="N81" s="231"/>
      <c r="O81" s="232"/>
      <c r="P81" s="212"/>
      <c r="Q81" s="212"/>
      <c r="R81" s="212"/>
    </row>
    <row r="82" spans="1:18" ht="62">
      <c r="A82" s="226"/>
      <c r="B82" s="227"/>
      <c r="C82" s="219"/>
      <c r="D82" s="220">
        <v>71</v>
      </c>
      <c r="E82" s="220"/>
      <c r="F82" s="220"/>
      <c r="G82" s="221" t="s">
        <v>214</v>
      </c>
      <c r="H82" s="220" t="s">
        <v>143</v>
      </c>
      <c r="I82" s="222">
        <v>20</v>
      </c>
      <c r="J82" s="223">
        <f>'ITEM DE PAGO'!N6285</f>
        <v>325073</v>
      </c>
      <c r="K82" s="224">
        <f t="shared" si="1"/>
        <v>6501460</v>
      </c>
      <c r="L82" s="225"/>
      <c r="M82" s="226"/>
      <c r="N82" s="231"/>
      <c r="O82" s="232"/>
      <c r="P82" s="212"/>
      <c r="Q82" s="212"/>
      <c r="R82" s="212"/>
    </row>
    <row r="83" spans="1:18" ht="46.5">
      <c r="A83" s="226"/>
      <c r="B83" s="227"/>
      <c r="C83" s="219"/>
      <c r="D83" s="220">
        <v>72</v>
      </c>
      <c r="E83" s="220"/>
      <c r="F83" s="220"/>
      <c r="G83" s="221" t="s">
        <v>215</v>
      </c>
      <c r="H83" s="220" t="s">
        <v>143</v>
      </c>
      <c r="I83" s="222">
        <v>30</v>
      </c>
      <c r="J83" s="223">
        <f>'ITEM DE PAGO'!N6373</f>
        <v>188255</v>
      </c>
      <c r="K83" s="224">
        <f t="shared" si="1"/>
        <v>5647650</v>
      </c>
      <c r="L83" s="225"/>
      <c r="M83" s="226"/>
      <c r="N83" s="231"/>
      <c r="O83" s="232"/>
      <c r="P83" s="212"/>
      <c r="Q83" s="212"/>
      <c r="R83" s="212"/>
    </row>
    <row r="84" spans="1:18" ht="46.5">
      <c r="A84" s="226"/>
      <c r="B84" s="227"/>
      <c r="C84" s="219"/>
      <c r="D84" s="220">
        <v>73</v>
      </c>
      <c r="E84" s="220"/>
      <c r="F84" s="220"/>
      <c r="G84" s="221" t="s">
        <v>216</v>
      </c>
      <c r="H84" s="220" t="s">
        <v>143</v>
      </c>
      <c r="I84" s="222">
        <v>20</v>
      </c>
      <c r="J84" s="223">
        <f>'ITEM DE PAGO'!N6461</f>
        <v>97117</v>
      </c>
      <c r="K84" s="224">
        <f t="shared" si="1"/>
        <v>1942340</v>
      </c>
      <c r="L84" s="228"/>
      <c r="M84" s="226"/>
      <c r="N84" s="231"/>
      <c r="O84" s="232"/>
      <c r="P84" s="212"/>
      <c r="Q84" s="212"/>
      <c r="R84" s="212"/>
    </row>
    <row r="85" spans="1:18" ht="46.5">
      <c r="A85" s="226"/>
      <c r="B85" s="227"/>
      <c r="C85" s="219"/>
      <c r="D85" s="220">
        <v>74</v>
      </c>
      <c r="E85" s="220"/>
      <c r="F85" s="220"/>
      <c r="G85" s="221" t="s">
        <v>217</v>
      </c>
      <c r="H85" s="220" t="s">
        <v>143</v>
      </c>
      <c r="I85" s="222">
        <v>30</v>
      </c>
      <c r="J85" s="223">
        <f>'ITEM DE PAGO'!N6549</f>
        <v>38094</v>
      </c>
      <c r="K85" s="224">
        <f t="shared" si="1"/>
        <v>1142820</v>
      </c>
      <c r="L85" s="229"/>
      <c r="M85" s="226"/>
      <c r="N85" s="231"/>
      <c r="O85" s="232"/>
      <c r="P85" s="212"/>
      <c r="Q85" s="212"/>
      <c r="R85" s="212"/>
    </row>
    <row r="86" spans="1:18" ht="46.5">
      <c r="A86" s="226"/>
      <c r="B86" s="227"/>
      <c r="C86" s="219"/>
      <c r="D86" s="220">
        <v>75</v>
      </c>
      <c r="E86" s="220"/>
      <c r="F86" s="220"/>
      <c r="G86" s="221" t="s">
        <v>218</v>
      </c>
      <c r="H86" s="220" t="s">
        <v>143</v>
      </c>
      <c r="I86" s="222">
        <v>200</v>
      </c>
      <c r="J86" s="223">
        <f>'ITEM DE PAGO'!N6637</f>
        <v>4498</v>
      </c>
      <c r="K86" s="224">
        <f t="shared" si="1"/>
        <v>899600</v>
      </c>
      <c r="L86" s="229"/>
      <c r="M86" s="226"/>
      <c r="N86" s="231"/>
      <c r="O86" s="232"/>
      <c r="P86" s="212"/>
      <c r="Q86" s="212"/>
      <c r="R86" s="212"/>
    </row>
    <row r="87" spans="1:18" ht="46.5">
      <c r="A87" s="226"/>
      <c r="B87" s="227"/>
      <c r="C87" s="219"/>
      <c r="D87" s="220">
        <v>76</v>
      </c>
      <c r="E87" s="220"/>
      <c r="F87" s="220"/>
      <c r="G87" s="221" t="s">
        <v>219</v>
      </c>
      <c r="H87" s="220" t="s">
        <v>196</v>
      </c>
      <c r="I87" s="222">
        <v>4</v>
      </c>
      <c r="J87" s="223">
        <f>'ITEM DE PAGO'!N6722</f>
        <v>427410</v>
      </c>
      <c r="K87" s="224">
        <f t="shared" si="1"/>
        <v>1709640</v>
      </c>
      <c r="L87" s="229"/>
      <c r="M87" s="226"/>
      <c r="N87" s="231"/>
      <c r="O87" s="232"/>
      <c r="P87" s="212"/>
      <c r="Q87" s="212"/>
      <c r="R87" s="212"/>
    </row>
    <row r="88" spans="1:18" ht="170.5">
      <c r="A88" s="226"/>
      <c r="B88" s="227"/>
      <c r="C88" s="219"/>
      <c r="D88" s="220">
        <v>77</v>
      </c>
      <c r="E88" s="220"/>
      <c r="F88" s="220"/>
      <c r="G88" s="221" t="s">
        <v>220</v>
      </c>
      <c r="H88" s="220" t="s">
        <v>143</v>
      </c>
      <c r="I88" s="222">
        <v>100</v>
      </c>
      <c r="J88" s="223">
        <f>'ITEM DE PAGO'!N6820</f>
        <v>246876</v>
      </c>
      <c r="K88" s="224">
        <f t="shared" si="1"/>
        <v>24687600</v>
      </c>
      <c r="L88" s="225"/>
      <c r="M88" s="226"/>
      <c r="N88" s="231"/>
      <c r="O88" s="232"/>
      <c r="P88" s="212"/>
      <c r="Q88" s="212"/>
      <c r="R88" s="212"/>
    </row>
    <row r="89" spans="1:18" ht="139.5">
      <c r="A89" s="226"/>
      <c r="B89" s="227"/>
      <c r="C89" s="219"/>
      <c r="D89" s="220">
        <v>78</v>
      </c>
      <c r="E89" s="220"/>
      <c r="F89" s="220"/>
      <c r="G89" s="221" t="s">
        <v>221</v>
      </c>
      <c r="H89" s="220" t="s">
        <v>143</v>
      </c>
      <c r="I89" s="222">
        <v>370</v>
      </c>
      <c r="J89" s="223">
        <f>'ITEM DE PAGO'!N6918</f>
        <v>311949</v>
      </c>
      <c r="K89" s="224">
        <f>ROUND(J89*I89,0)</f>
        <v>115421130</v>
      </c>
      <c r="L89" s="207"/>
      <c r="N89" s="231"/>
      <c r="O89" s="232"/>
      <c r="P89" s="212"/>
      <c r="Q89" s="212"/>
      <c r="R89" s="212"/>
    </row>
    <row r="90" spans="1:18" ht="62">
      <c r="B90" s="227"/>
      <c r="C90" s="219"/>
      <c r="D90" s="220">
        <v>79</v>
      </c>
      <c r="E90" s="220"/>
      <c r="F90" s="220"/>
      <c r="G90" s="221" t="s">
        <v>222</v>
      </c>
      <c r="H90" s="220" t="s">
        <v>143</v>
      </c>
      <c r="I90" s="222">
        <v>20</v>
      </c>
      <c r="J90" s="223">
        <f>'ITEM DE PAGO'!N7004</f>
        <v>144495</v>
      </c>
      <c r="K90" s="224">
        <f t="shared" si="1"/>
        <v>2889900</v>
      </c>
      <c r="L90" s="207"/>
      <c r="N90" s="231"/>
      <c r="O90" s="232"/>
      <c r="P90" s="212"/>
      <c r="Q90" s="212"/>
      <c r="R90" s="212"/>
    </row>
    <row r="91" spans="1:18">
      <c r="B91" s="227"/>
      <c r="C91" s="219"/>
      <c r="D91" s="220">
        <v>80</v>
      </c>
      <c r="E91" s="220"/>
      <c r="F91" s="220"/>
      <c r="G91" s="221" t="s">
        <v>223</v>
      </c>
      <c r="H91" s="220" t="s">
        <v>141</v>
      </c>
      <c r="I91" s="222">
        <v>300</v>
      </c>
      <c r="J91" s="223">
        <f>'ITEM DE PAGO'!N7091</f>
        <v>10241</v>
      </c>
      <c r="K91" s="224">
        <f t="shared" si="1"/>
        <v>3072300</v>
      </c>
      <c r="L91" s="207"/>
      <c r="N91" s="231"/>
      <c r="O91" s="232"/>
      <c r="P91" s="212"/>
      <c r="Q91" s="212"/>
      <c r="R91" s="212"/>
    </row>
    <row r="92" spans="1:18" ht="16" thickBot="1">
      <c r="B92" s="227"/>
      <c r="C92" s="233" t="s">
        <v>224</v>
      </c>
      <c r="D92" s="234"/>
      <c r="E92" s="234"/>
      <c r="F92" s="234"/>
      <c r="G92" s="235"/>
      <c r="H92" s="234"/>
      <c r="I92" s="236"/>
      <c r="J92" s="236"/>
      <c r="K92" s="237">
        <f>SUM(K9:K91)</f>
        <v>1406252448</v>
      </c>
      <c r="L92" s="207"/>
    </row>
    <row r="93" spans="1:18" ht="16" thickBot="1">
      <c r="B93" s="227"/>
      <c r="C93" s="238"/>
      <c r="D93" s="238"/>
      <c r="E93" s="238"/>
      <c r="F93" s="238"/>
      <c r="G93" s="238"/>
      <c r="H93" s="238"/>
      <c r="I93" s="238"/>
      <c r="J93" s="238"/>
      <c r="K93" s="239"/>
      <c r="L93" s="207"/>
    </row>
    <row r="94" spans="1:18">
      <c r="B94" s="227"/>
      <c r="C94" s="240"/>
      <c r="D94" s="241"/>
      <c r="E94" s="240"/>
      <c r="F94" s="240"/>
      <c r="G94" s="1021" t="s">
        <v>121</v>
      </c>
      <c r="H94" s="1022"/>
      <c r="I94" s="1022"/>
      <c r="J94" s="522" t="s">
        <v>225</v>
      </c>
      <c r="K94" s="242">
        <f ca="1">'Paso 1 Calculo del Presupuesto'!C12</f>
        <v>2805619</v>
      </c>
      <c r="L94" s="207"/>
      <c r="N94" s="212"/>
      <c r="O94" s="212"/>
      <c r="P94" s="212"/>
      <c r="Q94" s="212"/>
      <c r="R94" s="212"/>
    </row>
    <row r="95" spans="1:18">
      <c r="B95" s="227"/>
      <c r="C95" s="240"/>
      <c r="D95" s="241"/>
      <c r="E95" s="240"/>
      <c r="F95" s="240"/>
      <c r="G95" s="1023" t="s">
        <v>226</v>
      </c>
      <c r="H95" s="1024"/>
      <c r="I95" s="1024"/>
      <c r="J95" s="243" t="s">
        <v>225</v>
      </c>
      <c r="K95" s="244">
        <f ca="1">'Paso 1 Calculo del Presupuesto'!C11</f>
        <v>870675390</v>
      </c>
      <c r="L95" s="207"/>
    </row>
    <row r="96" spans="1:18" ht="16" thickBot="1">
      <c r="B96" s="227"/>
      <c r="C96" s="240"/>
      <c r="D96" s="241"/>
      <c r="E96" s="240"/>
      <c r="F96" s="240"/>
      <c r="G96" s="523" t="s">
        <v>227</v>
      </c>
      <c r="H96" s="524"/>
      <c r="I96" s="525"/>
      <c r="J96" s="526"/>
      <c r="K96" s="527">
        <f ca="1">K92+K94+K95</f>
        <v>2279733457</v>
      </c>
      <c r="L96" s="207"/>
      <c r="O96" s="198" t="s">
        <v>228</v>
      </c>
      <c r="P96" s="198">
        <f>K92/(1+K103)</f>
        <v>1406252448</v>
      </c>
    </row>
    <row r="97" spans="2:15" ht="16" thickBot="1">
      <c r="B97" s="227"/>
      <c r="C97" s="240"/>
      <c r="D97" s="241"/>
      <c r="E97" s="241"/>
      <c r="F97" s="241"/>
      <c r="G97" s="240"/>
      <c r="H97" s="240"/>
      <c r="I97" s="245"/>
      <c r="J97" s="246"/>
      <c r="K97" s="247"/>
      <c r="L97" s="207"/>
    </row>
    <row r="98" spans="2:15" ht="33" customHeight="1">
      <c r="B98" s="227"/>
      <c r="C98" s="997" t="s">
        <v>229</v>
      </c>
      <c r="D98" s="998"/>
      <c r="E98" s="998"/>
      <c r="F98" s="998"/>
      <c r="G98" s="998"/>
      <c r="H98" s="998"/>
      <c r="I98" s="998"/>
      <c r="J98" s="998"/>
      <c r="K98" s="999"/>
      <c r="L98" s="207"/>
    </row>
    <row r="99" spans="2:15" ht="15.75" customHeight="1">
      <c r="B99" s="227"/>
      <c r="C99" s="1025" t="s">
        <v>230</v>
      </c>
      <c r="D99" s="1026"/>
      <c r="E99" s="1026"/>
      <c r="F99" s="1026"/>
      <c r="G99" s="1026"/>
      <c r="H99" s="1027" t="s">
        <v>131</v>
      </c>
      <c r="I99" s="1028"/>
      <c r="J99" s="1028"/>
      <c r="K99" s="248" t="s">
        <v>231</v>
      </c>
      <c r="L99" s="207"/>
    </row>
    <row r="100" spans="2:15" ht="15.75" customHeight="1">
      <c r="B100" s="227"/>
      <c r="C100" s="1025"/>
      <c r="D100" s="1026"/>
      <c r="E100" s="1026"/>
      <c r="F100" s="1026"/>
      <c r="G100" s="1026"/>
      <c r="H100" s="1029" t="s">
        <v>232</v>
      </c>
      <c r="I100" s="1030"/>
      <c r="J100" s="249" t="s">
        <v>233</v>
      </c>
      <c r="K100" s="521">
        <f>'Paso 1 Calculo del Presupuesto'!J96</f>
        <v>0</v>
      </c>
      <c r="L100" s="207"/>
    </row>
    <row r="101" spans="2:15" ht="15.75" customHeight="1">
      <c r="B101" s="227"/>
      <c r="C101" s="1025"/>
      <c r="D101" s="1026"/>
      <c r="E101" s="1026"/>
      <c r="F101" s="1026"/>
      <c r="G101" s="1026"/>
      <c r="H101" s="1029" t="s">
        <v>234</v>
      </c>
      <c r="I101" s="1030"/>
      <c r="J101" s="249" t="s">
        <v>235</v>
      </c>
      <c r="K101" s="521">
        <f>'Paso 1 Calculo del Presupuesto'!J97</f>
        <v>0</v>
      </c>
      <c r="L101" s="207"/>
    </row>
    <row r="102" spans="2:15">
      <c r="B102" s="227"/>
      <c r="C102" s="1025"/>
      <c r="D102" s="1026"/>
      <c r="E102" s="1026"/>
      <c r="F102" s="1026"/>
      <c r="G102" s="1026"/>
      <c r="H102" s="1029" t="s">
        <v>236</v>
      </c>
      <c r="I102" s="1030"/>
      <c r="J102" s="249" t="s">
        <v>237</v>
      </c>
      <c r="K102" s="521">
        <f>'Paso 1 Calculo del Presupuesto'!J98</f>
        <v>0</v>
      </c>
      <c r="L102" s="207"/>
    </row>
    <row r="103" spans="2:15" ht="15.75" customHeight="1">
      <c r="B103" s="227"/>
      <c r="C103" s="1040" t="s">
        <v>521</v>
      </c>
      <c r="D103" s="1041"/>
      <c r="E103" s="1041"/>
      <c r="F103" s="1041"/>
      <c r="G103" s="1042"/>
      <c r="H103" s="1029" t="s">
        <v>238</v>
      </c>
      <c r="I103" s="1030"/>
      <c r="J103" s="249" t="s">
        <v>239</v>
      </c>
      <c r="K103" s="521">
        <f>SUM(K100:K102)</f>
        <v>0</v>
      </c>
      <c r="L103" s="207"/>
      <c r="N103" s="250"/>
      <c r="O103" s="250"/>
    </row>
    <row r="104" spans="2:15" ht="13.5" customHeight="1">
      <c r="B104" s="227"/>
      <c r="C104" s="1043"/>
      <c r="D104" s="1044"/>
      <c r="E104" s="1044"/>
      <c r="F104" s="1044"/>
      <c r="G104" s="1045"/>
      <c r="H104" s="1031"/>
      <c r="I104" s="1031"/>
      <c r="J104" s="251"/>
      <c r="K104" s="252"/>
      <c r="L104" s="207"/>
      <c r="N104" s="250"/>
      <c r="O104" s="250"/>
    </row>
    <row r="105" spans="2:15" ht="15" customHeight="1">
      <c r="B105" s="227"/>
      <c r="C105" s="1043"/>
      <c r="D105" s="1044"/>
      <c r="E105" s="1044"/>
      <c r="F105" s="1044"/>
      <c r="G105" s="1045"/>
      <c r="H105" s="1032" t="s">
        <v>242</v>
      </c>
      <c r="I105" s="1032"/>
      <c r="J105" s="1032"/>
      <c r="K105" s="1033"/>
      <c r="L105" s="207"/>
      <c r="N105" s="250"/>
      <c r="O105" s="250"/>
    </row>
    <row r="106" spans="2:15">
      <c r="B106" s="227"/>
      <c r="C106" s="1046"/>
      <c r="D106" s="1047"/>
      <c r="E106" s="1047"/>
      <c r="F106" s="1047"/>
      <c r="G106" s="1048"/>
      <c r="H106" s="1034"/>
      <c r="I106" s="1034"/>
      <c r="J106" s="1034"/>
      <c r="K106" s="1035"/>
      <c r="L106" s="207"/>
      <c r="N106" s="250"/>
      <c r="O106" s="250"/>
    </row>
    <row r="107" spans="2:15">
      <c r="B107" s="227"/>
      <c r="C107" s="1038" t="s">
        <v>240</v>
      </c>
      <c r="D107" s="1039"/>
      <c r="E107" s="1039"/>
      <c r="F107" s="1039"/>
      <c r="G107" s="1039"/>
      <c r="H107" s="1034"/>
      <c r="I107" s="1034"/>
      <c r="J107" s="1034"/>
      <c r="K107" s="1035"/>
      <c r="L107" s="207"/>
      <c r="N107" s="250"/>
      <c r="O107" s="250"/>
    </row>
    <row r="108" spans="2:15">
      <c r="B108" s="227"/>
      <c r="C108" s="1049" t="s">
        <v>241</v>
      </c>
      <c r="D108" s="1050"/>
      <c r="E108" s="1050"/>
      <c r="F108" s="1050"/>
      <c r="G108" s="1051"/>
      <c r="H108" s="1034"/>
      <c r="I108" s="1034"/>
      <c r="J108" s="1034"/>
      <c r="K108" s="1035"/>
      <c r="L108" s="207"/>
      <c r="N108" s="250"/>
      <c r="O108" s="250"/>
    </row>
    <row r="109" spans="2:15">
      <c r="B109" s="227"/>
      <c r="C109" s="1052"/>
      <c r="D109" s="1053"/>
      <c r="E109" s="1053"/>
      <c r="F109" s="1053"/>
      <c r="G109" s="1054"/>
      <c r="H109" s="1034"/>
      <c r="I109" s="1034"/>
      <c r="J109" s="1034"/>
      <c r="K109" s="1035"/>
      <c r="L109" s="207"/>
      <c r="N109" s="250"/>
      <c r="O109" s="250"/>
    </row>
    <row r="110" spans="2:15" ht="15" customHeight="1">
      <c r="B110" s="227"/>
      <c r="C110" s="1055"/>
      <c r="D110" s="1056"/>
      <c r="E110" s="1056"/>
      <c r="F110" s="1056"/>
      <c r="G110" s="1057"/>
      <c r="H110" s="1034"/>
      <c r="I110" s="1034"/>
      <c r="J110" s="1034"/>
      <c r="K110" s="1035"/>
      <c r="L110" s="207"/>
    </row>
    <row r="111" spans="2:15" ht="16.5" customHeight="1" thickBot="1">
      <c r="B111" s="227"/>
      <c r="C111" s="1038" t="s">
        <v>243</v>
      </c>
      <c r="D111" s="1039"/>
      <c r="E111" s="1039"/>
      <c r="F111" s="1039"/>
      <c r="G111" s="1039"/>
      <c r="H111" s="1036"/>
      <c r="I111" s="1036"/>
      <c r="J111" s="1036"/>
      <c r="K111" s="1037"/>
      <c r="L111" s="207"/>
    </row>
    <row r="112" spans="2:15" ht="15.75" customHeight="1" thickBot="1">
      <c r="B112" s="253"/>
      <c r="C112" s="254"/>
      <c r="D112" s="254"/>
      <c r="E112" s="255"/>
      <c r="F112" s="254"/>
      <c r="G112" s="256"/>
      <c r="H112" s="254"/>
      <c r="I112" s="254"/>
      <c r="J112" s="254"/>
      <c r="K112" s="254"/>
      <c r="L112" s="257"/>
    </row>
    <row r="113" ht="16.5" customHeight="1" thickTop="1"/>
  </sheetData>
  <mergeCells count="28">
    <mergeCell ref="H104:I104"/>
    <mergeCell ref="H105:K111"/>
    <mergeCell ref="C111:G111"/>
    <mergeCell ref="C103:G106"/>
    <mergeCell ref="C107:G107"/>
    <mergeCell ref="C108:G110"/>
    <mergeCell ref="H103:I103"/>
    <mergeCell ref="C99:G102"/>
    <mergeCell ref="H99:J99"/>
    <mergeCell ref="H100:I100"/>
    <mergeCell ref="H101:I101"/>
    <mergeCell ref="H102:I102"/>
    <mergeCell ref="C98:K98"/>
    <mergeCell ref="B3:L3"/>
    <mergeCell ref="B4:L4"/>
    <mergeCell ref="C6:K6"/>
    <mergeCell ref="C7:K7"/>
    <mergeCell ref="C8:K8"/>
    <mergeCell ref="C9:C10"/>
    <mergeCell ref="D9:D10"/>
    <mergeCell ref="E9:F9"/>
    <mergeCell ref="G9:G10"/>
    <mergeCell ref="H9:H10"/>
    <mergeCell ref="I9:I10"/>
    <mergeCell ref="J9:J10"/>
    <mergeCell ref="K9:K10"/>
    <mergeCell ref="G94:I94"/>
    <mergeCell ref="G95:I95"/>
  </mergeCells>
  <pageMargins left="0.11811023622047245" right="0.11811023622047245" top="0.15748031496062992" bottom="0.15748031496062992" header="0.31496062992125984" footer="0.31496062992125984"/>
  <pageSetup scale="35"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3"/>
  <dimension ref="B1:Q7115"/>
  <sheetViews>
    <sheetView showGridLines="0" view="pageBreakPreview" zoomScale="70" zoomScaleNormal="90" zoomScaleSheetLayoutView="70" zoomScalePageLayoutView="25" workbookViewId="0">
      <selection activeCell="S22" sqref="S22"/>
    </sheetView>
  </sheetViews>
  <sheetFormatPr baseColWidth="10" defaultColWidth="11.453125" defaultRowHeight="13"/>
  <cols>
    <col min="1" max="1" width="3.1796875" style="258" customWidth="1"/>
    <col min="2" max="2" width="12.54296875" style="258" customWidth="1"/>
    <col min="3" max="10" width="11.453125" style="258"/>
    <col min="11" max="11" width="12.81640625" style="258" customWidth="1"/>
    <col min="12" max="13" width="11.453125" style="258"/>
    <col min="14" max="14" width="26.7265625" style="258" customWidth="1"/>
    <col min="15" max="15" width="3.1796875" style="258" customWidth="1"/>
    <col min="16" max="16" width="17.453125" style="258" bestFit="1" customWidth="1"/>
    <col min="17" max="17" width="17.81640625" style="258" bestFit="1" customWidth="1"/>
    <col min="18" max="16384" width="11.453125" style="258"/>
  </cols>
  <sheetData>
    <row r="1" spans="2:14" ht="13.5" thickBot="1"/>
    <row r="2" spans="2:14">
      <c r="B2" s="1070"/>
      <c r="C2" s="1072"/>
      <c r="D2" s="1073"/>
      <c r="E2" s="1073"/>
      <c r="F2" s="1073"/>
      <c r="G2" s="1073"/>
      <c r="H2" s="1073"/>
      <c r="I2" s="1073"/>
      <c r="J2" s="1074"/>
      <c r="K2" s="1075"/>
      <c r="L2" s="1076"/>
      <c r="M2" s="1076"/>
      <c r="N2" s="1077"/>
    </row>
    <row r="3" spans="2:14">
      <c r="B3" s="1071"/>
      <c r="C3" s="1062" t="s">
        <v>244</v>
      </c>
      <c r="D3" s="1063"/>
      <c r="E3" s="1063"/>
      <c r="F3" s="1063"/>
      <c r="G3" s="1063"/>
      <c r="H3" s="1063"/>
      <c r="I3" s="1063"/>
      <c r="J3" s="1064"/>
      <c r="K3" s="1078"/>
      <c r="L3" s="1079"/>
      <c r="M3" s="1079"/>
      <c r="N3" s="1080"/>
    </row>
    <row r="4" spans="2:14">
      <c r="B4" s="1071"/>
      <c r="C4" s="1081"/>
      <c r="D4" s="1082"/>
      <c r="E4" s="1082"/>
      <c r="F4" s="1082"/>
      <c r="G4" s="1082"/>
      <c r="H4" s="1082"/>
      <c r="I4" s="1082"/>
      <c r="J4" s="1083"/>
      <c r="K4" s="1058" t="s">
        <v>245</v>
      </c>
      <c r="L4" s="1085"/>
      <c r="M4" s="1086"/>
      <c r="N4" s="1087"/>
    </row>
    <row r="5" spans="2:14">
      <c r="B5" s="1071"/>
      <c r="C5" s="1062" t="s">
        <v>246</v>
      </c>
      <c r="D5" s="1063"/>
      <c r="E5" s="1063"/>
      <c r="F5" s="1063"/>
      <c r="G5" s="1063"/>
      <c r="H5" s="1063"/>
      <c r="I5" s="1063"/>
      <c r="J5" s="1064"/>
      <c r="K5" s="1084"/>
      <c r="L5" s="1088"/>
      <c r="M5" s="1089"/>
      <c r="N5" s="1090"/>
    </row>
    <row r="6" spans="2:14" ht="12.75" customHeight="1">
      <c r="B6" s="1071"/>
      <c r="C6" s="1091"/>
      <c r="D6" s="1092"/>
      <c r="E6" s="1092"/>
      <c r="F6" s="1092"/>
      <c r="G6" s="1092"/>
      <c r="H6" s="1092"/>
      <c r="I6" s="1092"/>
      <c r="J6" s="1093"/>
      <c r="K6" s="1058" t="s">
        <v>247</v>
      </c>
      <c r="L6" s="1058">
        <v>1</v>
      </c>
      <c r="M6" s="1058" t="s">
        <v>248</v>
      </c>
      <c r="N6" s="1060">
        <v>80</v>
      </c>
    </row>
    <row r="7" spans="2:14">
      <c r="B7" s="1071"/>
      <c r="C7" s="1091"/>
      <c r="D7" s="1092"/>
      <c r="E7" s="1092"/>
      <c r="F7" s="1092"/>
      <c r="G7" s="1092"/>
      <c r="H7" s="1092"/>
      <c r="I7" s="1092"/>
      <c r="J7" s="1093"/>
      <c r="K7" s="1059"/>
      <c r="L7" s="1059"/>
      <c r="M7" s="1059"/>
      <c r="N7" s="1061"/>
    </row>
    <row r="8" spans="2:14">
      <c r="B8" s="1071"/>
      <c r="C8" s="1062" t="s">
        <v>249</v>
      </c>
      <c r="D8" s="1063"/>
      <c r="E8" s="1063"/>
      <c r="F8" s="1063"/>
      <c r="G8" s="1063"/>
      <c r="H8" s="1063"/>
      <c r="I8" s="1063"/>
      <c r="J8" s="1064"/>
      <c r="K8" s="1059"/>
      <c r="L8" s="1059"/>
      <c r="M8" s="1059"/>
      <c r="N8" s="1061"/>
    </row>
    <row r="9" spans="2:14" ht="13.5" thickBot="1">
      <c r="B9" s="259"/>
      <c r="C9" s="260"/>
      <c r="D9" s="260"/>
      <c r="E9" s="260"/>
      <c r="F9" s="260"/>
      <c r="G9" s="260"/>
      <c r="H9" s="260"/>
      <c r="I9" s="260"/>
      <c r="J9" s="260"/>
      <c r="K9" s="260"/>
      <c r="L9" s="261"/>
      <c r="M9" s="261"/>
      <c r="N9" s="262"/>
    </row>
    <row r="10" spans="2:14">
      <c r="B10" s="263"/>
      <c r="C10" s="264"/>
      <c r="D10" s="264"/>
      <c r="E10" s="264"/>
      <c r="F10" s="264"/>
      <c r="G10" s="264"/>
      <c r="H10" s="264"/>
      <c r="I10" s="264"/>
      <c r="J10" s="264"/>
      <c r="K10" s="265" t="s">
        <v>250</v>
      </c>
      <c r="L10" s="266" t="s">
        <v>251</v>
      </c>
      <c r="M10" s="266" t="s">
        <v>252</v>
      </c>
      <c r="N10" s="267" t="s">
        <v>253</v>
      </c>
    </row>
    <row r="11" spans="2:14">
      <c r="B11" s="268"/>
      <c r="C11" s="269"/>
      <c r="D11" s="269"/>
      <c r="E11" s="269"/>
      <c r="F11" s="269"/>
      <c r="G11" s="269"/>
      <c r="H11" s="269"/>
      <c r="I11" s="269"/>
      <c r="J11" s="269"/>
      <c r="K11" s="270"/>
      <c r="L11" s="271"/>
      <c r="M11" s="271"/>
      <c r="N11" s="272"/>
    </row>
    <row r="12" spans="2:14" ht="18" customHeight="1">
      <c r="B12" s="1065" t="s">
        <v>254</v>
      </c>
      <c r="C12" s="1066"/>
      <c r="D12" s="1066"/>
      <c r="E12" s="1066"/>
      <c r="F12" s="269"/>
      <c r="G12" s="269"/>
      <c r="H12" s="269" t="s">
        <v>255</v>
      </c>
      <c r="J12" s="269"/>
      <c r="K12" s="270"/>
      <c r="N12" s="273"/>
    </row>
    <row r="13" spans="2:14">
      <c r="B13" s="274"/>
      <c r="C13" s="275"/>
      <c r="D13" s="275"/>
      <c r="E13" s="275"/>
      <c r="F13" s="275"/>
      <c r="G13" s="275"/>
      <c r="H13" s="275"/>
      <c r="I13" s="275"/>
      <c r="J13" s="275"/>
      <c r="K13" s="275"/>
      <c r="L13" s="275"/>
      <c r="M13" s="275"/>
      <c r="N13" s="276"/>
    </row>
    <row r="14" spans="2:14" ht="13.5" thickBot="1">
      <c r="B14" s="277"/>
      <c r="C14" s="278"/>
      <c r="D14" s="278"/>
      <c r="E14" s="278"/>
      <c r="F14" s="278"/>
      <c r="G14" s="278"/>
      <c r="H14" s="278"/>
      <c r="I14" s="278"/>
      <c r="J14" s="278"/>
      <c r="K14" s="278"/>
      <c r="L14" s="278"/>
      <c r="M14" s="278"/>
      <c r="N14" s="279"/>
    </row>
    <row r="15" spans="2:14" ht="13.5" thickBot="1">
      <c r="B15" s="280"/>
      <c r="C15" s="281"/>
      <c r="D15" s="281"/>
      <c r="E15" s="281"/>
      <c r="F15" s="281"/>
      <c r="G15" s="281"/>
      <c r="J15" s="281"/>
      <c r="K15" s="281"/>
      <c r="L15" s="281"/>
      <c r="M15" s="281"/>
      <c r="N15" s="282"/>
    </row>
    <row r="16" spans="2:14">
      <c r="B16" s="1067" t="s">
        <v>256</v>
      </c>
      <c r="C16" s="1068"/>
      <c r="D16" s="1068"/>
      <c r="E16" s="1068"/>
      <c r="F16" s="1068"/>
      <c r="G16" s="1068"/>
      <c r="H16" s="1068"/>
      <c r="I16" s="1068"/>
      <c r="J16" s="1068"/>
      <c r="K16" s="1068"/>
      <c r="L16" s="1068"/>
      <c r="M16" s="1068"/>
      <c r="N16" s="1069"/>
    </row>
    <row r="17" spans="2:14" ht="13.5" thickBot="1">
      <c r="B17" s="283"/>
      <c r="N17" s="284"/>
    </row>
    <row r="18" spans="2:14">
      <c r="B18" s="285" t="s">
        <v>257</v>
      </c>
      <c r="C18" s="1120" t="s">
        <v>258</v>
      </c>
      <c r="D18" s="1121"/>
      <c r="E18" s="1121"/>
      <c r="F18" s="1121"/>
      <c r="G18" s="1121"/>
      <c r="H18" s="1121"/>
      <c r="I18" s="1121"/>
      <c r="J18" s="1121"/>
      <c r="K18" s="1122"/>
      <c r="L18" s="1123" t="s">
        <v>259</v>
      </c>
      <c r="M18" s="1124"/>
      <c r="N18" s="285" t="s">
        <v>133</v>
      </c>
    </row>
    <row r="19" spans="2:14" ht="32.25" customHeight="1" thickBot="1">
      <c r="B19" s="286">
        <v>1</v>
      </c>
      <c r="C19" s="1125" t="s">
        <v>138</v>
      </c>
      <c r="D19" s="1126"/>
      <c r="E19" s="1126"/>
      <c r="F19" s="1126"/>
      <c r="G19" s="1126"/>
      <c r="H19" s="1126"/>
      <c r="I19" s="1126"/>
      <c r="J19" s="1126"/>
      <c r="K19" s="1127"/>
      <c r="L19" s="1128" t="s">
        <v>139</v>
      </c>
      <c r="M19" s="1129"/>
      <c r="N19" s="287">
        <v>5</v>
      </c>
    </row>
    <row r="20" spans="2:14">
      <c r="B20" s="1103" t="s">
        <v>260</v>
      </c>
      <c r="C20" s="1104"/>
      <c r="D20" s="1104"/>
      <c r="E20" s="1104"/>
      <c r="F20" s="1104"/>
      <c r="G20" s="1104"/>
      <c r="H20" s="1104"/>
      <c r="I20" s="1104"/>
      <c r="J20" s="1104"/>
      <c r="K20" s="1104"/>
      <c r="L20" s="1104"/>
      <c r="M20" s="1104"/>
      <c r="N20" s="1105"/>
    </row>
    <row r="21" spans="2:14">
      <c r="B21" s="1106"/>
      <c r="C21" s="1107"/>
      <c r="D21" s="1107"/>
      <c r="E21" s="1107"/>
      <c r="F21" s="1107"/>
      <c r="G21" s="1107"/>
      <c r="H21" s="1107"/>
      <c r="I21" s="1107"/>
      <c r="J21" s="1107"/>
      <c r="K21" s="1107"/>
      <c r="L21" s="1107"/>
      <c r="M21" s="1107"/>
      <c r="N21" s="1108"/>
    </row>
    <row r="22" spans="2:14" ht="13.5" thickBot="1">
      <c r="B22" s="1109"/>
      <c r="C22" s="1110"/>
      <c r="D22" s="1110"/>
      <c r="E22" s="1110"/>
      <c r="F22" s="1110"/>
      <c r="G22" s="1110"/>
      <c r="H22" s="1110"/>
      <c r="I22" s="1110"/>
      <c r="J22" s="1110"/>
      <c r="K22" s="1110"/>
      <c r="L22" s="1110"/>
      <c r="M22" s="1110"/>
      <c r="N22" s="1111"/>
    </row>
    <row r="23" spans="2:14">
      <c r="B23" s="1130" t="s">
        <v>258</v>
      </c>
      <c r="C23" s="1131"/>
      <c r="D23" s="1131"/>
      <c r="E23" s="1131"/>
      <c r="F23" s="1132"/>
      <c r="G23" s="1133" t="s">
        <v>261</v>
      </c>
      <c r="H23" s="1131"/>
      <c r="I23" s="1134" t="s">
        <v>262</v>
      </c>
      <c r="J23" s="1135"/>
      <c r="K23" s="288" t="s">
        <v>263</v>
      </c>
      <c r="L23" s="1133" t="s">
        <v>264</v>
      </c>
      <c r="M23" s="1136"/>
      <c r="N23" s="289" t="s">
        <v>265</v>
      </c>
    </row>
    <row r="24" spans="2:14" ht="12.75" customHeight="1">
      <c r="B24" s="1112" t="s">
        <v>266</v>
      </c>
      <c r="C24" s="1113"/>
      <c r="D24" s="1113"/>
      <c r="E24" s="1113"/>
      <c r="F24" s="1114"/>
      <c r="G24" s="1115"/>
      <c r="H24" s="1114"/>
      <c r="I24" s="1116" t="s">
        <v>267</v>
      </c>
      <c r="J24" s="1117"/>
      <c r="K24" s="290">
        <v>74025</v>
      </c>
      <c r="L24" s="1118">
        <v>1</v>
      </c>
      <c r="M24" s="1119"/>
      <c r="N24" s="291">
        <f>+K24*L24</f>
        <v>74025</v>
      </c>
    </row>
    <row r="25" spans="2:14">
      <c r="B25" s="292" t="s">
        <v>268</v>
      </c>
      <c r="C25" s="293"/>
      <c r="D25" s="293"/>
      <c r="E25" s="293"/>
      <c r="F25" s="294"/>
      <c r="G25" s="295"/>
      <c r="H25" s="294"/>
      <c r="I25" s="1116" t="s">
        <v>267</v>
      </c>
      <c r="J25" s="1117"/>
      <c r="K25" s="290">
        <v>105750</v>
      </c>
      <c r="L25" s="1118">
        <v>1</v>
      </c>
      <c r="M25" s="1119"/>
      <c r="N25" s="291">
        <f>+K25*L25</f>
        <v>105750</v>
      </c>
    </row>
    <row r="26" spans="2:14" ht="13.5" thickBot="1">
      <c r="B26" s="1094"/>
      <c r="C26" s="1095"/>
      <c r="D26" s="1095"/>
      <c r="E26" s="1095"/>
      <c r="F26" s="1096"/>
      <c r="G26" s="1097"/>
      <c r="H26" s="1096"/>
      <c r="I26" s="1097"/>
      <c r="J26" s="1096"/>
      <c r="K26" s="296"/>
      <c r="L26" s="1098"/>
      <c r="M26" s="1099"/>
      <c r="N26" s="297"/>
    </row>
    <row r="27" spans="2:14" ht="13.5" thickBot="1">
      <c r="B27" s="1100" t="s">
        <v>269</v>
      </c>
      <c r="C27" s="1101"/>
      <c r="D27" s="1101"/>
      <c r="E27" s="1101"/>
      <c r="F27" s="1101"/>
      <c r="G27" s="1101"/>
      <c r="H27" s="1101"/>
      <c r="I27" s="1101"/>
      <c r="J27" s="1101"/>
      <c r="K27" s="1101"/>
      <c r="L27" s="1101"/>
      <c r="M27" s="1102"/>
      <c r="N27" s="298">
        <f>+N24+N25+N26</f>
        <v>179775</v>
      </c>
    </row>
    <row r="28" spans="2:14" ht="13.5" customHeight="1">
      <c r="B28" s="1103" t="s">
        <v>270</v>
      </c>
      <c r="C28" s="1104"/>
      <c r="D28" s="1104"/>
      <c r="E28" s="1104"/>
      <c r="F28" s="1104"/>
      <c r="G28" s="1104"/>
      <c r="H28" s="1104"/>
      <c r="I28" s="1104"/>
      <c r="J28" s="1104"/>
      <c r="K28" s="1104"/>
      <c r="L28" s="1104"/>
      <c r="M28" s="1104"/>
      <c r="N28" s="1105"/>
    </row>
    <row r="29" spans="2:14">
      <c r="B29" s="1106"/>
      <c r="C29" s="1107"/>
      <c r="D29" s="1107"/>
      <c r="E29" s="1107"/>
      <c r="F29" s="1107"/>
      <c r="G29" s="1107"/>
      <c r="H29" s="1107"/>
      <c r="I29" s="1107"/>
      <c r="J29" s="1107"/>
      <c r="K29" s="1107"/>
      <c r="L29" s="1107"/>
      <c r="M29" s="1107"/>
      <c r="N29" s="1108"/>
    </row>
    <row r="30" spans="2:14" ht="13.5" thickBot="1">
      <c r="B30" s="1109"/>
      <c r="C30" s="1110"/>
      <c r="D30" s="1110"/>
      <c r="E30" s="1110"/>
      <c r="F30" s="1110"/>
      <c r="G30" s="1110"/>
      <c r="H30" s="1110"/>
      <c r="I30" s="1110"/>
      <c r="J30" s="1110"/>
      <c r="K30" s="1110"/>
      <c r="L30" s="1110"/>
      <c r="M30" s="1110"/>
      <c r="N30" s="1111"/>
    </row>
    <row r="31" spans="2:14">
      <c r="B31" s="1130" t="s">
        <v>258</v>
      </c>
      <c r="C31" s="1139"/>
      <c r="D31" s="1139"/>
      <c r="E31" s="1139"/>
      <c r="F31" s="1139"/>
      <c r="G31" s="1139"/>
      <c r="H31" s="1139"/>
      <c r="I31" s="1136"/>
      <c r="J31" s="299" t="s">
        <v>259</v>
      </c>
      <c r="K31" s="288" t="s">
        <v>133</v>
      </c>
      <c r="L31" s="1133" t="s">
        <v>271</v>
      </c>
      <c r="M31" s="1136"/>
      <c r="N31" s="289" t="s">
        <v>265</v>
      </c>
    </row>
    <row r="32" spans="2:14">
      <c r="B32" s="1112" t="s">
        <v>272</v>
      </c>
      <c r="C32" s="1113"/>
      <c r="D32" s="1113"/>
      <c r="E32" s="1113"/>
      <c r="F32" s="1113"/>
      <c r="G32" s="1113"/>
      <c r="H32" s="1113"/>
      <c r="I32" s="1114"/>
      <c r="J32" s="300" t="s">
        <v>273</v>
      </c>
      <c r="K32" s="301">
        <v>2</v>
      </c>
      <c r="L32" s="1144">
        <v>8330</v>
      </c>
      <c r="M32" s="1145"/>
      <c r="N32" s="302">
        <f>+K32*L32</f>
        <v>16660</v>
      </c>
    </row>
    <row r="33" spans="2:14" ht="13.5" thickBot="1">
      <c r="B33" s="1094" t="s">
        <v>274</v>
      </c>
      <c r="C33" s="1095"/>
      <c r="D33" s="1095"/>
      <c r="E33" s="1095"/>
      <c r="F33" s="1095"/>
      <c r="G33" s="1095"/>
      <c r="H33" s="1095"/>
      <c r="I33" s="1096"/>
      <c r="J33" s="303" t="s">
        <v>275</v>
      </c>
      <c r="K33" s="304">
        <v>0.55000000000000004</v>
      </c>
      <c r="L33" s="1144">
        <v>4500</v>
      </c>
      <c r="M33" s="1145"/>
      <c r="N33" s="302">
        <f>+K33*L33</f>
        <v>2475</v>
      </c>
    </row>
    <row r="34" spans="2:14" ht="13.5" thickBot="1">
      <c r="B34" s="1100" t="s">
        <v>269</v>
      </c>
      <c r="C34" s="1101"/>
      <c r="D34" s="1101"/>
      <c r="E34" s="1101"/>
      <c r="F34" s="1101"/>
      <c r="G34" s="1101"/>
      <c r="H34" s="1101"/>
      <c r="I34" s="1101"/>
      <c r="J34" s="1101"/>
      <c r="K34" s="1101"/>
      <c r="L34" s="1101"/>
      <c r="M34" s="1102"/>
      <c r="N34" s="305">
        <f>+N32+N33</f>
        <v>19135</v>
      </c>
    </row>
    <row r="35" spans="2:14">
      <c r="B35" s="1103" t="s">
        <v>276</v>
      </c>
      <c r="C35" s="1104"/>
      <c r="D35" s="1104"/>
      <c r="E35" s="1104"/>
      <c r="F35" s="1104"/>
      <c r="G35" s="1104"/>
      <c r="H35" s="1104"/>
      <c r="I35" s="1104"/>
      <c r="J35" s="1104"/>
      <c r="K35" s="1104"/>
      <c r="L35" s="1104"/>
      <c r="M35" s="1104"/>
      <c r="N35" s="1105"/>
    </row>
    <row r="36" spans="2:14">
      <c r="B36" s="1106"/>
      <c r="C36" s="1107"/>
      <c r="D36" s="1107"/>
      <c r="E36" s="1107"/>
      <c r="F36" s="1107"/>
      <c r="G36" s="1107"/>
      <c r="H36" s="1107"/>
      <c r="I36" s="1107"/>
      <c r="J36" s="1107"/>
      <c r="K36" s="1107"/>
      <c r="L36" s="1107"/>
      <c r="M36" s="1107"/>
      <c r="N36" s="1108"/>
    </row>
    <row r="37" spans="2:14" ht="13.5" thickBot="1">
      <c r="B37" s="1109"/>
      <c r="C37" s="1110"/>
      <c r="D37" s="1110"/>
      <c r="E37" s="1110"/>
      <c r="F37" s="1110"/>
      <c r="G37" s="1110"/>
      <c r="H37" s="1110"/>
      <c r="I37" s="1110"/>
      <c r="J37" s="1110"/>
      <c r="K37" s="1110"/>
      <c r="L37" s="1110"/>
      <c r="M37" s="1110"/>
      <c r="N37" s="1111"/>
    </row>
    <row r="38" spans="2:14">
      <c r="B38" s="1130" t="s">
        <v>277</v>
      </c>
      <c r="C38" s="1139"/>
      <c r="D38" s="1139"/>
      <c r="E38" s="1139"/>
      <c r="F38" s="1139"/>
      <c r="G38" s="1139"/>
      <c r="H38" s="1139"/>
      <c r="I38" s="288" t="s">
        <v>278</v>
      </c>
      <c r="J38" s="306" t="s">
        <v>279</v>
      </c>
      <c r="K38" s="307" t="s">
        <v>280</v>
      </c>
      <c r="L38" s="1133" t="s">
        <v>281</v>
      </c>
      <c r="M38" s="1136"/>
      <c r="N38" s="289" t="s">
        <v>265</v>
      </c>
    </row>
    <row r="39" spans="2:14">
      <c r="B39" s="1112"/>
      <c r="C39" s="1113"/>
      <c r="D39" s="1113"/>
      <c r="E39" s="1113"/>
      <c r="F39" s="1113"/>
      <c r="G39" s="1113"/>
      <c r="H39" s="1113"/>
      <c r="I39" s="308"/>
      <c r="J39" s="309"/>
      <c r="K39" s="308"/>
      <c r="L39" s="1142"/>
      <c r="M39" s="1143"/>
      <c r="N39" s="297"/>
    </row>
    <row r="40" spans="2:14" ht="13.5" thickBot="1">
      <c r="B40" s="1094"/>
      <c r="C40" s="1095"/>
      <c r="D40" s="1095"/>
      <c r="E40" s="1095"/>
      <c r="F40" s="1095"/>
      <c r="G40" s="1095"/>
      <c r="H40" s="1095"/>
      <c r="I40" s="310"/>
      <c r="J40" s="311"/>
      <c r="K40" s="310"/>
      <c r="L40" s="1137"/>
      <c r="M40" s="1138"/>
      <c r="N40" s="312"/>
    </row>
    <row r="41" spans="2:14" ht="13.5" thickBot="1">
      <c r="B41" s="1100" t="s">
        <v>269</v>
      </c>
      <c r="C41" s="1101"/>
      <c r="D41" s="1101"/>
      <c r="E41" s="1101"/>
      <c r="F41" s="1101"/>
      <c r="G41" s="1101"/>
      <c r="H41" s="1101"/>
      <c r="I41" s="1101"/>
      <c r="J41" s="1101"/>
      <c r="K41" s="1101"/>
      <c r="L41" s="1101"/>
      <c r="M41" s="1102"/>
      <c r="N41" s="313"/>
    </row>
    <row r="42" spans="2:14">
      <c r="B42" s="1103" t="s">
        <v>282</v>
      </c>
      <c r="C42" s="1104"/>
      <c r="D42" s="1104"/>
      <c r="E42" s="1104"/>
      <c r="F42" s="1104"/>
      <c r="G42" s="1104"/>
      <c r="H42" s="1104"/>
      <c r="I42" s="1104"/>
      <c r="J42" s="1104"/>
      <c r="K42" s="1104"/>
      <c r="L42" s="1104"/>
      <c r="M42" s="1104"/>
      <c r="N42" s="1105"/>
    </row>
    <row r="43" spans="2:14">
      <c r="B43" s="1106"/>
      <c r="C43" s="1107"/>
      <c r="D43" s="1107"/>
      <c r="E43" s="1107"/>
      <c r="F43" s="1107"/>
      <c r="G43" s="1107"/>
      <c r="H43" s="1107"/>
      <c r="I43" s="1107"/>
      <c r="J43" s="1107"/>
      <c r="K43" s="1107"/>
      <c r="L43" s="1107"/>
      <c r="M43" s="1107"/>
      <c r="N43" s="1108"/>
    </row>
    <row r="44" spans="2:14" ht="13.5" thickBot="1">
      <c r="B44" s="1109"/>
      <c r="C44" s="1110"/>
      <c r="D44" s="1110"/>
      <c r="E44" s="1110"/>
      <c r="F44" s="1110"/>
      <c r="G44" s="1110"/>
      <c r="H44" s="1110"/>
      <c r="I44" s="1110"/>
      <c r="J44" s="1110"/>
      <c r="K44" s="1110"/>
      <c r="L44" s="1110"/>
      <c r="M44" s="1110"/>
      <c r="N44" s="1111"/>
    </row>
    <row r="45" spans="2:14">
      <c r="B45" s="1130" t="s">
        <v>283</v>
      </c>
      <c r="C45" s="1139"/>
      <c r="D45" s="1139"/>
      <c r="E45" s="1139"/>
      <c r="F45" s="1139"/>
      <c r="G45" s="1139"/>
      <c r="H45" s="1139"/>
      <c r="I45" s="288" t="s">
        <v>284</v>
      </c>
      <c r="J45" s="314" t="s">
        <v>285</v>
      </c>
      <c r="K45" s="315" t="s">
        <v>286</v>
      </c>
      <c r="L45" s="1140" t="s">
        <v>264</v>
      </c>
      <c r="M45" s="1141"/>
      <c r="N45" s="316" t="s">
        <v>265</v>
      </c>
    </row>
    <row r="46" spans="2:14" ht="13.5" thickBot="1">
      <c r="B46" s="317" t="s">
        <v>287</v>
      </c>
      <c r="C46" s="318"/>
      <c r="D46" s="318"/>
      <c r="E46" s="318"/>
      <c r="F46" s="318"/>
      <c r="G46" s="318"/>
      <c r="H46" s="318"/>
      <c r="I46" s="319">
        <v>316818</v>
      </c>
      <c r="J46" s="320">
        <v>0</v>
      </c>
      <c r="K46" s="321">
        <f>+I46+J46</f>
        <v>316818</v>
      </c>
      <c r="L46" s="1157">
        <v>1</v>
      </c>
      <c r="M46" s="1158"/>
      <c r="N46" s="322">
        <f>+K46*L46</f>
        <v>316818</v>
      </c>
    </row>
    <row r="47" spans="2:14" ht="13.5" thickBot="1">
      <c r="B47" s="1100" t="s">
        <v>269</v>
      </c>
      <c r="C47" s="1101"/>
      <c r="D47" s="1101"/>
      <c r="E47" s="1101"/>
      <c r="F47" s="1101"/>
      <c r="G47" s="1101"/>
      <c r="H47" s="1101"/>
      <c r="I47" s="1101"/>
      <c r="J47" s="1101"/>
      <c r="K47" s="1101"/>
      <c r="L47" s="1101"/>
      <c r="M47" s="1102"/>
      <c r="N47" s="323">
        <f>+N46</f>
        <v>316818</v>
      </c>
    </row>
    <row r="48" spans="2:14" ht="13.5" thickBot="1">
      <c r="B48" s="324" t="s">
        <v>288</v>
      </c>
      <c r="C48" s="325"/>
      <c r="D48" s="325"/>
      <c r="E48" s="325"/>
      <c r="F48" s="325"/>
      <c r="G48" s="325"/>
      <c r="H48" s="325"/>
      <c r="I48" s="326"/>
      <c r="J48" s="327"/>
      <c r="K48" s="328"/>
      <c r="L48" s="329"/>
      <c r="M48" s="329"/>
      <c r="N48" s="330"/>
    </row>
    <row r="49" spans="2:14">
      <c r="B49" s="1130" t="s">
        <v>17</v>
      </c>
      <c r="C49" s="1139"/>
      <c r="D49" s="1139"/>
      <c r="E49" s="1139"/>
      <c r="F49" s="1139"/>
      <c r="G49" s="1139"/>
      <c r="H49" s="1139"/>
      <c r="I49" s="1136"/>
      <c r="J49" s="299" t="s">
        <v>259</v>
      </c>
      <c r="K49" s="288" t="s">
        <v>133</v>
      </c>
      <c r="L49" s="1133" t="s">
        <v>271</v>
      </c>
      <c r="M49" s="1136"/>
      <c r="N49" s="316" t="s">
        <v>265</v>
      </c>
    </row>
    <row r="50" spans="2:14">
      <c r="B50" s="331" t="s">
        <v>289</v>
      </c>
      <c r="C50" s="332"/>
      <c r="D50" s="332"/>
      <c r="E50" s="332"/>
      <c r="F50" s="332"/>
      <c r="G50" s="332"/>
      <c r="H50" s="332"/>
      <c r="I50" s="333"/>
      <c r="J50" s="334" t="s">
        <v>290</v>
      </c>
      <c r="K50" s="335">
        <v>0.02</v>
      </c>
      <c r="L50" s="1144">
        <v>316818</v>
      </c>
      <c r="M50" s="1145"/>
      <c r="N50" s="322">
        <f>+K50*L50</f>
        <v>6336.3600000000006</v>
      </c>
    </row>
    <row r="51" spans="2:14" ht="13.5" thickBot="1">
      <c r="B51" s="1094"/>
      <c r="C51" s="1095"/>
      <c r="D51" s="1095"/>
      <c r="E51" s="1095"/>
      <c r="F51" s="1095"/>
      <c r="G51" s="1095"/>
      <c r="H51" s="1095"/>
      <c r="I51" s="310"/>
      <c r="J51" s="311"/>
      <c r="K51" s="310"/>
      <c r="L51" s="1137"/>
      <c r="M51" s="1138"/>
      <c r="N51" s="312"/>
    </row>
    <row r="52" spans="2:14" ht="13.5" thickBot="1">
      <c r="B52" s="1100" t="s">
        <v>269</v>
      </c>
      <c r="C52" s="1101"/>
      <c r="D52" s="1101"/>
      <c r="E52" s="1101"/>
      <c r="F52" s="1101"/>
      <c r="G52" s="1101"/>
      <c r="H52" s="1101"/>
      <c r="I52" s="1101"/>
      <c r="J52" s="1101"/>
      <c r="K52" s="1101"/>
      <c r="L52" s="1101"/>
      <c r="M52" s="1102"/>
      <c r="N52" s="323">
        <f>+N50</f>
        <v>6336.3600000000006</v>
      </c>
    </row>
    <row r="53" spans="2:14" ht="13.5" thickBot="1">
      <c r="B53" s="283"/>
      <c r="N53" s="284"/>
    </row>
    <row r="54" spans="2:14" ht="13.5" thickBot="1">
      <c r="B54" s="1150" t="s">
        <v>291</v>
      </c>
      <c r="C54" s="1151"/>
      <c r="D54" s="1151"/>
      <c r="E54" s="1151"/>
      <c r="F54" s="1151"/>
      <c r="G54" s="1151"/>
      <c r="H54" s="1151"/>
      <c r="I54" s="1151"/>
      <c r="J54" s="1151"/>
      <c r="K54" s="1151"/>
      <c r="L54" s="1151"/>
      <c r="M54" s="1152"/>
      <c r="N54" s="336">
        <f>+N27+N34+N41+N47+N52</f>
        <v>522064.36</v>
      </c>
    </row>
    <row r="55" spans="2:14">
      <c r="B55" s="1103" t="s">
        <v>292</v>
      </c>
      <c r="C55" s="1104"/>
      <c r="D55" s="1104"/>
      <c r="E55" s="1104"/>
      <c r="F55" s="1104"/>
      <c r="G55" s="1104"/>
      <c r="H55" s="1104"/>
      <c r="I55" s="1104"/>
      <c r="J55" s="1104"/>
      <c r="K55" s="1104"/>
      <c r="L55" s="1104"/>
      <c r="M55" s="1104"/>
      <c r="N55" s="1105"/>
    </row>
    <row r="56" spans="2:14">
      <c r="B56" s="1106"/>
      <c r="C56" s="1107"/>
      <c r="D56" s="1107"/>
      <c r="E56" s="1107"/>
      <c r="F56" s="1107"/>
      <c r="G56" s="1107"/>
      <c r="H56" s="1107"/>
      <c r="I56" s="1107"/>
      <c r="J56" s="1107"/>
      <c r="K56" s="1107"/>
      <c r="L56" s="1107"/>
      <c r="M56" s="1107"/>
      <c r="N56" s="1108"/>
    </row>
    <row r="57" spans="2:14" ht="13.5" thickBot="1">
      <c r="B57" s="1109"/>
      <c r="C57" s="1110"/>
      <c r="D57" s="1110"/>
      <c r="E57" s="1110"/>
      <c r="F57" s="1110"/>
      <c r="G57" s="1110"/>
      <c r="H57" s="1110"/>
      <c r="I57" s="1110"/>
      <c r="J57" s="1110"/>
      <c r="K57" s="1110"/>
      <c r="L57" s="1110"/>
      <c r="M57" s="1110"/>
      <c r="N57" s="1111"/>
    </row>
    <row r="58" spans="2:14">
      <c r="B58" s="1130" t="s">
        <v>17</v>
      </c>
      <c r="C58" s="1139"/>
      <c r="D58" s="1139"/>
      <c r="E58" s="1139"/>
      <c r="F58" s="1139"/>
      <c r="G58" s="1139"/>
      <c r="H58" s="1139"/>
      <c r="I58" s="306"/>
      <c r="J58" s="337"/>
      <c r="K58" s="315" t="s">
        <v>79</v>
      </c>
      <c r="L58" s="1140" t="s">
        <v>11</v>
      </c>
      <c r="M58" s="1141"/>
      <c r="N58" s="316"/>
    </row>
    <row r="59" spans="2:14">
      <c r="B59" s="1112" t="s">
        <v>232</v>
      </c>
      <c r="C59" s="1113"/>
      <c r="D59" s="1113"/>
      <c r="E59" s="1113"/>
      <c r="F59" s="1113"/>
      <c r="G59" s="1113"/>
      <c r="H59" s="1113"/>
      <c r="I59" s="338"/>
      <c r="J59" s="339"/>
      <c r="K59" s="340">
        <f>'PRESUPUESTO OFICIAL'!$K$100</f>
        <v>0</v>
      </c>
      <c r="L59" s="1156">
        <f>K59*N54</f>
        <v>0</v>
      </c>
      <c r="M59" s="1147"/>
      <c r="N59" s="341"/>
    </row>
    <row r="60" spans="2:14">
      <c r="B60" s="292" t="s">
        <v>293</v>
      </c>
      <c r="C60" s="293"/>
      <c r="D60" s="293"/>
      <c r="E60" s="293"/>
      <c r="F60" s="293"/>
      <c r="G60" s="293"/>
      <c r="H60" s="293"/>
      <c r="I60" s="338"/>
      <c r="J60" s="339"/>
      <c r="K60" s="340">
        <f>'PRESUPUESTO OFICIAL'!$K$101</f>
        <v>0</v>
      </c>
      <c r="L60" s="1146">
        <f>K60*N54</f>
        <v>0</v>
      </c>
      <c r="M60" s="1147"/>
      <c r="N60" s="341"/>
    </row>
    <row r="61" spans="2:14" ht="13.5" thickBot="1">
      <c r="B61" s="277" t="s">
        <v>294</v>
      </c>
      <c r="C61" s="278"/>
      <c r="D61" s="278"/>
      <c r="E61" s="278"/>
      <c r="F61" s="278"/>
      <c r="G61" s="278"/>
      <c r="H61" s="278"/>
      <c r="I61" s="342"/>
      <c r="J61" s="343"/>
      <c r="K61" s="340">
        <f>'PRESUPUESTO OFICIAL'!$K$102</f>
        <v>0</v>
      </c>
      <c r="L61" s="1148">
        <f>K61*N54</f>
        <v>0</v>
      </c>
      <c r="M61" s="1149"/>
      <c r="N61" s="341"/>
    </row>
    <row r="62" spans="2:14" ht="13.5" thickBot="1">
      <c r="B62" s="1100" t="s">
        <v>269</v>
      </c>
      <c r="C62" s="1101"/>
      <c r="D62" s="1101"/>
      <c r="E62" s="1101"/>
      <c r="F62" s="1101"/>
      <c r="G62" s="1101"/>
      <c r="H62" s="1101"/>
      <c r="I62" s="1101"/>
      <c r="J62" s="1101"/>
      <c r="K62" s="1101"/>
      <c r="L62" s="1101"/>
      <c r="M62" s="1102"/>
      <c r="N62" s="344">
        <f>SUM(L59:M61)</f>
        <v>0</v>
      </c>
    </row>
    <row r="63" spans="2:14" ht="13.5" thickBot="1">
      <c r="B63" s="283"/>
      <c r="N63" s="284"/>
    </row>
    <row r="64" spans="2:14" ht="13.5" thickBot="1">
      <c r="B64" s="1150" t="s">
        <v>295</v>
      </c>
      <c r="C64" s="1151"/>
      <c r="D64" s="1151"/>
      <c r="E64" s="1151"/>
      <c r="F64" s="1151"/>
      <c r="G64" s="1151"/>
      <c r="H64" s="1151"/>
      <c r="I64" s="1151"/>
      <c r="J64" s="1151"/>
      <c r="K64" s="1151"/>
      <c r="L64" s="1151"/>
      <c r="M64" s="1152"/>
      <c r="N64" s="345">
        <f>ROUND(N54+N62,0)</f>
        <v>522064</v>
      </c>
    </row>
    <row r="65" spans="2:14">
      <c r="B65" s="280"/>
      <c r="C65" s="281"/>
      <c r="D65" s="281"/>
      <c r="E65" s="281"/>
      <c r="F65" s="281"/>
      <c r="G65" s="281"/>
      <c r="H65" s="281"/>
      <c r="I65" s="281"/>
      <c r="J65" s="281"/>
      <c r="K65" s="281"/>
      <c r="L65" s="281"/>
      <c r="M65" s="281"/>
      <c r="N65" s="282"/>
    </row>
    <row r="66" spans="2:14">
      <c r="B66" s="283"/>
      <c r="N66" s="284"/>
    </row>
    <row r="67" spans="2:14">
      <c r="B67" s="283"/>
      <c r="N67" s="284"/>
    </row>
    <row r="68" spans="2:14">
      <c r="B68" s="283"/>
      <c r="G68" s="346" t="s">
        <v>296</v>
      </c>
      <c r="H68" s="346"/>
      <c r="I68" s="346"/>
      <c r="J68" s="346"/>
      <c r="N68" s="284"/>
    </row>
    <row r="69" spans="2:14">
      <c r="B69" s="347"/>
      <c r="C69" s="348"/>
      <c r="D69" s="348"/>
      <c r="E69" s="348"/>
      <c r="F69" s="348"/>
      <c r="G69" s="346" t="s">
        <v>297</v>
      </c>
      <c r="H69" s="348"/>
      <c r="I69" s="348"/>
      <c r="J69" s="348"/>
      <c r="K69" s="348"/>
      <c r="L69" s="348"/>
      <c r="M69" s="348"/>
      <c r="N69" s="349"/>
    </row>
    <row r="70" spans="2:14">
      <c r="B70" s="347"/>
      <c r="C70" s="348"/>
      <c r="D70" s="348"/>
      <c r="E70" s="348"/>
      <c r="F70" s="348"/>
      <c r="G70" s="346" t="s">
        <v>298</v>
      </c>
      <c r="J70" s="348"/>
      <c r="K70" s="348"/>
      <c r="L70" s="348"/>
      <c r="M70" s="348"/>
      <c r="N70" s="349"/>
    </row>
    <row r="71" spans="2:14">
      <c r="B71" s="268"/>
      <c r="C71" s="350"/>
      <c r="D71" s="350"/>
      <c r="E71" s="350"/>
      <c r="F71" s="350"/>
      <c r="G71" s="346" t="s">
        <v>299</v>
      </c>
      <c r="H71" s="350"/>
      <c r="I71" s="350"/>
      <c r="J71" s="350"/>
      <c r="K71" s="350"/>
      <c r="L71" s="350"/>
      <c r="M71" s="350"/>
      <c r="N71" s="351"/>
    </row>
    <row r="72" spans="2:14">
      <c r="B72" s="283"/>
      <c r="G72" s="258" t="s">
        <v>300</v>
      </c>
      <c r="N72" s="284"/>
    </row>
    <row r="73" spans="2:14">
      <c r="B73" s="352" t="s">
        <v>301</v>
      </c>
      <c r="C73" s="353"/>
      <c r="D73" s="353"/>
      <c r="E73" s="353"/>
      <c r="F73" s="353"/>
      <c r="G73" s="353"/>
      <c r="H73" s="353"/>
      <c r="I73" s="353"/>
      <c r="J73" s="353"/>
      <c r="K73" s="353"/>
      <c r="L73" s="353"/>
      <c r="M73" s="353"/>
      <c r="N73" s="354"/>
    </row>
    <row r="74" spans="2:14">
      <c r="B74" s="1153"/>
      <c r="C74" s="1154"/>
      <c r="D74" s="1154"/>
      <c r="E74" s="1154"/>
      <c r="F74" s="1154"/>
      <c r="G74" s="1154"/>
      <c r="H74" s="1154"/>
      <c r="I74" s="1154"/>
      <c r="J74" s="1154"/>
      <c r="K74" s="1154"/>
      <c r="L74" s="1154"/>
      <c r="M74" s="1154"/>
      <c r="N74" s="1155"/>
    </row>
    <row r="75" spans="2:14">
      <c r="B75" s="1153"/>
      <c r="C75" s="1154"/>
      <c r="D75" s="1154"/>
      <c r="E75" s="1154"/>
      <c r="F75" s="1154"/>
      <c r="G75" s="1154"/>
      <c r="H75" s="1154"/>
      <c r="I75" s="1154"/>
      <c r="J75" s="1154"/>
      <c r="K75" s="1154"/>
      <c r="L75" s="1154"/>
      <c r="M75" s="1154"/>
      <c r="N75" s="1155"/>
    </row>
    <row r="76" spans="2:14">
      <c r="B76" s="268"/>
      <c r="C76" s="350"/>
      <c r="D76" s="350"/>
      <c r="E76" s="350"/>
      <c r="F76" s="350"/>
      <c r="G76" s="350"/>
      <c r="H76" s="350"/>
      <c r="I76" s="350"/>
      <c r="J76" s="350"/>
      <c r="K76" s="350"/>
      <c r="L76" s="350"/>
      <c r="M76" s="350"/>
      <c r="N76" s="351"/>
    </row>
    <row r="77" spans="2:14">
      <c r="B77" s="355" t="s">
        <v>302</v>
      </c>
      <c r="C77" s="350"/>
      <c r="D77" s="350"/>
      <c r="E77" s="350"/>
      <c r="F77" s="350"/>
      <c r="G77" s="350"/>
      <c r="H77" s="350"/>
      <c r="I77" s="350"/>
      <c r="J77" s="350"/>
      <c r="K77" s="350"/>
      <c r="L77" s="350"/>
      <c r="M77" s="350"/>
      <c r="N77" s="351"/>
    </row>
    <row r="78" spans="2:14" ht="12.75" customHeight="1">
      <c r="B78" s="1159" t="s">
        <v>303</v>
      </c>
      <c r="C78" s="1160"/>
      <c r="D78" s="1160"/>
      <c r="E78" s="1160"/>
      <c r="F78" s="1160"/>
      <c r="G78" s="1160"/>
      <c r="H78" s="1160"/>
      <c r="I78" s="1160"/>
      <c r="J78" s="1160"/>
      <c r="K78" s="1160"/>
      <c r="L78" s="1160"/>
      <c r="M78" s="1160"/>
      <c r="N78" s="1161"/>
    </row>
    <row r="79" spans="2:14">
      <c r="B79" s="1159"/>
      <c r="C79" s="1160"/>
      <c r="D79" s="1160"/>
      <c r="E79" s="1160"/>
      <c r="F79" s="1160"/>
      <c r="G79" s="1160"/>
      <c r="H79" s="1160"/>
      <c r="I79" s="1160"/>
      <c r="J79" s="1160"/>
      <c r="K79" s="1160"/>
      <c r="L79" s="1160"/>
      <c r="M79" s="1160"/>
      <c r="N79" s="1161"/>
    </row>
    <row r="80" spans="2:14" ht="13" customHeight="1">
      <c r="B80" s="1159" t="s">
        <v>304</v>
      </c>
      <c r="C80" s="1160"/>
      <c r="D80" s="1160"/>
      <c r="E80" s="1160"/>
      <c r="F80" s="1160"/>
      <c r="G80" s="1160"/>
      <c r="H80" s="1160"/>
      <c r="I80" s="1160"/>
      <c r="J80" s="1160"/>
      <c r="K80" s="1160"/>
      <c r="L80" s="1160"/>
      <c r="M80" s="1160"/>
      <c r="N80" s="1161"/>
    </row>
    <row r="81" spans="2:14">
      <c r="B81" s="1159"/>
      <c r="C81" s="1160"/>
      <c r="D81" s="1160"/>
      <c r="E81" s="1160"/>
      <c r="F81" s="1160"/>
      <c r="G81" s="1160"/>
      <c r="H81" s="1160"/>
      <c r="I81" s="1160"/>
      <c r="J81" s="1160"/>
      <c r="K81" s="1160"/>
      <c r="L81" s="1160"/>
      <c r="M81" s="1160"/>
      <c r="N81" s="1161"/>
    </row>
    <row r="82" spans="2:14">
      <c r="B82" s="268"/>
      <c r="C82" s="350"/>
      <c r="D82" s="350"/>
      <c r="E82" s="350"/>
      <c r="F82" s="350"/>
      <c r="G82" s="350"/>
      <c r="H82" s="350"/>
      <c r="I82" s="350"/>
      <c r="J82" s="350"/>
      <c r="K82" s="350"/>
      <c r="L82" s="350"/>
      <c r="M82" s="350"/>
      <c r="N82" s="351"/>
    </row>
    <row r="83" spans="2:14">
      <c r="B83" s="283"/>
      <c r="G83" s="346" t="s">
        <v>296</v>
      </c>
      <c r="N83" s="284"/>
    </row>
    <row r="84" spans="2:14">
      <c r="B84" s="283"/>
      <c r="G84" s="258" t="s">
        <v>305</v>
      </c>
      <c r="H84" s="293"/>
      <c r="I84" s="293"/>
      <c r="J84" s="293"/>
      <c r="N84" s="284"/>
    </row>
    <row r="85" spans="2:14">
      <c r="B85" s="283"/>
      <c r="G85" s="258" t="s">
        <v>306</v>
      </c>
      <c r="H85" s="325"/>
      <c r="I85" s="325"/>
      <c r="J85" s="325"/>
      <c r="N85" s="284"/>
    </row>
    <row r="86" spans="2:14">
      <c r="B86" s="356"/>
      <c r="C86" s="350"/>
      <c r="D86" s="350"/>
      <c r="E86" s="350"/>
      <c r="F86" s="350"/>
      <c r="G86" s="258" t="s">
        <v>299</v>
      </c>
      <c r="K86" s="350"/>
      <c r="L86" s="350"/>
      <c r="M86" s="350"/>
      <c r="N86" s="351"/>
    </row>
    <row r="87" spans="2:14" ht="17.25" customHeight="1">
      <c r="B87" s="357"/>
      <c r="C87" s="358"/>
      <c r="D87" s="358"/>
      <c r="J87" s="1162"/>
      <c r="K87" s="1162"/>
      <c r="L87" s="1162"/>
      <c r="M87" s="1162"/>
      <c r="N87" s="1163"/>
    </row>
    <row r="88" spans="2:14" ht="18.75" customHeight="1" thickBot="1">
      <c r="B88" s="1166"/>
      <c r="C88" s="1167"/>
      <c r="D88" s="1167"/>
      <c r="E88" s="311"/>
      <c r="F88" s="311"/>
      <c r="G88" s="311"/>
      <c r="H88" s="311"/>
      <c r="I88" s="311"/>
      <c r="J88" s="1164"/>
      <c r="K88" s="1164"/>
      <c r="L88" s="1164"/>
      <c r="M88" s="1164"/>
      <c r="N88" s="1165"/>
    </row>
    <row r="89" spans="2:14" ht="13.5" thickBot="1"/>
    <row r="90" spans="2:14">
      <c r="B90" s="1070"/>
      <c r="C90" s="1072"/>
      <c r="D90" s="1073"/>
      <c r="E90" s="1073"/>
      <c r="F90" s="1073"/>
      <c r="G90" s="1073"/>
      <c r="H90" s="1073"/>
      <c r="I90" s="1073"/>
      <c r="J90" s="1074"/>
      <c r="K90" s="1075"/>
      <c r="L90" s="1076"/>
      <c r="M90" s="1076"/>
      <c r="N90" s="1077"/>
    </row>
    <row r="91" spans="2:14">
      <c r="B91" s="1071"/>
      <c r="C91" s="1062" t="s">
        <v>244</v>
      </c>
      <c r="D91" s="1063"/>
      <c r="E91" s="1063"/>
      <c r="F91" s="1063"/>
      <c r="G91" s="1063"/>
      <c r="H91" s="1063"/>
      <c r="I91" s="1063"/>
      <c r="J91" s="1064"/>
      <c r="K91" s="1078"/>
      <c r="L91" s="1079"/>
      <c r="M91" s="1079"/>
      <c r="N91" s="1080"/>
    </row>
    <row r="92" spans="2:14">
      <c r="B92" s="1071"/>
      <c r="C92" s="1081"/>
      <c r="D92" s="1082"/>
      <c r="E92" s="1082"/>
      <c r="F92" s="1082"/>
      <c r="G92" s="1082"/>
      <c r="H92" s="1082"/>
      <c r="I92" s="1082"/>
      <c r="J92" s="1083"/>
      <c r="K92" s="1058" t="s">
        <v>245</v>
      </c>
      <c r="L92" s="1085"/>
      <c r="M92" s="1086"/>
      <c r="N92" s="1087"/>
    </row>
    <row r="93" spans="2:14">
      <c r="B93" s="1071"/>
      <c r="C93" s="1062" t="s">
        <v>246</v>
      </c>
      <c r="D93" s="1063"/>
      <c r="E93" s="1063"/>
      <c r="F93" s="1063"/>
      <c r="G93" s="1063"/>
      <c r="H93" s="1063"/>
      <c r="I93" s="1063"/>
      <c r="J93" s="1064"/>
      <c r="K93" s="1084"/>
      <c r="L93" s="1088"/>
      <c r="M93" s="1089"/>
      <c r="N93" s="1090"/>
    </row>
    <row r="94" spans="2:14">
      <c r="B94" s="1071"/>
      <c r="C94" s="1091"/>
      <c r="D94" s="1092"/>
      <c r="E94" s="1092"/>
      <c r="F94" s="1092"/>
      <c r="G94" s="1092"/>
      <c r="H94" s="1092"/>
      <c r="I94" s="1092"/>
      <c r="J94" s="1093"/>
      <c r="K94" s="1058" t="s">
        <v>247</v>
      </c>
      <c r="L94" s="1058">
        <v>2</v>
      </c>
      <c r="M94" s="1058" t="s">
        <v>248</v>
      </c>
      <c r="N94" s="1060">
        <v>80</v>
      </c>
    </row>
    <row r="95" spans="2:14">
      <c r="B95" s="1071"/>
      <c r="C95" s="1091"/>
      <c r="D95" s="1092"/>
      <c r="E95" s="1092"/>
      <c r="F95" s="1092"/>
      <c r="G95" s="1092"/>
      <c r="H95" s="1092"/>
      <c r="I95" s="1092"/>
      <c r="J95" s="1093"/>
      <c r="K95" s="1059"/>
      <c r="L95" s="1059"/>
      <c r="M95" s="1059"/>
      <c r="N95" s="1061"/>
    </row>
    <row r="96" spans="2:14">
      <c r="B96" s="1071"/>
      <c r="C96" s="1062" t="s">
        <v>249</v>
      </c>
      <c r="D96" s="1063"/>
      <c r="E96" s="1063"/>
      <c r="F96" s="1063"/>
      <c r="G96" s="1063"/>
      <c r="H96" s="1063"/>
      <c r="I96" s="1063"/>
      <c r="J96" s="1064"/>
      <c r="K96" s="1059"/>
      <c r="L96" s="1059"/>
      <c r="M96" s="1059"/>
      <c r="N96" s="1061"/>
    </row>
    <row r="97" spans="2:14" ht="13.5" thickBot="1">
      <c r="B97" s="259"/>
      <c r="C97" s="260"/>
      <c r="D97" s="260"/>
      <c r="E97" s="260"/>
      <c r="F97" s="260"/>
      <c r="G97" s="260"/>
      <c r="H97" s="260"/>
      <c r="I97" s="260"/>
      <c r="J97" s="260"/>
      <c r="K97" s="260"/>
      <c r="L97" s="261"/>
      <c r="M97" s="261"/>
      <c r="N97" s="262"/>
    </row>
    <row r="98" spans="2:14">
      <c r="B98" s="263"/>
      <c r="C98" s="264"/>
      <c r="D98" s="264"/>
      <c r="E98" s="264"/>
      <c r="F98" s="264"/>
      <c r="G98" s="264"/>
      <c r="H98" s="264"/>
      <c r="I98" s="264"/>
      <c r="J98" s="264"/>
      <c r="K98" s="265" t="s">
        <v>250</v>
      </c>
      <c r="L98" s="266" t="s">
        <v>251</v>
      </c>
      <c r="M98" s="266" t="s">
        <v>252</v>
      </c>
      <c r="N98" s="267" t="s">
        <v>253</v>
      </c>
    </row>
    <row r="99" spans="2:14">
      <c r="B99" s="268"/>
      <c r="C99" s="269"/>
      <c r="D99" s="269"/>
      <c r="E99" s="269"/>
      <c r="F99" s="269"/>
      <c r="G99" s="269"/>
      <c r="H99" s="269"/>
      <c r="I99" s="269"/>
      <c r="J99" s="269"/>
      <c r="K99" s="270"/>
      <c r="L99" s="271"/>
      <c r="M99" s="271"/>
      <c r="N99" s="272"/>
    </row>
    <row r="100" spans="2:14">
      <c r="B100" s="1065" t="s">
        <v>254</v>
      </c>
      <c r="C100" s="1066"/>
      <c r="D100" s="1066"/>
      <c r="E100" s="1066"/>
      <c r="F100" s="269"/>
      <c r="G100" s="269"/>
      <c r="H100" s="269" t="s">
        <v>255</v>
      </c>
      <c r="J100" s="269"/>
      <c r="K100" s="270"/>
      <c r="N100" s="273"/>
    </row>
    <row r="101" spans="2:14">
      <c r="B101" s="274"/>
      <c r="C101" s="275"/>
      <c r="D101" s="275"/>
      <c r="E101" s="275"/>
      <c r="F101" s="275"/>
      <c r="G101" s="275"/>
      <c r="H101" s="275"/>
      <c r="I101" s="275"/>
      <c r="J101" s="275"/>
      <c r="K101" s="275"/>
      <c r="L101" s="275"/>
      <c r="M101" s="275"/>
      <c r="N101" s="276"/>
    </row>
    <row r="102" spans="2:14" ht="13.5" thickBot="1">
      <c r="B102" s="277"/>
      <c r="C102" s="278"/>
      <c r="D102" s="278"/>
      <c r="E102" s="278"/>
      <c r="F102" s="278"/>
      <c r="G102" s="278"/>
      <c r="H102" s="278"/>
      <c r="I102" s="278"/>
      <c r="J102" s="278"/>
      <c r="K102" s="278"/>
      <c r="L102" s="278"/>
      <c r="M102" s="278"/>
      <c r="N102" s="279"/>
    </row>
    <row r="103" spans="2:14" ht="13.5" thickBot="1">
      <c r="B103" s="280"/>
      <c r="C103" s="281"/>
      <c r="D103" s="281"/>
      <c r="E103" s="281"/>
      <c r="F103" s="281"/>
      <c r="G103" s="281"/>
      <c r="J103" s="281"/>
      <c r="K103" s="281"/>
      <c r="L103" s="281"/>
      <c r="M103" s="281"/>
      <c r="N103" s="282"/>
    </row>
    <row r="104" spans="2:14">
      <c r="B104" s="1067" t="s">
        <v>256</v>
      </c>
      <c r="C104" s="1068"/>
      <c r="D104" s="1068"/>
      <c r="E104" s="1068"/>
      <c r="F104" s="1068"/>
      <c r="G104" s="1068"/>
      <c r="H104" s="1068"/>
      <c r="I104" s="1068"/>
      <c r="J104" s="1068"/>
      <c r="K104" s="1068"/>
      <c r="L104" s="1068"/>
      <c r="M104" s="1068"/>
      <c r="N104" s="1069"/>
    </row>
    <row r="105" spans="2:14" ht="13.5" thickBot="1">
      <c r="B105" s="283"/>
      <c r="N105" s="284"/>
    </row>
    <row r="106" spans="2:14">
      <c r="B106" s="285" t="s">
        <v>257</v>
      </c>
      <c r="C106" s="1120" t="s">
        <v>258</v>
      </c>
      <c r="D106" s="1121"/>
      <c r="E106" s="1121"/>
      <c r="F106" s="1121"/>
      <c r="G106" s="1121"/>
      <c r="H106" s="1121"/>
      <c r="I106" s="1121"/>
      <c r="J106" s="1121"/>
      <c r="K106" s="1122"/>
      <c r="L106" s="1123" t="s">
        <v>259</v>
      </c>
      <c r="M106" s="1124"/>
      <c r="N106" s="285" t="s">
        <v>133</v>
      </c>
    </row>
    <row r="107" spans="2:14" ht="36" customHeight="1" thickBot="1">
      <c r="B107" s="286">
        <v>2</v>
      </c>
      <c r="C107" s="1125" t="s">
        <v>140</v>
      </c>
      <c r="D107" s="1126"/>
      <c r="E107" s="1126"/>
      <c r="F107" s="1126"/>
      <c r="G107" s="1126"/>
      <c r="H107" s="1126"/>
      <c r="I107" s="1126"/>
      <c r="J107" s="1126"/>
      <c r="K107" s="1127"/>
      <c r="L107" s="1128" t="s">
        <v>141</v>
      </c>
      <c r="M107" s="1129"/>
      <c r="N107" s="359">
        <v>3786</v>
      </c>
    </row>
    <row r="108" spans="2:14">
      <c r="B108" s="1103" t="s">
        <v>260</v>
      </c>
      <c r="C108" s="1104"/>
      <c r="D108" s="1104"/>
      <c r="E108" s="1104"/>
      <c r="F108" s="1104"/>
      <c r="G108" s="1104"/>
      <c r="H108" s="1104"/>
      <c r="I108" s="1104"/>
      <c r="J108" s="1104"/>
      <c r="K108" s="1104"/>
      <c r="L108" s="1104"/>
      <c r="M108" s="1104"/>
      <c r="N108" s="1105"/>
    </row>
    <row r="109" spans="2:14">
      <c r="B109" s="1106"/>
      <c r="C109" s="1107"/>
      <c r="D109" s="1107"/>
      <c r="E109" s="1107"/>
      <c r="F109" s="1107"/>
      <c r="G109" s="1107"/>
      <c r="H109" s="1107"/>
      <c r="I109" s="1107"/>
      <c r="J109" s="1107"/>
      <c r="K109" s="1107"/>
      <c r="L109" s="1107"/>
      <c r="M109" s="1107"/>
      <c r="N109" s="1108"/>
    </row>
    <row r="110" spans="2:14" ht="13.5" thickBot="1">
      <c r="B110" s="1109"/>
      <c r="C110" s="1110"/>
      <c r="D110" s="1110"/>
      <c r="E110" s="1110"/>
      <c r="F110" s="1110"/>
      <c r="G110" s="1110"/>
      <c r="H110" s="1110"/>
      <c r="I110" s="1110"/>
      <c r="J110" s="1110"/>
      <c r="K110" s="1110"/>
      <c r="L110" s="1110"/>
      <c r="M110" s="1110"/>
      <c r="N110" s="1111"/>
    </row>
    <row r="111" spans="2:14">
      <c r="B111" s="1130" t="s">
        <v>258</v>
      </c>
      <c r="C111" s="1131"/>
      <c r="D111" s="1131"/>
      <c r="E111" s="1131"/>
      <c r="F111" s="1132"/>
      <c r="G111" s="1133" t="s">
        <v>261</v>
      </c>
      <c r="H111" s="1131"/>
      <c r="I111" s="1134" t="s">
        <v>262</v>
      </c>
      <c r="J111" s="1135"/>
      <c r="K111" s="288" t="s">
        <v>263</v>
      </c>
      <c r="L111" s="1133" t="s">
        <v>264</v>
      </c>
      <c r="M111" s="1136"/>
      <c r="N111" s="289" t="s">
        <v>265</v>
      </c>
    </row>
    <row r="112" spans="2:14" ht="13.5" thickBot="1">
      <c r="B112" s="1112"/>
      <c r="C112" s="1113"/>
      <c r="D112" s="1113"/>
      <c r="E112" s="1113"/>
      <c r="F112" s="1114"/>
      <c r="G112" s="1115"/>
      <c r="H112" s="1114"/>
      <c r="I112" s="1116"/>
      <c r="J112" s="1117"/>
      <c r="K112" s="360"/>
      <c r="L112" s="1118"/>
      <c r="M112" s="1119"/>
      <c r="N112" s="361"/>
    </row>
    <row r="113" spans="2:14" ht="13.5" thickBot="1">
      <c r="B113" s="1100" t="s">
        <v>269</v>
      </c>
      <c r="C113" s="1101"/>
      <c r="D113" s="1101"/>
      <c r="E113" s="1101"/>
      <c r="F113" s="1101"/>
      <c r="G113" s="1101"/>
      <c r="H113" s="1101"/>
      <c r="I113" s="1101"/>
      <c r="J113" s="1101"/>
      <c r="K113" s="1101"/>
      <c r="L113" s="1101"/>
      <c r="M113" s="1102"/>
      <c r="N113" s="362">
        <v>0</v>
      </c>
    </row>
    <row r="114" spans="2:14">
      <c r="B114" s="1103" t="s">
        <v>270</v>
      </c>
      <c r="C114" s="1104"/>
      <c r="D114" s="1104"/>
      <c r="E114" s="1104"/>
      <c r="F114" s="1104"/>
      <c r="G114" s="1104"/>
      <c r="H114" s="1104"/>
      <c r="I114" s="1104"/>
      <c r="J114" s="1104"/>
      <c r="K114" s="1104"/>
      <c r="L114" s="1104"/>
      <c r="M114" s="1104"/>
      <c r="N114" s="1105"/>
    </row>
    <row r="115" spans="2:14">
      <c r="B115" s="1106"/>
      <c r="C115" s="1107"/>
      <c r="D115" s="1107"/>
      <c r="E115" s="1107"/>
      <c r="F115" s="1107"/>
      <c r="G115" s="1107"/>
      <c r="H115" s="1107"/>
      <c r="I115" s="1107"/>
      <c r="J115" s="1107"/>
      <c r="K115" s="1107"/>
      <c r="L115" s="1107"/>
      <c r="M115" s="1107"/>
      <c r="N115" s="1108"/>
    </row>
    <row r="116" spans="2:14" ht="13.5" thickBot="1">
      <c r="B116" s="1109"/>
      <c r="C116" s="1110"/>
      <c r="D116" s="1110"/>
      <c r="E116" s="1110"/>
      <c r="F116" s="1110"/>
      <c r="G116" s="1110"/>
      <c r="H116" s="1110"/>
      <c r="I116" s="1110"/>
      <c r="J116" s="1110"/>
      <c r="K116" s="1110"/>
      <c r="L116" s="1110"/>
      <c r="M116" s="1110"/>
      <c r="N116" s="1111"/>
    </row>
    <row r="117" spans="2:14">
      <c r="B117" s="1130" t="s">
        <v>258</v>
      </c>
      <c r="C117" s="1139"/>
      <c r="D117" s="1139"/>
      <c r="E117" s="1139"/>
      <c r="F117" s="1139"/>
      <c r="G117" s="1139"/>
      <c r="H117" s="1139"/>
      <c r="I117" s="1136"/>
      <c r="J117" s="299" t="s">
        <v>259</v>
      </c>
      <c r="K117" s="288" t="s">
        <v>133</v>
      </c>
      <c r="L117" s="1133" t="s">
        <v>271</v>
      </c>
      <c r="M117" s="1136"/>
      <c r="N117" s="289" t="s">
        <v>265</v>
      </c>
    </row>
    <row r="118" spans="2:14">
      <c r="B118" s="1112" t="s">
        <v>307</v>
      </c>
      <c r="C118" s="1113"/>
      <c r="D118" s="1113"/>
      <c r="E118" s="1113"/>
      <c r="F118" s="1113"/>
      <c r="G118" s="1113"/>
      <c r="H118" s="1113"/>
      <c r="I118" s="1114"/>
      <c r="J118" s="300" t="s">
        <v>141</v>
      </c>
      <c r="K118" s="301">
        <v>1</v>
      </c>
      <c r="L118" s="1144">
        <v>773</v>
      </c>
      <c r="M118" s="1145"/>
      <c r="N118" s="363">
        <f>+K118*L118</f>
        <v>773</v>
      </c>
    </row>
    <row r="119" spans="2:14" ht="13.5" thickBot="1">
      <c r="B119" s="1094"/>
      <c r="C119" s="1095"/>
      <c r="D119" s="1095"/>
      <c r="E119" s="1095"/>
      <c r="F119" s="1095"/>
      <c r="G119" s="1095"/>
      <c r="H119" s="1095"/>
      <c r="I119" s="1096"/>
      <c r="J119" s="303"/>
      <c r="K119" s="304"/>
      <c r="L119" s="1168"/>
      <c r="M119" s="1169"/>
      <c r="N119" s="297"/>
    </row>
    <row r="120" spans="2:14" ht="13.5" thickBot="1">
      <c r="B120" s="1100" t="s">
        <v>269</v>
      </c>
      <c r="C120" s="1101"/>
      <c r="D120" s="1101"/>
      <c r="E120" s="1101"/>
      <c r="F120" s="1101"/>
      <c r="G120" s="1101"/>
      <c r="H120" s="1101"/>
      <c r="I120" s="1101"/>
      <c r="J120" s="1101"/>
      <c r="K120" s="1101"/>
      <c r="L120" s="1101"/>
      <c r="M120" s="1102"/>
      <c r="N120" s="323">
        <f>+N118+N119</f>
        <v>773</v>
      </c>
    </row>
    <row r="121" spans="2:14">
      <c r="B121" s="1103" t="s">
        <v>276</v>
      </c>
      <c r="C121" s="1104"/>
      <c r="D121" s="1104"/>
      <c r="E121" s="1104"/>
      <c r="F121" s="1104"/>
      <c r="G121" s="1104"/>
      <c r="H121" s="1104"/>
      <c r="I121" s="1104"/>
      <c r="J121" s="1104"/>
      <c r="K121" s="1104"/>
      <c r="L121" s="1104"/>
      <c r="M121" s="1104"/>
      <c r="N121" s="1105"/>
    </row>
    <row r="122" spans="2:14">
      <c r="B122" s="1106"/>
      <c r="C122" s="1107"/>
      <c r="D122" s="1107"/>
      <c r="E122" s="1107"/>
      <c r="F122" s="1107"/>
      <c r="G122" s="1107"/>
      <c r="H122" s="1107"/>
      <c r="I122" s="1107"/>
      <c r="J122" s="1107"/>
      <c r="K122" s="1107"/>
      <c r="L122" s="1107"/>
      <c r="M122" s="1107"/>
      <c r="N122" s="1108"/>
    </row>
    <row r="123" spans="2:14" ht="13.5" thickBot="1">
      <c r="B123" s="1109"/>
      <c r="C123" s="1110"/>
      <c r="D123" s="1110"/>
      <c r="E123" s="1110"/>
      <c r="F123" s="1110"/>
      <c r="G123" s="1110"/>
      <c r="H123" s="1110"/>
      <c r="I123" s="1110"/>
      <c r="J123" s="1110"/>
      <c r="K123" s="1110"/>
      <c r="L123" s="1110"/>
      <c r="M123" s="1110"/>
      <c r="N123" s="1111"/>
    </row>
    <row r="124" spans="2:14">
      <c r="B124" s="1130" t="s">
        <v>277</v>
      </c>
      <c r="C124" s="1139"/>
      <c r="D124" s="1139"/>
      <c r="E124" s="1139"/>
      <c r="F124" s="1139"/>
      <c r="G124" s="1139"/>
      <c r="H124" s="1139"/>
      <c r="I124" s="288" t="s">
        <v>278</v>
      </c>
      <c r="J124" s="306" t="s">
        <v>279</v>
      </c>
      <c r="K124" s="307" t="s">
        <v>280</v>
      </c>
      <c r="L124" s="1133" t="s">
        <v>281</v>
      </c>
      <c r="M124" s="1136"/>
      <c r="N124" s="289" t="s">
        <v>265</v>
      </c>
    </row>
    <row r="125" spans="2:14">
      <c r="B125" s="1112"/>
      <c r="C125" s="1113"/>
      <c r="D125" s="1113"/>
      <c r="E125" s="1113"/>
      <c r="F125" s="1113"/>
      <c r="G125" s="1113"/>
      <c r="H125" s="1113"/>
      <c r="I125" s="308"/>
      <c r="J125" s="309"/>
      <c r="K125" s="308"/>
      <c r="L125" s="1142"/>
      <c r="M125" s="1143"/>
      <c r="N125" s="297"/>
    </row>
    <row r="126" spans="2:14" ht="13.5" thickBot="1">
      <c r="B126" s="1094"/>
      <c r="C126" s="1095"/>
      <c r="D126" s="1095"/>
      <c r="E126" s="1095"/>
      <c r="F126" s="1095"/>
      <c r="G126" s="1095"/>
      <c r="H126" s="1095"/>
      <c r="I126" s="310"/>
      <c r="J126" s="311"/>
      <c r="K126" s="310"/>
      <c r="L126" s="1137"/>
      <c r="M126" s="1138"/>
      <c r="N126" s="312"/>
    </row>
    <row r="127" spans="2:14" ht="13.5" thickBot="1">
      <c r="B127" s="1100" t="s">
        <v>269</v>
      </c>
      <c r="C127" s="1101"/>
      <c r="D127" s="1101"/>
      <c r="E127" s="1101"/>
      <c r="F127" s="1101"/>
      <c r="G127" s="1101"/>
      <c r="H127" s="1101"/>
      <c r="I127" s="1101"/>
      <c r="J127" s="1101"/>
      <c r="K127" s="1101"/>
      <c r="L127" s="1101"/>
      <c r="M127" s="1102"/>
      <c r="N127" s="313">
        <v>0</v>
      </c>
    </row>
    <row r="128" spans="2:14">
      <c r="B128" s="1103" t="s">
        <v>282</v>
      </c>
      <c r="C128" s="1104"/>
      <c r="D128" s="1104"/>
      <c r="E128" s="1104"/>
      <c r="F128" s="1104"/>
      <c r="G128" s="1104"/>
      <c r="H128" s="1104"/>
      <c r="I128" s="1104"/>
      <c r="J128" s="1104"/>
      <c r="K128" s="1104"/>
      <c r="L128" s="1104"/>
      <c r="M128" s="1104"/>
      <c r="N128" s="1105"/>
    </row>
    <row r="129" spans="2:14">
      <c r="B129" s="1106"/>
      <c r="C129" s="1107"/>
      <c r="D129" s="1107"/>
      <c r="E129" s="1107"/>
      <c r="F129" s="1107"/>
      <c r="G129" s="1107"/>
      <c r="H129" s="1107"/>
      <c r="I129" s="1107"/>
      <c r="J129" s="1107"/>
      <c r="K129" s="1107"/>
      <c r="L129" s="1107"/>
      <c r="M129" s="1107"/>
      <c r="N129" s="1108"/>
    </row>
    <row r="130" spans="2:14" ht="13.5" thickBot="1">
      <c r="B130" s="1109"/>
      <c r="C130" s="1110"/>
      <c r="D130" s="1110"/>
      <c r="E130" s="1110"/>
      <c r="F130" s="1110"/>
      <c r="G130" s="1110"/>
      <c r="H130" s="1110"/>
      <c r="I130" s="1110"/>
      <c r="J130" s="1110"/>
      <c r="K130" s="1110"/>
      <c r="L130" s="1110"/>
      <c r="M130" s="1110"/>
      <c r="N130" s="1111"/>
    </row>
    <row r="131" spans="2:14">
      <c r="B131" s="1130" t="s">
        <v>283</v>
      </c>
      <c r="C131" s="1139"/>
      <c r="D131" s="1139"/>
      <c r="E131" s="1139"/>
      <c r="F131" s="1139"/>
      <c r="G131" s="1139"/>
      <c r="H131" s="1139"/>
      <c r="I131" s="288" t="s">
        <v>284</v>
      </c>
      <c r="J131" s="314" t="s">
        <v>285</v>
      </c>
      <c r="K131" s="315" t="s">
        <v>286</v>
      </c>
      <c r="L131" s="1140" t="s">
        <v>264</v>
      </c>
      <c r="M131" s="1141"/>
      <c r="N131" s="316" t="s">
        <v>265</v>
      </c>
    </row>
    <row r="132" spans="2:14">
      <c r="B132" s="317" t="s">
        <v>308</v>
      </c>
      <c r="C132" s="318"/>
      <c r="D132" s="318"/>
      <c r="E132" s="318"/>
      <c r="F132" s="318"/>
      <c r="G132" s="318"/>
      <c r="H132" s="318"/>
      <c r="I132" s="319">
        <v>153482</v>
      </c>
      <c r="J132" s="320">
        <v>0</v>
      </c>
      <c r="K132" s="321">
        <f>+I132+J132</f>
        <v>153482</v>
      </c>
      <c r="L132" s="1157">
        <v>400</v>
      </c>
      <c r="M132" s="1158"/>
      <c r="N132" s="322">
        <f>+K132/L132</f>
        <v>383.70499999999998</v>
      </c>
    </row>
    <row r="133" spans="2:14" ht="13.5" thickBot="1">
      <c r="B133" s="317"/>
      <c r="C133" s="318"/>
      <c r="D133" s="318"/>
      <c r="E133" s="318"/>
      <c r="F133" s="318"/>
      <c r="G133" s="318"/>
      <c r="H133" s="318"/>
      <c r="I133" s="364"/>
      <c r="J133" s="320"/>
      <c r="K133" s="365"/>
      <c r="L133" s="1157"/>
      <c r="M133" s="1158"/>
      <c r="N133" s="322"/>
    </row>
    <row r="134" spans="2:14" ht="13.5" thickBot="1">
      <c r="B134" s="1100" t="s">
        <v>269</v>
      </c>
      <c r="C134" s="1101"/>
      <c r="D134" s="1101"/>
      <c r="E134" s="1101"/>
      <c r="F134" s="1101"/>
      <c r="G134" s="1101"/>
      <c r="H134" s="1101"/>
      <c r="I134" s="1101"/>
      <c r="J134" s="1101"/>
      <c r="K134" s="1101"/>
      <c r="L134" s="1101"/>
      <c r="M134" s="1102"/>
      <c r="N134" s="323">
        <f>+N132</f>
        <v>383.70499999999998</v>
      </c>
    </row>
    <row r="135" spans="2:14" ht="13.5" thickBot="1">
      <c r="B135" s="324" t="s">
        <v>288</v>
      </c>
      <c r="C135" s="325"/>
      <c r="D135" s="325"/>
      <c r="E135" s="325"/>
      <c r="F135" s="325"/>
      <c r="G135" s="325"/>
      <c r="H135" s="325"/>
      <c r="I135" s="326"/>
      <c r="J135" s="327"/>
      <c r="K135" s="328"/>
      <c r="L135" s="329"/>
      <c r="M135" s="329"/>
      <c r="N135" s="330"/>
    </row>
    <row r="136" spans="2:14">
      <c r="B136" s="1130" t="s">
        <v>17</v>
      </c>
      <c r="C136" s="1139"/>
      <c r="D136" s="1139"/>
      <c r="E136" s="1139"/>
      <c r="F136" s="1139"/>
      <c r="G136" s="1139"/>
      <c r="H136" s="1139"/>
      <c r="I136" s="1136"/>
      <c r="J136" s="299" t="s">
        <v>259</v>
      </c>
      <c r="K136" s="288" t="s">
        <v>133</v>
      </c>
      <c r="L136" s="1133" t="s">
        <v>271</v>
      </c>
      <c r="M136" s="1136"/>
      <c r="N136" s="316" t="s">
        <v>265</v>
      </c>
    </row>
    <row r="137" spans="2:14">
      <c r="B137" s="331" t="s">
        <v>289</v>
      </c>
      <c r="C137" s="332"/>
      <c r="D137" s="332"/>
      <c r="E137" s="332"/>
      <c r="F137" s="332"/>
      <c r="G137" s="332"/>
      <c r="H137" s="332"/>
      <c r="I137" s="333"/>
      <c r="J137" s="334" t="s">
        <v>290</v>
      </c>
      <c r="K137" s="335">
        <v>0.05</v>
      </c>
      <c r="L137" s="1168">
        <v>384</v>
      </c>
      <c r="M137" s="1169"/>
      <c r="N137" s="322">
        <f>+K137*L137</f>
        <v>19.200000000000003</v>
      </c>
    </row>
    <row r="138" spans="2:14" ht="13.5" thickBot="1">
      <c r="B138" s="1094"/>
      <c r="C138" s="1095"/>
      <c r="D138" s="1095"/>
      <c r="E138" s="1095"/>
      <c r="F138" s="1095"/>
      <c r="G138" s="1095"/>
      <c r="H138" s="1095"/>
      <c r="I138" s="310"/>
      <c r="J138" s="311"/>
      <c r="K138" s="310"/>
      <c r="L138" s="1137"/>
      <c r="M138" s="1138"/>
      <c r="N138" s="312"/>
    </row>
    <row r="139" spans="2:14" ht="13.5" thickBot="1">
      <c r="B139" s="1100" t="s">
        <v>269</v>
      </c>
      <c r="C139" s="1101"/>
      <c r="D139" s="1101"/>
      <c r="E139" s="1101"/>
      <c r="F139" s="1101"/>
      <c r="G139" s="1101"/>
      <c r="H139" s="1101"/>
      <c r="I139" s="1101"/>
      <c r="J139" s="1101"/>
      <c r="K139" s="1101"/>
      <c r="L139" s="1101"/>
      <c r="M139" s="1102"/>
      <c r="N139" s="323">
        <f>+N137</f>
        <v>19.200000000000003</v>
      </c>
    </row>
    <row r="140" spans="2:14" ht="13.5" thickBot="1">
      <c r="B140" s="283"/>
      <c r="N140" s="284"/>
    </row>
    <row r="141" spans="2:14" ht="13.5" thickBot="1">
      <c r="B141" s="1150" t="s">
        <v>291</v>
      </c>
      <c r="C141" s="1151"/>
      <c r="D141" s="1151"/>
      <c r="E141" s="1151"/>
      <c r="F141" s="1151"/>
      <c r="G141" s="1151"/>
      <c r="H141" s="1151"/>
      <c r="I141" s="1151"/>
      <c r="J141" s="1151"/>
      <c r="K141" s="1151"/>
      <c r="L141" s="1151"/>
      <c r="M141" s="1152"/>
      <c r="N141" s="336">
        <f>+N113+N120+N127+N134+N139</f>
        <v>1175.905</v>
      </c>
    </row>
    <row r="142" spans="2:14">
      <c r="B142" s="1103" t="s">
        <v>292</v>
      </c>
      <c r="C142" s="1104"/>
      <c r="D142" s="1104"/>
      <c r="E142" s="1104"/>
      <c r="F142" s="1104"/>
      <c r="G142" s="1104"/>
      <c r="H142" s="1104"/>
      <c r="I142" s="1104"/>
      <c r="J142" s="1104"/>
      <c r="K142" s="1104"/>
      <c r="L142" s="1104"/>
      <c r="M142" s="1104"/>
      <c r="N142" s="1105"/>
    </row>
    <row r="143" spans="2:14">
      <c r="B143" s="1106"/>
      <c r="C143" s="1107"/>
      <c r="D143" s="1107"/>
      <c r="E143" s="1107"/>
      <c r="F143" s="1107"/>
      <c r="G143" s="1107"/>
      <c r="H143" s="1107"/>
      <c r="I143" s="1107"/>
      <c r="J143" s="1107"/>
      <c r="K143" s="1107"/>
      <c r="L143" s="1107"/>
      <c r="M143" s="1107"/>
      <c r="N143" s="1108"/>
    </row>
    <row r="144" spans="2:14" ht="13.5" thickBot="1">
      <c r="B144" s="1109"/>
      <c r="C144" s="1110"/>
      <c r="D144" s="1110"/>
      <c r="E144" s="1110"/>
      <c r="F144" s="1110"/>
      <c r="G144" s="1110"/>
      <c r="H144" s="1110"/>
      <c r="I144" s="1110"/>
      <c r="J144" s="1110"/>
      <c r="K144" s="1110"/>
      <c r="L144" s="1110"/>
      <c r="M144" s="1110"/>
      <c r="N144" s="1111"/>
    </row>
    <row r="145" spans="2:14">
      <c r="B145" s="1130" t="s">
        <v>17</v>
      </c>
      <c r="C145" s="1139"/>
      <c r="D145" s="1139"/>
      <c r="E145" s="1139"/>
      <c r="F145" s="1139"/>
      <c r="G145" s="1139"/>
      <c r="H145" s="1139"/>
      <c r="I145" s="306"/>
      <c r="J145" s="337"/>
      <c r="K145" s="315" t="s">
        <v>79</v>
      </c>
      <c r="L145" s="1140" t="s">
        <v>11</v>
      </c>
      <c r="M145" s="1141"/>
      <c r="N145" s="316"/>
    </row>
    <row r="146" spans="2:14">
      <c r="B146" s="1112" t="s">
        <v>232</v>
      </c>
      <c r="C146" s="1113"/>
      <c r="D146" s="1113"/>
      <c r="E146" s="1113"/>
      <c r="F146" s="1113"/>
      <c r="G146" s="1113"/>
      <c r="H146" s="1113"/>
      <c r="I146" s="338"/>
      <c r="J146" s="339"/>
      <c r="K146" s="340">
        <f>'PRESUPUESTO OFICIAL'!$K$100</f>
        <v>0</v>
      </c>
      <c r="L146" s="1146">
        <f>K146*N141</f>
        <v>0</v>
      </c>
      <c r="M146" s="1147"/>
      <c r="N146" s="341"/>
    </row>
    <row r="147" spans="2:14">
      <c r="B147" s="292" t="s">
        <v>293</v>
      </c>
      <c r="C147" s="293"/>
      <c r="D147" s="293"/>
      <c r="E147" s="293"/>
      <c r="F147" s="293"/>
      <c r="G147" s="293"/>
      <c r="H147" s="293"/>
      <c r="I147" s="338"/>
      <c r="J147" s="339"/>
      <c r="K147" s="340">
        <f>'PRESUPUESTO OFICIAL'!$K$101</f>
        <v>0</v>
      </c>
      <c r="L147" s="1146">
        <f>K147*N141</f>
        <v>0</v>
      </c>
      <c r="M147" s="1147"/>
      <c r="N147" s="341"/>
    </row>
    <row r="148" spans="2:14" ht="13.5" thickBot="1">
      <c r="B148" s="277" t="s">
        <v>294</v>
      </c>
      <c r="C148" s="278"/>
      <c r="D148" s="278"/>
      <c r="E148" s="278"/>
      <c r="F148" s="278"/>
      <c r="G148" s="278"/>
      <c r="H148" s="278"/>
      <c r="I148" s="342"/>
      <c r="J148" s="343"/>
      <c r="K148" s="340">
        <f>'PRESUPUESTO OFICIAL'!$K$102</f>
        <v>0</v>
      </c>
      <c r="L148" s="1148">
        <f>K148*N141</f>
        <v>0</v>
      </c>
      <c r="M148" s="1149"/>
      <c r="N148" s="341"/>
    </row>
    <row r="149" spans="2:14" ht="13.5" thickBot="1">
      <c r="B149" s="1100" t="s">
        <v>269</v>
      </c>
      <c r="C149" s="1101"/>
      <c r="D149" s="1101"/>
      <c r="E149" s="1101"/>
      <c r="F149" s="1101"/>
      <c r="G149" s="1101"/>
      <c r="H149" s="1101"/>
      <c r="I149" s="1101"/>
      <c r="J149" s="1101"/>
      <c r="K149" s="1101"/>
      <c r="L149" s="1101"/>
      <c r="M149" s="1102"/>
      <c r="N149" s="344">
        <f>SUM(L146:M148)</f>
        <v>0</v>
      </c>
    </row>
    <row r="150" spans="2:14" ht="13.5" thickBot="1">
      <c r="B150" s="283"/>
      <c r="N150" s="284"/>
    </row>
    <row r="151" spans="2:14" ht="13.5" thickBot="1">
      <c r="B151" s="1150" t="s">
        <v>295</v>
      </c>
      <c r="C151" s="1151"/>
      <c r="D151" s="1151"/>
      <c r="E151" s="1151"/>
      <c r="F151" s="1151"/>
      <c r="G151" s="1151"/>
      <c r="H151" s="1151"/>
      <c r="I151" s="1151"/>
      <c r="J151" s="1151"/>
      <c r="K151" s="1151"/>
      <c r="L151" s="1151"/>
      <c r="M151" s="1152"/>
      <c r="N151" s="345">
        <f>ROUND(N141+N149,0)</f>
        <v>1176</v>
      </c>
    </row>
    <row r="152" spans="2:14">
      <c r="B152" s="280"/>
      <c r="C152" s="281"/>
      <c r="D152" s="281"/>
      <c r="E152" s="281"/>
      <c r="F152" s="281"/>
      <c r="G152" s="281"/>
      <c r="H152" s="281"/>
      <c r="I152" s="281"/>
      <c r="J152" s="281"/>
      <c r="K152" s="281"/>
      <c r="L152" s="281"/>
      <c r="M152" s="281"/>
      <c r="N152" s="282"/>
    </row>
    <row r="153" spans="2:14">
      <c r="B153" s="283"/>
      <c r="N153" s="284"/>
    </row>
    <row r="154" spans="2:14">
      <c r="B154" s="283"/>
      <c r="N154" s="284"/>
    </row>
    <row r="155" spans="2:14">
      <c r="B155" s="283"/>
      <c r="G155" s="346" t="s">
        <v>296</v>
      </c>
      <c r="H155" s="346"/>
      <c r="I155" s="346"/>
      <c r="J155" s="346"/>
      <c r="N155" s="284"/>
    </row>
    <row r="156" spans="2:14">
      <c r="B156" s="347"/>
      <c r="C156" s="348"/>
      <c r="D156" s="348"/>
      <c r="E156" s="348"/>
      <c r="F156" s="348"/>
      <c r="G156" s="346" t="s">
        <v>297</v>
      </c>
      <c r="H156" s="348"/>
      <c r="I156" s="348"/>
      <c r="J156" s="348"/>
      <c r="K156" s="348"/>
      <c r="L156" s="348"/>
      <c r="M156" s="348"/>
      <c r="N156" s="349"/>
    </row>
    <row r="157" spans="2:14">
      <c r="B157" s="347"/>
      <c r="C157" s="348"/>
      <c r="D157" s="348"/>
      <c r="E157" s="348"/>
      <c r="F157" s="348"/>
      <c r="G157" s="346" t="s">
        <v>298</v>
      </c>
      <c r="J157" s="348"/>
      <c r="K157" s="348"/>
      <c r="L157" s="348"/>
      <c r="M157" s="348"/>
      <c r="N157" s="349"/>
    </row>
    <row r="158" spans="2:14">
      <c r="B158" s="268"/>
      <c r="C158" s="350"/>
      <c r="D158" s="350"/>
      <c r="E158" s="350"/>
      <c r="F158" s="350"/>
      <c r="G158" s="346" t="s">
        <v>299</v>
      </c>
      <c r="H158" s="350"/>
      <c r="I158" s="350"/>
      <c r="J158" s="350"/>
      <c r="K158" s="350"/>
      <c r="L158" s="350"/>
      <c r="M158" s="350"/>
      <c r="N158" s="351"/>
    </row>
    <row r="159" spans="2:14">
      <c r="B159" s="283"/>
      <c r="G159" s="258" t="s">
        <v>300</v>
      </c>
      <c r="N159" s="284"/>
    </row>
    <row r="160" spans="2:14">
      <c r="B160" s="352" t="s">
        <v>301</v>
      </c>
      <c r="C160" s="353"/>
      <c r="D160" s="353"/>
      <c r="E160" s="353"/>
      <c r="F160" s="353"/>
      <c r="G160" s="353"/>
      <c r="H160" s="353"/>
      <c r="I160" s="353"/>
      <c r="J160" s="353"/>
      <c r="K160" s="353"/>
      <c r="L160" s="353"/>
      <c r="M160" s="353"/>
      <c r="N160" s="354"/>
    </row>
    <row r="161" spans="2:14">
      <c r="B161" s="1153"/>
      <c r="C161" s="1154"/>
      <c r="D161" s="1154"/>
      <c r="E161" s="1154"/>
      <c r="F161" s="1154"/>
      <c r="G161" s="1154"/>
      <c r="H161" s="1154"/>
      <c r="I161" s="1154"/>
      <c r="J161" s="1154"/>
      <c r="K161" s="1154"/>
      <c r="L161" s="1154"/>
      <c r="M161" s="1154"/>
      <c r="N161" s="1155"/>
    </row>
    <row r="162" spans="2:14">
      <c r="B162" s="1153"/>
      <c r="C162" s="1154"/>
      <c r="D162" s="1154"/>
      <c r="E162" s="1154"/>
      <c r="F162" s="1154"/>
      <c r="G162" s="1154"/>
      <c r="H162" s="1154"/>
      <c r="I162" s="1154"/>
      <c r="J162" s="1154"/>
      <c r="K162" s="1154"/>
      <c r="L162" s="1154"/>
      <c r="M162" s="1154"/>
      <c r="N162" s="1155"/>
    </row>
    <row r="163" spans="2:14">
      <c r="B163" s="268"/>
      <c r="C163" s="350"/>
      <c r="D163" s="350"/>
      <c r="E163" s="350"/>
      <c r="F163" s="350"/>
      <c r="G163" s="350"/>
      <c r="H163" s="350"/>
      <c r="I163" s="350"/>
      <c r="J163" s="350"/>
      <c r="K163" s="350"/>
      <c r="L163" s="350"/>
      <c r="M163" s="350"/>
      <c r="N163" s="351"/>
    </row>
    <row r="164" spans="2:14">
      <c r="B164" s="355" t="s">
        <v>302</v>
      </c>
      <c r="C164" s="350"/>
      <c r="D164" s="350"/>
      <c r="E164" s="350"/>
      <c r="F164" s="350"/>
      <c r="G164" s="350"/>
      <c r="H164" s="350"/>
      <c r="I164" s="350"/>
      <c r="J164" s="350"/>
      <c r="K164" s="350"/>
      <c r="L164" s="350"/>
      <c r="M164" s="350"/>
      <c r="N164" s="351"/>
    </row>
    <row r="165" spans="2:14">
      <c r="B165" s="1159" t="s">
        <v>303</v>
      </c>
      <c r="C165" s="1160"/>
      <c r="D165" s="1160"/>
      <c r="E165" s="1160"/>
      <c r="F165" s="1160"/>
      <c r="G165" s="1160"/>
      <c r="H165" s="1160"/>
      <c r="I165" s="1160"/>
      <c r="J165" s="1160"/>
      <c r="K165" s="1160"/>
      <c r="L165" s="1160"/>
      <c r="M165" s="1160"/>
      <c r="N165" s="1161"/>
    </row>
    <row r="166" spans="2:14">
      <c r="B166" s="1159"/>
      <c r="C166" s="1160"/>
      <c r="D166" s="1160"/>
      <c r="E166" s="1160"/>
      <c r="F166" s="1160"/>
      <c r="G166" s="1160"/>
      <c r="H166" s="1160"/>
      <c r="I166" s="1160"/>
      <c r="J166" s="1160"/>
      <c r="K166" s="1160"/>
      <c r="L166" s="1160"/>
      <c r="M166" s="1160"/>
      <c r="N166" s="1161"/>
    </row>
    <row r="167" spans="2:14">
      <c r="B167" s="1159" t="s">
        <v>304</v>
      </c>
      <c r="C167" s="1160"/>
      <c r="D167" s="1160"/>
      <c r="E167" s="1160"/>
      <c r="F167" s="1160"/>
      <c r="G167" s="1160"/>
      <c r="H167" s="1160"/>
      <c r="I167" s="1160"/>
      <c r="J167" s="1160"/>
      <c r="K167" s="1160"/>
      <c r="L167" s="1160"/>
      <c r="M167" s="1160"/>
      <c r="N167" s="1161"/>
    </row>
    <row r="168" spans="2:14">
      <c r="B168" s="1159"/>
      <c r="C168" s="1160"/>
      <c r="D168" s="1160"/>
      <c r="E168" s="1160"/>
      <c r="F168" s="1160"/>
      <c r="G168" s="1160"/>
      <c r="H168" s="1160"/>
      <c r="I168" s="1160"/>
      <c r="J168" s="1160"/>
      <c r="K168" s="1160"/>
      <c r="L168" s="1160"/>
      <c r="M168" s="1160"/>
      <c r="N168" s="1161"/>
    </row>
    <row r="169" spans="2:14">
      <c r="B169" s="268"/>
      <c r="C169" s="350"/>
      <c r="D169" s="350"/>
      <c r="E169" s="350"/>
      <c r="F169" s="350"/>
      <c r="G169" s="350"/>
      <c r="H169" s="350"/>
      <c r="I169" s="350"/>
      <c r="J169" s="350"/>
      <c r="K169" s="350"/>
      <c r="L169" s="350"/>
      <c r="M169" s="350"/>
      <c r="N169" s="351"/>
    </row>
    <row r="170" spans="2:14">
      <c r="B170" s="283"/>
      <c r="G170" s="346" t="s">
        <v>296</v>
      </c>
      <c r="N170" s="284"/>
    </row>
    <row r="171" spans="2:14">
      <c r="B171" s="283"/>
      <c r="G171" s="258" t="s">
        <v>305</v>
      </c>
      <c r="H171" s="293"/>
      <c r="I171" s="293"/>
      <c r="J171" s="293"/>
      <c r="N171" s="284"/>
    </row>
    <row r="172" spans="2:14">
      <c r="B172" s="283"/>
      <c r="G172" s="258" t="s">
        <v>306</v>
      </c>
      <c r="H172" s="325"/>
      <c r="I172" s="325"/>
      <c r="J172" s="325"/>
      <c r="N172" s="284"/>
    </row>
    <row r="173" spans="2:14">
      <c r="B173" s="356"/>
      <c r="C173" s="350"/>
      <c r="D173" s="350"/>
      <c r="E173" s="350"/>
      <c r="F173" s="350"/>
      <c r="G173" s="258" t="s">
        <v>299</v>
      </c>
      <c r="K173" s="350"/>
      <c r="L173" s="350"/>
      <c r="M173" s="350"/>
      <c r="N173" s="351"/>
    </row>
    <row r="174" spans="2:14">
      <c r="B174" s="357"/>
      <c r="C174" s="358"/>
      <c r="D174" s="358"/>
      <c r="J174" s="1162"/>
      <c r="K174" s="1162"/>
      <c r="L174" s="1162"/>
      <c r="M174" s="1162"/>
      <c r="N174" s="1163"/>
    </row>
    <row r="175" spans="2:14" ht="13.5" thickBot="1">
      <c r="B175" s="1166"/>
      <c r="C175" s="1167"/>
      <c r="D175" s="1167"/>
      <c r="E175" s="311"/>
      <c r="F175" s="311"/>
      <c r="G175" s="311"/>
      <c r="H175" s="311"/>
      <c r="I175" s="311"/>
      <c r="J175" s="1164"/>
      <c r="K175" s="1164"/>
      <c r="L175" s="1164"/>
      <c r="M175" s="1164"/>
      <c r="N175" s="1165"/>
    </row>
    <row r="176" spans="2:14" ht="13.5" thickBot="1"/>
    <row r="177" spans="2:14">
      <c r="B177" s="1070"/>
      <c r="C177" s="1072"/>
      <c r="D177" s="1073"/>
      <c r="E177" s="1073"/>
      <c r="F177" s="1073"/>
      <c r="G177" s="1073"/>
      <c r="H177" s="1073"/>
      <c r="I177" s="1073"/>
      <c r="J177" s="1074"/>
      <c r="K177" s="1075"/>
      <c r="L177" s="1076"/>
      <c r="M177" s="1076"/>
      <c r="N177" s="1077"/>
    </row>
    <row r="178" spans="2:14">
      <c r="B178" s="1071"/>
      <c r="C178" s="1062" t="s">
        <v>244</v>
      </c>
      <c r="D178" s="1063"/>
      <c r="E178" s="1063"/>
      <c r="F178" s="1063"/>
      <c r="G178" s="1063"/>
      <c r="H178" s="1063"/>
      <c r="I178" s="1063"/>
      <c r="J178" s="1064"/>
      <c r="K178" s="1078"/>
      <c r="L178" s="1079"/>
      <c r="M178" s="1079"/>
      <c r="N178" s="1080"/>
    </row>
    <row r="179" spans="2:14">
      <c r="B179" s="1071"/>
      <c r="C179" s="1081"/>
      <c r="D179" s="1082"/>
      <c r="E179" s="1082"/>
      <c r="F179" s="1082"/>
      <c r="G179" s="1082"/>
      <c r="H179" s="1082"/>
      <c r="I179" s="1082"/>
      <c r="J179" s="1083"/>
      <c r="K179" s="1058" t="s">
        <v>245</v>
      </c>
      <c r="L179" s="1085"/>
      <c r="M179" s="1086"/>
      <c r="N179" s="1087"/>
    </row>
    <row r="180" spans="2:14">
      <c r="B180" s="1071"/>
      <c r="C180" s="1062" t="s">
        <v>246</v>
      </c>
      <c r="D180" s="1063"/>
      <c r="E180" s="1063"/>
      <c r="F180" s="1063"/>
      <c r="G180" s="1063"/>
      <c r="H180" s="1063"/>
      <c r="I180" s="1063"/>
      <c r="J180" s="1064"/>
      <c r="K180" s="1084"/>
      <c r="L180" s="1088"/>
      <c r="M180" s="1089"/>
      <c r="N180" s="1090"/>
    </row>
    <row r="181" spans="2:14">
      <c r="B181" s="1071"/>
      <c r="C181" s="1091"/>
      <c r="D181" s="1092"/>
      <c r="E181" s="1092"/>
      <c r="F181" s="1092"/>
      <c r="G181" s="1092"/>
      <c r="H181" s="1092"/>
      <c r="I181" s="1092"/>
      <c r="J181" s="1093"/>
      <c r="K181" s="1058" t="s">
        <v>247</v>
      </c>
      <c r="L181" s="1058">
        <v>3</v>
      </c>
      <c r="M181" s="1058" t="s">
        <v>248</v>
      </c>
      <c r="N181" s="1060">
        <v>80</v>
      </c>
    </row>
    <row r="182" spans="2:14">
      <c r="B182" s="1071"/>
      <c r="C182" s="1091"/>
      <c r="D182" s="1092"/>
      <c r="E182" s="1092"/>
      <c r="F182" s="1092"/>
      <c r="G182" s="1092"/>
      <c r="H182" s="1092"/>
      <c r="I182" s="1092"/>
      <c r="J182" s="1093"/>
      <c r="K182" s="1059"/>
      <c r="L182" s="1059"/>
      <c r="M182" s="1059"/>
      <c r="N182" s="1061"/>
    </row>
    <row r="183" spans="2:14">
      <c r="B183" s="1071"/>
      <c r="C183" s="1062" t="s">
        <v>249</v>
      </c>
      <c r="D183" s="1063"/>
      <c r="E183" s="1063"/>
      <c r="F183" s="1063"/>
      <c r="G183" s="1063"/>
      <c r="H183" s="1063"/>
      <c r="I183" s="1063"/>
      <c r="J183" s="1064"/>
      <c r="K183" s="1059"/>
      <c r="L183" s="1059"/>
      <c r="M183" s="1059"/>
      <c r="N183" s="1061"/>
    </row>
    <row r="184" spans="2:14" ht="13.5" thickBot="1">
      <c r="B184" s="259"/>
      <c r="C184" s="260"/>
      <c r="D184" s="260"/>
      <c r="E184" s="260"/>
      <c r="F184" s="260"/>
      <c r="G184" s="260"/>
      <c r="H184" s="260"/>
      <c r="I184" s="260"/>
      <c r="J184" s="260"/>
      <c r="K184" s="260"/>
      <c r="L184" s="261"/>
      <c r="M184" s="261"/>
      <c r="N184" s="262"/>
    </row>
    <row r="185" spans="2:14">
      <c r="B185" s="263"/>
      <c r="C185" s="264"/>
      <c r="D185" s="264"/>
      <c r="E185" s="264"/>
      <c r="F185" s="264"/>
      <c r="G185" s="264"/>
      <c r="H185" s="264"/>
      <c r="I185" s="264"/>
      <c r="J185" s="264"/>
      <c r="K185" s="265" t="s">
        <v>250</v>
      </c>
      <c r="L185" s="266" t="s">
        <v>251</v>
      </c>
      <c r="M185" s="266" t="s">
        <v>252</v>
      </c>
      <c r="N185" s="267" t="s">
        <v>253</v>
      </c>
    </row>
    <row r="186" spans="2:14">
      <c r="B186" s="268"/>
      <c r="C186" s="269"/>
      <c r="D186" s="269"/>
      <c r="E186" s="269"/>
      <c r="F186" s="269"/>
      <c r="G186" s="269"/>
      <c r="H186" s="269"/>
      <c r="I186" s="269"/>
      <c r="J186" s="269"/>
      <c r="K186" s="270"/>
      <c r="L186" s="271"/>
      <c r="M186" s="271"/>
      <c r="N186" s="272"/>
    </row>
    <row r="187" spans="2:14">
      <c r="B187" s="1065" t="s">
        <v>254</v>
      </c>
      <c r="C187" s="1066"/>
      <c r="D187" s="1066"/>
      <c r="E187" s="1066"/>
      <c r="F187" s="269"/>
      <c r="G187" s="269"/>
      <c r="H187" s="269" t="s">
        <v>255</v>
      </c>
      <c r="J187" s="269"/>
      <c r="K187" s="270"/>
      <c r="N187" s="273"/>
    </row>
    <row r="188" spans="2:14">
      <c r="B188" s="274"/>
      <c r="C188" s="275"/>
      <c r="D188" s="275"/>
      <c r="E188" s="275"/>
      <c r="F188" s="275"/>
      <c r="G188" s="275"/>
      <c r="H188" s="275"/>
      <c r="I188" s="275"/>
      <c r="J188" s="275"/>
      <c r="K188" s="275"/>
      <c r="L188" s="275"/>
      <c r="M188" s="275"/>
      <c r="N188" s="276"/>
    </row>
    <row r="189" spans="2:14" ht="13.5" thickBot="1">
      <c r="B189" s="277"/>
      <c r="C189" s="278"/>
      <c r="D189" s="278"/>
      <c r="E189" s="278"/>
      <c r="F189" s="278"/>
      <c r="G189" s="278"/>
      <c r="H189" s="278"/>
      <c r="I189" s="278"/>
      <c r="J189" s="278"/>
      <c r="K189" s="278"/>
      <c r="L189" s="278"/>
      <c r="M189" s="278"/>
      <c r="N189" s="279"/>
    </row>
    <row r="190" spans="2:14" ht="13.5" thickBot="1">
      <c r="B190" s="280"/>
      <c r="C190" s="281"/>
      <c r="D190" s="281"/>
      <c r="E190" s="281"/>
      <c r="F190" s="281"/>
      <c r="G190" s="281"/>
      <c r="J190" s="281"/>
      <c r="K190" s="281"/>
      <c r="L190" s="281"/>
      <c r="M190" s="281"/>
      <c r="N190" s="282"/>
    </row>
    <row r="191" spans="2:14">
      <c r="B191" s="1067" t="s">
        <v>256</v>
      </c>
      <c r="C191" s="1068"/>
      <c r="D191" s="1068"/>
      <c r="E191" s="1068"/>
      <c r="F191" s="1068"/>
      <c r="G191" s="1068"/>
      <c r="H191" s="1068"/>
      <c r="I191" s="1068"/>
      <c r="J191" s="1068"/>
      <c r="K191" s="1068"/>
      <c r="L191" s="1068"/>
      <c r="M191" s="1068"/>
      <c r="N191" s="1069"/>
    </row>
    <row r="192" spans="2:14" ht="13.5" thickBot="1">
      <c r="B192" s="283"/>
      <c r="N192" s="284"/>
    </row>
    <row r="193" spans="2:14">
      <c r="B193" s="285" t="s">
        <v>257</v>
      </c>
      <c r="C193" s="1120" t="s">
        <v>258</v>
      </c>
      <c r="D193" s="1121"/>
      <c r="E193" s="1121"/>
      <c r="F193" s="1121"/>
      <c r="G193" s="1121"/>
      <c r="H193" s="1121"/>
      <c r="I193" s="1121"/>
      <c r="J193" s="1121"/>
      <c r="K193" s="1122"/>
      <c r="L193" s="1123" t="s">
        <v>259</v>
      </c>
      <c r="M193" s="1124"/>
      <c r="N193" s="285" t="s">
        <v>133</v>
      </c>
    </row>
    <row r="194" spans="2:14" ht="31.5" customHeight="1" thickBot="1">
      <c r="B194" s="286">
        <v>3</v>
      </c>
      <c r="C194" s="1125" t="s">
        <v>142</v>
      </c>
      <c r="D194" s="1126"/>
      <c r="E194" s="1126"/>
      <c r="F194" s="1126"/>
      <c r="G194" s="1126"/>
      <c r="H194" s="1126"/>
      <c r="I194" s="1126"/>
      <c r="J194" s="1126"/>
      <c r="K194" s="1127"/>
      <c r="L194" s="1128" t="s">
        <v>143</v>
      </c>
      <c r="M194" s="1129"/>
      <c r="N194" s="366">
        <v>140</v>
      </c>
    </row>
    <row r="195" spans="2:14">
      <c r="B195" s="1103" t="s">
        <v>260</v>
      </c>
      <c r="C195" s="1104"/>
      <c r="D195" s="1104"/>
      <c r="E195" s="1104"/>
      <c r="F195" s="1104"/>
      <c r="G195" s="1104"/>
      <c r="H195" s="1104"/>
      <c r="I195" s="1104"/>
      <c r="J195" s="1104"/>
      <c r="K195" s="1104"/>
      <c r="L195" s="1104"/>
      <c r="M195" s="1104"/>
      <c r="N195" s="1105"/>
    </row>
    <row r="196" spans="2:14">
      <c r="B196" s="1106"/>
      <c r="C196" s="1107"/>
      <c r="D196" s="1107"/>
      <c r="E196" s="1107"/>
      <c r="F196" s="1107"/>
      <c r="G196" s="1107"/>
      <c r="H196" s="1107"/>
      <c r="I196" s="1107"/>
      <c r="J196" s="1107"/>
      <c r="K196" s="1107"/>
      <c r="L196" s="1107"/>
      <c r="M196" s="1107"/>
      <c r="N196" s="1108"/>
    </row>
    <row r="197" spans="2:14" ht="13.5" thickBot="1">
      <c r="B197" s="1109"/>
      <c r="C197" s="1110"/>
      <c r="D197" s="1110"/>
      <c r="E197" s="1110"/>
      <c r="F197" s="1110"/>
      <c r="G197" s="1110"/>
      <c r="H197" s="1110"/>
      <c r="I197" s="1110"/>
      <c r="J197" s="1110"/>
      <c r="K197" s="1110"/>
      <c r="L197" s="1110"/>
      <c r="M197" s="1110"/>
      <c r="N197" s="1111"/>
    </row>
    <row r="198" spans="2:14">
      <c r="B198" s="1130" t="s">
        <v>258</v>
      </c>
      <c r="C198" s="1131"/>
      <c r="D198" s="1131"/>
      <c r="E198" s="1131"/>
      <c r="F198" s="1132"/>
      <c r="G198" s="1133" t="s">
        <v>261</v>
      </c>
      <c r="H198" s="1131"/>
      <c r="I198" s="1134" t="s">
        <v>262</v>
      </c>
      <c r="J198" s="1135"/>
      <c r="K198" s="288" t="s">
        <v>263</v>
      </c>
      <c r="L198" s="1133" t="s">
        <v>264</v>
      </c>
      <c r="M198" s="1136"/>
      <c r="N198" s="289" t="s">
        <v>265</v>
      </c>
    </row>
    <row r="199" spans="2:14">
      <c r="B199" s="1112"/>
      <c r="C199" s="1113"/>
      <c r="D199" s="1113"/>
      <c r="E199" s="1113"/>
      <c r="F199" s="1114"/>
      <c r="G199" s="1115"/>
      <c r="H199" s="1114"/>
      <c r="I199" s="1116"/>
      <c r="J199" s="1117"/>
      <c r="K199" s="360"/>
      <c r="L199" s="1118"/>
      <c r="M199" s="1119"/>
      <c r="N199" s="361"/>
    </row>
    <row r="200" spans="2:14">
      <c r="B200" s="292"/>
      <c r="C200" s="293"/>
      <c r="D200" s="293"/>
      <c r="E200" s="293"/>
      <c r="F200" s="294"/>
      <c r="G200" s="295"/>
      <c r="H200" s="294"/>
      <c r="I200" s="1116"/>
      <c r="J200" s="1117"/>
      <c r="K200" s="360"/>
      <c r="L200" s="1118"/>
      <c r="M200" s="1119"/>
      <c r="N200" s="361"/>
    </row>
    <row r="201" spans="2:14" ht="13.5" thickBot="1">
      <c r="B201" s="1094"/>
      <c r="C201" s="1095"/>
      <c r="D201" s="1095"/>
      <c r="E201" s="1095"/>
      <c r="F201" s="1096"/>
      <c r="G201" s="1097"/>
      <c r="H201" s="1096"/>
      <c r="I201" s="1097"/>
      <c r="J201" s="1096"/>
      <c r="K201" s="296"/>
      <c r="L201" s="1098"/>
      <c r="M201" s="1099"/>
      <c r="N201" s="297"/>
    </row>
    <row r="202" spans="2:14" ht="13.5" thickBot="1">
      <c r="B202" s="1100" t="s">
        <v>269</v>
      </c>
      <c r="C202" s="1101"/>
      <c r="D202" s="1101"/>
      <c r="E202" s="1101"/>
      <c r="F202" s="1101"/>
      <c r="G202" s="1101"/>
      <c r="H202" s="1101"/>
      <c r="I202" s="1101"/>
      <c r="J202" s="1101"/>
      <c r="K202" s="1101"/>
      <c r="L202" s="1101"/>
      <c r="M202" s="1102"/>
      <c r="N202" s="362">
        <f>+N199+N200+N201</f>
        <v>0</v>
      </c>
    </row>
    <row r="203" spans="2:14">
      <c r="B203" s="1103" t="s">
        <v>270</v>
      </c>
      <c r="C203" s="1104"/>
      <c r="D203" s="1104"/>
      <c r="E203" s="1104"/>
      <c r="F203" s="1104"/>
      <c r="G203" s="1104"/>
      <c r="H203" s="1104"/>
      <c r="I203" s="1104"/>
      <c r="J203" s="1104"/>
      <c r="K203" s="1104"/>
      <c r="L203" s="1104"/>
      <c r="M203" s="1104"/>
      <c r="N203" s="1105"/>
    </row>
    <row r="204" spans="2:14">
      <c r="B204" s="1106"/>
      <c r="C204" s="1107"/>
      <c r="D204" s="1107"/>
      <c r="E204" s="1107"/>
      <c r="F204" s="1107"/>
      <c r="G204" s="1107"/>
      <c r="H204" s="1107"/>
      <c r="I204" s="1107"/>
      <c r="J204" s="1107"/>
      <c r="K204" s="1107"/>
      <c r="L204" s="1107"/>
      <c r="M204" s="1107"/>
      <c r="N204" s="1108"/>
    </row>
    <row r="205" spans="2:14" ht="13.5" thickBot="1">
      <c r="B205" s="1109"/>
      <c r="C205" s="1110"/>
      <c r="D205" s="1110"/>
      <c r="E205" s="1110"/>
      <c r="F205" s="1110"/>
      <c r="G205" s="1110"/>
      <c r="H205" s="1110"/>
      <c r="I205" s="1110"/>
      <c r="J205" s="1110"/>
      <c r="K205" s="1110"/>
      <c r="L205" s="1110"/>
      <c r="M205" s="1110"/>
      <c r="N205" s="1111"/>
    </row>
    <row r="206" spans="2:14">
      <c r="B206" s="1130" t="s">
        <v>258</v>
      </c>
      <c r="C206" s="1139"/>
      <c r="D206" s="1139"/>
      <c r="E206" s="1139"/>
      <c r="F206" s="1139"/>
      <c r="G206" s="1139"/>
      <c r="H206" s="1139"/>
      <c r="I206" s="1136"/>
      <c r="J206" s="299" t="s">
        <v>259</v>
      </c>
      <c r="K206" s="288" t="s">
        <v>133</v>
      </c>
      <c r="L206" s="1133" t="s">
        <v>271</v>
      </c>
      <c r="M206" s="1136"/>
      <c r="N206" s="289" t="s">
        <v>265</v>
      </c>
    </row>
    <row r="207" spans="2:14">
      <c r="B207" s="1112"/>
      <c r="C207" s="1113"/>
      <c r="D207" s="1113"/>
      <c r="E207" s="1113"/>
      <c r="F207" s="1113"/>
      <c r="G207" s="1113"/>
      <c r="H207" s="1113"/>
      <c r="I207" s="1114"/>
      <c r="J207" s="300"/>
      <c r="K207" s="301"/>
      <c r="L207" s="1168"/>
      <c r="M207" s="1169"/>
      <c r="N207" s="367"/>
    </row>
    <row r="208" spans="2:14" ht="13.5" thickBot="1">
      <c r="B208" s="1094"/>
      <c r="C208" s="1095"/>
      <c r="D208" s="1095"/>
      <c r="E208" s="1095"/>
      <c r="F208" s="1095"/>
      <c r="G208" s="1095"/>
      <c r="H208" s="1095"/>
      <c r="I208" s="1096"/>
      <c r="J208" s="303"/>
      <c r="K208" s="304"/>
      <c r="L208" s="1168"/>
      <c r="M208" s="1169"/>
      <c r="N208" s="297"/>
    </row>
    <row r="209" spans="2:14" ht="13.5" thickBot="1">
      <c r="B209" s="1100" t="s">
        <v>269</v>
      </c>
      <c r="C209" s="1101"/>
      <c r="D209" s="1101"/>
      <c r="E209" s="1101"/>
      <c r="F209" s="1101"/>
      <c r="G209" s="1101"/>
      <c r="H209" s="1101"/>
      <c r="I209" s="1101"/>
      <c r="J209" s="1101"/>
      <c r="K209" s="1101"/>
      <c r="L209" s="1101"/>
      <c r="M209" s="1102"/>
      <c r="N209" s="368">
        <f>+N207+N208</f>
        <v>0</v>
      </c>
    </row>
    <row r="210" spans="2:14">
      <c r="B210" s="1103" t="s">
        <v>276</v>
      </c>
      <c r="C210" s="1104"/>
      <c r="D210" s="1104"/>
      <c r="E210" s="1104"/>
      <c r="F210" s="1104"/>
      <c r="G210" s="1104"/>
      <c r="H210" s="1104"/>
      <c r="I210" s="1104"/>
      <c r="J210" s="1104"/>
      <c r="K210" s="1104"/>
      <c r="L210" s="1104"/>
      <c r="M210" s="1104"/>
      <c r="N210" s="1105"/>
    </row>
    <row r="211" spans="2:14">
      <c r="B211" s="1106"/>
      <c r="C211" s="1107"/>
      <c r="D211" s="1107"/>
      <c r="E211" s="1107"/>
      <c r="F211" s="1107"/>
      <c r="G211" s="1107"/>
      <c r="H211" s="1107"/>
      <c r="I211" s="1107"/>
      <c r="J211" s="1107"/>
      <c r="K211" s="1107"/>
      <c r="L211" s="1107"/>
      <c r="M211" s="1107"/>
      <c r="N211" s="1108"/>
    </row>
    <row r="212" spans="2:14" ht="13.5" thickBot="1">
      <c r="B212" s="1109"/>
      <c r="C212" s="1110"/>
      <c r="D212" s="1110"/>
      <c r="E212" s="1110"/>
      <c r="F212" s="1110"/>
      <c r="G212" s="1110"/>
      <c r="H212" s="1110"/>
      <c r="I212" s="1110"/>
      <c r="J212" s="1110"/>
      <c r="K212" s="1110"/>
      <c r="L212" s="1110"/>
      <c r="M212" s="1110"/>
      <c r="N212" s="1111"/>
    </row>
    <row r="213" spans="2:14">
      <c r="B213" s="1130" t="s">
        <v>277</v>
      </c>
      <c r="C213" s="1139"/>
      <c r="D213" s="1139"/>
      <c r="E213" s="1139"/>
      <c r="F213" s="1139"/>
      <c r="G213" s="1139"/>
      <c r="H213" s="1139"/>
      <c r="I213" s="288" t="s">
        <v>278</v>
      </c>
      <c r="J213" s="306" t="s">
        <v>279</v>
      </c>
      <c r="K213" s="307" t="s">
        <v>280</v>
      </c>
      <c r="L213" s="1133" t="s">
        <v>281</v>
      </c>
      <c r="M213" s="1136"/>
      <c r="N213" s="289" t="s">
        <v>265</v>
      </c>
    </row>
    <row r="214" spans="2:14">
      <c r="B214" s="1112"/>
      <c r="C214" s="1113"/>
      <c r="D214" s="1113"/>
      <c r="E214" s="1113"/>
      <c r="F214" s="1113"/>
      <c r="G214" s="1113"/>
      <c r="H214" s="1113"/>
      <c r="I214" s="308"/>
      <c r="J214" s="309"/>
      <c r="K214" s="308"/>
      <c r="L214" s="1142"/>
      <c r="M214" s="1143"/>
      <c r="N214" s="297"/>
    </row>
    <row r="215" spans="2:14" ht="13.5" thickBot="1">
      <c r="B215" s="1094"/>
      <c r="C215" s="1095"/>
      <c r="D215" s="1095"/>
      <c r="E215" s="1095"/>
      <c r="F215" s="1095"/>
      <c r="G215" s="1095"/>
      <c r="H215" s="1095"/>
      <c r="I215" s="310"/>
      <c r="J215" s="311"/>
      <c r="K215" s="310"/>
      <c r="L215" s="1137"/>
      <c r="M215" s="1138"/>
      <c r="N215" s="312"/>
    </row>
    <row r="216" spans="2:14" ht="13.5" thickBot="1">
      <c r="B216" s="1100" t="s">
        <v>269</v>
      </c>
      <c r="C216" s="1101"/>
      <c r="D216" s="1101"/>
      <c r="E216" s="1101"/>
      <c r="F216" s="1101"/>
      <c r="G216" s="1101"/>
      <c r="H216" s="1101"/>
      <c r="I216" s="1101"/>
      <c r="J216" s="1101"/>
      <c r="K216" s="1101"/>
      <c r="L216" s="1101"/>
      <c r="M216" s="1102"/>
      <c r="N216" s="313">
        <v>0</v>
      </c>
    </row>
    <row r="217" spans="2:14">
      <c r="B217" s="1103" t="s">
        <v>282</v>
      </c>
      <c r="C217" s="1104"/>
      <c r="D217" s="1104"/>
      <c r="E217" s="1104"/>
      <c r="F217" s="1104"/>
      <c r="G217" s="1104"/>
      <c r="H217" s="1104"/>
      <c r="I217" s="1104"/>
      <c r="J217" s="1104"/>
      <c r="K217" s="1104"/>
      <c r="L217" s="1104"/>
      <c r="M217" s="1104"/>
      <c r="N217" s="1105"/>
    </row>
    <row r="218" spans="2:14">
      <c r="B218" s="1106"/>
      <c r="C218" s="1107"/>
      <c r="D218" s="1107"/>
      <c r="E218" s="1107"/>
      <c r="F218" s="1107"/>
      <c r="G218" s="1107"/>
      <c r="H218" s="1107"/>
      <c r="I218" s="1107"/>
      <c r="J218" s="1107"/>
      <c r="K218" s="1107"/>
      <c r="L218" s="1107"/>
      <c r="M218" s="1107"/>
      <c r="N218" s="1108"/>
    </row>
    <row r="219" spans="2:14" ht="13.5" thickBot="1">
      <c r="B219" s="1109"/>
      <c r="C219" s="1110"/>
      <c r="D219" s="1110"/>
      <c r="E219" s="1110"/>
      <c r="F219" s="1110"/>
      <c r="G219" s="1110"/>
      <c r="H219" s="1110"/>
      <c r="I219" s="1110"/>
      <c r="J219" s="1110"/>
      <c r="K219" s="1110"/>
      <c r="L219" s="1110"/>
      <c r="M219" s="1110"/>
      <c r="N219" s="1111"/>
    </row>
    <row r="220" spans="2:14">
      <c r="B220" s="1130" t="s">
        <v>283</v>
      </c>
      <c r="C220" s="1139"/>
      <c r="D220" s="1139"/>
      <c r="E220" s="1139"/>
      <c r="F220" s="1139"/>
      <c r="G220" s="1139"/>
      <c r="H220" s="1139"/>
      <c r="I220" s="288" t="s">
        <v>284</v>
      </c>
      <c r="J220" s="314" t="s">
        <v>285</v>
      </c>
      <c r="K220" s="315" t="s">
        <v>286</v>
      </c>
      <c r="L220" s="1140" t="s">
        <v>264</v>
      </c>
      <c r="M220" s="1141"/>
      <c r="N220" s="316" t="s">
        <v>265</v>
      </c>
    </row>
    <row r="221" spans="2:14">
      <c r="B221" s="317" t="s">
        <v>308</v>
      </c>
      <c r="C221" s="318"/>
      <c r="D221" s="318"/>
      <c r="E221" s="318"/>
      <c r="F221" s="318"/>
      <c r="G221" s="318"/>
      <c r="H221" s="318"/>
      <c r="I221" s="319">
        <v>153482</v>
      </c>
      <c r="J221" s="320">
        <v>0</v>
      </c>
      <c r="K221" s="321">
        <f>+I221+J221</f>
        <v>153482</v>
      </c>
      <c r="L221" s="1157">
        <v>17.999856000000001</v>
      </c>
      <c r="M221" s="1158"/>
      <c r="N221" s="322">
        <f>+K221/L221</f>
        <v>8526.8459925457173</v>
      </c>
    </row>
    <row r="222" spans="2:14" ht="13.5" thickBot="1">
      <c r="B222" s="317"/>
      <c r="C222" s="318"/>
      <c r="D222" s="318"/>
      <c r="E222" s="318"/>
      <c r="F222" s="318"/>
      <c r="G222" s="318"/>
      <c r="H222" s="318"/>
      <c r="I222" s="364"/>
      <c r="J222" s="320"/>
      <c r="K222" s="365"/>
      <c r="L222" s="1157"/>
      <c r="M222" s="1158"/>
      <c r="N222" s="322"/>
    </row>
    <row r="223" spans="2:14" ht="13.5" thickBot="1">
      <c r="B223" s="1100" t="s">
        <v>269</v>
      </c>
      <c r="C223" s="1101"/>
      <c r="D223" s="1101"/>
      <c r="E223" s="1101"/>
      <c r="F223" s="1101"/>
      <c r="G223" s="1101"/>
      <c r="H223" s="1101"/>
      <c r="I223" s="1101"/>
      <c r="J223" s="1101"/>
      <c r="K223" s="1101"/>
      <c r="L223" s="1101"/>
      <c r="M223" s="1102"/>
      <c r="N223" s="323">
        <f>+N221</f>
        <v>8526.8459925457173</v>
      </c>
    </row>
    <row r="224" spans="2:14" ht="13.5" thickBot="1">
      <c r="B224" s="324" t="s">
        <v>288</v>
      </c>
      <c r="C224" s="325"/>
      <c r="D224" s="325"/>
      <c r="E224" s="325"/>
      <c r="F224" s="325"/>
      <c r="G224" s="325"/>
      <c r="H224" s="325"/>
      <c r="I224" s="326"/>
      <c r="J224" s="327"/>
      <c r="K224" s="328"/>
      <c r="L224" s="329"/>
      <c r="M224" s="329"/>
      <c r="N224" s="330"/>
    </row>
    <row r="225" spans="2:14">
      <c r="B225" s="1130" t="s">
        <v>17</v>
      </c>
      <c r="C225" s="1139"/>
      <c r="D225" s="1139"/>
      <c r="E225" s="1139"/>
      <c r="F225" s="1139"/>
      <c r="G225" s="1139"/>
      <c r="H225" s="1139"/>
      <c r="I225" s="1136"/>
      <c r="J225" s="299" t="s">
        <v>259</v>
      </c>
      <c r="K225" s="288" t="s">
        <v>133</v>
      </c>
      <c r="L225" s="1133" t="s">
        <v>271</v>
      </c>
      <c r="M225" s="1136"/>
      <c r="N225" s="316" t="s">
        <v>265</v>
      </c>
    </row>
    <row r="226" spans="2:14">
      <c r="B226" s="331" t="s">
        <v>289</v>
      </c>
      <c r="C226" s="332"/>
      <c r="D226" s="332"/>
      <c r="E226" s="332"/>
      <c r="F226" s="332"/>
      <c r="G226" s="332"/>
      <c r="H226" s="332"/>
      <c r="I226" s="333"/>
      <c r="J226" s="334" t="s">
        <v>290</v>
      </c>
      <c r="K226" s="335">
        <v>0.05</v>
      </c>
      <c r="L226" s="1144">
        <v>8527</v>
      </c>
      <c r="M226" s="1145"/>
      <c r="N226" s="322">
        <f>+K226*L226</f>
        <v>426.35</v>
      </c>
    </row>
    <row r="227" spans="2:14" ht="13.5" thickBot="1">
      <c r="B227" s="356"/>
      <c r="C227" s="325"/>
      <c r="D227" s="325"/>
      <c r="E227" s="325"/>
      <c r="F227" s="325"/>
      <c r="G227" s="325"/>
      <c r="H227" s="325"/>
      <c r="I227" s="369"/>
      <c r="J227" s="327"/>
      <c r="K227" s="370"/>
      <c r="L227" s="371"/>
      <c r="M227" s="372"/>
      <c r="N227" s="373"/>
    </row>
    <row r="228" spans="2:14" ht="13.5" thickBot="1">
      <c r="B228" s="1100" t="s">
        <v>269</v>
      </c>
      <c r="C228" s="1101"/>
      <c r="D228" s="1101"/>
      <c r="E228" s="1101"/>
      <c r="F228" s="1101"/>
      <c r="G228" s="1101"/>
      <c r="H228" s="1101"/>
      <c r="I228" s="1101"/>
      <c r="J228" s="1101"/>
      <c r="K228" s="1101"/>
      <c r="L228" s="1101"/>
      <c r="M228" s="1102"/>
      <c r="N228" s="323">
        <f>+N226</f>
        <v>426.35</v>
      </c>
    </row>
    <row r="229" spans="2:14" ht="13.5" thickBot="1">
      <c r="B229" s="374" t="s">
        <v>78</v>
      </c>
      <c r="C229" s="325"/>
      <c r="D229" s="325"/>
      <c r="E229" s="325"/>
      <c r="F229" s="325"/>
      <c r="G229" s="325"/>
      <c r="H229" s="325"/>
      <c r="I229" s="369"/>
      <c r="J229" s="327"/>
      <c r="K229" s="370"/>
      <c r="L229" s="371"/>
      <c r="M229" s="372"/>
      <c r="N229" s="373"/>
    </row>
    <row r="230" spans="2:14">
      <c r="B230" s="1130" t="s">
        <v>17</v>
      </c>
      <c r="C230" s="1139"/>
      <c r="D230" s="1139"/>
      <c r="E230" s="1139"/>
      <c r="F230" s="1139"/>
      <c r="G230" s="1139"/>
      <c r="H230" s="1139"/>
      <c r="I230" s="1136"/>
      <c r="J230" s="299" t="s">
        <v>259</v>
      </c>
      <c r="K230" s="288" t="s">
        <v>133</v>
      </c>
      <c r="L230" s="1133" t="s">
        <v>271</v>
      </c>
      <c r="M230" s="1136"/>
      <c r="N230" s="316" t="s">
        <v>265</v>
      </c>
    </row>
    <row r="231" spans="2:14" ht="29.25" customHeight="1" thickBot="1">
      <c r="B231" s="1170" t="s">
        <v>161</v>
      </c>
      <c r="C231" s="1171"/>
      <c r="D231" s="1171"/>
      <c r="E231" s="1171"/>
      <c r="F231" s="1171"/>
      <c r="G231" s="1171"/>
      <c r="H231" s="1172"/>
      <c r="I231" s="333"/>
      <c r="J231" s="375" t="s">
        <v>147</v>
      </c>
      <c r="K231" s="376">
        <v>0.15</v>
      </c>
      <c r="L231" s="1144">
        <v>38446</v>
      </c>
      <c r="M231" s="1145"/>
      <c r="N231" s="377">
        <f>+K231*L231</f>
        <v>5766.9</v>
      </c>
    </row>
    <row r="232" spans="2:14" ht="13.5" thickBot="1">
      <c r="B232" s="1100" t="s">
        <v>269</v>
      </c>
      <c r="C232" s="1101"/>
      <c r="D232" s="1101"/>
      <c r="E232" s="1101"/>
      <c r="F232" s="1101"/>
      <c r="G232" s="1101"/>
      <c r="H232" s="1101"/>
      <c r="I232" s="1101"/>
      <c r="J232" s="1101"/>
      <c r="K232" s="1101"/>
      <c r="L232" s="1101"/>
      <c r="M232" s="1102"/>
      <c r="N232" s="323">
        <f>+N231</f>
        <v>5766.9</v>
      </c>
    </row>
    <row r="233" spans="2:14">
      <c r="B233" s="280"/>
      <c r="C233" s="281"/>
      <c r="D233" s="281"/>
      <c r="E233" s="281"/>
      <c r="F233" s="281"/>
      <c r="G233" s="281"/>
      <c r="H233" s="281"/>
      <c r="I233" s="281"/>
      <c r="J233" s="281"/>
      <c r="K233" s="281"/>
      <c r="L233" s="281"/>
      <c r="M233" s="281"/>
      <c r="N233" s="282"/>
    </row>
    <row r="234" spans="2:14" ht="13.5" thickBot="1">
      <c r="B234" s="378"/>
      <c r="C234" s="311"/>
      <c r="D234" s="311"/>
      <c r="E234" s="311"/>
      <c r="F234" s="311"/>
      <c r="G234" s="311"/>
      <c r="H234" s="311"/>
      <c r="I234" s="311"/>
      <c r="J234" s="311"/>
      <c r="K234" s="311"/>
      <c r="L234" s="311"/>
      <c r="M234" s="311"/>
      <c r="N234" s="379"/>
    </row>
    <row r="235" spans="2:14" ht="13.5" thickBot="1">
      <c r="B235" s="1150" t="s">
        <v>291</v>
      </c>
      <c r="C235" s="1151"/>
      <c r="D235" s="1151"/>
      <c r="E235" s="1151"/>
      <c r="F235" s="1151"/>
      <c r="G235" s="1151"/>
      <c r="H235" s="1151"/>
      <c r="I235" s="1151"/>
      <c r="J235" s="1151"/>
      <c r="K235" s="1151"/>
      <c r="L235" s="1151"/>
      <c r="M235" s="1152"/>
      <c r="N235" s="336">
        <f>+N202+N209+N216+N223+N228+N232</f>
        <v>14720.095992545717</v>
      </c>
    </row>
    <row r="236" spans="2:14">
      <c r="B236" s="1103" t="s">
        <v>292</v>
      </c>
      <c r="C236" s="1104"/>
      <c r="D236" s="1104"/>
      <c r="E236" s="1104"/>
      <c r="F236" s="1104"/>
      <c r="G236" s="1104"/>
      <c r="H236" s="1104"/>
      <c r="I236" s="1104"/>
      <c r="J236" s="1104"/>
      <c r="K236" s="1104"/>
      <c r="L236" s="1104"/>
      <c r="M236" s="1104"/>
      <c r="N236" s="1105"/>
    </row>
    <row r="237" spans="2:14">
      <c r="B237" s="1106"/>
      <c r="C237" s="1107"/>
      <c r="D237" s="1107"/>
      <c r="E237" s="1107"/>
      <c r="F237" s="1107"/>
      <c r="G237" s="1107"/>
      <c r="H237" s="1107"/>
      <c r="I237" s="1107"/>
      <c r="J237" s="1107"/>
      <c r="K237" s="1107"/>
      <c r="L237" s="1107"/>
      <c r="M237" s="1107"/>
      <c r="N237" s="1108"/>
    </row>
    <row r="238" spans="2:14" ht="13.5" thickBot="1">
      <c r="B238" s="1109"/>
      <c r="C238" s="1110"/>
      <c r="D238" s="1110"/>
      <c r="E238" s="1110"/>
      <c r="F238" s="1110"/>
      <c r="G238" s="1110"/>
      <c r="H238" s="1110"/>
      <c r="I238" s="1110"/>
      <c r="J238" s="1110"/>
      <c r="K238" s="1110"/>
      <c r="L238" s="1110"/>
      <c r="M238" s="1110"/>
      <c r="N238" s="1111"/>
    </row>
    <row r="239" spans="2:14">
      <c r="B239" s="1130" t="s">
        <v>17</v>
      </c>
      <c r="C239" s="1139"/>
      <c r="D239" s="1139"/>
      <c r="E239" s="1139"/>
      <c r="F239" s="1139"/>
      <c r="G239" s="1139"/>
      <c r="H239" s="1139"/>
      <c r="I239" s="306"/>
      <c r="J239" s="337"/>
      <c r="K239" s="315" t="s">
        <v>79</v>
      </c>
      <c r="L239" s="1140" t="s">
        <v>11</v>
      </c>
      <c r="M239" s="1141"/>
      <c r="N239" s="316"/>
    </row>
    <row r="240" spans="2:14">
      <c r="B240" s="1112" t="s">
        <v>232</v>
      </c>
      <c r="C240" s="1113"/>
      <c r="D240" s="1113"/>
      <c r="E240" s="1113"/>
      <c r="F240" s="1113"/>
      <c r="G240" s="1113"/>
      <c r="H240" s="1113"/>
      <c r="I240" s="338"/>
      <c r="J240" s="339"/>
      <c r="K240" s="340">
        <f>'PRESUPUESTO OFICIAL'!$K$100</f>
        <v>0</v>
      </c>
      <c r="L240" s="1146">
        <f>K240*N235</f>
        <v>0</v>
      </c>
      <c r="M240" s="1147"/>
      <c r="N240" s="341"/>
    </row>
    <row r="241" spans="2:14">
      <c r="B241" s="292" t="s">
        <v>293</v>
      </c>
      <c r="C241" s="293"/>
      <c r="D241" s="293"/>
      <c r="E241" s="293"/>
      <c r="F241" s="293"/>
      <c r="G241" s="293"/>
      <c r="H241" s="293"/>
      <c r="I241" s="338"/>
      <c r="J241" s="339"/>
      <c r="K241" s="340">
        <f>'PRESUPUESTO OFICIAL'!$K$101</f>
        <v>0</v>
      </c>
      <c r="L241" s="1146">
        <f>K241*N235</f>
        <v>0</v>
      </c>
      <c r="M241" s="1147"/>
      <c r="N241" s="341"/>
    </row>
    <row r="242" spans="2:14" ht="13.5" thickBot="1">
      <c r="B242" s="277" t="s">
        <v>294</v>
      </c>
      <c r="C242" s="278"/>
      <c r="D242" s="278"/>
      <c r="E242" s="278"/>
      <c r="F242" s="278"/>
      <c r="G242" s="278"/>
      <c r="H242" s="278"/>
      <c r="I242" s="342"/>
      <c r="J242" s="343"/>
      <c r="K242" s="340">
        <f>'PRESUPUESTO OFICIAL'!$K$102</f>
        <v>0</v>
      </c>
      <c r="L242" s="1148">
        <f>K242*N235</f>
        <v>0</v>
      </c>
      <c r="M242" s="1149"/>
      <c r="N242" s="341"/>
    </row>
    <row r="243" spans="2:14" ht="13.5" thickBot="1">
      <c r="B243" s="1100" t="s">
        <v>269</v>
      </c>
      <c r="C243" s="1101"/>
      <c r="D243" s="1101"/>
      <c r="E243" s="1101"/>
      <c r="F243" s="1101"/>
      <c r="G243" s="1101"/>
      <c r="H243" s="1101"/>
      <c r="I243" s="1101"/>
      <c r="J243" s="1101"/>
      <c r="K243" s="1101"/>
      <c r="L243" s="1101"/>
      <c r="M243" s="1102"/>
      <c r="N243" s="344">
        <f>SUM(L240:M242)</f>
        <v>0</v>
      </c>
    </row>
    <row r="244" spans="2:14" ht="13.5" thickBot="1">
      <c r="B244" s="283"/>
      <c r="N244" s="284"/>
    </row>
    <row r="245" spans="2:14" ht="13.5" thickBot="1">
      <c r="B245" s="1150" t="s">
        <v>295</v>
      </c>
      <c r="C245" s="1151"/>
      <c r="D245" s="1151"/>
      <c r="E245" s="1151"/>
      <c r="F245" s="1151"/>
      <c r="G245" s="1151"/>
      <c r="H245" s="1151"/>
      <c r="I245" s="1151"/>
      <c r="J245" s="1151"/>
      <c r="K245" s="1151"/>
      <c r="L245" s="1151"/>
      <c r="M245" s="1152"/>
      <c r="N245" s="345">
        <f>ROUND(N235+N243,0)</f>
        <v>14720</v>
      </c>
    </row>
    <row r="246" spans="2:14">
      <c r="B246" s="280"/>
      <c r="C246" s="281"/>
      <c r="D246" s="281"/>
      <c r="E246" s="281"/>
      <c r="F246" s="281"/>
      <c r="G246" s="281"/>
      <c r="H246" s="281"/>
      <c r="I246" s="281"/>
      <c r="J246" s="281"/>
      <c r="K246" s="281"/>
      <c r="L246" s="281"/>
      <c r="M246" s="281"/>
      <c r="N246" s="282"/>
    </row>
    <row r="247" spans="2:14">
      <c r="B247" s="283"/>
      <c r="N247" s="284"/>
    </row>
    <row r="248" spans="2:14">
      <c r="B248" s="283"/>
      <c r="N248" s="284"/>
    </row>
    <row r="249" spans="2:14">
      <c r="B249" s="283"/>
      <c r="G249" s="346" t="s">
        <v>296</v>
      </c>
      <c r="H249" s="346"/>
      <c r="I249" s="346"/>
      <c r="J249" s="346"/>
      <c r="N249" s="284"/>
    </row>
    <row r="250" spans="2:14">
      <c r="B250" s="347"/>
      <c r="C250" s="348"/>
      <c r="D250" s="348"/>
      <c r="E250" s="348"/>
      <c r="F250" s="348"/>
      <c r="G250" s="346" t="s">
        <v>297</v>
      </c>
      <c r="H250" s="348"/>
      <c r="I250" s="348"/>
      <c r="J250" s="348"/>
      <c r="K250" s="348"/>
      <c r="L250" s="348"/>
      <c r="M250" s="348"/>
      <c r="N250" s="349"/>
    </row>
    <row r="251" spans="2:14">
      <c r="B251" s="347"/>
      <c r="C251" s="348"/>
      <c r="D251" s="348"/>
      <c r="E251" s="348"/>
      <c r="F251" s="348"/>
      <c r="G251" s="346" t="s">
        <v>298</v>
      </c>
      <c r="J251" s="348"/>
      <c r="K251" s="348"/>
      <c r="L251" s="348"/>
      <c r="M251" s="348"/>
      <c r="N251" s="349"/>
    </row>
    <row r="252" spans="2:14">
      <c r="B252" s="268"/>
      <c r="C252" s="350"/>
      <c r="D252" s="350"/>
      <c r="E252" s="350"/>
      <c r="F252" s="350"/>
      <c r="G252" s="346" t="s">
        <v>299</v>
      </c>
      <c r="H252" s="350"/>
      <c r="I252" s="350"/>
      <c r="J252" s="350"/>
      <c r="K252" s="350"/>
      <c r="L252" s="350"/>
      <c r="M252" s="350"/>
      <c r="N252" s="351"/>
    </row>
    <row r="253" spans="2:14">
      <c r="B253" s="283"/>
      <c r="G253" s="258" t="s">
        <v>300</v>
      </c>
      <c r="N253" s="284"/>
    </row>
    <row r="254" spans="2:14">
      <c r="B254" s="352" t="s">
        <v>301</v>
      </c>
      <c r="C254" s="353"/>
      <c r="D254" s="353"/>
      <c r="E254" s="353"/>
      <c r="F254" s="353"/>
      <c r="G254" s="353"/>
      <c r="H254" s="353"/>
      <c r="I254" s="353"/>
      <c r="J254" s="353"/>
      <c r="K254" s="353"/>
      <c r="L254" s="353"/>
      <c r="M254" s="353"/>
      <c r="N254" s="354"/>
    </row>
    <row r="255" spans="2:14">
      <c r="B255" s="1153"/>
      <c r="C255" s="1154"/>
      <c r="D255" s="1154"/>
      <c r="E255" s="1154"/>
      <c r="F255" s="1154"/>
      <c r="G255" s="1154"/>
      <c r="H255" s="1154"/>
      <c r="I255" s="1154"/>
      <c r="J255" s="1154"/>
      <c r="K255" s="1154"/>
      <c r="L255" s="1154"/>
      <c r="M255" s="1154"/>
      <c r="N255" s="1155"/>
    </row>
    <row r="256" spans="2:14">
      <c r="B256" s="1153"/>
      <c r="C256" s="1154"/>
      <c r="D256" s="1154"/>
      <c r="E256" s="1154"/>
      <c r="F256" s="1154"/>
      <c r="G256" s="1154"/>
      <c r="H256" s="1154"/>
      <c r="I256" s="1154"/>
      <c r="J256" s="1154"/>
      <c r="K256" s="1154"/>
      <c r="L256" s="1154"/>
      <c r="M256" s="1154"/>
      <c r="N256" s="1155"/>
    </row>
    <row r="257" spans="2:14">
      <c r="B257" s="268"/>
      <c r="C257" s="350"/>
      <c r="D257" s="350"/>
      <c r="E257" s="350"/>
      <c r="F257" s="350"/>
      <c r="G257" s="350"/>
      <c r="H257" s="350"/>
      <c r="I257" s="350"/>
      <c r="J257" s="350"/>
      <c r="K257" s="350"/>
      <c r="L257" s="350"/>
      <c r="M257" s="350"/>
      <c r="N257" s="351"/>
    </row>
    <row r="258" spans="2:14">
      <c r="B258" s="355" t="s">
        <v>302</v>
      </c>
      <c r="C258" s="350"/>
      <c r="D258" s="350"/>
      <c r="E258" s="350"/>
      <c r="F258" s="350"/>
      <c r="G258" s="350"/>
      <c r="H258" s="350"/>
      <c r="I258" s="350"/>
      <c r="J258" s="350"/>
      <c r="K258" s="350"/>
      <c r="L258" s="350"/>
      <c r="M258" s="350"/>
      <c r="N258" s="351"/>
    </row>
    <row r="259" spans="2:14">
      <c r="B259" s="1159" t="s">
        <v>303</v>
      </c>
      <c r="C259" s="1160"/>
      <c r="D259" s="1160"/>
      <c r="E259" s="1160"/>
      <c r="F259" s="1160"/>
      <c r="G259" s="1160"/>
      <c r="H259" s="1160"/>
      <c r="I259" s="1160"/>
      <c r="J259" s="1160"/>
      <c r="K259" s="1160"/>
      <c r="L259" s="1160"/>
      <c r="M259" s="1160"/>
      <c r="N259" s="1161"/>
    </row>
    <row r="260" spans="2:14">
      <c r="B260" s="1159"/>
      <c r="C260" s="1160"/>
      <c r="D260" s="1160"/>
      <c r="E260" s="1160"/>
      <c r="F260" s="1160"/>
      <c r="G260" s="1160"/>
      <c r="H260" s="1160"/>
      <c r="I260" s="1160"/>
      <c r="J260" s="1160"/>
      <c r="K260" s="1160"/>
      <c r="L260" s="1160"/>
      <c r="M260" s="1160"/>
      <c r="N260" s="1161"/>
    </row>
    <row r="261" spans="2:14">
      <c r="B261" s="1159" t="s">
        <v>304</v>
      </c>
      <c r="C261" s="1160"/>
      <c r="D261" s="1160"/>
      <c r="E261" s="1160"/>
      <c r="F261" s="1160"/>
      <c r="G261" s="1160"/>
      <c r="H261" s="1160"/>
      <c r="I261" s="1160"/>
      <c r="J261" s="1160"/>
      <c r="K261" s="1160"/>
      <c r="L261" s="1160"/>
      <c r="M261" s="1160"/>
      <c r="N261" s="1161"/>
    </row>
    <row r="262" spans="2:14">
      <c r="B262" s="1159"/>
      <c r="C262" s="1160"/>
      <c r="D262" s="1160"/>
      <c r="E262" s="1160"/>
      <c r="F262" s="1160"/>
      <c r="G262" s="1160"/>
      <c r="H262" s="1160"/>
      <c r="I262" s="1160"/>
      <c r="J262" s="1160"/>
      <c r="K262" s="1160"/>
      <c r="L262" s="1160"/>
      <c r="M262" s="1160"/>
      <c r="N262" s="1161"/>
    </row>
    <row r="263" spans="2:14">
      <c r="B263" s="268"/>
      <c r="C263" s="350"/>
      <c r="D263" s="350"/>
      <c r="E263" s="350"/>
      <c r="F263" s="350"/>
      <c r="G263" s="350"/>
      <c r="H263" s="350"/>
      <c r="I263" s="350"/>
      <c r="J263" s="350"/>
      <c r="K263" s="350"/>
      <c r="L263" s="350"/>
      <c r="M263" s="350"/>
      <c r="N263" s="351"/>
    </row>
    <row r="264" spans="2:14">
      <c r="B264" s="283"/>
      <c r="G264" s="346" t="s">
        <v>296</v>
      </c>
      <c r="N264" s="284"/>
    </row>
    <row r="265" spans="2:14">
      <c r="B265" s="283"/>
      <c r="G265" s="258" t="s">
        <v>305</v>
      </c>
      <c r="H265" s="293"/>
      <c r="I265" s="293"/>
      <c r="J265" s="293"/>
      <c r="N265" s="284"/>
    </row>
    <row r="266" spans="2:14">
      <c r="B266" s="283"/>
      <c r="G266" s="258" t="s">
        <v>306</v>
      </c>
      <c r="H266" s="325"/>
      <c r="I266" s="325"/>
      <c r="J266" s="325"/>
      <c r="N266" s="284"/>
    </row>
    <row r="267" spans="2:14">
      <c r="B267" s="356"/>
      <c r="C267" s="350"/>
      <c r="D267" s="350"/>
      <c r="E267" s="350"/>
      <c r="F267" s="350"/>
      <c r="G267" s="258" t="s">
        <v>299</v>
      </c>
      <c r="K267" s="350"/>
      <c r="L267" s="350"/>
      <c r="M267" s="350"/>
      <c r="N267" s="351"/>
    </row>
    <row r="268" spans="2:14">
      <c r="B268" s="357"/>
      <c r="C268" s="358"/>
      <c r="D268" s="358"/>
      <c r="J268" s="1162"/>
      <c r="K268" s="1162"/>
      <c r="L268" s="1162"/>
      <c r="M268" s="1162"/>
      <c r="N268" s="1163"/>
    </row>
    <row r="269" spans="2:14" ht="13.5" thickBot="1">
      <c r="B269" s="1166"/>
      <c r="C269" s="1167"/>
      <c r="D269" s="1167"/>
      <c r="E269" s="311"/>
      <c r="F269" s="311"/>
      <c r="G269" s="311"/>
      <c r="H269" s="311"/>
      <c r="I269" s="311"/>
      <c r="J269" s="1164"/>
      <c r="K269" s="1164"/>
      <c r="L269" s="1164"/>
      <c r="M269" s="1164"/>
      <c r="N269" s="1165"/>
    </row>
    <row r="270" spans="2:14" ht="13.5" thickBot="1"/>
    <row r="271" spans="2:14">
      <c r="B271" s="1070"/>
      <c r="C271" s="1072"/>
      <c r="D271" s="1073"/>
      <c r="E271" s="1073"/>
      <c r="F271" s="1073"/>
      <c r="G271" s="1073"/>
      <c r="H271" s="1073"/>
      <c r="I271" s="1073"/>
      <c r="J271" s="1074"/>
      <c r="K271" s="1075"/>
      <c r="L271" s="1076"/>
      <c r="M271" s="1076"/>
      <c r="N271" s="1077"/>
    </row>
    <row r="272" spans="2:14">
      <c r="B272" s="1071"/>
      <c r="C272" s="1062" t="s">
        <v>244</v>
      </c>
      <c r="D272" s="1063"/>
      <c r="E272" s="1063"/>
      <c r="F272" s="1063"/>
      <c r="G272" s="1063"/>
      <c r="H272" s="1063"/>
      <c r="I272" s="1063"/>
      <c r="J272" s="1064"/>
      <c r="K272" s="1078"/>
      <c r="L272" s="1079"/>
      <c r="M272" s="1079"/>
      <c r="N272" s="1080"/>
    </row>
    <row r="273" spans="2:14">
      <c r="B273" s="1071"/>
      <c r="C273" s="1081"/>
      <c r="D273" s="1082"/>
      <c r="E273" s="1082"/>
      <c r="F273" s="1082"/>
      <c r="G273" s="1082"/>
      <c r="H273" s="1082"/>
      <c r="I273" s="1082"/>
      <c r="J273" s="1083"/>
      <c r="K273" s="1058" t="s">
        <v>245</v>
      </c>
      <c r="L273" s="1085"/>
      <c r="M273" s="1086"/>
      <c r="N273" s="1087"/>
    </row>
    <row r="274" spans="2:14">
      <c r="B274" s="1071"/>
      <c r="C274" s="1062" t="s">
        <v>246</v>
      </c>
      <c r="D274" s="1063"/>
      <c r="E274" s="1063"/>
      <c r="F274" s="1063"/>
      <c r="G274" s="1063"/>
      <c r="H274" s="1063"/>
      <c r="I274" s="1063"/>
      <c r="J274" s="1064"/>
      <c r="K274" s="1084"/>
      <c r="L274" s="1088"/>
      <c r="M274" s="1089"/>
      <c r="N274" s="1090"/>
    </row>
    <row r="275" spans="2:14">
      <c r="B275" s="1071"/>
      <c r="C275" s="1091"/>
      <c r="D275" s="1092"/>
      <c r="E275" s="1092"/>
      <c r="F275" s="1092"/>
      <c r="G275" s="1092"/>
      <c r="H275" s="1092"/>
      <c r="I275" s="1092"/>
      <c r="J275" s="1093"/>
      <c r="K275" s="1058" t="s">
        <v>247</v>
      </c>
      <c r="L275" s="1058">
        <v>4</v>
      </c>
      <c r="M275" s="1058" t="s">
        <v>248</v>
      </c>
      <c r="N275" s="1060">
        <v>1</v>
      </c>
    </row>
    <row r="276" spans="2:14">
      <c r="B276" s="1071"/>
      <c r="C276" s="1091"/>
      <c r="D276" s="1092"/>
      <c r="E276" s="1092"/>
      <c r="F276" s="1092"/>
      <c r="G276" s="1092"/>
      <c r="H276" s="1092"/>
      <c r="I276" s="1092"/>
      <c r="J276" s="1093"/>
      <c r="K276" s="1059"/>
      <c r="L276" s="1059"/>
      <c r="M276" s="1059"/>
      <c r="N276" s="1061"/>
    </row>
    <row r="277" spans="2:14">
      <c r="B277" s="1071"/>
      <c r="C277" s="1062" t="s">
        <v>249</v>
      </c>
      <c r="D277" s="1063"/>
      <c r="E277" s="1063"/>
      <c r="F277" s="1063"/>
      <c r="G277" s="1063"/>
      <c r="H277" s="1063"/>
      <c r="I277" s="1063"/>
      <c r="J277" s="1064"/>
      <c r="K277" s="1059"/>
      <c r="L277" s="1059"/>
      <c r="M277" s="1059"/>
      <c r="N277" s="1061"/>
    </row>
    <row r="278" spans="2:14" ht="13.5" thickBot="1">
      <c r="B278" s="259"/>
      <c r="C278" s="260"/>
      <c r="D278" s="260"/>
      <c r="E278" s="260"/>
      <c r="F278" s="260"/>
      <c r="G278" s="260"/>
      <c r="H278" s="260"/>
      <c r="I278" s="260"/>
      <c r="J278" s="260"/>
      <c r="K278" s="260"/>
      <c r="L278" s="261"/>
      <c r="M278" s="261"/>
      <c r="N278" s="262"/>
    </row>
    <row r="279" spans="2:14">
      <c r="B279" s="263"/>
      <c r="C279" s="264"/>
      <c r="D279" s="264"/>
      <c r="E279" s="264"/>
      <c r="F279" s="264"/>
      <c r="G279" s="264"/>
      <c r="H279" s="264"/>
      <c r="I279" s="264"/>
      <c r="J279" s="264"/>
      <c r="K279" s="265" t="s">
        <v>250</v>
      </c>
      <c r="L279" s="266" t="s">
        <v>251</v>
      </c>
      <c r="M279" s="266" t="s">
        <v>252</v>
      </c>
      <c r="N279" s="267" t="s">
        <v>253</v>
      </c>
    </row>
    <row r="280" spans="2:14">
      <c r="B280" s="268"/>
      <c r="C280" s="269"/>
      <c r="D280" s="269"/>
      <c r="E280" s="269"/>
      <c r="F280" s="269"/>
      <c r="G280" s="269"/>
      <c r="H280" s="269"/>
      <c r="I280" s="269"/>
      <c r="J280" s="269"/>
      <c r="K280" s="270"/>
      <c r="L280" s="271"/>
      <c r="M280" s="271"/>
      <c r="N280" s="272"/>
    </row>
    <row r="281" spans="2:14">
      <c r="B281" s="1065" t="s">
        <v>254</v>
      </c>
      <c r="C281" s="1066"/>
      <c r="D281" s="1066"/>
      <c r="E281" s="1066"/>
      <c r="F281" s="269"/>
      <c r="G281" s="269"/>
      <c r="H281" s="269" t="s">
        <v>255</v>
      </c>
      <c r="J281" s="269"/>
      <c r="K281" s="270"/>
      <c r="N281" s="273"/>
    </row>
    <row r="282" spans="2:14">
      <c r="B282" s="274"/>
      <c r="C282" s="275"/>
      <c r="D282" s="275"/>
      <c r="E282" s="275"/>
      <c r="F282" s="275"/>
      <c r="G282" s="275"/>
      <c r="H282" s="275"/>
      <c r="I282" s="275"/>
      <c r="J282" s="275"/>
      <c r="K282" s="275"/>
      <c r="L282" s="275"/>
      <c r="M282" s="275"/>
      <c r="N282" s="276"/>
    </row>
    <row r="283" spans="2:14" ht="13.5" thickBot="1">
      <c r="B283" s="277"/>
      <c r="C283" s="278"/>
      <c r="D283" s="278"/>
      <c r="E283" s="278"/>
      <c r="F283" s="278"/>
      <c r="G283" s="278"/>
      <c r="H283" s="278"/>
      <c r="I283" s="278"/>
      <c r="J283" s="278"/>
      <c r="K283" s="278"/>
      <c r="L283" s="278"/>
      <c r="M283" s="278"/>
      <c r="N283" s="279"/>
    </row>
    <row r="284" spans="2:14" ht="13.5" thickBot="1">
      <c r="B284" s="280"/>
      <c r="C284" s="281"/>
      <c r="D284" s="281"/>
      <c r="E284" s="281"/>
      <c r="F284" s="281"/>
      <c r="G284" s="281"/>
      <c r="J284" s="281"/>
      <c r="K284" s="281"/>
      <c r="L284" s="281"/>
      <c r="M284" s="281"/>
      <c r="N284" s="282"/>
    </row>
    <row r="285" spans="2:14">
      <c r="B285" s="1067" t="s">
        <v>256</v>
      </c>
      <c r="C285" s="1068"/>
      <c r="D285" s="1068"/>
      <c r="E285" s="1068"/>
      <c r="F285" s="1068"/>
      <c r="G285" s="1068"/>
      <c r="H285" s="1068"/>
      <c r="I285" s="1068"/>
      <c r="J285" s="1068"/>
      <c r="K285" s="1068"/>
      <c r="L285" s="1068"/>
      <c r="M285" s="1068"/>
      <c r="N285" s="1069"/>
    </row>
    <row r="286" spans="2:14" ht="13.5" thickBot="1">
      <c r="B286" s="283"/>
      <c r="N286" s="284"/>
    </row>
    <row r="287" spans="2:14">
      <c r="B287" s="285" t="s">
        <v>257</v>
      </c>
      <c r="C287" s="1120" t="s">
        <v>258</v>
      </c>
      <c r="D287" s="1121"/>
      <c r="E287" s="1121"/>
      <c r="F287" s="1121"/>
      <c r="G287" s="1121"/>
      <c r="H287" s="1121"/>
      <c r="I287" s="1121"/>
      <c r="J287" s="1121"/>
      <c r="K287" s="1122"/>
      <c r="L287" s="1123" t="s">
        <v>259</v>
      </c>
      <c r="M287" s="1124"/>
      <c r="N287" s="285" t="s">
        <v>133</v>
      </c>
    </row>
    <row r="288" spans="2:14" ht="27" customHeight="1" thickBot="1">
      <c r="B288" s="286">
        <v>4</v>
      </c>
      <c r="C288" s="1125" t="s">
        <v>309</v>
      </c>
      <c r="D288" s="1126"/>
      <c r="E288" s="1126"/>
      <c r="F288" s="1126"/>
      <c r="G288" s="1126"/>
      <c r="H288" s="1126"/>
      <c r="I288" s="1126"/>
      <c r="J288" s="1126"/>
      <c r="K288" s="1127"/>
      <c r="L288" s="1128" t="s">
        <v>143</v>
      </c>
      <c r="M288" s="1129"/>
      <c r="N288" s="366">
        <v>200</v>
      </c>
    </row>
    <row r="289" spans="2:14">
      <c r="B289" s="1103" t="s">
        <v>260</v>
      </c>
      <c r="C289" s="1104"/>
      <c r="D289" s="1104"/>
      <c r="E289" s="1104"/>
      <c r="F289" s="1104"/>
      <c r="G289" s="1104"/>
      <c r="H289" s="1104"/>
      <c r="I289" s="1104"/>
      <c r="J289" s="1104"/>
      <c r="K289" s="1104"/>
      <c r="L289" s="1104"/>
      <c r="M289" s="1104"/>
      <c r="N289" s="1105"/>
    </row>
    <row r="290" spans="2:14">
      <c r="B290" s="1106"/>
      <c r="C290" s="1107"/>
      <c r="D290" s="1107"/>
      <c r="E290" s="1107"/>
      <c r="F290" s="1107"/>
      <c r="G290" s="1107"/>
      <c r="H290" s="1107"/>
      <c r="I290" s="1107"/>
      <c r="J290" s="1107"/>
      <c r="K290" s="1107"/>
      <c r="L290" s="1107"/>
      <c r="M290" s="1107"/>
      <c r="N290" s="1108"/>
    </row>
    <row r="291" spans="2:14" ht="13.5" thickBot="1">
      <c r="B291" s="1109"/>
      <c r="C291" s="1110"/>
      <c r="D291" s="1110"/>
      <c r="E291" s="1110"/>
      <c r="F291" s="1110"/>
      <c r="G291" s="1110"/>
      <c r="H291" s="1110"/>
      <c r="I291" s="1110"/>
      <c r="J291" s="1110"/>
      <c r="K291" s="1110"/>
      <c r="L291" s="1110"/>
      <c r="M291" s="1110"/>
      <c r="N291" s="1111"/>
    </row>
    <row r="292" spans="2:14">
      <c r="B292" s="1130" t="s">
        <v>258</v>
      </c>
      <c r="C292" s="1131"/>
      <c r="D292" s="1131"/>
      <c r="E292" s="1131"/>
      <c r="F292" s="1132"/>
      <c r="G292" s="1133" t="s">
        <v>261</v>
      </c>
      <c r="H292" s="1131"/>
      <c r="I292" s="1134" t="s">
        <v>262</v>
      </c>
      <c r="J292" s="1135"/>
      <c r="K292" s="288" t="s">
        <v>263</v>
      </c>
      <c r="L292" s="1133" t="s">
        <v>264</v>
      </c>
      <c r="M292" s="1136"/>
      <c r="N292" s="289" t="s">
        <v>265</v>
      </c>
    </row>
    <row r="293" spans="2:14">
      <c r="B293" s="1112"/>
      <c r="C293" s="1113"/>
      <c r="D293" s="1113"/>
      <c r="E293" s="1113"/>
      <c r="F293" s="1114"/>
      <c r="G293" s="1115"/>
      <c r="H293" s="1114"/>
      <c r="I293" s="1116"/>
      <c r="J293" s="1117"/>
      <c r="K293" s="360"/>
      <c r="L293" s="1118"/>
      <c r="M293" s="1119"/>
      <c r="N293" s="361"/>
    </row>
    <row r="294" spans="2:14">
      <c r="B294" s="292"/>
      <c r="C294" s="293"/>
      <c r="D294" s="293"/>
      <c r="E294" s="293"/>
      <c r="F294" s="294"/>
      <c r="G294" s="295"/>
      <c r="H294" s="294"/>
      <c r="I294" s="1116"/>
      <c r="J294" s="1117"/>
      <c r="K294" s="360"/>
      <c r="L294" s="1118"/>
      <c r="M294" s="1119"/>
      <c r="N294" s="361"/>
    </row>
    <row r="295" spans="2:14" ht="13.5" thickBot="1">
      <c r="B295" s="1094"/>
      <c r="C295" s="1095"/>
      <c r="D295" s="1095"/>
      <c r="E295" s="1095"/>
      <c r="F295" s="1096"/>
      <c r="G295" s="1097"/>
      <c r="H295" s="1096"/>
      <c r="I295" s="1097"/>
      <c r="J295" s="1096"/>
      <c r="K295" s="296"/>
      <c r="L295" s="1098"/>
      <c r="M295" s="1099"/>
      <c r="N295" s="297"/>
    </row>
    <row r="296" spans="2:14" ht="13.5" thickBot="1">
      <c r="B296" s="1100" t="s">
        <v>269</v>
      </c>
      <c r="C296" s="1101"/>
      <c r="D296" s="1101"/>
      <c r="E296" s="1101"/>
      <c r="F296" s="1101"/>
      <c r="G296" s="1101"/>
      <c r="H296" s="1101"/>
      <c r="I296" s="1101"/>
      <c r="J296" s="1101"/>
      <c r="K296" s="1101"/>
      <c r="L296" s="1101"/>
      <c r="M296" s="1102"/>
      <c r="N296" s="362">
        <f>+N293+N294+N295</f>
        <v>0</v>
      </c>
    </row>
    <row r="297" spans="2:14">
      <c r="B297" s="1103" t="s">
        <v>270</v>
      </c>
      <c r="C297" s="1104"/>
      <c r="D297" s="1104"/>
      <c r="E297" s="1104"/>
      <c r="F297" s="1104"/>
      <c r="G297" s="1104"/>
      <c r="H297" s="1104"/>
      <c r="I297" s="1104"/>
      <c r="J297" s="1104"/>
      <c r="K297" s="1104"/>
      <c r="L297" s="1104"/>
      <c r="M297" s="1104"/>
      <c r="N297" s="1105"/>
    </row>
    <row r="298" spans="2:14">
      <c r="B298" s="1106"/>
      <c r="C298" s="1107"/>
      <c r="D298" s="1107"/>
      <c r="E298" s="1107"/>
      <c r="F298" s="1107"/>
      <c r="G298" s="1107"/>
      <c r="H298" s="1107"/>
      <c r="I298" s="1107"/>
      <c r="J298" s="1107"/>
      <c r="K298" s="1107"/>
      <c r="L298" s="1107"/>
      <c r="M298" s="1107"/>
      <c r="N298" s="1108"/>
    </row>
    <row r="299" spans="2:14" ht="13.5" thickBot="1">
      <c r="B299" s="1109"/>
      <c r="C299" s="1110"/>
      <c r="D299" s="1110"/>
      <c r="E299" s="1110"/>
      <c r="F299" s="1110"/>
      <c r="G299" s="1110"/>
      <c r="H299" s="1110"/>
      <c r="I299" s="1110"/>
      <c r="J299" s="1110"/>
      <c r="K299" s="1110"/>
      <c r="L299" s="1110"/>
      <c r="M299" s="1110"/>
      <c r="N299" s="1111"/>
    </row>
    <row r="300" spans="2:14">
      <c r="B300" s="1130" t="s">
        <v>258</v>
      </c>
      <c r="C300" s="1139"/>
      <c r="D300" s="1139"/>
      <c r="E300" s="1139"/>
      <c r="F300" s="1139"/>
      <c r="G300" s="1139"/>
      <c r="H300" s="1139"/>
      <c r="I300" s="1136"/>
      <c r="J300" s="299" t="s">
        <v>259</v>
      </c>
      <c r="K300" s="288" t="s">
        <v>133</v>
      </c>
      <c r="L300" s="1173" t="s">
        <v>271</v>
      </c>
      <c r="M300" s="1174"/>
      <c r="N300" s="289" t="s">
        <v>265</v>
      </c>
    </row>
    <row r="301" spans="2:14">
      <c r="B301" s="1112" t="s">
        <v>310</v>
      </c>
      <c r="C301" s="1113"/>
      <c r="D301" s="1113"/>
      <c r="E301" s="1113"/>
      <c r="F301" s="1113"/>
      <c r="G301" s="1113"/>
      <c r="H301" s="1113"/>
      <c r="I301" s="1114"/>
      <c r="J301" s="300" t="s">
        <v>196</v>
      </c>
      <c r="K301" s="380">
        <v>1</v>
      </c>
      <c r="L301" s="1175">
        <v>5355</v>
      </c>
      <c r="M301" s="1176"/>
      <c r="N301" s="381">
        <f>+L301*K301</f>
        <v>5355</v>
      </c>
    </row>
    <row r="302" spans="2:14">
      <c r="B302" s="1112" t="s">
        <v>311</v>
      </c>
      <c r="C302" s="1113"/>
      <c r="D302" s="1113"/>
      <c r="E302" s="1113"/>
      <c r="F302" s="1113"/>
      <c r="G302" s="1113"/>
      <c r="H302" s="1113"/>
      <c r="I302" s="1114"/>
      <c r="J302" s="300" t="s">
        <v>275</v>
      </c>
      <c r="K302" s="380">
        <v>0.3</v>
      </c>
      <c r="L302" s="1175">
        <v>2540</v>
      </c>
      <c r="M302" s="1176"/>
      <c r="N302" s="381">
        <f>+L302*K302</f>
        <v>762</v>
      </c>
    </row>
    <row r="303" spans="2:14">
      <c r="B303" s="1112" t="s">
        <v>312</v>
      </c>
      <c r="C303" s="1113"/>
      <c r="D303" s="1113"/>
      <c r="E303" s="1113"/>
      <c r="F303" s="1113"/>
      <c r="G303" s="1113"/>
      <c r="H303" s="1113"/>
      <c r="I303" s="1114"/>
      <c r="J303" s="300" t="s">
        <v>143</v>
      </c>
      <c r="K303" s="380">
        <v>1</v>
      </c>
      <c r="L303" s="1175">
        <v>2289</v>
      </c>
      <c r="M303" s="1176"/>
      <c r="N303" s="381">
        <f>+L303*K303</f>
        <v>2289</v>
      </c>
    </row>
    <row r="304" spans="2:14" ht="13.5" thickBot="1">
      <c r="B304" s="1112" t="s">
        <v>313</v>
      </c>
      <c r="C304" s="1113"/>
      <c r="D304" s="1113"/>
      <c r="E304" s="1113"/>
      <c r="F304" s="1113"/>
      <c r="G304" s="1113"/>
      <c r="H304" s="1113"/>
      <c r="I304" s="1114"/>
      <c r="J304" s="300" t="s">
        <v>196</v>
      </c>
      <c r="K304" s="380">
        <v>2</v>
      </c>
      <c r="L304" s="1175">
        <v>130</v>
      </c>
      <c r="M304" s="1176"/>
      <c r="N304" s="381">
        <f>+L304*K304</f>
        <v>260</v>
      </c>
    </row>
    <row r="305" spans="2:14" ht="13.5" thickBot="1">
      <c r="B305" s="1100" t="s">
        <v>269</v>
      </c>
      <c r="C305" s="1101"/>
      <c r="D305" s="1101"/>
      <c r="E305" s="1101"/>
      <c r="F305" s="1101"/>
      <c r="G305" s="1101"/>
      <c r="H305" s="1101"/>
      <c r="I305" s="1101"/>
      <c r="J305" s="1101"/>
      <c r="K305" s="1101"/>
      <c r="L305" s="1177"/>
      <c r="M305" s="1178"/>
      <c r="N305" s="323">
        <f>+N301+N302+N303+N304</f>
        <v>8666</v>
      </c>
    </row>
    <row r="306" spans="2:14">
      <c r="B306" s="1103" t="s">
        <v>276</v>
      </c>
      <c r="C306" s="1104"/>
      <c r="D306" s="1104"/>
      <c r="E306" s="1104"/>
      <c r="F306" s="1104"/>
      <c r="G306" s="1104"/>
      <c r="H306" s="1104"/>
      <c r="I306" s="1104"/>
      <c r="J306" s="1104"/>
      <c r="K306" s="1104"/>
      <c r="L306" s="1104"/>
      <c r="M306" s="1104"/>
      <c r="N306" s="1105"/>
    </row>
    <row r="307" spans="2:14">
      <c r="B307" s="1106"/>
      <c r="C307" s="1107"/>
      <c r="D307" s="1107"/>
      <c r="E307" s="1107"/>
      <c r="F307" s="1107"/>
      <c r="G307" s="1107"/>
      <c r="H307" s="1107"/>
      <c r="I307" s="1107"/>
      <c r="J307" s="1107"/>
      <c r="K307" s="1107"/>
      <c r="L307" s="1107"/>
      <c r="M307" s="1107"/>
      <c r="N307" s="1108"/>
    </row>
    <row r="308" spans="2:14" ht="13.5" thickBot="1">
      <c r="B308" s="1109"/>
      <c r="C308" s="1110"/>
      <c r="D308" s="1110"/>
      <c r="E308" s="1110"/>
      <c r="F308" s="1110"/>
      <c r="G308" s="1110"/>
      <c r="H308" s="1110"/>
      <c r="I308" s="1110"/>
      <c r="J308" s="1110"/>
      <c r="K308" s="1110"/>
      <c r="L308" s="1110"/>
      <c r="M308" s="1110"/>
      <c r="N308" s="1111"/>
    </row>
    <row r="309" spans="2:14">
      <c r="B309" s="1130" t="s">
        <v>277</v>
      </c>
      <c r="C309" s="1139"/>
      <c r="D309" s="1139"/>
      <c r="E309" s="1139"/>
      <c r="F309" s="1139"/>
      <c r="G309" s="1139"/>
      <c r="H309" s="1139"/>
      <c r="I309" s="288" t="s">
        <v>278</v>
      </c>
      <c r="J309" s="306" t="s">
        <v>279</v>
      </c>
      <c r="K309" s="307" t="s">
        <v>280</v>
      </c>
      <c r="L309" s="1133" t="s">
        <v>281</v>
      </c>
      <c r="M309" s="1136"/>
      <c r="N309" s="289" t="s">
        <v>265</v>
      </c>
    </row>
    <row r="310" spans="2:14">
      <c r="B310" s="1112"/>
      <c r="C310" s="1113"/>
      <c r="D310" s="1113"/>
      <c r="E310" s="1113"/>
      <c r="F310" s="1113"/>
      <c r="G310" s="1113"/>
      <c r="H310" s="1113"/>
      <c r="I310" s="308"/>
      <c r="J310" s="309"/>
      <c r="K310" s="308"/>
      <c r="L310" s="1142"/>
      <c r="M310" s="1143"/>
      <c r="N310" s="297"/>
    </row>
    <row r="311" spans="2:14" ht="13.5" thickBot="1">
      <c r="B311" s="1094"/>
      <c r="C311" s="1095"/>
      <c r="D311" s="1095"/>
      <c r="E311" s="1095"/>
      <c r="F311" s="1095"/>
      <c r="G311" s="1095"/>
      <c r="H311" s="1095"/>
      <c r="I311" s="310"/>
      <c r="J311" s="311"/>
      <c r="K311" s="310"/>
      <c r="L311" s="1137"/>
      <c r="M311" s="1138"/>
      <c r="N311" s="312"/>
    </row>
    <row r="312" spans="2:14" ht="13.5" thickBot="1">
      <c r="B312" s="1100" t="s">
        <v>269</v>
      </c>
      <c r="C312" s="1101"/>
      <c r="D312" s="1101"/>
      <c r="E312" s="1101"/>
      <c r="F312" s="1101"/>
      <c r="G312" s="1101"/>
      <c r="H312" s="1101"/>
      <c r="I312" s="1101"/>
      <c r="J312" s="1101"/>
      <c r="K312" s="1101"/>
      <c r="L312" s="1101"/>
      <c r="M312" s="1102"/>
      <c r="N312" s="313">
        <v>0</v>
      </c>
    </row>
    <row r="313" spans="2:14">
      <c r="B313" s="1103" t="s">
        <v>282</v>
      </c>
      <c r="C313" s="1104"/>
      <c r="D313" s="1104"/>
      <c r="E313" s="1104"/>
      <c r="F313" s="1104"/>
      <c r="G313" s="1104"/>
      <c r="H313" s="1104"/>
      <c r="I313" s="1104"/>
      <c r="J313" s="1104"/>
      <c r="K313" s="1104"/>
      <c r="L313" s="1104"/>
      <c r="M313" s="1104"/>
      <c r="N313" s="1105"/>
    </row>
    <row r="314" spans="2:14">
      <c r="B314" s="1106"/>
      <c r="C314" s="1107"/>
      <c r="D314" s="1107"/>
      <c r="E314" s="1107"/>
      <c r="F314" s="1107"/>
      <c r="G314" s="1107"/>
      <c r="H314" s="1107"/>
      <c r="I314" s="1107"/>
      <c r="J314" s="1107"/>
      <c r="K314" s="1107"/>
      <c r="L314" s="1107"/>
      <c r="M314" s="1107"/>
      <c r="N314" s="1108"/>
    </row>
    <row r="315" spans="2:14" ht="13.5" thickBot="1">
      <c r="B315" s="1109"/>
      <c r="C315" s="1110"/>
      <c r="D315" s="1110"/>
      <c r="E315" s="1110"/>
      <c r="F315" s="1110"/>
      <c r="G315" s="1110"/>
      <c r="H315" s="1110"/>
      <c r="I315" s="1110"/>
      <c r="J315" s="1110"/>
      <c r="K315" s="1110"/>
      <c r="L315" s="1110"/>
      <c r="M315" s="1110"/>
      <c r="N315" s="1111"/>
    </row>
    <row r="316" spans="2:14">
      <c r="B316" s="1130" t="s">
        <v>283</v>
      </c>
      <c r="C316" s="1139"/>
      <c r="D316" s="1139"/>
      <c r="E316" s="1139"/>
      <c r="F316" s="1139"/>
      <c r="G316" s="1139"/>
      <c r="H316" s="1139"/>
      <c r="I316" s="288" t="s">
        <v>284</v>
      </c>
      <c r="J316" s="314" t="s">
        <v>285</v>
      </c>
      <c r="K316" s="315" t="s">
        <v>286</v>
      </c>
      <c r="L316" s="1140" t="s">
        <v>264</v>
      </c>
      <c r="M316" s="1141"/>
      <c r="N316" s="316" t="s">
        <v>265</v>
      </c>
    </row>
    <row r="317" spans="2:14">
      <c r="B317" s="317" t="s">
        <v>308</v>
      </c>
      <c r="C317" s="318"/>
      <c r="D317" s="318"/>
      <c r="E317" s="318"/>
      <c r="F317" s="318"/>
      <c r="G317" s="318"/>
      <c r="H317" s="318"/>
      <c r="I317" s="319">
        <v>153482</v>
      </c>
      <c r="J317" s="320">
        <v>0</v>
      </c>
      <c r="K317" s="321">
        <f>+I317+J317</f>
        <v>153482</v>
      </c>
      <c r="L317" s="1157">
        <v>35.000525000000003</v>
      </c>
      <c r="M317" s="1158"/>
      <c r="N317" s="322">
        <f>+K317/L317</f>
        <v>4385.134222986655</v>
      </c>
    </row>
    <row r="318" spans="2:14" ht="13.5" thickBot="1">
      <c r="B318" s="317"/>
      <c r="C318" s="318"/>
      <c r="D318" s="318"/>
      <c r="E318" s="318"/>
      <c r="F318" s="318"/>
      <c r="G318" s="318"/>
      <c r="H318" s="318"/>
      <c r="I318" s="364"/>
      <c r="J318" s="320"/>
      <c r="K318" s="365"/>
      <c r="L318" s="1157"/>
      <c r="M318" s="1158"/>
      <c r="N318" s="322"/>
    </row>
    <row r="319" spans="2:14" ht="13.5" thickBot="1">
      <c r="B319" s="1100" t="s">
        <v>269</v>
      </c>
      <c r="C319" s="1101"/>
      <c r="D319" s="1101"/>
      <c r="E319" s="1101"/>
      <c r="F319" s="1101"/>
      <c r="G319" s="1101"/>
      <c r="H319" s="1101"/>
      <c r="I319" s="1101"/>
      <c r="J319" s="1101"/>
      <c r="K319" s="1101"/>
      <c r="L319" s="1101"/>
      <c r="M319" s="1102"/>
      <c r="N319" s="323">
        <f>+N317</f>
        <v>4385.134222986655</v>
      </c>
    </row>
    <row r="320" spans="2:14" ht="13.5" thickBot="1">
      <c r="B320" s="324" t="s">
        <v>288</v>
      </c>
      <c r="C320" s="325"/>
      <c r="D320" s="325"/>
      <c r="E320" s="325"/>
      <c r="F320" s="325"/>
      <c r="G320" s="325"/>
      <c r="H320" s="325"/>
      <c r="I320" s="326"/>
      <c r="J320" s="327"/>
      <c r="K320" s="328"/>
      <c r="L320" s="329"/>
      <c r="M320" s="329"/>
      <c r="N320" s="330"/>
    </row>
    <row r="321" spans="2:14">
      <c r="B321" s="1130" t="s">
        <v>17</v>
      </c>
      <c r="C321" s="1139"/>
      <c r="D321" s="1139"/>
      <c r="E321" s="1139"/>
      <c r="F321" s="1139"/>
      <c r="G321" s="1139"/>
      <c r="H321" s="1139"/>
      <c r="I321" s="1136"/>
      <c r="J321" s="299" t="s">
        <v>259</v>
      </c>
      <c r="K321" s="288" t="s">
        <v>133</v>
      </c>
      <c r="L321" s="1133" t="s">
        <v>271</v>
      </c>
      <c r="M321" s="1136"/>
      <c r="N321" s="316" t="s">
        <v>265</v>
      </c>
    </row>
    <row r="322" spans="2:14">
      <c r="B322" s="331" t="s">
        <v>289</v>
      </c>
      <c r="C322" s="332"/>
      <c r="D322" s="332"/>
      <c r="E322" s="332"/>
      <c r="F322" s="332"/>
      <c r="G322" s="332"/>
      <c r="H322" s="332"/>
      <c r="I322" s="333"/>
      <c r="J322" s="334" t="s">
        <v>290</v>
      </c>
      <c r="K322" s="335">
        <v>0.05</v>
      </c>
      <c r="L322" s="1168">
        <v>4385</v>
      </c>
      <c r="M322" s="1169"/>
      <c r="N322" s="322">
        <f>+K322*L322</f>
        <v>219.25</v>
      </c>
    </row>
    <row r="323" spans="2:14" ht="13.5" thickBot="1">
      <c r="B323" s="356"/>
      <c r="C323" s="325"/>
      <c r="D323" s="325"/>
      <c r="E323" s="325"/>
      <c r="F323" s="325"/>
      <c r="G323" s="325"/>
      <c r="H323" s="325"/>
      <c r="I323" s="369"/>
      <c r="J323" s="327"/>
      <c r="K323" s="370"/>
      <c r="L323" s="371"/>
      <c r="M323" s="372"/>
      <c r="N323" s="373"/>
    </row>
    <row r="324" spans="2:14" ht="13.5" thickBot="1">
      <c r="B324" s="1100" t="s">
        <v>269</v>
      </c>
      <c r="C324" s="1101"/>
      <c r="D324" s="1101"/>
      <c r="E324" s="1101"/>
      <c r="F324" s="1101"/>
      <c r="G324" s="1101"/>
      <c r="H324" s="1101"/>
      <c r="I324" s="1101"/>
      <c r="J324" s="1101"/>
      <c r="K324" s="1101"/>
      <c r="L324" s="1101"/>
      <c r="M324" s="1102"/>
      <c r="N324" s="323">
        <f>+N322</f>
        <v>219.25</v>
      </c>
    </row>
    <row r="325" spans="2:14">
      <c r="B325" s="280"/>
      <c r="C325" s="281"/>
      <c r="D325" s="281"/>
      <c r="E325" s="281"/>
      <c r="F325" s="281"/>
      <c r="G325" s="281"/>
      <c r="H325" s="281"/>
      <c r="I325" s="281"/>
      <c r="J325" s="281"/>
      <c r="K325" s="281"/>
      <c r="L325" s="281"/>
      <c r="M325" s="281"/>
      <c r="N325" s="282"/>
    </row>
    <row r="326" spans="2:14" ht="13.5" thickBot="1">
      <c r="B326" s="378"/>
      <c r="C326" s="311"/>
      <c r="D326" s="311"/>
      <c r="E326" s="311"/>
      <c r="F326" s="311"/>
      <c r="G326" s="311"/>
      <c r="H326" s="311"/>
      <c r="I326" s="311"/>
      <c r="J326" s="311"/>
      <c r="K326" s="311"/>
      <c r="L326" s="311"/>
      <c r="M326" s="311"/>
      <c r="N326" s="379"/>
    </row>
    <row r="327" spans="2:14" ht="13.5" thickBot="1">
      <c r="B327" s="1150" t="s">
        <v>291</v>
      </c>
      <c r="C327" s="1151"/>
      <c r="D327" s="1151"/>
      <c r="E327" s="1151"/>
      <c r="F327" s="1151"/>
      <c r="G327" s="1151"/>
      <c r="H327" s="1151"/>
      <c r="I327" s="1151"/>
      <c r="J327" s="1151"/>
      <c r="K327" s="1151"/>
      <c r="L327" s="1151"/>
      <c r="M327" s="1152"/>
      <c r="N327" s="336">
        <f>+N296+N305+N312+N319+N324</f>
        <v>13270.384222986655</v>
      </c>
    </row>
    <row r="328" spans="2:14">
      <c r="B328" s="1103" t="s">
        <v>292</v>
      </c>
      <c r="C328" s="1104"/>
      <c r="D328" s="1104"/>
      <c r="E328" s="1104"/>
      <c r="F328" s="1104"/>
      <c r="G328" s="1104"/>
      <c r="H328" s="1104"/>
      <c r="I328" s="1104"/>
      <c r="J328" s="1104"/>
      <c r="K328" s="1104"/>
      <c r="L328" s="1104"/>
      <c r="M328" s="1104"/>
      <c r="N328" s="1105"/>
    </row>
    <row r="329" spans="2:14">
      <c r="B329" s="1106"/>
      <c r="C329" s="1107"/>
      <c r="D329" s="1107"/>
      <c r="E329" s="1107"/>
      <c r="F329" s="1107"/>
      <c r="G329" s="1107"/>
      <c r="H329" s="1107"/>
      <c r="I329" s="1107"/>
      <c r="J329" s="1107"/>
      <c r="K329" s="1107"/>
      <c r="L329" s="1107"/>
      <c r="M329" s="1107"/>
      <c r="N329" s="1108"/>
    </row>
    <row r="330" spans="2:14" ht="13.5" thickBot="1">
      <c r="B330" s="1109"/>
      <c r="C330" s="1110"/>
      <c r="D330" s="1110"/>
      <c r="E330" s="1110"/>
      <c r="F330" s="1110"/>
      <c r="G330" s="1110"/>
      <c r="H330" s="1110"/>
      <c r="I330" s="1110"/>
      <c r="J330" s="1110"/>
      <c r="K330" s="1110"/>
      <c r="L330" s="1110"/>
      <c r="M330" s="1110"/>
      <c r="N330" s="1111"/>
    </row>
    <row r="331" spans="2:14">
      <c r="B331" s="1130" t="s">
        <v>17</v>
      </c>
      <c r="C331" s="1139"/>
      <c r="D331" s="1139"/>
      <c r="E331" s="1139"/>
      <c r="F331" s="1139"/>
      <c r="G331" s="1139"/>
      <c r="H331" s="1139"/>
      <c r="I331" s="306"/>
      <c r="J331" s="337"/>
      <c r="K331" s="315" t="s">
        <v>79</v>
      </c>
      <c r="L331" s="1140" t="s">
        <v>11</v>
      </c>
      <c r="M331" s="1141"/>
      <c r="N331" s="316"/>
    </row>
    <row r="332" spans="2:14">
      <c r="B332" s="1112" t="s">
        <v>232</v>
      </c>
      <c r="C332" s="1113"/>
      <c r="D332" s="1113"/>
      <c r="E332" s="1113"/>
      <c r="F332" s="1113"/>
      <c r="G332" s="1113"/>
      <c r="H332" s="1113"/>
      <c r="I332" s="338"/>
      <c r="J332" s="339"/>
      <c r="K332" s="340">
        <f>'PRESUPUESTO OFICIAL'!$K$100</f>
        <v>0</v>
      </c>
      <c r="L332" s="1146">
        <f>K332*N327</f>
        <v>0</v>
      </c>
      <c r="M332" s="1147"/>
      <c r="N332" s="341"/>
    </row>
    <row r="333" spans="2:14">
      <c r="B333" s="292" t="s">
        <v>293</v>
      </c>
      <c r="C333" s="293"/>
      <c r="D333" s="293"/>
      <c r="E333" s="293"/>
      <c r="F333" s="293"/>
      <c r="G333" s="293"/>
      <c r="H333" s="293"/>
      <c r="I333" s="338"/>
      <c r="J333" s="339"/>
      <c r="K333" s="340">
        <f>'PRESUPUESTO OFICIAL'!$K$101</f>
        <v>0</v>
      </c>
      <c r="L333" s="1146">
        <f>K333*N327</f>
        <v>0</v>
      </c>
      <c r="M333" s="1147"/>
      <c r="N333" s="341"/>
    </row>
    <row r="334" spans="2:14" ht="13.5" thickBot="1">
      <c r="B334" s="277" t="s">
        <v>294</v>
      </c>
      <c r="C334" s="278"/>
      <c r="D334" s="278"/>
      <c r="E334" s="278"/>
      <c r="F334" s="278"/>
      <c r="G334" s="278"/>
      <c r="H334" s="278"/>
      <c r="I334" s="342"/>
      <c r="J334" s="343"/>
      <c r="K334" s="340">
        <f>'PRESUPUESTO OFICIAL'!$K$102</f>
        <v>0</v>
      </c>
      <c r="L334" s="1148">
        <f>K334*N327</f>
        <v>0</v>
      </c>
      <c r="M334" s="1149"/>
      <c r="N334" s="341"/>
    </row>
    <row r="335" spans="2:14" ht="13.5" thickBot="1">
      <c r="B335" s="1100" t="s">
        <v>269</v>
      </c>
      <c r="C335" s="1101"/>
      <c r="D335" s="1101"/>
      <c r="E335" s="1101"/>
      <c r="F335" s="1101"/>
      <c r="G335" s="1101"/>
      <c r="H335" s="1101"/>
      <c r="I335" s="1101"/>
      <c r="J335" s="1101"/>
      <c r="K335" s="1101"/>
      <c r="L335" s="1101"/>
      <c r="M335" s="1102"/>
      <c r="N335" s="344">
        <f>SUM(L332:M334)</f>
        <v>0</v>
      </c>
    </row>
    <row r="336" spans="2:14" ht="13.5" thickBot="1">
      <c r="B336" s="283"/>
      <c r="N336" s="284"/>
    </row>
    <row r="337" spans="2:14" ht="13.5" thickBot="1">
      <c r="B337" s="1150" t="s">
        <v>295</v>
      </c>
      <c r="C337" s="1151"/>
      <c r="D337" s="1151"/>
      <c r="E337" s="1151"/>
      <c r="F337" s="1151"/>
      <c r="G337" s="1151"/>
      <c r="H337" s="1151"/>
      <c r="I337" s="1151"/>
      <c r="J337" s="1151"/>
      <c r="K337" s="1151"/>
      <c r="L337" s="1151"/>
      <c r="M337" s="1152"/>
      <c r="N337" s="345">
        <f>ROUND(N327+N335,0)</f>
        <v>13270</v>
      </c>
    </row>
    <row r="338" spans="2:14">
      <c r="B338" s="280"/>
      <c r="C338" s="281"/>
      <c r="D338" s="281"/>
      <c r="E338" s="281"/>
      <c r="F338" s="281"/>
      <c r="G338" s="281"/>
      <c r="H338" s="281"/>
      <c r="I338" s="281"/>
      <c r="J338" s="281"/>
      <c r="K338" s="281"/>
      <c r="L338" s="281"/>
      <c r="M338" s="281"/>
      <c r="N338" s="282"/>
    </row>
    <row r="339" spans="2:14">
      <c r="B339" s="283"/>
      <c r="N339" s="284"/>
    </row>
    <row r="340" spans="2:14">
      <c r="B340" s="283"/>
      <c r="N340" s="284"/>
    </row>
    <row r="341" spans="2:14">
      <c r="B341" s="283"/>
      <c r="G341" s="346" t="s">
        <v>296</v>
      </c>
      <c r="H341" s="346"/>
      <c r="I341" s="346"/>
      <c r="J341" s="346"/>
      <c r="N341" s="284"/>
    </row>
    <row r="342" spans="2:14">
      <c r="B342" s="347"/>
      <c r="C342" s="348"/>
      <c r="D342" s="348"/>
      <c r="E342" s="348"/>
      <c r="F342" s="348"/>
      <c r="G342" s="346" t="s">
        <v>297</v>
      </c>
      <c r="H342" s="348"/>
      <c r="I342" s="348"/>
      <c r="J342" s="348"/>
      <c r="K342" s="348"/>
      <c r="L342" s="348"/>
      <c r="M342" s="348"/>
      <c r="N342" s="349"/>
    </row>
    <row r="343" spans="2:14">
      <c r="B343" s="347"/>
      <c r="C343" s="348"/>
      <c r="D343" s="348"/>
      <c r="E343" s="348"/>
      <c r="F343" s="348"/>
      <c r="G343" s="346" t="s">
        <v>298</v>
      </c>
      <c r="J343" s="348"/>
      <c r="K343" s="348"/>
      <c r="L343" s="348"/>
      <c r="M343" s="348"/>
      <c r="N343" s="349"/>
    </row>
    <row r="344" spans="2:14">
      <c r="B344" s="268"/>
      <c r="C344" s="350"/>
      <c r="D344" s="350"/>
      <c r="E344" s="350"/>
      <c r="F344" s="350"/>
      <c r="G344" s="346" t="s">
        <v>299</v>
      </c>
      <c r="H344" s="350"/>
      <c r="I344" s="350"/>
      <c r="J344" s="350"/>
      <c r="K344" s="350"/>
      <c r="L344" s="350"/>
      <c r="M344" s="350"/>
      <c r="N344" s="351"/>
    </row>
    <row r="345" spans="2:14">
      <c r="B345" s="283"/>
      <c r="G345" s="258" t="s">
        <v>300</v>
      </c>
      <c r="N345" s="284"/>
    </row>
    <row r="346" spans="2:14">
      <c r="B346" s="352" t="s">
        <v>301</v>
      </c>
      <c r="C346" s="353"/>
      <c r="D346" s="353"/>
      <c r="E346" s="353"/>
      <c r="F346" s="353"/>
      <c r="G346" s="353"/>
      <c r="H346" s="353"/>
      <c r="I346" s="353"/>
      <c r="J346" s="353"/>
      <c r="K346" s="353"/>
      <c r="L346" s="353"/>
      <c r="M346" s="353"/>
      <c r="N346" s="354"/>
    </row>
    <row r="347" spans="2:14">
      <c r="B347" s="1153"/>
      <c r="C347" s="1154"/>
      <c r="D347" s="1154"/>
      <c r="E347" s="1154"/>
      <c r="F347" s="1154"/>
      <c r="G347" s="1154"/>
      <c r="H347" s="1154"/>
      <c r="I347" s="1154"/>
      <c r="J347" s="1154"/>
      <c r="K347" s="1154"/>
      <c r="L347" s="1154"/>
      <c r="M347" s="1154"/>
      <c r="N347" s="1155"/>
    </row>
    <row r="348" spans="2:14">
      <c r="B348" s="1153"/>
      <c r="C348" s="1154"/>
      <c r="D348" s="1154"/>
      <c r="E348" s="1154"/>
      <c r="F348" s="1154"/>
      <c r="G348" s="1154"/>
      <c r="H348" s="1154"/>
      <c r="I348" s="1154"/>
      <c r="J348" s="1154"/>
      <c r="K348" s="1154"/>
      <c r="L348" s="1154"/>
      <c r="M348" s="1154"/>
      <c r="N348" s="1155"/>
    </row>
    <row r="349" spans="2:14">
      <c r="B349" s="268"/>
      <c r="C349" s="350"/>
      <c r="D349" s="350"/>
      <c r="E349" s="350"/>
      <c r="F349" s="350"/>
      <c r="G349" s="350"/>
      <c r="H349" s="350"/>
      <c r="I349" s="350"/>
      <c r="J349" s="350"/>
      <c r="K349" s="350"/>
      <c r="L349" s="350"/>
      <c r="M349" s="350"/>
      <c r="N349" s="351"/>
    </row>
    <row r="350" spans="2:14">
      <c r="B350" s="355" t="s">
        <v>302</v>
      </c>
      <c r="C350" s="350"/>
      <c r="D350" s="350"/>
      <c r="E350" s="350"/>
      <c r="F350" s="350"/>
      <c r="G350" s="350"/>
      <c r="H350" s="350"/>
      <c r="I350" s="350"/>
      <c r="J350" s="350"/>
      <c r="K350" s="350"/>
      <c r="L350" s="350"/>
      <c r="M350" s="350"/>
      <c r="N350" s="351"/>
    </row>
    <row r="351" spans="2:14">
      <c r="B351" s="1159" t="s">
        <v>303</v>
      </c>
      <c r="C351" s="1160"/>
      <c r="D351" s="1160"/>
      <c r="E351" s="1160"/>
      <c r="F351" s="1160"/>
      <c r="G351" s="1160"/>
      <c r="H351" s="1160"/>
      <c r="I351" s="1160"/>
      <c r="J351" s="1160"/>
      <c r="K351" s="1160"/>
      <c r="L351" s="1160"/>
      <c r="M351" s="1160"/>
      <c r="N351" s="1161"/>
    </row>
    <row r="352" spans="2:14">
      <c r="B352" s="1159"/>
      <c r="C352" s="1160"/>
      <c r="D352" s="1160"/>
      <c r="E352" s="1160"/>
      <c r="F352" s="1160"/>
      <c r="G352" s="1160"/>
      <c r="H352" s="1160"/>
      <c r="I352" s="1160"/>
      <c r="J352" s="1160"/>
      <c r="K352" s="1160"/>
      <c r="L352" s="1160"/>
      <c r="M352" s="1160"/>
      <c r="N352" s="1161"/>
    </row>
    <row r="353" spans="2:14">
      <c r="B353" s="1159" t="s">
        <v>304</v>
      </c>
      <c r="C353" s="1160"/>
      <c r="D353" s="1160"/>
      <c r="E353" s="1160"/>
      <c r="F353" s="1160"/>
      <c r="G353" s="1160"/>
      <c r="H353" s="1160"/>
      <c r="I353" s="1160"/>
      <c r="J353" s="1160"/>
      <c r="K353" s="1160"/>
      <c r="L353" s="1160"/>
      <c r="M353" s="1160"/>
      <c r="N353" s="1161"/>
    </row>
    <row r="354" spans="2:14">
      <c r="B354" s="1159"/>
      <c r="C354" s="1160"/>
      <c r="D354" s="1160"/>
      <c r="E354" s="1160"/>
      <c r="F354" s="1160"/>
      <c r="G354" s="1160"/>
      <c r="H354" s="1160"/>
      <c r="I354" s="1160"/>
      <c r="J354" s="1160"/>
      <c r="K354" s="1160"/>
      <c r="L354" s="1160"/>
      <c r="M354" s="1160"/>
      <c r="N354" s="1161"/>
    </row>
    <row r="355" spans="2:14">
      <c r="B355" s="268"/>
      <c r="C355" s="350"/>
      <c r="D355" s="350"/>
      <c r="E355" s="350"/>
      <c r="F355" s="350"/>
      <c r="G355" s="350"/>
      <c r="H355" s="350"/>
      <c r="I355" s="350"/>
      <c r="J355" s="350"/>
      <c r="K355" s="350"/>
      <c r="L355" s="350"/>
      <c r="M355" s="350"/>
      <c r="N355" s="351"/>
    </row>
    <row r="356" spans="2:14">
      <c r="B356" s="283"/>
      <c r="G356" s="346" t="s">
        <v>296</v>
      </c>
      <c r="N356" s="284"/>
    </row>
    <row r="357" spans="2:14">
      <c r="B357" s="283"/>
      <c r="G357" s="258" t="s">
        <v>305</v>
      </c>
      <c r="H357" s="293"/>
      <c r="I357" s="293"/>
      <c r="J357" s="293"/>
      <c r="N357" s="284"/>
    </row>
    <row r="358" spans="2:14">
      <c r="B358" s="283"/>
      <c r="G358" s="258" t="s">
        <v>306</v>
      </c>
      <c r="H358" s="325"/>
      <c r="I358" s="325"/>
      <c r="J358" s="325"/>
      <c r="N358" s="284"/>
    </row>
    <row r="359" spans="2:14">
      <c r="B359" s="356"/>
      <c r="C359" s="350"/>
      <c r="D359" s="350"/>
      <c r="E359" s="350"/>
      <c r="F359" s="350"/>
      <c r="G359" s="258" t="s">
        <v>299</v>
      </c>
      <c r="K359" s="350"/>
      <c r="L359" s="350"/>
      <c r="M359" s="350"/>
      <c r="N359" s="351"/>
    </row>
    <row r="360" spans="2:14">
      <c r="B360" s="357"/>
      <c r="C360" s="358"/>
      <c r="D360" s="358"/>
      <c r="J360" s="1162"/>
      <c r="K360" s="1162"/>
      <c r="L360" s="1162"/>
      <c r="M360" s="1162"/>
      <c r="N360" s="1163"/>
    </row>
    <row r="361" spans="2:14" ht="13.5" thickBot="1">
      <c r="B361" s="1166"/>
      <c r="C361" s="1167"/>
      <c r="D361" s="1167"/>
      <c r="E361" s="311"/>
      <c r="F361" s="311"/>
      <c r="G361" s="311"/>
      <c r="H361" s="311"/>
      <c r="I361" s="311"/>
      <c r="J361" s="1164"/>
      <c r="K361" s="1164"/>
      <c r="L361" s="1164"/>
      <c r="M361" s="1164"/>
      <c r="N361" s="1165"/>
    </row>
    <row r="362" spans="2:14" ht="13.5" thickBot="1"/>
    <row r="363" spans="2:14">
      <c r="B363" s="1070"/>
      <c r="C363" s="1072"/>
      <c r="D363" s="1073"/>
      <c r="E363" s="1073"/>
      <c r="F363" s="1073"/>
      <c r="G363" s="1073"/>
      <c r="H363" s="1073"/>
      <c r="I363" s="1073"/>
      <c r="J363" s="1074"/>
      <c r="K363" s="1075"/>
      <c r="L363" s="1076"/>
      <c r="M363" s="1076"/>
      <c r="N363" s="1077"/>
    </row>
    <row r="364" spans="2:14">
      <c r="B364" s="1071"/>
      <c r="C364" s="1062" t="s">
        <v>244</v>
      </c>
      <c r="D364" s="1063"/>
      <c r="E364" s="1063"/>
      <c r="F364" s="1063"/>
      <c r="G364" s="1063"/>
      <c r="H364" s="1063"/>
      <c r="I364" s="1063"/>
      <c r="J364" s="1064"/>
      <c r="K364" s="1078"/>
      <c r="L364" s="1079"/>
      <c r="M364" s="1079"/>
      <c r="N364" s="1080"/>
    </row>
    <row r="365" spans="2:14">
      <c r="B365" s="1071"/>
      <c r="C365" s="1081"/>
      <c r="D365" s="1082"/>
      <c r="E365" s="1082"/>
      <c r="F365" s="1082"/>
      <c r="G365" s="1082"/>
      <c r="H365" s="1082"/>
      <c r="I365" s="1082"/>
      <c r="J365" s="1083"/>
      <c r="K365" s="1058" t="s">
        <v>245</v>
      </c>
      <c r="L365" s="1085"/>
      <c r="M365" s="1086"/>
      <c r="N365" s="1087"/>
    </row>
    <row r="366" spans="2:14">
      <c r="B366" s="1071"/>
      <c r="C366" s="1062" t="s">
        <v>246</v>
      </c>
      <c r="D366" s="1063"/>
      <c r="E366" s="1063"/>
      <c r="F366" s="1063"/>
      <c r="G366" s="1063"/>
      <c r="H366" s="1063"/>
      <c r="I366" s="1063"/>
      <c r="J366" s="1064"/>
      <c r="K366" s="1084"/>
      <c r="L366" s="1088"/>
      <c r="M366" s="1089"/>
      <c r="N366" s="1090"/>
    </row>
    <row r="367" spans="2:14">
      <c r="B367" s="1071"/>
      <c r="C367" s="1091"/>
      <c r="D367" s="1092"/>
      <c r="E367" s="1092"/>
      <c r="F367" s="1092"/>
      <c r="G367" s="1092"/>
      <c r="H367" s="1092"/>
      <c r="I367" s="1092"/>
      <c r="J367" s="1093"/>
      <c r="K367" s="1058" t="s">
        <v>247</v>
      </c>
      <c r="L367" s="1058">
        <v>5</v>
      </c>
      <c r="M367" s="1058" t="s">
        <v>248</v>
      </c>
      <c r="N367" s="1060">
        <v>80</v>
      </c>
    </row>
    <row r="368" spans="2:14">
      <c r="B368" s="1071"/>
      <c r="C368" s="1091"/>
      <c r="D368" s="1092"/>
      <c r="E368" s="1092"/>
      <c r="F368" s="1092"/>
      <c r="G368" s="1092"/>
      <c r="H368" s="1092"/>
      <c r="I368" s="1092"/>
      <c r="J368" s="1093"/>
      <c r="K368" s="1059"/>
      <c r="L368" s="1059"/>
      <c r="M368" s="1059"/>
      <c r="N368" s="1061"/>
    </row>
    <row r="369" spans="2:14">
      <c r="B369" s="1071"/>
      <c r="C369" s="1062" t="s">
        <v>249</v>
      </c>
      <c r="D369" s="1063"/>
      <c r="E369" s="1063"/>
      <c r="F369" s="1063"/>
      <c r="G369" s="1063"/>
      <c r="H369" s="1063"/>
      <c r="I369" s="1063"/>
      <c r="J369" s="1064"/>
      <c r="K369" s="1059"/>
      <c r="L369" s="1059"/>
      <c r="M369" s="1059"/>
      <c r="N369" s="1061"/>
    </row>
    <row r="370" spans="2:14" ht="13.5" thickBot="1">
      <c r="B370" s="259"/>
      <c r="C370" s="260"/>
      <c r="D370" s="260"/>
      <c r="E370" s="260"/>
      <c r="F370" s="260"/>
      <c r="G370" s="260"/>
      <c r="H370" s="260"/>
      <c r="I370" s="260"/>
      <c r="J370" s="260"/>
      <c r="K370" s="260"/>
      <c r="L370" s="261"/>
      <c r="M370" s="261"/>
      <c r="N370" s="262"/>
    </row>
    <row r="371" spans="2:14">
      <c r="B371" s="263"/>
      <c r="C371" s="264"/>
      <c r="D371" s="264"/>
      <c r="E371" s="264"/>
      <c r="F371" s="264"/>
      <c r="G371" s="264"/>
      <c r="H371" s="264"/>
      <c r="I371" s="264"/>
      <c r="J371" s="264"/>
      <c r="K371" s="265" t="s">
        <v>250</v>
      </c>
      <c r="L371" s="266" t="s">
        <v>251</v>
      </c>
      <c r="M371" s="266" t="s">
        <v>252</v>
      </c>
      <c r="N371" s="267" t="s">
        <v>253</v>
      </c>
    </row>
    <row r="372" spans="2:14">
      <c r="B372" s="268"/>
      <c r="C372" s="269"/>
      <c r="D372" s="269"/>
      <c r="E372" s="269"/>
      <c r="F372" s="269"/>
      <c r="G372" s="269"/>
      <c r="H372" s="269"/>
      <c r="I372" s="269"/>
      <c r="J372" s="269"/>
      <c r="K372" s="270"/>
      <c r="L372" s="271"/>
      <c r="M372" s="271"/>
      <c r="N372" s="272"/>
    </row>
    <row r="373" spans="2:14">
      <c r="B373" s="1065" t="s">
        <v>254</v>
      </c>
      <c r="C373" s="1066"/>
      <c r="D373" s="1066"/>
      <c r="E373" s="1066"/>
      <c r="F373" s="269"/>
      <c r="G373" s="269"/>
      <c r="H373" s="269" t="s">
        <v>255</v>
      </c>
      <c r="J373" s="269"/>
      <c r="K373" s="270"/>
      <c r="N373" s="273"/>
    </row>
    <row r="374" spans="2:14">
      <c r="B374" s="274"/>
      <c r="C374" s="275"/>
      <c r="D374" s="275"/>
      <c r="E374" s="275"/>
      <c r="F374" s="275"/>
      <c r="G374" s="275"/>
      <c r="H374" s="275"/>
      <c r="I374" s="275"/>
      <c r="J374" s="275"/>
      <c r="K374" s="275"/>
      <c r="L374" s="275"/>
      <c r="M374" s="275"/>
      <c r="N374" s="276"/>
    </row>
    <row r="375" spans="2:14" ht="13.5" thickBot="1">
      <c r="B375" s="277"/>
      <c r="C375" s="278"/>
      <c r="D375" s="278"/>
      <c r="E375" s="278"/>
      <c r="F375" s="278"/>
      <c r="G375" s="278"/>
      <c r="H375" s="278"/>
      <c r="I375" s="278"/>
      <c r="J375" s="278"/>
      <c r="K375" s="278"/>
      <c r="L375" s="278"/>
      <c r="M375" s="278"/>
      <c r="N375" s="279"/>
    </row>
    <row r="376" spans="2:14" ht="13.5" thickBot="1">
      <c r="B376" s="280"/>
      <c r="C376" s="281"/>
      <c r="D376" s="281"/>
      <c r="E376" s="281"/>
      <c r="F376" s="281"/>
      <c r="G376" s="281"/>
      <c r="J376" s="281"/>
      <c r="K376" s="281"/>
      <c r="L376" s="281"/>
      <c r="M376" s="281"/>
      <c r="N376" s="282"/>
    </row>
    <row r="377" spans="2:14">
      <c r="B377" s="1067" t="s">
        <v>256</v>
      </c>
      <c r="C377" s="1068"/>
      <c r="D377" s="1068"/>
      <c r="E377" s="1068"/>
      <c r="F377" s="1068"/>
      <c r="G377" s="1068"/>
      <c r="H377" s="1068"/>
      <c r="I377" s="1068"/>
      <c r="J377" s="1068"/>
      <c r="K377" s="1068"/>
      <c r="L377" s="1068"/>
      <c r="M377" s="1068"/>
      <c r="N377" s="1069"/>
    </row>
    <row r="378" spans="2:14" ht="13.5" thickBot="1">
      <c r="B378" s="283"/>
      <c r="N378" s="284"/>
    </row>
    <row r="379" spans="2:14">
      <c r="B379" s="285" t="s">
        <v>257</v>
      </c>
      <c r="C379" s="1120" t="s">
        <v>258</v>
      </c>
      <c r="D379" s="1121"/>
      <c r="E379" s="1121"/>
      <c r="F379" s="1121"/>
      <c r="G379" s="1121"/>
      <c r="H379" s="1121"/>
      <c r="I379" s="1121"/>
      <c r="J379" s="1121"/>
      <c r="K379" s="1122"/>
      <c r="L379" s="1123" t="s">
        <v>259</v>
      </c>
      <c r="M379" s="1124"/>
      <c r="N379" s="285" t="s">
        <v>133</v>
      </c>
    </row>
    <row r="380" spans="2:14" ht="13.5" thickBot="1">
      <c r="B380" s="286">
        <v>5</v>
      </c>
      <c r="C380" s="1125" t="s">
        <v>314</v>
      </c>
      <c r="D380" s="1126"/>
      <c r="E380" s="1126"/>
      <c r="F380" s="1126"/>
      <c r="G380" s="1126"/>
      <c r="H380" s="1126"/>
      <c r="I380" s="1126"/>
      <c r="J380" s="1126"/>
      <c r="K380" s="1127"/>
      <c r="L380" s="1128" t="s">
        <v>141</v>
      </c>
      <c r="M380" s="1129"/>
      <c r="N380" s="366">
        <v>600</v>
      </c>
    </row>
    <row r="381" spans="2:14">
      <c r="B381" s="1103" t="s">
        <v>260</v>
      </c>
      <c r="C381" s="1104"/>
      <c r="D381" s="1104"/>
      <c r="E381" s="1104"/>
      <c r="F381" s="1104"/>
      <c r="G381" s="1104"/>
      <c r="H381" s="1104"/>
      <c r="I381" s="1104"/>
      <c r="J381" s="1104"/>
      <c r="K381" s="1104"/>
      <c r="L381" s="1104"/>
      <c r="M381" s="1104"/>
      <c r="N381" s="1105"/>
    </row>
    <row r="382" spans="2:14">
      <c r="B382" s="1106"/>
      <c r="C382" s="1107"/>
      <c r="D382" s="1107"/>
      <c r="E382" s="1107"/>
      <c r="F382" s="1107"/>
      <c r="G382" s="1107"/>
      <c r="H382" s="1107"/>
      <c r="I382" s="1107"/>
      <c r="J382" s="1107"/>
      <c r="K382" s="1107"/>
      <c r="L382" s="1107"/>
      <c r="M382" s="1107"/>
      <c r="N382" s="1108"/>
    </row>
    <row r="383" spans="2:14" ht="13.5" thickBot="1">
      <c r="B383" s="1109"/>
      <c r="C383" s="1110"/>
      <c r="D383" s="1110"/>
      <c r="E383" s="1110"/>
      <c r="F383" s="1110"/>
      <c r="G383" s="1110"/>
      <c r="H383" s="1110"/>
      <c r="I383" s="1110"/>
      <c r="J383" s="1110"/>
      <c r="K383" s="1110"/>
      <c r="L383" s="1110"/>
      <c r="M383" s="1110"/>
      <c r="N383" s="1111"/>
    </row>
    <row r="384" spans="2:14">
      <c r="B384" s="1130" t="s">
        <v>258</v>
      </c>
      <c r="C384" s="1131"/>
      <c r="D384" s="1131"/>
      <c r="E384" s="1131"/>
      <c r="F384" s="1132"/>
      <c r="G384" s="1133" t="s">
        <v>261</v>
      </c>
      <c r="H384" s="1131"/>
      <c r="I384" s="1134" t="s">
        <v>262</v>
      </c>
      <c r="J384" s="1135"/>
      <c r="K384" s="288" t="s">
        <v>263</v>
      </c>
      <c r="L384" s="1133" t="s">
        <v>264</v>
      </c>
      <c r="M384" s="1136"/>
      <c r="N384" s="289" t="s">
        <v>265</v>
      </c>
    </row>
    <row r="385" spans="2:14">
      <c r="B385" s="1112"/>
      <c r="C385" s="1113"/>
      <c r="D385" s="1113"/>
      <c r="E385" s="1113"/>
      <c r="F385" s="1114"/>
      <c r="G385" s="1115"/>
      <c r="H385" s="1114"/>
      <c r="I385" s="1116"/>
      <c r="J385" s="1117"/>
      <c r="K385" s="360"/>
      <c r="L385" s="1118"/>
      <c r="M385" s="1119"/>
      <c r="N385" s="361"/>
    </row>
    <row r="386" spans="2:14">
      <c r="B386" s="292"/>
      <c r="C386" s="293"/>
      <c r="D386" s="293"/>
      <c r="E386" s="293"/>
      <c r="F386" s="294"/>
      <c r="G386" s="295"/>
      <c r="H386" s="294"/>
      <c r="I386" s="1116"/>
      <c r="J386" s="1117"/>
      <c r="K386" s="360"/>
      <c r="L386" s="1118"/>
      <c r="M386" s="1119"/>
      <c r="N386" s="361"/>
    </row>
    <row r="387" spans="2:14" ht="13.5" thickBot="1">
      <c r="B387" s="1094"/>
      <c r="C387" s="1095"/>
      <c r="D387" s="1095"/>
      <c r="E387" s="1095"/>
      <c r="F387" s="1096"/>
      <c r="G387" s="1097"/>
      <c r="H387" s="1096"/>
      <c r="I387" s="1097"/>
      <c r="J387" s="1096"/>
      <c r="K387" s="296"/>
      <c r="L387" s="1098"/>
      <c r="M387" s="1099"/>
      <c r="N387" s="297"/>
    </row>
    <row r="388" spans="2:14" ht="13.5" thickBot="1">
      <c r="B388" s="1100" t="s">
        <v>269</v>
      </c>
      <c r="C388" s="1101"/>
      <c r="D388" s="1101"/>
      <c r="E388" s="1101"/>
      <c r="F388" s="1101"/>
      <c r="G388" s="1101"/>
      <c r="H388" s="1101"/>
      <c r="I388" s="1101"/>
      <c r="J388" s="1101"/>
      <c r="K388" s="1101"/>
      <c r="L388" s="1101"/>
      <c r="M388" s="1102"/>
      <c r="N388" s="362">
        <f>+N385+N386+N387</f>
        <v>0</v>
      </c>
    </row>
    <row r="389" spans="2:14">
      <c r="B389" s="1103" t="s">
        <v>270</v>
      </c>
      <c r="C389" s="1104"/>
      <c r="D389" s="1104"/>
      <c r="E389" s="1104"/>
      <c r="F389" s="1104"/>
      <c r="G389" s="1104"/>
      <c r="H389" s="1104"/>
      <c r="I389" s="1104"/>
      <c r="J389" s="1104"/>
      <c r="K389" s="1104"/>
      <c r="L389" s="1104"/>
      <c r="M389" s="1104"/>
      <c r="N389" s="1105"/>
    </row>
    <row r="390" spans="2:14">
      <c r="B390" s="1106"/>
      <c r="C390" s="1107"/>
      <c r="D390" s="1107"/>
      <c r="E390" s="1107"/>
      <c r="F390" s="1107"/>
      <c r="G390" s="1107"/>
      <c r="H390" s="1107"/>
      <c r="I390" s="1107"/>
      <c r="J390" s="1107"/>
      <c r="K390" s="1107"/>
      <c r="L390" s="1107"/>
      <c r="M390" s="1107"/>
      <c r="N390" s="1108"/>
    </row>
    <row r="391" spans="2:14" ht="13.5" thickBot="1">
      <c r="B391" s="1109"/>
      <c r="C391" s="1110"/>
      <c r="D391" s="1110"/>
      <c r="E391" s="1110"/>
      <c r="F391" s="1110"/>
      <c r="G391" s="1110"/>
      <c r="H391" s="1110"/>
      <c r="I391" s="1110"/>
      <c r="J391" s="1110"/>
      <c r="K391" s="1110"/>
      <c r="L391" s="1110"/>
      <c r="M391" s="1110"/>
      <c r="N391" s="1111"/>
    </row>
    <row r="392" spans="2:14">
      <c r="B392" s="1130" t="s">
        <v>258</v>
      </c>
      <c r="C392" s="1139"/>
      <c r="D392" s="1139"/>
      <c r="E392" s="1139"/>
      <c r="F392" s="1139"/>
      <c r="G392" s="1139"/>
      <c r="H392" s="1139"/>
      <c r="I392" s="1136"/>
      <c r="J392" s="299" t="s">
        <v>259</v>
      </c>
      <c r="K392" s="288" t="s">
        <v>133</v>
      </c>
      <c r="L392" s="1133" t="s">
        <v>271</v>
      </c>
      <c r="M392" s="1136"/>
      <c r="N392" s="289" t="s">
        <v>265</v>
      </c>
    </row>
    <row r="393" spans="2:14">
      <c r="B393" s="1112"/>
      <c r="C393" s="1113"/>
      <c r="D393" s="1113"/>
      <c r="E393" s="1113"/>
      <c r="F393" s="1113"/>
      <c r="G393" s="1113"/>
      <c r="H393" s="1113"/>
      <c r="I393" s="1114"/>
      <c r="J393" s="300"/>
      <c r="K393" s="301"/>
      <c r="L393" s="1168"/>
      <c r="M393" s="1169"/>
      <c r="N393" s="367"/>
    </row>
    <row r="394" spans="2:14" ht="13.5" thickBot="1">
      <c r="B394" s="1094"/>
      <c r="C394" s="1095"/>
      <c r="D394" s="1095"/>
      <c r="E394" s="1095"/>
      <c r="F394" s="1095"/>
      <c r="G394" s="1095"/>
      <c r="H394" s="1095"/>
      <c r="I394" s="1096"/>
      <c r="J394" s="303"/>
      <c r="K394" s="304"/>
      <c r="L394" s="1168"/>
      <c r="M394" s="1169"/>
      <c r="N394" s="297"/>
    </row>
    <row r="395" spans="2:14" ht="13.5" thickBot="1">
      <c r="B395" s="1100" t="s">
        <v>269</v>
      </c>
      <c r="C395" s="1101"/>
      <c r="D395" s="1101"/>
      <c r="E395" s="1101"/>
      <c r="F395" s="1101"/>
      <c r="G395" s="1101"/>
      <c r="H395" s="1101"/>
      <c r="I395" s="1101"/>
      <c r="J395" s="1101"/>
      <c r="K395" s="1101"/>
      <c r="L395" s="1101"/>
      <c r="M395" s="1102"/>
      <c r="N395" s="368">
        <f>+N393+N394</f>
        <v>0</v>
      </c>
    </row>
    <row r="396" spans="2:14">
      <c r="B396" s="1103" t="s">
        <v>276</v>
      </c>
      <c r="C396" s="1104"/>
      <c r="D396" s="1104"/>
      <c r="E396" s="1104"/>
      <c r="F396" s="1104"/>
      <c r="G396" s="1104"/>
      <c r="H396" s="1104"/>
      <c r="I396" s="1104"/>
      <c r="J396" s="1104"/>
      <c r="K396" s="1104"/>
      <c r="L396" s="1104"/>
      <c r="M396" s="1104"/>
      <c r="N396" s="1105"/>
    </row>
    <row r="397" spans="2:14">
      <c r="B397" s="1106"/>
      <c r="C397" s="1107"/>
      <c r="D397" s="1107"/>
      <c r="E397" s="1107"/>
      <c r="F397" s="1107"/>
      <c r="G397" s="1107"/>
      <c r="H397" s="1107"/>
      <c r="I397" s="1107"/>
      <c r="J397" s="1107"/>
      <c r="K397" s="1107"/>
      <c r="L397" s="1107"/>
      <c r="M397" s="1107"/>
      <c r="N397" s="1108"/>
    </row>
    <row r="398" spans="2:14" ht="13.5" thickBot="1">
      <c r="B398" s="1109"/>
      <c r="C398" s="1110"/>
      <c r="D398" s="1110"/>
      <c r="E398" s="1110"/>
      <c r="F398" s="1110"/>
      <c r="G398" s="1110"/>
      <c r="H398" s="1110"/>
      <c r="I398" s="1110"/>
      <c r="J398" s="1110"/>
      <c r="K398" s="1110"/>
      <c r="L398" s="1110"/>
      <c r="M398" s="1110"/>
      <c r="N398" s="1111"/>
    </row>
    <row r="399" spans="2:14">
      <c r="B399" s="1130" t="s">
        <v>277</v>
      </c>
      <c r="C399" s="1139"/>
      <c r="D399" s="1139"/>
      <c r="E399" s="1139"/>
      <c r="F399" s="1139"/>
      <c r="G399" s="1139"/>
      <c r="H399" s="1139"/>
      <c r="I399" s="288" t="s">
        <v>278</v>
      </c>
      <c r="J399" s="306" t="s">
        <v>279</v>
      </c>
      <c r="K399" s="307" t="s">
        <v>280</v>
      </c>
      <c r="L399" s="1133" t="s">
        <v>281</v>
      </c>
      <c r="M399" s="1136"/>
      <c r="N399" s="289" t="s">
        <v>265</v>
      </c>
    </row>
    <row r="400" spans="2:14">
      <c r="B400" s="1112"/>
      <c r="C400" s="1113"/>
      <c r="D400" s="1113"/>
      <c r="E400" s="1113"/>
      <c r="F400" s="1113"/>
      <c r="G400" s="1113"/>
      <c r="H400" s="1113"/>
      <c r="I400" s="308"/>
      <c r="J400" s="309"/>
      <c r="K400" s="308"/>
      <c r="L400" s="1142"/>
      <c r="M400" s="1143"/>
      <c r="N400" s="297"/>
    </row>
    <row r="401" spans="2:14" ht="13.5" thickBot="1">
      <c r="B401" s="1094"/>
      <c r="C401" s="1095"/>
      <c r="D401" s="1095"/>
      <c r="E401" s="1095"/>
      <c r="F401" s="1095"/>
      <c r="G401" s="1095"/>
      <c r="H401" s="1095"/>
      <c r="I401" s="310"/>
      <c r="J401" s="311"/>
      <c r="K401" s="310"/>
      <c r="L401" s="1137"/>
      <c r="M401" s="1138"/>
      <c r="N401" s="312"/>
    </row>
    <row r="402" spans="2:14" ht="13.5" thickBot="1">
      <c r="B402" s="1100" t="s">
        <v>269</v>
      </c>
      <c r="C402" s="1101"/>
      <c r="D402" s="1101"/>
      <c r="E402" s="1101"/>
      <c r="F402" s="1101"/>
      <c r="G402" s="1101"/>
      <c r="H402" s="1101"/>
      <c r="I402" s="1101"/>
      <c r="J402" s="1101"/>
      <c r="K402" s="1101"/>
      <c r="L402" s="1101"/>
      <c r="M402" s="1102"/>
      <c r="N402" s="313">
        <v>0</v>
      </c>
    </row>
    <row r="403" spans="2:14">
      <c r="B403" s="1103" t="s">
        <v>282</v>
      </c>
      <c r="C403" s="1104"/>
      <c r="D403" s="1104"/>
      <c r="E403" s="1104"/>
      <c r="F403" s="1104"/>
      <c r="G403" s="1104"/>
      <c r="H403" s="1104"/>
      <c r="I403" s="1104"/>
      <c r="J403" s="1104"/>
      <c r="K403" s="1104"/>
      <c r="L403" s="1104"/>
      <c r="M403" s="1104"/>
      <c r="N403" s="1105"/>
    </row>
    <row r="404" spans="2:14">
      <c r="B404" s="1106"/>
      <c r="C404" s="1107"/>
      <c r="D404" s="1107"/>
      <c r="E404" s="1107"/>
      <c r="F404" s="1107"/>
      <c r="G404" s="1107"/>
      <c r="H404" s="1107"/>
      <c r="I404" s="1107"/>
      <c r="J404" s="1107"/>
      <c r="K404" s="1107"/>
      <c r="L404" s="1107"/>
      <c r="M404" s="1107"/>
      <c r="N404" s="1108"/>
    </row>
    <row r="405" spans="2:14" ht="13.5" thickBot="1">
      <c r="B405" s="1109"/>
      <c r="C405" s="1110"/>
      <c r="D405" s="1110"/>
      <c r="E405" s="1110"/>
      <c r="F405" s="1110"/>
      <c r="G405" s="1110"/>
      <c r="H405" s="1110"/>
      <c r="I405" s="1110"/>
      <c r="J405" s="1110"/>
      <c r="K405" s="1110"/>
      <c r="L405" s="1110"/>
      <c r="M405" s="1110"/>
      <c r="N405" s="1111"/>
    </row>
    <row r="406" spans="2:14">
      <c r="B406" s="1130" t="s">
        <v>283</v>
      </c>
      <c r="C406" s="1139"/>
      <c r="D406" s="1139"/>
      <c r="E406" s="1139"/>
      <c r="F406" s="1139"/>
      <c r="G406" s="1139"/>
      <c r="H406" s="1139"/>
      <c r="I406" s="288" t="s">
        <v>284</v>
      </c>
      <c r="J406" s="314" t="s">
        <v>285</v>
      </c>
      <c r="K406" s="315" t="s">
        <v>286</v>
      </c>
      <c r="L406" s="1140" t="s">
        <v>264</v>
      </c>
      <c r="M406" s="1141"/>
      <c r="N406" s="316" t="s">
        <v>265</v>
      </c>
    </row>
    <row r="407" spans="2:14">
      <c r="B407" s="317" t="s">
        <v>315</v>
      </c>
      <c r="C407" s="318"/>
      <c r="D407" s="318"/>
      <c r="E407" s="318"/>
      <c r="F407" s="318"/>
      <c r="G407" s="318"/>
      <c r="H407" s="318"/>
      <c r="I407" s="319">
        <v>31851</v>
      </c>
      <c r="J407" s="321">
        <v>23888</v>
      </c>
      <c r="K407" s="321">
        <f>+I407+J407</f>
        <v>55739</v>
      </c>
      <c r="L407" s="1157">
        <v>50</v>
      </c>
      <c r="M407" s="1158"/>
      <c r="N407" s="322">
        <f>+K407/L407</f>
        <v>1114.78</v>
      </c>
    </row>
    <row r="408" spans="2:14" ht="13.5" thickBot="1">
      <c r="B408" s="317"/>
      <c r="C408" s="318"/>
      <c r="D408" s="318"/>
      <c r="E408" s="318"/>
      <c r="F408" s="318"/>
      <c r="G408" s="318"/>
      <c r="H408" s="318"/>
      <c r="I408" s="364"/>
      <c r="J408" s="320"/>
      <c r="K408" s="365"/>
      <c r="L408" s="1157"/>
      <c r="M408" s="1158"/>
      <c r="N408" s="382"/>
    </row>
    <row r="409" spans="2:14" ht="13.5" thickBot="1">
      <c r="B409" s="1100" t="s">
        <v>269</v>
      </c>
      <c r="C409" s="1101"/>
      <c r="D409" s="1101"/>
      <c r="E409" s="1101"/>
      <c r="F409" s="1101"/>
      <c r="G409" s="1101"/>
      <c r="H409" s="1101"/>
      <c r="I409" s="1101"/>
      <c r="J409" s="1101"/>
      <c r="K409" s="1101"/>
      <c r="L409" s="1101"/>
      <c r="M409" s="1102"/>
      <c r="N409" s="323">
        <f>+N407</f>
        <v>1114.78</v>
      </c>
    </row>
    <row r="410" spans="2:14" ht="13.5" thickBot="1">
      <c r="B410" s="324" t="s">
        <v>288</v>
      </c>
      <c r="C410" s="325"/>
      <c r="D410" s="325"/>
      <c r="E410" s="325"/>
      <c r="F410" s="325"/>
      <c r="G410" s="325"/>
      <c r="H410" s="325"/>
      <c r="I410" s="326"/>
      <c r="J410" s="327"/>
      <c r="K410" s="328"/>
      <c r="L410" s="329"/>
      <c r="M410" s="329"/>
      <c r="N410" s="330"/>
    </row>
    <row r="411" spans="2:14">
      <c r="B411" s="1130" t="s">
        <v>17</v>
      </c>
      <c r="C411" s="1139"/>
      <c r="D411" s="1139"/>
      <c r="E411" s="1139"/>
      <c r="F411" s="1139"/>
      <c r="G411" s="1139"/>
      <c r="H411" s="1139"/>
      <c r="I411" s="1136"/>
      <c r="J411" s="299" t="s">
        <v>259</v>
      </c>
      <c r="K411" s="288" t="s">
        <v>133</v>
      </c>
      <c r="L411" s="1133" t="s">
        <v>271</v>
      </c>
      <c r="M411" s="1136"/>
      <c r="N411" s="316" t="s">
        <v>265</v>
      </c>
    </row>
    <row r="412" spans="2:14">
      <c r="B412" s="331" t="s">
        <v>289</v>
      </c>
      <c r="C412" s="332"/>
      <c r="D412" s="332"/>
      <c r="E412" s="332"/>
      <c r="F412" s="332"/>
      <c r="G412" s="332"/>
      <c r="H412" s="332"/>
      <c r="I412" s="333"/>
      <c r="J412" s="334" t="s">
        <v>290</v>
      </c>
      <c r="K412" s="335">
        <v>0.05</v>
      </c>
      <c r="L412" s="1144">
        <v>1115</v>
      </c>
      <c r="M412" s="1145"/>
      <c r="N412" s="322">
        <f>+K412*L412</f>
        <v>55.75</v>
      </c>
    </row>
    <row r="413" spans="2:14" ht="13.5" thickBot="1">
      <c r="B413" s="356"/>
      <c r="C413" s="325"/>
      <c r="D413" s="325"/>
      <c r="E413" s="325"/>
      <c r="F413" s="325"/>
      <c r="G413" s="325"/>
      <c r="H413" s="325"/>
      <c r="I413" s="369"/>
      <c r="J413" s="327"/>
      <c r="K413" s="370"/>
      <c r="L413" s="371"/>
      <c r="M413" s="372"/>
      <c r="N413" s="373"/>
    </row>
    <row r="414" spans="2:14" ht="13.5" thickBot="1">
      <c r="B414" s="1100" t="s">
        <v>269</v>
      </c>
      <c r="C414" s="1101"/>
      <c r="D414" s="1101"/>
      <c r="E414" s="1101"/>
      <c r="F414" s="1101"/>
      <c r="G414" s="1101"/>
      <c r="H414" s="1101"/>
      <c r="I414" s="1101"/>
      <c r="J414" s="1101"/>
      <c r="K414" s="1101"/>
      <c r="L414" s="1101"/>
      <c r="M414" s="1102"/>
      <c r="N414" s="323">
        <f>+N412</f>
        <v>55.75</v>
      </c>
    </row>
    <row r="415" spans="2:14" ht="13.5" thickBot="1">
      <c r="B415" s="374" t="s">
        <v>78</v>
      </c>
      <c r="C415" s="325"/>
      <c r="D415" s="325"/>
      <c r="E415" s="325"/>
      <c r="F415" s="325"/>
      <c r="G415" s="325"/>
      <c r="H415" s="325"/>
      <c r="I415" s="369"/>
      <c r="J415" s="327"/>
      <c r="K415" s="370"/>
      <c r="L415" s="371"/>
      <c r="M415" s="372"/>
      <c r="N415" s="373"/>
    </row>
    <row r="416" spans="2:14">
      <c r="B416" s="1130" t="s">
        <v>17</v>
      </c>
      <c r="C416" s="1139"/>
      <c r="D416" s="1139"/>
      <c r="E416" s="1139"/>
      <c r="F416" s="1139"/>
      <c r="G416" s="1139"/>
      <c r="H416" s="1139"/>
      <c r="I416" s="1136"/>
      <c r="J416" s="299" t="s">
        <v>259</v>
      </c>
      <c r="K416" s="288" t="s">
        <v>133</v>
      </c>
      <c r="L416" s="1133" t="s">
        <v>271</v>
      </c>
      <c r="M416" s="1136"/>
      <c r="N416" s="316" t="s">
        <v>265</v>
      </c>
    </row>
    <row r="417" spans="2:14" ht="30" customHeight="1" thickBot="1">
      <c r="B417" s="1170" t="s">
        <v>161</v>
      </c>
      <c r="C417" s="1171"/>
      <c r="D417" s="1171"/>
      <c r="E417" s="1171"/>
      <c r="F417" s="1171"/>
      <c r="G417" s="1171"/>
      <c r="H417" s="1172"/>
      <c r="I417" s="333"/>
      <c r="J417" s="375" t="s">
        <v>147</v>
      </c>
      <c r="K417" s="376">
        <v>0.15</v>
      </c>
      <c r="L417" s="1144">
        <v>38446</v>
      </c>
      <c r="M417" s="1145"/>
      <c r="N417" s="377">
        <f>+K417*L417</f>
        <v>5766.9</v>
      </c>
    </row>
    <row r="418" spans="2:14" ht="13.5" thickBot="1">
      <c r="B418" s="1100" t="s">
        <v>269</v>
      </c>
      <c r="C418" s="1101"/>
      <c r="D418" s="1101"/>
      <c r="E418" s="1101"/>
      <c r="F418" s="1101"/>
      <c r="G418" s="1101"/>
      <c r="H418" s="1101"/>
      <c r="I418" s="1101"/>
      <c r="J418" s="1101"/>
      <c r="K418" s="1101"/>
      <c r="L418" s="1101"/>
      <c r="M418" s="1102"/>
      <c r="N418" s="323">
        <f>+N417</f>
        <v>5766.9</v>
      </c>
    </row>
    <row r="419" spans="2:14">
      <c r="B419" s="280"/>
      <c r="C419" s="281"/>
      <c r="D419" s="281"/>
      <c r="E419" s="281"/>
      <c r="F419" s="281"/>
      <c r="G419" s="281"/>
      <c r="H419" s="281"/>
      <c r="I419" s="281"/>
      <c r="J419" s="281"/>
      <c r="K419" s="281"/>
      <c r="L419" s="281"/>
      <c r="M419" s="281"/>
      <c r="N419" s="282"/>
    </row>
    <row r="420" spans="2:14" ht="13.5" thickBot="1">
      <c r="B420" s="378"/>
      <c r="C420" s="311"/>
      <c r="D420" s="311"/>
      <c r="E420" s="311"/>
      <c r="F420" s="311"/>
      <c r="G420" s="311"/>
      <c r="H420" s="311"/>
      <c r="I420" s="311"/>
      <c r="J420" s="311"/>
      <c r="K420" s="311"/>
      <c r="L420" s="311"/>
      <c r="M420" s="311"/>
      <c r="N420" s="379"/>
    </row>
    <row r="421" spans="2:14" ht="13.5" thickBot="1">
      <c r="B421" s="1150" t="s">
        <v>291</v>
      </c>
      <c r="C421" s="1151"/>
      <c r="D421" s="1151"/>
      <c r="E421" s="1151"/>
      <c r="F421" s="1151"/>
      <c r="G421" s="1151"/>
      <c r="H421" s="1151"/>
      <c r="I421" s="1151"/>
      <c r="J421" s="1151"/>
      <c r="K421" s="1151"/>
      <c r="L421" s="1151"/>
      <c r="M421" s="1152"/>
      <c r="N421" s="336">
        <f>+N388+N395+N402+N409+N414+N418</f>
        <v>6937.4299999999994</v>
      </c>
    </row>
    <row r="422" spans="2:14">
      <c r="B422" s="1103" t="s">
        <v>292</v>
      </c>
      <c r="C422" s="1104"/>
      <c r="D422" s="1104"/>
      <c r="E422" s="1104"/>
      <c r="F422" s="1104"/>
      <c r="G422" s="1104"/>
      <c r="H422" s="1104"/>
      <c r="I422" s="1104"/>
      <c r="J422" s="1104"/>
      <c r="K422" s="1104"/>
      <c r="L422" s="1104"/>
      <c r="M422" s="1104"/>
      <c r="N422" s="1105"/>
    </row>
    <row r="423" spans="2:14">
      <c r="B423" s="1106"/>
      <c r="C423" s="1107"/>
      <c r="D423" s="1107"/>
      <c r="E423" s="1107"/>
      <c r="F423" s="1107"/>
      <c r="G423" s="1107"/>
      <c r="H423" s="1107"/>
      <c r="I423" s="1107"/>
      <c r="J423" s="1107"/>
      <c r="K423" s="1107"/>
      <c r="L423" s="1107"/>
      <c r="M423" s="1107"/>
      <c r="N423" s="1108"/>
    </row>
    <row r="424" spans="2:14" ht="13.5" thickBot="1">
      <c r="B424" s="1109"/>
      <c r="C424" s="1110"/>
      <c r="D424" s="1110"/>
      <c r="E424" s="1110"/>
      <c r="F424" s="1110"/>
      <c r="G424" s="1110"/>
      <c r="H424" s="1110"/>
      <c r="I424" s="1110"/>
      <c r="J424" s="1110"/>
      <c r="K424" s="1110"/>
      <c r="L424" s="1110"/>
      <c r="M424" s="1110"/>
      <c r="N424" s="1111"/>
    </row>
    <row r="425" spans="2:14">
      <c r="B425" s="1130" t="s">
        <v>17</v>
      </c>
      <c r="C425" s="1139"/>
      <c r="D425" s="1139"/>
      <c r="E425" s="1139"/>
      <c r="F425" s="1139"/>
      <c r="G425" s="1139"/>
      <c r="H425" s="1139"/>
      <c r="I425" s="306"/>
      <c r="J425" s="337"/>
      <c r="K425" s="315" t="s">
        <v>79</v>
      </c>
      <c r="L425" s="1140" t="s">
        <v>11</v>
      </c>
      <c r="M425" s="1141"/>
      <c r="N425" s="316"/>
    </row>
    <row r="426" spans="2:14">
      <c r="B426" s="1112" t="s">
        <v>232</v>
      </c>
      <c r="C426" s="1113"/>
      <c r="D426" s="1113"/>
      <c r="E426" s="1113"/>
      <c r="F426" s="1113"/>
      <c r="G426" s="1113"/>
      <c r="H426" s="1113"/>
      <c r="I426" s="338"/>
      <c r="J426" s="339"/>
      <c r="K426" s="340">
        <f>'PRESUPUESTO OFICIAL'!$K$100</f>
        <v>0</v>
      </c>
      <c r="L426" s="1146">
        <f>K426*N421</f>
        <v>0</v>
      </c>
      <c r="M426" s="1147"/>
      <c r="N426" s="341"/>
    </row>
    <row r="427" spans="2:14">
      <c r="B427" s="292" t="s">
        <v>293</v>
      </c>
      <c r="C427" s="293"/>
      <c r="D427" s="293"/>
      <c r="E427" s="293"/>
      <c r="F427" s="293"/>
      <c r="G427" s="293"/>
      <c r="H427" s="293"/>
      <c r="I427" s="338"/>
      <c r="J427" s="339"/>
      <c r="K427" s="340">
        <f>'PRESUPUESTO OFICIAL'!$K$101</f>
        <v>0</v>
      </c>
      <c r="L427" s="1146">
        <f>K427*N421</f>
        <v>0</v>
      </c>
      <c r="M427" s="1147"/>
      <c r="N427" s="341"/>
    </row>
    <row r="428" spans="2:14" ht="13.5" thickBot="1">
      <c r="B428" s="277" t="s">
        <v>294</v>
      </c>
      <c r="C428" s="278"/>
      <c r="D428" s="278"/>
      <c r="E428" s="278"/>
      <c r="F428" s="278"/>
      <c r="G428" s="278"/>
      <c r="H428" s="278"/>
      <c r="I428" s="342"/>
      <c r="J428" s="343"/>
      <c r="K428" s="340">
        <f>'PRESUPUESTO OFICIAL'!$K$102</f>
        <v>0</v>
      </c>
      <c r="L428" s="1148">
        <f>K428*N421</f>
        <v>0</v>
      </c>
      <c r="M428" s="1149"/>
      <c r="N428" s="341"/>
    </row>
    <row r="429" spans="2:14" ht="13.5" thickBot="1">
      <c r="B429" s="1100" t="s">
        <v>269</v>
      </c>
      <c r="C429" s="1101"/>
      <c r="D429" s="1101"/>
      <c r="E429" s="1101"/>
      <c r="F429" s="1101"/>
      <c r="G429" s="1101"/>
      <c r="H429" s="1101"/>
      <c r="I429" s="1101"/>
      <c r="J429" s="1101"/>
      <c r="K429" s="1101"/>
      <c r="L429" s="1101"/>
      <c r="M429" s="1102"/>
      <c r="N429" s="344">
        <f>SUM(L426:M428)</f>
        <v>0</v>
      </c>
    </row>
    <row r="430" spans="2:14" ht="13.5" thickBot="1">
      <c r="B430" s="283"/>
      <c r="N430" s="284"/>
    </row>
    <row r="431" spans="2:14" ht="13.5" thickBot="1">
      <c r="B431" s="1150" t="s">
        <v>295</v>
      </c>
      <c r="C431" s="1151"/>
      <c r="D431" s="1151"/>
      <c r="E431" s="1151"/>
      <c r="F431" s="1151"/>
      <c r="G431" s="1151"/>
      <c r="H431" s="1151"/>
      <c r="I431" s="1151"/>
      <c r="J431" s="1151"/>
      <c r="K431" s="1151"/>
      <c r="L431" s="1151"/>
      <c r="M431" s="1152"/>
      <c r="N431" s="345">
        <f>ROUND(N421+N429,0)</f>
        <v>6937</v>
      </c>
    </row>
    <row r="432" spans="2:14">
      <c r="B432" s="280"/>
      <c r="C432" s="281"/>
      <c r="D432" s="281"/>
      <c r="E432" s="281"/>
      <c r="F432" s="281"/>
      <c r="G432" s="281"/>
      <c r="H432" s="281"/>
      <c r="I432" s="281"/>
      <c r="J432" s="281"/>
      <c r="K432" s="281"/>
      <c r="L432" s="281"/>
      <c r="M432" s="281"/>
      <c r="N432" s="282"/>
    </row>
    <row r="433" spans="2:14">
      <c r="B433" s="283"/>
      <c r="N433" s="284"/>
    </row>
    <row r="434" spans="2:14">
      <c r="B434" s="283"/>
      <c r="N434" s="284"/>
    </row>
    <row r="435" spans="2:14">
      <c r="B435" s="283"/>
      <c r="G435" s="346" t="s">
        <v>296</v>
      </c>
      <c r="H435" s="346"/>
      <c r="I435" s="346"/>
      <c r="J435" s="346"/>
      <c r="N435" s="284"/>
    </row>
    <row r="436" spans="2:14">
      <c r="B436" s="347"/>
      <c r="C436" s="348"/>
      <c r="D436" s="348"/>
      <c r="E436" s="348"/>
      <c r="F436" s="348"/>
      <c r="G436" s="346" t="s">
        <v>297</v>
      </c>
      <c r="H436" s="348"/>
      <c r="I436" s="348"/>
      <c r="J436" s="348"/>
      <c r="K436" s="348"/>
      <c r="L436" s="348"/>
      <c r="M436" s="348"/>
      <c r="N436" s="349"/>
    </row>
    <row r="437" spans="2:14">
      <c r="B437" s="347"/>
      <c r="C437" s="348"/>
      <c r="D437" s="348"/>
      <c r="E437" s="348"/>
      <c r="F437" s="348"/>
      <c r="G437" s="346" t="s">
        <v>298</v>
      </c>
      <c r="J437" s="348"/>
      <c r="K437" s="348"/>
      <c r="L437" s="348"/>
      <c r="M437" s="348"/>
      <c r="N437" s="349"/>
    </row>
    <row r="438" spans="2:14">
      <c r="B438" s="268"/>
      <c r="C438" s="350"/>
      <c r="D438" s="350"/>
      <c r="E438" s="350"/>
      <c r="F438" s="350"/>
      <c r="G438" s="346" t="s">
        <v>299</v>
      </c>
      <c r="H438" s="350"/>
      <c r="I438" s="350"/>
      <c r="J438" s="350"/>
      <c r="K438" s="350"/>
      <c r="L438" s="350"/>
      <c r="M438" s="350"/>
      <c r="N438" s="351"/>
    </row>
    <row r="439" spans="2:14">
      <c r="B439" s="283"/>
      <c r="G439" s="258" t="s">
        <v>300</v>
      </c>
      <c r="N439" s="284"/>
    </row>
    <row r="440" spans="2:14">
      <c r="B440" s="352" t="s">
        <v>301</v>
      </c>
      <c r="C440" s="353"/>
      <c r="D440" s="353"/>
      <c r="E440" s="353"/>
      <c r="F440" s="353"/>
      <c r="G440" s="353"/>
      <c r="H440" s="353"/>
      <c r="I440" s="353"/>
      <c r="J440" s="353"/>
      <c r="K440" s="353"/>
      <c r="L440" s="353"/>
      <c r="M440" s="353"/>
      <c r="N440" s="354"/>
    </row>
    <row r="441" spans="2:14">
      <c r="B441" s="1153"/>
      <c r="C441" s="1154"/>
      <c r="D441" s="1154"/>
      <c r="E441" s="1154"/>
      <c r="F441" s="1154"/>
      <c r="G441" s="1154"/>
      <c r="H441" s="1154"/>
      <c r="I441" s="1154"/>
      <c r="J441" s="1154"/>
      <c r="K441" s="1154"/>
      <c r="L441" s="1154"/>
      <c r="M441" s="1154"/>
      <c r="N441" s="1155"/>
    </row>
    <row r="442" spans="2:14">
      <c r="B442" s="1153"/>
      <c r="C442" s="1154"/>
      <c r="D442" s="1154"/>
      <c r="E442" s="1154"/>
      <c r="F442" s="1154"/>
      <c r="G442" s="1154"/>
      <c r="H442" s="1154"/>
      <c r="I442" s="1154"/>
      <c r="J442" s="1154"/>
      <c r="K442" s="1154"/>
      <c r="L442" s="1154"/>
      <c r="M442" s="1154"/>
      <c r="N442" s="1155"/>
    </row>
    <row r="443" spans="2:14">
      <c r="B443" s="268"/>
      <c r="C443" s="350"/>
      <c r="D443" s="350"/>
      <c r="E443" s="350"/>
      <c r="F443" s="350"/>
      <c r="G443" s="350"/>
      <c r="H443" s="350"/>
      <c r="I443" s="350"/>
      <c r="J443" s="350"/>
      <c r="K443" s="350"/>
      <c r="L443" s="350"/>
      <c r="M443" s="350"/>
      <c r="N443" s="351"/>
    </row>
    <row r="444" spans="2:14">
      <c r="B444" s="355" t="s">
        <v>302</v>
      </c>
      <c r="C444" s="350"/>
      <c r="D444" s="350"/>
      <c r="E444" s="350"/>
      <c r="F444" s="350"/>
      <c r="G444" s="350"/>
      <c r="H444" s="350"/>
      <c r="I444" s="350"/>
      <c r="J444" s="350"/>
      <c r="K444" s="350"/>
      <c r="L444" s="350"/>
      <c r="M444" s="350"/>
      <c r="N444" s="351"/>
    </row>
    <row r="445" spans="2:14">
      <c r="B445" s="1159" t="s">
        <v>303</v>
      </c>
      <c r="C445" s="1160"/>
      <c r="D445" s="1160"/>
      <c r="E445" s="1160"/>
      <c r="F445" s="1160"/>
      <c r="G445" s="1160"/>
      <c r="H445" s="1160"/>
      <c r="I445" s="1160"/>
      <c r="J445" s="1160"/>
      <c r="K445" s="1160"/>
      <c r="L445" s="1160"/>
      <c r="M445" s="1160"/>
      <c r="N445" s="1161"/>
    </row>
    <row r="446" spans="2:14">
      <c r="B446" s="1159"/>
      <c r="C446" s="1160"/>
      <c r="D446" s="1160"/>
      <c r="E446" s="1160"/>
      <c r="F446" s="1160"/>
      <c r="G446" s="1160"/>
      <c r="H446" s="1160"/>
      <c r="I446" s="1160"/>
      <c r="J446" s="1160"/>
      <c r="K446" s="1160"/>
      <c r="L446" s="1160"/>
      <c r="M446" s="1160"/>
      <c r="N446" s="1161"/>
    </row>
    <row r="447" spans="2:14">
      <c r="B447" s="1159" t="s">
        <v>304</v>
      </c>
      <c r="C447" s="1160"/>
      <c r="D447" s="1160"/>
      <c r="E447" s="1160"/>
      <c r="F447" s="1160"/>
      <c r="G447" s="1160"/>
      <c r="H447" s="1160"/>
      <c r="I447" s="1160"/>
      <c r="J447" s="1160"/>
      <c r="K447" s="1160"/>
      <c r="L447" s="1160"/>
      <c r="M447" s="1160"/>
      <c r="N447" s="1161"/>
    </row>
    <row r="448" spans="2:14">
      <c r="B448" s="1159"/>
      <c r="C448" s="1160"/>
      <c r="D448" s="1160"/>
      <c r="E448" s="1160"/>
      <c r="F448" s="1160"/>
      <c r="G448" s="1160"/>
      <c r="H448" s="1160"/>
      <c r="I448" s="1160"/>
      <c r="J448" s="1160"/>
      <c r="K448" s="1160"/>
      <c r="L448" s="1160"/>
      <c r="M448" s="1160"/>
      <c r="N448" s="1161"/>
    </row>
    <row r="449" spans="2:14">
      <c r="B449" s="268"/>
      <c r="C449" s="350"/>
      <c r="D449" s="350"/>
      <c r="E449" s="350"/>
      <c r="F449" s="350"/>
      <c r="G449" s="350"/>
      <c r="H449" s="350"/>
      <c r="I449" s="350"/>
      <c r="J449" s="350"/>
      <c r="K449" s="350"/>
      <c r="L449" s="350"/>
      <c r="M449" s="350"/>
      <c r="N449" s="351"/>
    </row>
    <row r="450" spans="2:14">
      <c r="B450" s="283"/>
      <c r="G450" s="346" t="s">
        <v>296</v>
      </c>
      <c r="N450" s="284"/>
    </row>
    <row r="451" spans="2:14">
      <c r="B451" s="283"/>
      <c r="G451" s="258" t="s">
        <v>305</v>
      </c>
      <c r="H451" s="293"/>
      <c r="I451" s="293"/>
      <c r="J451" s="293"/>
      <c r="N451" s="284"/>
    </row>
    <row r="452" spans="2:14">
      <c r="B452" s="283"/>
      <c r="G452" s="258" t="s">
        <v>306</v>
      </c>
      <c r="H452" s="325"/>
      <c r="I452" s="325"/>
      <c r="J452" s="325"/>
      <c r="N452" s="284"/>
    </row>
    <row r="453" spans="2:14">
      <c r="B453" s="356"/>
      <c r="C453" s="350"/>
      <c r="D453" s="350"/>
      <c r="E453" s="350"/>
      <c r="F453" s="350"/>
      <c r="G453" s="258" t="s">
        <v>299</v>
      </c>
      <c r="K453" s="350"/>
      <c r="L453" s="350"/>
      <c r="M453" s="350"/>
      <c r="N453" s="351"/>
    </row>
    <row r="454" spans="2:14">
      <c r="B454" s="357"/>
      <c r="C454" s="358"/>
      <c r="D454" s="358"/>
      <c r="J454" s="1162"/>
      <c r="K454" s="1162"/>
      <c r="L454" s="1162"/>
      <c r="M454" s="1162"/>
      <c r="N454" s="1163"/>
    </row>
    <row r="455" spans="2:14" ht="13.5" thickBot="1">
      <c r="B455" s="1166"/>
      <c r="C455" s="1167"/>
      <c r="D455" s="1167"/>
      <c r="E455" s="311"/>
      <c r="F455" s="311"/>
      <c r="G455" s="311"/>
      <c r="H455" s="311"/>
      <c r="I455" s="311"/>
      <c r="J455" s="1164"/>
      <c r="K455" s="1164"/>
      <c r="L455" s="1164"/>
      <c r="M455" s="1164"/>
      <c r="N455" s="1165"/>
    </row>
    <row r="456" spans="2:14" ht="13.5" thickBot="1"/>
    <row r="457" spans="2:14">
      <c r="B457" s="1070"/>
      <c r="C457" s="1072"/>
      <c r="D457" s="1073"/>
      <c r="E457" s="1073"/>
      <c r="F457" s="1073"/>
      <c r="G457" s="1073"/>
      <c r="H457" s="1073"/>
      <c r="I457" s="1073"/>
      <c r="J457" s="1074"/>
      <c r="K457" s="1075"/>
      <c r="L457" s="1076"/>
      <c r="M457" s="1076"/>
      <c r="N457" s="1077"/>
    </row>
    <row r="458" spans="2:14">
      <c r="B458" s="1071"/>
      <c r="C458" s="1062" t="s">
        <v>244</v>
      </c>
      <c r="D458" s="1063"/>
      <c r="E458" s="1063"/>
      <c r="F458" s="1063"/>
      <c r="G458" s="1063"/>
      <c r="H458" s="1063"/>
      <c r="I458" s="1063"/>
      <c r="J458" s="1064"/>
      <c r="K458" s="1078"/>
      <c r="L458" s="1079"/>
      <c r="M458" s="1079"/>
      <c r="N458" s="1080"/>
    </row>
    <row r="459" spans="2:14">
      <c r="B459" s="1071"/>
      <c r="C459" s="1081"/>
      <c r="D459" s="1082"/>
      <c r="E459" s="1082"/>
      <c r="F459" s="1082"/>
      <c r="G459" s="1082"/>
      <c r="H459" s="1082"/>
      <c r="I459" s="1082"/>
      <c r="J459" s="1083"/>
      <c r="K459" s="1058" t="s">
        <v>245</v>
      </c>
      <c r="L459" s="1085"/>
      <c r="M459" s="1086"/>
      <c r="N459" s="1087"/>
    </row>
    <row r="460" spans="2:14">
      <c r="B460" s="1071"/>
      <c r="C460" s="1062" t="s">
        <v>246</v>
      </c>
      <c r="D460" s="1063"/>
      <c r="E460" s="1063"/>
      <c r="F460" s="1063"/>
      <c r="G460" s="1063"/>
      <c r="H460" s="1063"/>
      <c r="I460" s="1063"/>
      <c r="J460" s="1064"/>
      <c r="K460" s="1084"/>
      <c r="L460" s="1088"/>
      <c r="M460" s="1089"/>
      <c r="N460" s="1090"/>
    </row>
    <row r="461" spans="2:14">
      <c r="B461" s="1071"/>
      <c r="C461" s="1091"/>
      <c r="D461" s="1092"/>
      <c r="E461" s="1092"/>
      <c r="F461" s="1092"/>
      <c r="G461" s="1092"/>
      <c r="H461" s="1092"/>
      <c r="I461" s="1092"/>
      <c r="J461" s="1093"/>
      <c r="K461" s="1058" t="s">
        <v>247</v>
      </c>
      <c r="L461" s="1058">
        <v>6</v>
      </c>
      <c r="M461" s="1058" t="s">
        <v>248</v>
      </c>
      <c r="N461" s="1060">
        <v>80</v>
      </c>
    </row>
    <row r="462" spans="2:14">
      <c r="B462" s="1071"/>
      <c r="C462" s="1091"/>
      <c r="D462" s="1092"/>
      <c r="E462" s="1092"/>
      <c r="F462" s="1092"/>
      <c r="G462" s="1092"/>
      <c r="H462" s="1092"/>
      <c r="I462" s="1092"/>
      <c r="J462" s="1093"/>
      <c r="K462" s="1059"/>
      <c r="L462" s="1059"/>
      <c r="M462" s="1059"/>
      <c r="N462" s="1061"/>
    </row>
    <row r="463" spans="2:14">
      <c r="B463" s="1071"/>
      <c r="C463" s="1062" t="s">
        <v>249</v>
      </c>
      <c r="D463" s="1063"/>
      <c r="E463" s="1063"/>
      <c r="F463" s="1063"/>
      <c r="G463" s="1063"/>
      <c r="H463" s="1063"/>
      <c r="I463" s="1063"/>
      <c r="J463" s="1064"/>
      <c r="K463" s="1059"/>
      <c r="L463" s="1059"/>
      <c r="M463" s="1059"/>
      <c r="N463" s="1061"/>
    </row>
    <row r="464" spans="2:14" ht="13.5" thickBot="1">
      <c r="B464" s="259"/>
      <c r="C464" s="260"/>
      <c r="D464" s="260"/>
      <c r="E464" s="260"/>
      <c r="F464" s="260"/>
      <c r="G464" s="260"/>
      <c r="H464" s="260"/>
      <c r="I464" s="260"/>
      <c r="J464" s="260"/>
      <c r="K464" s="260"/>
      <c r="L464" s="261"/>
      <c r="M464" s="261"/>
      <c r="N464" s="262"/>
    </row>
    <row r="465" spans="2:14">
      <c r="B465" s="263"/>
      <c r="C465" s="264"/>
      <c r="D465" s="264"/>
      <c r="E465" s="264"/>
      <c r="F465" s="264"/>
      <c r="G465" s="264"/>
      <c r="H465" s="264"/>
      <c r="I465" s="264"/>
      <c r="J465" s="264"/>
      <c r="K465" s="265" t="s">
        <v>250</v>
      </c>
      <c r="L465" s="266" t="s">
        <v>251</v>
      </c>
      <c r="M465" s="266" t="s">
        <v>252</v>
      </c>
      <c r="N465" s="267" t="s">
        <v>253</v>
      </c>
    </row>
    <row r="466" spans="2:14">
      <c r="B466" s="268"/>
      <c r="C466" s="269"/>
      <c r="D466" s="269"/>
      <c r="E466" s="269"/>
      <c r="F466" s="269"/>
      <c r="G466" s="269"/>
      <c r="H466" s="269"/>
      <c r="I466" s="269"/>
      <c r="J466" s="269"/>
      <c r="K466" s="270"/>
      <c r="L466" s="271"/>
      <c r="M466" s="271"/>
      <c r="N466" s="272"/>
    </row>
    <row r="467" spans="2:14">
      <c r="B467" s="1065" t="s">
        <v>254</v>
      </c>
      <c r="C467" s="1066"/>
      <c r="D467" s="1066"/>
      <c r="E467" s="1066"/>
      <c r="F467" s="269"/>
      <c r="G467" s="269"/>
      <c r="H467" s="269" t="s">
        <v>255</v>
      </c>
      <c r="J467" s="269"/>
      <c r="K467" s="270"/>
      <c r="N467" s="273"/>
    </row>
    <row r="468" spans="2:14">
      <c r="B468" s="274"/>
      <c r="C468" s="275"/>
      <c r="D468" s="275"/>
      <c r="E468" s="275"/>
      <c r="F468" s="275"/>
      <c r="G468" s="275"/>
      <c r="H468" s="275"/>
      <c r="I468" s="275"/>
      <c r="J468" s="275"/>
      <c r="K468" s="275"/>
      <c r="L468" s="275"/>
      <c r="M468" s="275"/>
      <c r="N468" s="276"/>
    </row>
    <row r="469" spans="2:14" ht="13.5" thickBot="1">
      <c r="B469" s="277"/>
      <c r="C469" s="278"/>
      <c r="D469" s="278"/>
      <c r="E469" s="278"/>
      <c r="F469" s="278"/>
      <c r="G469" s="278"/>
      <c r="H469" s="278"/>
      <c r="I469" s="278"/>
      <c r="J469" s="278"/>
      <c r="K469" s="278"/>
      <c r="L469" s="278"/>
      <c r="M469" s="278"/>
      <c r="N469" s="279"/>
    </row>
    <row r="470" spans="2:14" ht="13.5" thickBot="1">
      <c r="B470" s="280"/>
      <c r="C470" s="281"/>
      <c r="D470" s="281"/>
      <c r="E470" s="281"/>
      <c r="F470" s="281"/>
      <c r="G470" s="281"/>
      <c r="J470" s="281"/>
      <c r="K470" s="281"/>
      <c r="L470" s="281"/>
      <c r="M470" s="281"/>
      <c r="N470" s="282"/>
    </row>
    <row r="471" spans="2:14">
      <c r="B471" s="1067" t="s">
        <v>256</v>
      </c>
      <c r="C471" s="1068"/>
      <c r="D471" s="1068"/>
      <c r="E471" s="1068"/>
      <c r="F471" s="1068"/>
      <c r="G471" s="1068"/>
      <c r="H471" s="1068"/>
      <c r="I471" s="1068"/>
      <c r="J471" s="1068"/>
      <c r="K471" s="1068"/>
      <c r="L471" s="1068"/>
      <c r="M471" s="1068"/>
      <c r="N471" s="1069"/>
    </row>
    <row r="472" spans="2:14" ht="13.5" thickBot="1">
      <c r="B472" s="283"/>
      <c r="N472" s="284"/>
    </row>
    <row r="473" spans="2:14">
      <c r="B473" s="285" t="s">
        <v>257</v>
      </c>
      <c r="C473" s="1120" t="s">
        <v>258</v>
      </c>
      <c r="D473" s="1121"/>
      <c r="E473" s="1121"/>
      <c r="F473" s="1121"/>
      <c r="G473" s="1121"/>
      <c r="H473" s="1121"/>
      <c r="I473" s="1121"/>
      <c r="J473" s="1121"/>
      <c r="K473" s="1122"/>
      <c r="L473" s="1123" t="s">
        <v>259</v>
      </c>
      <c r="M473" s="1124"/>
      <c r="N473" s="285" t="s">
        <v>133</v>
      </c>
    </row>
    <row r="474" spans="2:14" ht="25.5" customHeight="1" thickBot="1">
      <c r="B474" s="286">
        <v>6</v>
      </c>
      <c r="C474" s="1125" t="s">
        <v>146</v>
      </c>
      <c r="D474" s="1126"/>
      <c r="E474" s="1126"/>
      <c r="F474" s="1126"/>
      <c r="G474" s="1126"/>
      <c r="H474" s="1126"/>
      <c r="I474" s="1126"/>
      <c r="J474" s="1126"/>
      <c r="K474" s="1127"/>
      <c r="L474" s="1128" t="s">
        <v>147</v>
      </c>
      <c r="M474" s="1129"/>
      <c r="N474" s="366">
        <v>20</v>
      </c>
    </row>
    <row r="475" spans="2:14">
      <c r="B475" s="1103" t="s">
        <v>260</v>
      </c>
      <c r="C475" s="1104"/>
      <c r="D475" s="1104"/>
      <c r="E475" s="1104"/>
      <c r="F475" s="1104"/>
      <c r="G475" s="1104"/>
      <c r="H475" s="1104"/>
      <c r="I475" s="1104"/>
      <c r="J475" s="1104"/>
      <c r="K475" s="1104"/>
      <c r="L475" s="1104"/>
      <c r="M475" s="1104"/>
      <c r="N475" s="1105"/>
    </row>
    <row r="476" spans="2:14">
      <c r="B476" s="1106"/>
      <c r="C476" s="1107"/>
      <c r="D476" s="1107"/>
      <c r="E476" s="1107"/>
      <c r="F476" s="1107"/>
      <c r="G476" s="1107"/>
      <c r="H476" s="1107"/>
      <c r="I476" s="1107"/>
      <c r="J476" s="1107"/>
      <c r="K476" s="1107"/>
      <c r="L476" s="1107"/>
      <c r="M476" s="1107"/>
      <c r="N476" s="1108"/>
    </row>
    <row r="477" spans="2:14" ht="13.5" thickBot="1">
      <c r="B477" s="1109"/>
      <c r="C477" s="1110"/>
      <c r="D477" s="1110"/>
      <c r="E477" s="1110"/>
      <c r="F477" s="1110"/>
      <c r="G477" s="1110"/>
      <c r="H477" s="1110"/>
      <c r="I477" s="1110"/>
      <c r="J477" s="1110"/>
      <c r="K477" s="1110"/>
      <c r="L477" s="1110"/>
      <c r="M477" s="1110"/>
      <c r="N477" s="1111"/>
    </row>
    <row r="478" spans="2:14">
      <c r="B478" s="1130" t="s">
        <v>258</v>
      </c>
      <c r="C478" s="1131"/>
      <c r="D478" s="1131"/>
      <c r="E478" s="1131"/>
      <c r="F478" s="1132"/>
      <c r="G478" s="1133" t="s">
        <v>261</v>
      </c>
      <c r="H478" s="1131"/>
      <c r="I478" s="1134" t="s">
        <v>262</v>
      </c>
      <c r="J478" s="1135"/>
      <c r="K478" s="288" t="s">
        <v>263</v>
      </c>
      <c r="L478" s="1133" t="s">
        <v>264</v>
      </c>
      <c r="M478" s="1136"/>
      <c r="N478" s="289" t="s">
        <v>265</v>
      </c>
    </row>
    <row r="479" spans="2:14" ht="27" customHeight="1">
      <c r="B479" s="1179" t="s">
        <v>316</v>
      </c>
      <c r="C479" s="1180"/>
      <c r="D479" s="1180"/>
      <c r="E479" s="1180"/>
      <c r="F479" s="1181"/>
      <c r="G479" s="1115"/>
      <c r="H479" s="1114"/>
      <c r="I479" s="1116" t="s">
        <v>267</v>
      </c>
      <c r="J479" s="1117"/>
      <c r="K479" s="290">
        <v>122808</v>
      </c>
      <c r="L479" s="1118">
        <v>1</v>
      </c>
      <c r="M479" s="1119"/>
      <c r="N479" s="290">
        <f>+K479*L479</f>
        <v>122808</v>
      </c>
    </row>
    <row r="480" spans="2:14">
      <c r="B480" s="292"/>
      <c r="C480" s="293"/>
      <c r="D480" s="293"/>
      <c r="E480" s="293"/>
      <c r="F480" s="294"/>
      <c r="G480" s="295"/>
      <c r="H480" s="294"/>
      <c r="I480" s="1116"/>
      <c r="J480" s="1117"/>
      <c r="K480" s="290"/>
      <c r="L480" s="1118"/>
      <c r="M480" s="1119"/>
      <c r="N480" s="290"/>
    </row>
    <row r="481" spans="2:14" ht="13.5" thickBot="1">
      <c r="B481" s="1094"/>
      <c r="C481" s="1095"/>
      <c r="D481" s="1095"/>
      <c r="E481" s="1095"/>
      <c r="F481" s="1096"/>
      <c r="G481" s="1097"/>
      <c r="H481" s="1096"/>
      <c r="I481" s="1097"/>
      <c r="J481" s="1096"/>
      <c r="K481" s="290"/>
      <c r="L481" s="1098"/>
      <c r="M481" s="1099"/>
      <c r="N481" s="383"/>
    </row>
    <row r="482" spans="2:14" ht="13.5" thickBot="1">
      <c r="B482" s="1100" t="s">
        <v>269</v>
      </c>
      <c r="C482" s="1101"/>
      <c r="D482" s="1101"/>
      <c r="E482" s="1101"/>
      <c r="F482" s="1101"/>
      <c r="G482" s="1101"/>
      <c r="H482" s="1101"/>
      <c r="I482" s="1101"/>
      <c r="J482" s="1101"/>
      <c r="K482" s="1101"/>
      <c r="L482" s="1101"/>
      <c r="M482" s="1102"/>
      <c r="N482" s="323">
        <f>+N479+N480+N481</f>
        <v>122808</v>
      </c>
    </row>
    <row r="483" spans="2:14">
      <c r="B483" s="1103" t="s">
        <v>270</v>
      </c>
      <c r="C483" s="1104"/>
      <c r="D483" s="1104"/>
      <c r="E483" s="1104"/>
      <c r="F483" s="1104"/>
      <c r="G483" s="1104"/>
      <c r="H483" s="1104"/>
      <c r="I483" s="1104"/>
      <c r="J483" s="1104"/>
      <c r="K483" s="1104"/>
      <c r="L483" s="1104"/>
      <c r="M483" s="1104"/>
      <c r="N483" s="1105"/>
    </row>
    <row r="484" spans="2:14">
      <c r="B484" s="1106"/>
      <c r="C484" s="1107"/>
      <c r="D484" s="1107"/>
      <c r="E484" s="1107"/>
      <c r="F484" s="1107"/>
      <c r="G484" s="1107"/>
      <c r="H484" s="1107"/>
      <c r="I484" s="1107"/>
      <c r="J484" s="1107"/>
      <c r="K484" s="1107"/>
      <c r="L484" s="1107"/>
      <c r="M484" s="1107"/>
      <c r="N484" s="1108"/>
    </row>
    <row r="485" spans="2:14" ht="13.5" thickBot="1">
      <c r="B485" s="1109"/>
      <c r="C485" s="1110"/>
      <c r="D485" s="1110"/>
      <c r="E485" s="1110"/>
      <c r="F485" s="1110"/>
      <c r="G485" s="1110"/>
      <c r="H485" s="1110"/>
      <c r="I485" s="1110"/>
      <c r="J485" s="1110"/>
      <c r="K485" s="1110"/>
      <c r="L485" s="1110"/>
      <c r="M485" s="1110"/>
      <c r="N485" s="1111"/>
    </row>
    <row r="486" spans="2:14">
      <c r="B486" s="1130" t="s">
        <v>258</v>
      </c>
      <c r="C486" s="1139"/>
      <c r="D486" s="1139"/>
      <c r="E486" s="1139"/>
      <c r="F486" s="1139"/>
      <c r="G486" s="1139"/>
      <c r="H486" s="1139"/>
      <c r="I486" s="1136"/>
      <c r="J486" s="299" t="s">
        <v>259</v>
      </c>
      <c r="K486" s="288" t="s">
        <v>133</v>
      </c>
      <c r="L486" s="1133" t="s">
        <v>271</v>
      </c>
      <c r="M486" s="1136"/>
      <c r="N486" s="289" t="s">
        <v>265</v>
      </c>
    </row>
    <row r="487" spans="2:14">
      <c r="B487" s="1112"/>
      <c r="C487" s="1113"/>
      <c r="D487" s="1113"/>
      <c r="E487" s="1113"/>
      <c r="F487" s="1113"/>
      <c r="G487" s="1113"/>
      <c r="H487" s="1113"/>
      <c r="I487" s="1114"/>
      <c r="J487" s="300"/>
      <c r="K487" s="301"/>
      <c r="L487" s="1168"/>
      <c r="M487" s="1169"/>
      <c r="N487" s="367"/>
    </row>
    <row r="488" spans="2:14" ht="13.5" thickBot="1">
      <c r="B488" s="1094"/>
      <c r="C488" s="1095"/>
      <c r="D488" s="1095"/>
      <c r="E488" s="1095"/>
      <c r="F488" s="1095"/>
      <c r="G488" s="1095"/>
      <c r="H488" s="1095"/>
      <c r="I488" s="1096"/>
      <c r="J488" s="303"/>
      <c r="K488" s="304"/>
      <c r="L488" s="1168"/>
      <c r="M488" s="1169"/>
      <c r="N488" s="297"/>
    </row>
    <row r="489" spans="2:14" ht="13.5" thickBot="1">
      <c r="B489" s="1100" t="s">
        <v>269</v>
      </c>
      <c r="C489" s="1101"/>
      <c r="D489" s="1101"/>
      <c r="E489" s="1101"/>
      <c r="F489" s="1101"/>
      <c r="G489" s="1101"/>
      <c r="H489" s="1101"/>
      <c r="I489" s="1101"/>
      <c r="J489" s="1101"/>
      <c r="K489" s="1101"/>
      <c r="L489" s="1101"/>
      <c r="M489" s="1102"/>
      <c r="N489" s="368">
        <f>+N487+N488</f>
        <v>0</v>
      </c>
    </row>
    <row r="490" spans="2:14">
      <c r="B490" s="1103" t="s">
        <v>276</v>
      </c>
      <c r="C490" s="1104"/>
      <c r="D490" s="1104"/>
      <c r="E490" s="1104"/>
      <c r="F490" s="1104"/>
      <c r="G490" s="1104"/>
      <c r="H490" s="1104"/>
      <c r="I490" s="1104"/>
      <c r="J490" s="1104"/>
      <c r="K490" s="1104"/>
      <c r="L490" s="1104"/>
      <c r="M490" s="1104"/>
      <c r="N490" s="1105"/>
    </row>
    <row r="491" spans="2:14">
      <c r="B491" s="1106"/>
      <c r="C491" s="1107"/>
      <c r="D491" s="1107"/>
      <c r="E491" s="1107"/>
      <c r="F491" s="1107"/>
      <c r="G491" s="1107"/>
      <c r="H491" s="1107"/>
      <c r="I491" s="1107"/>
      <c r="J491" s="1107"/>
      <c r="K491" s="1107"/>
      <c r="L491" s="1107"/>
      <c r="M491" s="1107"/>
      <c r="N491" s="1108"/>
    </row>
    <row r="492" spans="2:14" ht="13.5" thickBot="1">
      <c r="B492" s="1109"/>
      <c r="C492" s="1110"/>
      <c r="D492" s="1110"/>
      <c r="E492" s="1110"/>
      <c r="F492" s="1110"/>
      <c r="G492" s="1110"/>
      <c r="H492" s="1110"/>
      <c r="I492" s="1110"/>
      <c r="J492" s="1110"/>
      <c r="K492" s="1110"/>
      <c r="L492" s="1110"/>
      <c r="M492" s="1110"/>
      <c r="N492" s="1111"/>
    </row>
    <row r="493" spans="2:14">
      <c r="B493" s="1130" t="s">
        <v>277</v>
      </c>
      <c r="C493" s="1139"/>
      <c r="D493" s="1139"/>
      <c r="E493" s="1139"/>
      <c r="F493" s="1139"/>
      <c r="G493" s="1139"/>
      <c r="H493" s="1139"/>
      <c r="I493" s="288" t="s">
        <v>278</v>
      </c>
      <c r="J493" s="306" t="s">
        <v>279</v>
      </c>
      <c r="K493" s="307" t="s">
        <v>280</v>
      </c>
      <c r="L493" s="1133" t="s">
        <v>281</v>
      </c>
      <c r="M493" s="1136"/>
      <c r="N493" s="289" t="s">
        <v>265</v>
      </c>
    </row>
    <row r="494" spans="2:14">
      <c r="B494" s="1112"/>
      <c r="C494" s="1113"/>
      <c r="D494" s="1113"/>
      <c r="E494" s="1113"/>
      <c r="F494" s="1113"/>
      <c r="G494" s="1113"/>
      <c r="H494" s="1113"/>
      <c r="I494" s="308"/>
      <c r="J494" s="309"/>
      <c r="K494" s="308"/>
      <c r="L494" s="1142"/>
      <c r="M494" s="1143"/>
      <c r="N494" s="297"/>
    </row>
    <row r="495" spans="2:14" ht="13.5" thickBot="1">
      <c r="B495" s="1094"/>
      <c r="C495" s="1095"/>
      <c r="D495" s="1095"/>
      <c r="E495" s="1095"/>
      <c r="F495" s="1095"/>
      <c r="G495" s="1095"/>
      <c r="H495" s="1095"/>
      <c r="I495" s="310"/>
      <c r="J495" s="311"/>
      <c r="K495" s="310"/>
      <c r="L495" s="1137"/>
      <c r="M495" s="1138"/>
      <c r="N495" s="312"/>
    </row>
    <row r="496" spans="2:14" ht="13.5" thickBot="1">
      <c r="B496" s="1100" t="s">
        <v>269</v>
      </c>
      <c r="C496" s="1101"/>
      <c r="D496" s="1101"/>
      <c r="E496" s="1101"/>
      <c r="F496" s="1101"/>
      <c r="G496" s="1101"/>
      <c r="H496" s="1101"/>
      <c r="I496" s="1101"/>
      <c r="J496" s="1101"/>
      <c r="K496" s="1101"/>
      <c r="L496" s="1101"/>
      <c r="M496" s="1102"/>
      <c r="N496" s="313">
        <v>0</v>
      </c>
    </row>
    <row r="497" spans="2:14">
      <c r="B497" s="1103" t="s">
        <v>282</v>
      </c>
      <c r="C497" s="1104"/>
      <c r="D497" s="1104"/>
      <c r="E497" s="1104"/>
      <c r="F497" s="1104"/>
      <c r="G497" s="1104"/>
      <c r="H497" s="1104"/>
      <c r="I497" s="1104"/>
      <c r="J497" s="1104"/>
      <c r="K497" s="1104"/>
      <c r="L497" s="1104"/>
      <c r="M497" s="1104"/>
      <c r="N497" s="1105"/>
    </row>
    <row r="498" spans="2:14">
      <c r="B498" s="1106"/>
      <c r="C498" s="1107"/>
      <c r="D498" s="1107"/>
      <c r="E498" s="1107"/>
      <c r="F498" s="1107"/>
      <c r="G498" s="1107"/>
      <c r="H498" s="1107"/>
      <c r="I498" s="1107"/>
      <c r="J498" s="1107"/>
      <c r="K498" s="1107"/>
      <c r="L498" s="1107"/>
      <c r="M498" s="1107"/>
      <c r="N498" s="1108"/>
    </row>
    <row r="499" spans="2:14" ht="13.5" thickBot="1">
      <c r="B499" s="1109"/>
      <c r="C499" s="1110"/>
      <c r="D499" s="1110"/>
      <c r="E499" s="1110"/>
      <c r="F499" s="1110"/>
      <c r="G499" s="1110"/>
      <c r="H499" s="1110"/>
      <c r="I499" s="1110"/>
      <c r="J499" s="1110"/>
      <c r="K499" s="1110"/>
      <c r="L499" s="1110"/>
      <c r="M499" s="1110"/>
      <c r="N499" s="1111"/>
    </row>
    <row r="500" spans="2:14">
      <c r="B500" s="1130" t="s">
        <v>283</v>
      </c>
      <c r="C500" s="1139"/>
      <c r="D500" s="1139"/>
      <c r="E500" s="1139"/>
      <c r="F500" s="1139"/>
      <c r="G500" s="1139"/>
      <c r="H500" s="1139"/>
      <c r="I500" s="288" t="s">
        <v>284</v>
      </c>
      <c r="J500" s="314" t="s">
        <v>285</v>
      </c>
      <c r="K500" s="315" t="s">
        <v>286</v>
      </c>
      <c r="L500" s="1140" t="s">
        <v>264</v>
      </c>
      <c r="M500" s="1141"/>
      <c r="N500" s="316" t="s">
        <v>265</v>
      </c>
    </row>
    <row r="501" spans="2:14">
      <c r="B501" s="317" t="s">
        <v>315</v>
      </c>
      <c r="C501" s="318"/>
      <c r="D501" s="318"/>
      <c r="E501" s="318"/>
      <c r="F501" s="318"/>
      <c r="G501" s="318"/>
      <c r="H501" s="318"/>
      <c r="I501" s="319">
        <v>31851</v>
      </c>
      <c r="J501" s="321">
        <v>23888</v>
      </c>
      <c r="K501" s="321">
        <f>+I501+J501</f>
        <v>55739</v>
      </c>
      <c r="L501" s="1157">
        <v>3.000003</v>
      </c>
      <c r="M501" s="1158"/>
      <c r="N501" s="322">
        <f>+K501/L501</f>
        <v>18579.648087018581</v>
      </c>
    </row>
    <row r="502" spans="2:14" ht="13.5" thickBot="1">
      <c r="B502" s="317"/>
      <c r="C502" s="318"/>
      <c r="D502" s="318"/>
      <c r="E502" s="318"/>
      <c r="F502" s="318"/>
      <c r="G502" s="318"/>
      <c r="H502" s="318"/>
      <c r="I502" s="364"/>
      <c r="J502" s="320"/>
      <c r="K502" s="365"/>
      <c r="L502" s="1157"/>
      <c r="M502" s="1158"/>
      <c r="N502" s="382"/>
    </row>
    <row r="503" spans="2:14" ht="13.5" thickBot="1">
      <c r="B503" s="1100" t="s">
        <v>269</v>
      </c>
      <c r="C503" s="1101"/>
      <c r="D503" s="1101"/>
      <c r="E503" s="1101"/>
      <c r="F503" s="1101"/>
      <c r="G503" s="1101"/>
      <c r="H503" s="1101"/>
      <c r="I503" s="1101"/>
      <c r="J503" s="1101"/>
      <c r="K503" s="1101"/>
      <c r="L503" s="1101"/>
      <c r="M503" s="1102"/>
      <c r="N503" s="323">
        <f>+N501</f>
        <v>18579.648087018581</v>
      </c>
    </row>
    <row r="504" spans="2:14" ht="13.5" thickBot="1">
      <c r="B504" s="324" t="s">
        <v>288</v>
      </c>
      <c r="C504" s="325"/>
      <c r="D504" s="325"/>
      <c r="E504" s="325"/>
      <c r="F504" s="325"/>
      <c r="G504" s="325"/>
      <c r="H504" s="325"/>
      <c r="I504" s="326"/>
      <c r="J504" s="327"/>
      <c r="K504" s="328"/>
      <c r="L504" s="329"/>
      <c r="M504" s="329"/>
      <c r="N504" s="330"/>
    </row>
    <row r="505" spans="2:14">
      <c r="B505" s="1130" t="s">
        <v>17</v>
      </c>
      <c r="C505" s="1139"/>
      <c r="D505" s="1139"/>
      <c r="E505" s="1139"/>
      <c r="F505" s="1139"/>
      <c r="G505" s="1139"/>
      <c r="H505" s="1139"/>
      <c r="I505" s="1136"/>
      <c r="J505" s="299" t="s">
        <v>259</v>
      </c>
      <c r="K505" s="288" t="s">
        <v>133</v>
      </c>
      <c r="L505" s="1133" t="s">
        <v>271</v>
      </c>
      <c r="M505" s="1136"/>
      <c r="N505" s="316" t="s">
        <v>265</v>
      </c>
    </row>
    <row r="506" spans="2:14">
      <c r="B506" s="331" t="s">
        <v>289</v>
      </c>
      <c r="C506" s="332"/>
      <c r="D506" s="332"/>
      <c r="E506" s="332"/>
      <c r="F506" s="332"/>
      <c r="G506" s="332"/>
      <c r="H506" s="332"/>
      <c r="I506" s="333"/>
      <c r="J506" s="334" t="s">
        <v>290</v>
      </c>
      <c r="K506" s="335">
        <v>0.05</v>
      </c>
      <c r="L506" s="1144">
        <v>18580</v>
      </c>
      <c r="M506" s="1145"/>
      <c r="N506" s="322">
        <f>+K506*L506</f>
        <v>929</v>
      </c>
    </row>
    <row r="507" spans="2:14" ht="13.5" thickBot="1">
      <c r="B507" s="356"/>
      <c r="C507" s="325"/>
      <c r="D507" s="325"/>
      <c r="E507" s="325"/>
      <c r="F507" s="325"/>
      <c r="G507" s="325"/>
      <c r="H507" s="325"/>
      <c r="I507" s="369"/>
      <c r="J507" s="327"/>
      <c r="K507" s="370"/>
      <c r="L507" s="371"/>
      <c r="M507" s="372"/>
      <c r="N507" s="373"/>
    </row>
    <row r="508" spans="2:14" ht="13.5" thickBot="1">
      <c r="B508" s="1100" t="s">
        <v>269</v>
      </c>
      <c r="C508" s="1101"/>
      <c r="D508" s="1101"/>
      <c r="E508" s="1101"/>
      <c r="F508" s="1101"/>
      <c r="G508" s="1101"/>
      <c r="H508" s="1101"/>
      <c r="I508" s="1101"/>
      <c r="J508" s="1101"/>
      <c r="K508" s="1101"/>
      <c r="L508" s="1101"/>
      <c r="M508" s="1102"/>
      <c r="N508" s="323">
        <f>+N506</f>
        <v>929</v>
      </c>
    </row>
    <row r="509" spans="2:14" ht="13.5" thickBot="1">
      <c r="B509" s="374" t="s">
        <v>78</v>
      </c>
      <c r="C509" s="325"/>
      <c r="D509" s="325"/>
      <c r="E509" s="325"/>
      <c r="F509" s="325"/>
      <c r="G509" s="325"/>
      <c r="H509" s="325"/>
      <c r="I509" s="369"/>
      <c r="J509" s="327"/>
      <c r="K509" s="370"/>
      <c r="L509" s="371"/>
      <c r="M509" s="372"/>
      <c r="N509" s="373"/>
    </row>
    <row r="510" spans="2:14">
      <c r="B510" s="1130" t="s">
        <v>17</v>
      </c>
      <c r="C510" s="1139"/>
      <c r="D510" s="1139"/>
      <c r="E510" s="1139"/>
      <c r="F510" s="1139"/>
      <c r="G510" s="1139"/>
      <c r="H510" s="1139"/>
      <c r="I510" s="1136"/>
      <c r="J510" s="299" t="s">
        <v>259</v>
      </c>
      <c r="K510" s="288" t="s">
        <v>133</v>
      </c>
      <c r="L510" s="1133" t="s">
        <v>271</v>
      </c>
      <c r="M510" s="1136"/>
      <c r="N510" s="316" t="s">
        <v>265</v>
      </c>
    </row>
    <row r="511" spans="2:14" ht="24.75" customHeight="1" thickBot="1">
      <c r="B511" s="1179" t="s">
        <v>161</v>
      </c>
      <c r="C511" s="1180"/>
      <c r="D511" s="1180"/>
      <c r="E511" s="1180"/>
      <c r="F511" s="1180"/>
      <c r="G511" s="1180"/>
      <c r="H511" s="1181"/>
      <c r="I511" s="333"/>
      <c r="J511" s="375" t="s">
        <v>147</v>
      </c>
      <c r="K511" s="376">
        <v>1</v>
      </c>
      <c r="L511" s="1144">
        <v>38446</v>
      </c>
      <c r="M511" s="1145"/>
      <c r="N511" s="377">
        <f>+K511*L511</f>
        <v>38446</v>
      </c>
    </row>
    <row r="512" spans="2:14" ht="13.5" thickBot="1">
      <c r="B512" s="1100" t="s">
        <v>269</v>
      </c>
      <c r="C512" s="1101"/>
      <c r="D512" s="1101"/>
      <c r="E512" s="1101"/>
      <c r="F512" s="1101"/>
      <c r="G512" s="1101"/>
      <c r="H512" s="1101"/>
      <c r="I512" s="1101"/>
      <c r="J512" s="1101"/>
      <c r="K512" s="1101"/>
      <c r="L512" s="1101"/>
      <c r="M512" s="1102"/>
      <c r="N512" s="323">
        <f>+N511</f>
        <v>38446</v>
      </c>
    </row>
    <row r="513" spans="2:14">
      <c r="B513" s="280"/>
      <c r="C513" s="281"/>
      <c r="D513" s="281"/>
      <c r="E513" s="281"/>
      <c r="F513" s="281"/>
      <c r="G513" s="281"/>
      <c r="H513" s="281"/>
      <c r="I513" s="281"/>
      <c r="J513" s="281"/>
      <c r="K513" s="281"/>
      <c r="L513" s="281"/>
      <c r="M513" s="281"/>
      <c r="N513" s="282"/>
    </row>
    <row r="514" spans="2:14" ht="13.5" thickBot="1">
      <c r="B514" s="378"/>
      <c r="C514" s="311"/>
      <c r="D514" s="311"/>
      <c r="E514" s="311"/>
      <c r="F514" s="311"/>
      <c r="G514" s="311"/>
      <c r="H514" s="311"/>
      <c r="I514" s="311"/>
      <c r="J514" s="311"/>
      <c r="K514" s="311"/>
      <c r="L514" s="311"/>
      <c r="M514" s="311"/>
      <c r="N514" s="379"/>
    </row>
    <row r="515" spans="2:14" ht="13.5" thickBot="1">
      <c r="B515" s="1150" t="s">
        <v>291</v>
      </c>
      <c r="C515" s="1151"/>
      <c r="D515" s="1151"/>
      <c r="E515" s="1151"/>
      <c r="F515" s="1151"/>
      <c r="G515" s="1151"/>
      <c r="H515" s="1151"/>
      <c r="I515" s="1151"/>
      <c r="J515" s="1151"/>
      <c r="K515" s="1151"/>
      <c r="L515" s="1151"/>
      <c r="M515" s="1152"/>
      <c r="N515" s="336">
        <f>+N482+N489+N496+N503+N508+N512</f>
        <v>180762.64808701858</v>
      </c>
    </row>
    <row r="516" spans="2:14">
      <c r="B516" s="1103" t="s">
        <v>292</v>
      </c>
      <c r="C516" s="1104"/>
      <c r="D516" s="1104"/>
      <c r="E516" s="1104"/>
      <c r="F516" s="1104"/>
      <c r="G516" s="1104"/>
      <c r="H516" s="1104"/>
      <c r="I516" s="1104"/>
      <c r="J516" s="1104"/>
      <c r="K516" s="1104"/>
      <c r="L516" s="1104"/>
      <c r="M516" s="1104"/>
      <c r="N516" s="1105"/>
    </row>
    <row r="517" spans="2:14">
      <c r="B517" s="1106"/>
      <c r="C517" s="1107"/>
      <c r="D517" s="1107"/>
      <c r="E517" s="1107"/>
      <c r="F517" s="1107"/>
      <c r="G517" s="1107"/>
      <c r="H517" s="1107"/>
      <c r="I517" s="1107"/>
      <c r="J517" s="1107"/>
      <c r="K517" s="1107"/>
      <c r="L517" s="1107"/>
      <c r="M517" s="1107"/>
      <c r="N517" s="1108"/>
    </row>
    <row r="518" spans="2:14" ht="13.5" thickBot="1">
      <c r="B518" s="1109"/>
      <c r="C518" s="1110"/>
      <c r="D518" s="1110"/>
      <c r="E518" s="1110"/>
      <c r="F518" s="1110"/>
      <c r="G518" s="1110"/>
      <c r="H518" s="1110"/>
      <c r="I518" s="1110"/>
      <c r="J518" s="1110"/>
      <c r="K518" s="1110"/>
      <c r="L518" s="1110"/>
      <c r="M518" s="1110"/>
      <c r="N518" s="1111"/>
    </row>
    <row r="519" spans="2:14">
      <c r="B519" s="1130" t="s">
        <v>17</v>
      </c>
      <c r="C519" s="1139"/>
      <c r="D519" s="1139"/>
      <c r="E519" s="1139"/>
      <c r="F519" s="1139"/>
      <c r="G519" s="1139"/>
      <c r="H519" s="1139"/>
      <c r="I519" s="306"/>
      <c r="J519" s="337"/>
      <c r="K519" s="315" t="s">
        <v>79</v>
      </c>
      <c r="L519" s="1140" t="s">
        <v>11</v>
      </c>
      <c r="M519" s="1141"/>
      <c r="N519" s="316"/>
    </row>
    <row r="520" spans="2:14">
      <c r="B520" s="1112" t="s">
        <v>232</v>
      </c>
      <c r="C520" s="1113"/>
      <c r="D520" s="1113"/>
      <c r="E520" s="1113"/>
      <c r="F520" s="1113"/>
      <c r="G520" s="1113"/>
      <c r="H520" s="1113"/>
      <c r="I520" s="338"/>
      <c r="J520" s="339"/>
      <c r="K520" s="340">
        <f>'PRESUPUESTO OFICIAL'!$K$100</f>
        <v>0</v>
      </c>
      <c r="L520" s="1146">
        <f>K520*N515</f>
        <v>0</v>
      </c>
      <c r="M520" s="1147"/>
      <c r="N520" s="341"/>
    </row>
    <row r="521" spans="2:14">
      <c r="B521" s="292" t="s">
        <v>293</v>
      </c>
      <c r="C521" s="293"/>
      <c r="D521" s="293"/>
      <c r="E521" s="293"/>
      <c r="F521" s="293"/>
      <c r="G521" s="293"/>
      <c r="H521" s="293"/>
      <c r="I521" s="338"/>
      <c r="J521" s="339"/>
      <c r="K521" s="340">
        <f>'PRESUPUESTO OFICIAL'!$K$101</f>
        <v>0</v>
      </c>
      <c r="L521" s="1146">
        <f>K521*N515</f>
        <v>0</v>
      </c>
      <c r="M521" s="1147"/>
      <c r="N521" s="341"/>
    </row>
    <row r="522" spans="2:14" ht="13.5" thickBot="1">
      <c r="B522" s="277" t="s">
        <v>294</v>
      </c>
      <c r="C522" s="278"/>
      <c r="D522" s="278"/>
      <c r="E522" s="278"/>
      <c r="F522" s="278"/>
      <c r="G522" s="278"/>
      <c r="H522" s="278"/>
      <c r="I522" s="342"/>
      <c r="J522" s="343"/>
      <c r="K522" s="340">
        <f>'PRESUPUESTO OFICIAL'!$K$102</f>
        <v>0</v>
      </c>
      <c r="L522" s="1148">
        <f>K522*N515</f>
        <v>0</v>
      </c>
      <c r="M522" s="1149"/>
      <c r="N522" s="341"/>
    </row>
    <row r="523" spans="2:14" ht="13.5" thickBot="1">
      <c r="B523" s="1100" t="s">
        <v>269</v>
      </c>
      <c r="C523" s="1101"/>
      <c r="D523" s="1101"/>
      <c r="E523" s="1101"/>
      <c r="F523" s="1101"/>
      <c r="G523" s="1101"/>
      <c r="H523" s="1101"/>
      <c r="I523" s="1101"/>
      <c r="J523" s="1101"/>
      <c r="K523" s="1101"/>
      <c r="L523" s="1101"/>
      <c r="M523" s="1102"/>
      <c r="N523" s="344">
        <f>SUM(L520:M522)</f>
        <v>0</v>
      </c>
    </row>
    <row r="524" spans="2:14" ht="13.5" thickBot="1">
      <c r="B524" s="283"/>
      <c r="N524" s="284"/>
    </row>
    <row r="525" spans="2:14" ht="13.5" thickBot="1">
      <c r="B525" s="1150" t="s">
        <v>295</v>
      </c>
      <c r="C525" s="1151"/>
      <c r="D525" s="1151"/>
      <c r="E525" s="1151"/>
      <c r="F525" s="1151"/>
      <c r="G525" s="1151"/>
      <c r="H525" s="1151"/>
      <c r="I525" s="1151"/>
      <c r="J525" s="1151"/>
      <c r="K525" s="1151"/>
      <c r="L525" s="1151"/>
      <c r="M525" s="1152"/>
      <c r="N525" s="345">
        <f>ROUND(N515+N523,0)</f>
        <v>180763</v>
      </c>
    </row>
    <row r="526" spans="2:14">
      <c r="B526" s="280"/>
      <c r="C526" s="281"/>
      <c r="D526" s="281"/>
      <c r="E526" s="281"/>
      <c r="F526" s="281"/>
      <c r="G526" s="281"/>
      <c r="H526" s="281"/>
      <c r="I526" s="281"/>
      <c r="J526" s="281"/>
      <c r="K526" s="281"/>
      <c r="L526" s="281"/>
      <c r="M526" s="281"/>
      <c r="N526" s="282"/>
    </row>
    <row r="527" spans="2:14">
      <c r="B527" s="283"/>
      <c r="N527" s="284"/>
    </row>
    <row r="528" spans="2:14">
      <c r="B528" s="283"/>
      <c r="N528" s="284"/>
    </row>
    <row r="529" spans="2:14">
      <c r="B529" s="283"/>
      <c r="G529" s="346" t="s">
        <v>296</v>
      </c>
      <c r="H529" s="346"/>
      <c r="I529" s="346"/>
      <c r="J529" s="346"/>
      <c r="N529" s="284"/>
    </row>
    <row r="530" spans="2:14">
      <c r="B530" s="347"/>
      <c r="C530" s="348"/>
      <c r="D530" s="348"/>
      <c r="E530" s="348"/>
      <c r="F530" s="348"/>
      <c r="G530" s="346" t="s">
        <v>297</v>
      </c>
      <c r="H530" s="348"/>
      <c r="I530" s="348"/>
      <c r="J530" s="348"/>
      <c r="K530" s="348"/>
      <c r="L530" s="348"/>
      <c r="M530" s="348"/>
      <c r="N530" s="349"/>
    </row>
    <row r="531" spans="2:14">
      <c r="B531" s="347"/>
      <c r="C531" s="348"/>
      <c r="D531" s="348"/>
      <c r="E531" s="348"/>
      <c r="F531" s="348"/>
      <c r="G531" s="346" t="s">
        <v>298</v>
      </c>
      <c r="J531" s="348"/>
      <c r="K531" s="348"/>
      <c r="L531" s="348"/>
      <c r="M531" s="348"/>
      <c r="N531" s="349"/>
    </row>
    <row r="532" spans="2:14">
      <c r="B532" s="268"/>
      <c r="C532" s="350"/>
      <c r="D532" s="350"/>
      <c r="E532" s="350"/>
      <c r="F532" s="350"/>
      <c r="G532" s="346" t="s">
        <v>299</v>
      </c>
      <c r="H532" s="350"/>
      <c r="I532" s="350"/>
      <c r="J532" s="350"/>
      <c r="K532" s="350"/>
      <c r="L532" s="350"/>
      <c r="M532" s="350"/>
      <c r="N532" s="351"/>
    </row>
    <row r="533" spans="2:14">
      <c r="B533" s="283"/>
      <c r="G533" s="258" t="s">
        <v>300</v>
      </c>
      <c r="N533" s="284"/>
    </row>
    <row r="534" spans="2:14">
      <c r="B534" s="352" t="s">
        <v>301</v>
      </c>
      <c r="C534" s="353"/>
      <c r="D534" s="353"/>
      <c r="E534" s="353"/>
      <c r="F534" s="353"/>
      <c r="G534" s="353"/>
      <c r="H534" s="353"/>
      <c r="I534" s="353"/>
      <c r="J534" s="353"/>
      <c r="K534" s="353"/>
      <c r="L534" s="353"/>
      <c r="M534" s="353"/>
      <c r="N534" s="354"/>
    </row>
    <row r="535" spans="2:14">
      <c r="B535" s="1153"/>
      <c r="C535" s="1154"/>
      <c r="D535" s="1154"/>
      <c r="E535" s="1154"/>
      <c r="F535" s="1154"/>
      <c r="G535" s="1154"/>
      <c r="H535" s="1154"/>
      <c r="I535" s="1154"/>
      <c r="J535" s="1154"/>
      <c r="K535" s="1154"/>
      <c r="L535" s="1154"/>
      <c r="M535" s="1154"/>
      <c r="N535" s="1155"/>
    </row>
    <row r="536" spans="2:14">
      <c r="B536" s="1153"/>
      <c r="C536" s="1154"/>
      <c r="D536" s="1154"/>
      <c r="E536" s="1154"/>
      <c r="F536" s="1154"/>
      <c r="G536" s="1154"/>
      <c r="H536" s="1154"/>
      <c r="I536" s="1154"/>
      <c r="J536" s="1154"/>
      <c r="K536" s="1154"/>
      <c r="L536" s="1154"/>
      <c r="M536" s="1154"/>
      <c r="N536" s="1155"/>
    </row>
    <row r="537" spans="2:14">
      <c r="B537" s="268"/>
      <c r="C537" s="350"/>
      <c r="D537" s="350"/>
      <c r="E537" s="350"/>
      <c r="F537" s="350"/>
      <c r="G537" s="350"/>
      <c r="H537" s="350"/>
      <c r="I537" s="350"/>
      <c r="J537" s="350"/>
      <c r="K537" s="350"/>
      <c r="L537" s="350"/>
      <c r="M537" s="350"/>
      <c r="N537" s="351"/>
    </row>
    <row r="538" spans="2:14">
      <c r="B538" s="355" t="s">
        <v>302</v>
      </c>
      <c r="C538" s="350"/>
      <c r="D538" s="350"/>
      <c r="E538" s="350"/>
      <c r="F538" s="350"/>
      <c r="G538" s="350"/>
      <c r="H538" s="350"/>
      <c r="I538" s="350"/>
      <c r="J538" s="350"/>
      <c r="K538" s="350"/>
      <c r="L538" s="350"/>
      <c r="M538" s="350"/>
      <c r="N538" s="351"/>
    </row>
    <row r="539" spans="2:14">
      <c r="B539" s="1159" t="s">
        <v>303</v>
      </c>
      <c r="C539" s="1160"/>
      <c r="D539" s="1160"/>
      <c r="E539" s="1160"/>
      <c r="F539" s="1160"/>
      <c r="G539" s="1160"/>
      <c r="H539" s="1160"/>
      <c r="I539" s="1160"/>
      <c r="J539" s="1160"/>
      <c r="K539" s="1160"/>
      <c r="L539" s="1160"/>
      <c r="M539" s="1160"/>
      <c r="N539" s="1161"/>
    </row>
    <row r="540" spans="2:14">
      <c r="B540" s="1159"/>
      <c r="C540" s="1160"/>
      <c r="D540" s="1160"/>
      <c r="E540" s="1160"/>
      <c r="F540" s="1160"/>
      <c r="G540" s="1160"/>
      <c r="H540" s="1160"/>
      <c r="I540" s="1160"/>
      <c r="J540" s="1160"/>
      <c r="K540" s="1160"/>
      <c r="L540" s="1160"/>
      <c r="M540" s="1160"/>
      <c r="N540" s="1161"/>
    </row>
    <row r="541" spans="2:14">
      <c r="B541" s="1159" t="s">
        <v>304</v>
      </c>
      <c r="C541" s="1160"/>
      <c r="D541" s="1160"/>
      <c r="E541" s="1160"/>
      <c r="F541" s="1160"/>
      <c r="G541" s="1160"/>
      <c r="H541" s="1160"/>
      <c r="I541" s="1160"/>
      <c r="J541" s="1160"/>
      <c r="K541" s="1160"/>
      <c r="L541" s="1160"/>
      <c r="M541" s="1160"/>
      <c r="N541" s="1161"/>
    </row>
    <row r="542" spans="2:14">
      <c r="B542" s="1159"/>
      <c r="C542" s="1160"/>
      <c r="D542" s="1160"/>
      <c r="E542" s="1160"/>
      <c r="F542" s="1160"/>
      <c r="G542" s="1160"/>
      <c r="H542" s="1160"/>
      <c r="I542" s="1160"/>
      <c r="J542" s="1160"/>
      <c r="K542" s="1160"/>
      <c r="L542" s="1160"/>
      <c r="M542" s="1160"/>
      <c r="N542" s="1161"/>
    </row>
    <row r="543" spans="2:14">
      <c r="B543" s="268"/>
      <c r="C543" s="350"/>
      <c r="D543" s="350"/>
      <c r="E543" s="350"/>
      <c r="F543" s="350"/>
      <c r="G543" s="350"/>
      <c r="H543" s="350"/>
      <c r="I543" s="350"/>
      <c r="J543" s="350"/>
      <c r="K543" s="350"/>
      <c r="L543" s="350"/>
      <c r="M543" s="350"/>
      <c r="N543" s="351"/>
    </row>
    <row r="544" spans="2:14">
      <c r="B544" s="283"/>
      <c r="G544" s="346" t="s">
        <v>296</v>
      </c>
      <c r="N544" s="284"/>
    </row>
    <row r="545" spans="2:14">
      <c r="B545" s="283"/>
      <c r="G545" s="258" t="s">
        <v>305</v>
      </c>
      <c r="H545" s="293"/>
      <c r="I545" s="293"/>
      <c r="J545" s="293"/>
      <c r="N545" s="284"/>
    </row>
    <row r="546" spans="2:14">
      <c r="B546" s="283"/>
      <c r="G546" s="258" t="s">
        <v>306</v>
      </c>
      <c r="H546" s="325"/>
      <c r="I546" s="325"/>
      <c r="J546" s="325"/>
      <c r="N546" s="284"/>
    </row>
    <row r="547" spans="2:14">
      <c r="B547" s="356"/>
      <c r="C547" s="350"/>
      <c r="D547" s="350"/>
      <c r="E547" s="350"/>
      <c r="F547" s="350"/>
      <c r="G547" s="258" t="s">
        <v>299</v>
      </c>
      <c r="K547" s="350"/>
      <c r="L547" s="350"/>
      <c r="M547" s="350"/>
      <c r="N547" s="351"/>
    </row>
    <row r="548" spans="2:14">
      <c r="B548" s="357"/>
      <c r="C548" s="358"/>
      <c r="D548" s="358"/>
      <c r="J548" s="1162"/>
      <c r="K548" s="1162"/>
      <c r="L548" s="1162"/>
      <c r="M548" s="1162"/>
      <c r="N548" s="1163"/>
    </row>
    <row r="549" spans="2:14" ht="13.5" thickBot="1">
      <c r="B549" s="1166"/>
      <c r="C549" s="1167"/>
      <c r="D549" s="1167"/>
      <c r="E549" s="311"/>
      <c r="F549" s="311"/>
      <c r="G549" s="311"/>
      <c r="H549" s="311"/>
      <c r="I549" s="311"/>
      <c r="J549" s="1164"/>
      <c r="K549" s="1164"/>
      <c r="L549" s="1164"/>
      <c r="M549" s="1164"/>
      <c r="N549" s="1165"/>
    </row>
    <row r="550" spans="2:14" ht="13.5" thickBot="1"/>
    <row r="551" spans="2:14">
      <c r="B551" s="1070"/>
      <c r="C551" s="1072"/>
      <c r="D551" s="1073"/>
      <c r="E551" s="1073"/>
      <c r="F551" s="1073"/>
      <c r="G551" s="1073"/>
      <c r="H551" s="1073"/>
      <c r="I551" s="1073"/>
      <c r="J551" s="1074"/>
      <c r="K551" s="1075"/>
      <c r="L551" s="1076"/>
      <c r="M551" s="1076"/>
      <c r="N551" s="1077"/>
    </row>
    <row r="552" spans="2:14">
      <c r="B552" s="1071"/>
      <c r="C552" s="1062" t="s">
        <v>244</v>
      </c>
      <c r="D552" s="1063"/>
      <c r="E552" s="1063"/>
      <c r="F552" s="1063"/>
      <c r="G552" s="1063"/>
      <c r="H552" s="1063"/>
      <c r="I552" s="1063"/>
      <c r="J552" s="1064"/>
      <c r="K552" s="1078"/>
      <c r="L552" s="1079"/>
      <c r="M552" s="1079"/>
      <c r="N552" s="1080"/>
    </row>
    <row r="553" spans="2:14">
      <c r="B553" s="1071"/>
      <c r="C553" s="1081"/>
      <c r="D553" s="1082"/>
      <c r="E553" s="1082"/>
      <c r="F553" s="1082"/>
      <c r="G553" s="1082"/>
      <c r="H553" s="1082"/>
      <c r="I553" s="1082"/>
      <c r="J553" s="1083"/>
      <c r="K553" s="1058" t="s">
        <v>245</v>
      </c>
      <c r="L553" s="1085"/>
      <c r="M553" s="1086"/>
      <c r="N553" s="1087"/>
    </row>
    <row r="554" spans="2:14">
      <c r="B554" s="1071"/>
      <c r="C554" s="1062" t="s">
        <v>246</v>
      </c>
      <c r="D554" s="1063"/>
      <c r="E554" s="1063"/>
      <c r="F554" s="1063"/>
      <c r="G554" s="1063"/>
      <c r="H554" s="1063"/>
      <c r="I554" s="1063"/>
      <c r="J554" s="1064"/>
      <c r="K554" s="1084"/>
      <c r="L554" s="1088"/>
      <c r="M554" s="1089"/>
      <c r="N554" s="1090"/>
    </row>
    <row r="555" spans="2:14">
      <c r="B555" s="1071"/>
      <c r="C555" s="1091"/>
      <c r="D555" s="1092"/>
      <c r="E555" s="1092"/>
      <c r="F555" s="1092"/>
      <c r="G555" s="1092"/>
      <c r="H555" s="1092"/>
      <c r="I555" s="1092"/>
      <c r="J555" s="1093"/>
      <c r="K555" s="1058" t="s">
        <v>247</v>
      </c>
      <c r="L555" s="1058">
        <v>7</v>
      </c>
      <c r="M555" s="1058" t="s">
        <v>248</v>
      </c>
      <c r="N555" s="1060">
        <v>80</v>
      </c>
    </row>
    <row r="556" spans="2:14">
      <c r="B556" s="1071"/>
      <c r="C556" s="1091"/>
      <c r="D556" s="1092"/>
      <c r="E556" s="1092"/>
      <c r="F556" s="1092"/>
      <c r="G556" s="1092"/>
      <c r="H556" s="1092"/>
      <c r="I556" s="1092"/>
      <c r="J556" s="1093"/>
      <c r="K556" s="1059"/>
      <c r="L556" s="1059"/>
      <c r="M556" s="1059"/>
      <c r="N556" s="1061"/>
    </row>
    <row r="557" spans="2:14">
      <c r="B557" s="1071"/>
      <c r="C557" s="1062" t="s">
        <v>249</v>
      </c>
      <c r="D557" s="1063"/>
      <c r="E557" s="1063"/>
      <c r="F557" s="1063"/>
      <c r="G557" s="1063"/>
      <c r="H557" s="1063"/>
      <c r="I557" s="1063"/>
      <c r="J557" s="1064"/>
      <c r="K557" s="1059"/>
      <c r="L557" s="1059"/>
      <c r="M557" s="1059"/>
      <c r="N557" s="1061"/>
    </row>
    <row r="558" spans="2:14" ht="13.5" thickBot="1">
      <c r="B558" s="259"/>
      <c r="C558" s="260"/>
      <c r="D558" s="260"/>
      <c r="E558" s="260"/>
      <c r="F558" s="260"/>
      <c r="G558" s="260"/>
      <c r="H558" s="260"/>
      <c r="I558" s="260"/>
      <c r="J558" s="260"/>
      <c r="K558" s="260"/>
      <c r="L558" s="261"/>
      <c r="M558" s="261"/>
      <c r="N558" s="262"/>
    </row>
    <row r="559" spans="2:14">
      <c r="B559" s="263"/>
      <c r="C559" s="264"/>
      <c r="D559" s="264"/>
      <c r="E559" s="264"/>
      <c r="F559" s="264"/>
      <c r="G559" s="264"/>
      <c r="H559" s="264"/>
      <c r="I559" s="264"/>
      <c r="J559" s="264"/>
      <c r="K559" s="265" t="s">
        <v>250</v>
      </c>
      <c r="L559" s="266" t="s">
        <v>251</v>
      </c>
      <c r="M559" s="266" t="s">
        <v>252</v>
      </c>
      <c r="N559" s="267" t="s">
        <v>253</v>
      </c>
    </row>
    <row r="560" spans="2:14">
      <c r="B560" s="268"/>
      <c r="C560" s="269"/>
      <c r="D560" s="269"/>
      <c r="E560" s="269"/>
      <c r="F560" s="269"/>
      <c r="G560" s="269"/>
      <c r="H560" s="269"/>
      <c r="I560" s="269"/>
      <c r="J560" s="269"/>
      <c r="K560" s="270"/>
      <c r="L560" s="271"/>
      <c r="M560" s="271"/>
      <c r="N560" s="272"/>
    </row>
    <row r="561" spans="2:14">
      <c r="B561" s="1065" t="s">
        <v>254</v>
      </c>
      <c r="C561" s="1066"/>
      <c r="D561" s="1066"/>
      <c r="E561" s="1066"/>
      <c r="F561" s="269"/>
      <c r="G561" s="269"/>
      <c r="H561" s="269" t="s">
        <v>255</v>
      </c>
      <c r="J561" s="269"/>
      <c r="K561" s="270"/>
      <c r="N561" s="273"/>
    </row>
    <row r="562" spans="2:14">
      <c r="B562" s="274"/>
      <c r="C562" s="275"/>
      <c r="D562" s="275"/>
      <c r="E562" s="275"/>
      <c r="F562" s="275"/>
      <c r="G562" s="275"/>
      <c r="H562" s="275"/>
      <c r="I562" s="275"/>
      <c r="J562" s="275"/>
      <c r="K562" s="275"/>
      <c r="L562" s="275"/>
      <c r="M562" s="275"/>
      <c r="N562" s="276"/>
    </row>
    <row r="563" spans="2:14" ht="13.5" thickBot="1">
      <c r="B563" s="277"/>
      <c r="C563" s="278"/>
      <c r="D563" s="278"/>
      <c r="E563" s="278"/>
      <c r="F563" s="278"/>
      <c r="G563" s="278"/>
      <c r="H563" s="278"/>
      <c r="I563" s="278"/>
      <c r="J563" s="278"/>
      <c r="K563" s="278"/>
      <c r="L563" s="278"/>
      <c r="M563" s="278"/>
      <c r="N563" s="279"/>
    </row>
    <row r="564" spans="2:14" ht="13.5" thickBot="1">
      <c r="B564" s="280"/>
      <c r="C564" s="281"/>
      <c r="D564" s="281"/>
      <c r="E564" s="281"/>
      <c r="F564" s="281"/>
      <c r="G564" s="281"/>
      <c r="J564" s="281"/>
      <c r="K564" s="281"/>
      <c r="L564" s="281"/>
      <c r="M564" s="281"/>
      <c r="N564" s="282"/>
    </row>
    <row r="565" spans="2:14">
      <c r="B565" s="1067" t="s">
        <v>256</v>
      </c>
      <c r="C565" s="1068"/>
      <c r="D565" s="1068"/>
      <c r="E565" s="1068"/>
      <c r="F565" s="1068"/>
      <c r="G565" s="1068"/>
      <c r="H565" s="1068"/>
      <c r="I565" s="1068"/>
      <c r="J565" s="1068"/>
      <c r="K565" s="1068"/>
      <c r="L565" s="1068"/>
      <c r="M565" s="1068"/>
      <c r="N565" s="1069"/>
    </row>
    <row r="566" spans="2:14" ht="13.5" thickBot="1">
      <c r="B566" s="283"/>
      <c r="N566" s="284"/>
    </row>
    <row r="567" spans="2:14">
      <c r="B567" s="285" t="s">
        <v>257</v>
      </c>
      <c r="C567" s="1120" t="s">
        <v>258</v>
      </c>
      <c r="D567" s="1121"/>
      <c r="E567" s="1121"/>
      <c r="F567" s="1121"/>
      <c r="G567" s="1121"/>
      <c r="H567" s="1121"/>
      <c r="I567" s="1121"/>
      <c r="J567" s="1121"/>
      <c r="K567" s="1122"/>
      <c r="L567" s="1123" t="s">
        <v>259</v>
      </c>
      <c r="M567" s="1124"/>
      <c r="N567" s="285" t="s">
        <v>133</v>
      </c>
    </row>
    <row r="568" spans="2:14" ht="25.5" customHeight="1" thickBot="1">
      <c r="B568" s="286">
        <v>7</v>
      </c>
      <c r="C568" s="1125" t="s">
        <v>317</v>
      </c>
      <c r="D568" s="1126"/>
      <c r="E568" s="1126"/>
      <c r="F568" s="1126"/>
      <c r="G568" s="1126"/>
      <c r="H568" s="1126"/>
      <c r="I568" s="1126"/>
      <c r="J568" s="1126"/>
      <c r="K568" s="1127"/>
      <c r="L568" s="1128" t="s">
        <v>141</v>
      </c>
      <c r="M568" s="1129"/>
      <c r="N568" s="366">
        <v>200</v>
      </c>
    </row>
    <row r="569" spans="2:14">
      <c r="B569" s="1103" t="s">
        <v>260</v>
      </c>
      <c r="C569" s="1104"/>
      <c r="D569" s="1104"/>
      <c r="E569" s="1104"/>
      <c r="F569" s="1104"/>
      <c r="G569" s="1104"/>
      <c r="H569" s="1104"/>
      <c r="I569" s="1104"/>
      <c r="J569" s="1104"/>
      <c r="K569" s="1104"/>
      <c r="L569" s="1104"/>
      <c r="M569" s="1104"/>
      <c r="N569" s="1105"/>
    </row>
    <row r="570" spans="2:14">
      <c r="B570" s="1106"/>
      <c r="C570" s="1107"/>
      <c r="D570" s="1107"/>
      <c r="E570" s="1107"/>
      <c r="F570" s="1107"/>
      <c r="G570" s="1107"/>
      <c r="H570" s="1107"/>
      <c r="I570" s="1107"/>
      <c r="J570" s="1107"/>
      <c r="K570" s="1107"/>
      <c r="L570" s="1107"/>
      <c r="M570" s="1107"/>
      <c r="N570" s="1108"/>
    </row>
    <row r="571" spans="2:14" ht="13.5" thickBot="1">
      <c r="B571" s="1109"/>
      <c r="C571" s="1110"/>
      <c r="D571" s="1110"/>
      <c r="E571" s="1110"/>
      <c r="F571" s="1110"/>
      <c r="G571" s="1110"/>
      <c r="H571" s="1110"/>
      <c r="I571" s="1110"/>
      <c r="J571" s="1110"/>
      <c r="K571" s="1110"/>
      <c r="L571" s="1110"/>
      <c r="M571" s="1110"/>
      <c r="N571" s="1111"/>
    </row>
    <row r="572" spans="2:14">
      <c r="B572" s="1130" t="s">
        <v>258</v>
      </c>
      <c r="C572" s="1131"/>
      <c r="D572" s="1131"/>
      <c r="E572" s="1131"/>
      <c r="F572" s="1132"/>
      <c r="G572" s="1133" t="s">
        <v>261</v>
      </c>
      <c r="H572" s="1131"/>
      <c r="I572" s="1134" t="s">
        <v>262</v>
      </c>
      <c r="J572" s="1135"/>
      <c r="K572" s="288" t="s">
        <v>263</v>
      </c>
      <c r="L572" s="1133" t="s">
        <v>264</v>
      </c>
      <c r="M572" s="1136"/>
      <c r="N572" s="289" t="s">
        <v>265</v>
      </c>
    </row>
    <row r="573" spans="2:14" ht="24.75" customHeight="1">
      <c r="B573" s="1179" t="s">
        <v>316</v>
      </c>
      <c r="C573" s="1180"/>
      <c r="D573" s="1180"/>
      <c r="E573" s="1180"/>
      <c r="F573" s="1181"/>
      <c r="G573" s="1115"/>
      <c r="H573" s="1114"/>
      <c r="I573" s="1182" t="s">
        <v>267</v>
      </c>
      <c r="J573" s="1183"/>
      <c r="K573" s="290">
        <v>122808</v>
      </c>
      <c r="L573" s="1118">
        <v>5.9999880000000001</v>
      </c>
      <c r="M573" s="1119"/>
      <c r="N573" s="290">
        <f>+K573/L573</f>
        <v>20468.04093608187</v>
      </c>
    </row>
    <row r="574" spans="2:14">
      <c r="B574" s="292"/>
      <c r="C574" s="293"/>
      <c r="D574" s="293"/>
      <c r="E574" s="293"/>
      <c r="F574" s="294"/>
      <c r="G574" s="295"/>
      <c r="H574" s="294"/>
      <c r="I574" s="1116"/>
      <c r="J574" s="1117"/>
      <c r="K574" s="290"/>
      <c r="L574" s="1118"/>
      <c r="M574" s="1119"/>
      <c r="N574" s="290"/>
    </row>
    <row r="575" spans="2:14" ht="13.5" thickBot="1">
      <c r="B575" s="1094"/>
      <c r="C575" s="1095"/>
      <c r="D575" s="1095"/>
      <c r="E575" s="1095"/>
      <c r="F575" s="1096"/>
      <c r="G575" s="1097"/>
      <c r="H575" s="1096"/>
      <c r="I575" s="1097"/>
      <c r="J575" s="1096"/>
      <c r="K575" s="290"/>
      <c r="L575" s="1098"/>
      <c r="M575" s="1099"/>
      <c r="N575" s="383"/>
    </row>
    <row r="576" spans="2:14" ht="13.5" thickBot="1">
      <c r="B576" s="1100" t="s">
        <v>269</v>
      </c>
      <c r="C576" s="1101"/>
      <c r="D576" s="1101"/>
      <c r="E576" s="1101"/>
      <c r="F576" s="1101"/>
      <c r="G576" s="1101"/>
      <c r="H576" s="1101"/>
      <c r="I576" s="1101"/>
      <c r="J576" s="1101"/>
      <c r="K576" s="1101"/>
      <c r="L576" s="1101"/>
      <c r="M576" s="1102"/>
      <c r="N576" s="323">
        <f>+N573+N574+N575</f>
        <v>20468.04093608187</v>
      </c>
    </row>
    <row r="577" spans="2:14">
      <c r="B577" s="1103" t="s">
        <v>270</v>
      </c>
      <c r="C577" s="1104"/>
      <c r="D577" s="1104"/>
      <c r="E577" s="1104"/>
      <c r="F577" s="1104"/>
      <c r="G577" s="1104"/>
      <c r="H577" s="1104"/>
      <c r="I577" s="1104"/>
      <c r="J577" s="1104"/>
      <c r="K577" s="1104"/>
      <c r="L577" s="1104"/>
      <c r="M577" s="1104"/>
      <c r="N577" s="1105"/>
    </row>
    <row r="578" spans="2:14">
      <c r="B578" s="1106"/>
      <c r="C578" s="1107"/>
      <c r="D578" s="1107"/>
      <c r="E578" s="1107"/>
      <c r="F578" s="1107"/>
      <c r="G578" s="1107"/>
      <c r="H578" s="1107"/>
      <c r="I578" s="1107"/>
      <c r="J578" s="1107"/>
      <c r="K578" s="1107"/>
      <c r="L578" s="1107"/>
      <c r="M578" s="1107"/>
      <c r="N578" s="1108"/>
    </row>
    <row r="579" spans="2:14" ht="13.5" thickBot="1">
      <c r="B579" s="1109"/>
      <c r="C579" s="1110"/>
      <c r="D579" s="1110"/>
      <c r="E579" s="1110"/>
      <c r="F579" s="1110"/>
      <c r="G579" s="1110"/>
      <c r="H579" s="1110"/>
      <c r="I579" s="1110"/>
      <c r="J579" s="1110"/>
      <c r="K579" s="1110"/>
      <c r="L579" s="1110"/>
      <c r="M579" s="1110"/>
      <c r="N579" s="1111"/>
    </row>
    <row r="580" spans="2:14">
      <c r="B580" s="1130" t="s">
        <v>258</v>
      </c>
      <c r="C580" s="1139"/>
      <c r="D580" s="1139"/>
      <c r="E580" s="1139"/>
      <c r="F580" s="1139"/>
      <c r="G580" s="1139"/>
      <c r="H580" s="1139"/>
      <c r="I580" s="1136"/>
      <c r="J580" s="299" t="s">
        <v>259</v>
      </c>
      <c r="K580" s="288" t="s">
        <v>133</v>
      </c>
      <c r="L580" s="1133" t="s">
        <v>271</v>
      </c>
      <c r="M580" s="1136"/>
      <c r="N580" s="289" t="s">
        <v>265</v>
      </c>
    </row>
    <row r="581" spans="2:14">
      <c r="B581" s="1112"/>
      <c r="C581" s="1113"/>
      <c r="D581" s="1113"/>
      <c r="E581" s="1113"/>
      <c r="F581" s="1113"/>
      <c r="G581" s="1113"/>
      <c r="H581" s="1113"/>
      <c r="I581" s="1114"/>
      <c r="J581" s="300"/>
      <c r="K581" s="301"/>
      <c r="L581" s="1168"/>
      <c r="M581" s="1169"/>
      <c r="N581" s="367"/>
    </row>
    <row r="582" spans="2:14" ht="13.5" thickBot="1">
      <c r="B582" s="1094"/>
      <c r="C582" s="1095"/>
      <c r="D582" s="1095"/>
      <c r="E582" s="1095"/>
      <c r="F582" s="1095"/>
      <c r="G582" s="1095"/>
      <c r="H582" s="1095"/>
      <c r="I582" s="1096"/>
      <c r="J582" s="303"/>
      <c r="K582" s="304"/>
      <c r="L582" s="1168"/>
      <c r="M582" s="1169"/>
      <c r="N582" s="297"/>
    </row>
    <row r="583" spans="2:14" ht="13.5" thickBot="1">
      <c r="B583" s="1100" t="s">
        <v>269</v>
      </c>
      <c r="C583" s="1101"/>
      <c r="D583" s="1101"/>
      <c r="E583" s="1101"/>
      <c r="F583" s="1101"/>
      <c r="G583" s="1101"/>
      <c r="H583" s="1101"/>
      <c r="I583" s="1101"/>
      <c r="J583" s="1101"/>
      <c r="K583" s="1101"/>
      <c r="L583" s="1101"/>
      <c r="M583" s="1102"/>
      <c r="N583" s="368">
        <f>+N581+N582</f>
        <v>0</v>
      </c>
    </row>
    <row r="584" spans="2:14">
      <c r="B584" s="1103" t="s">
        <v>276</v>
      </c>
      <c r="C584" s="1104"/>
      <c r="D584" s="1104"/>
      <c r="E584" s="1104"/>
      <c r="F584" s="1104"/>
      <c r="G584" s="1104"/>
      <c r="H584" s="1104"/>
      <c r="I584" s="1104"/>
      <c r="J584" s="1104"/>
      <c r="K584" s="1104"/>
      <c r="L584" s="1104"/>
      <c r="M584" s="1104"/>
      <c r="N584" s="1105"/>
    </row>
    <row r="585" spans="2:14">
      <c r="B585" s="1106"/>
      <c r="C585" s="1107"/>
      <c r="D585" s="1107"/>
      <c r="E585" s="1107"/>
      <c r="F585" s="1107"/>
      <c r="G585" s="1107"/>
      <c r="H585" s="1107"/>
      <c r="I585" s="1107"/>
      <c r="J585" s="1107"/>
      <c r="K585" s="1107"/>
      <c r="L585" s="1107"/>
      <c r="M585" s="1107"/>
      <c r="N585" s="1108"/>
    </row>
    <row r="586" spans="2:14" ht="13.5" thickBot="1">
      <c r="B586" s="1109"/>
      <c r="C586" s="1110"/>
      <c r="D586" s="1110"/>
      <c r="E586" s="1110"/>
      <c r="F586" s="1110"/>
      <c r="G586" s="1110"/>
      <c r="H586" s="1110"/>
      <c r="I586" s="1110"/>
      <c r="J586" s="1110"/>
      <c r="K586" s="1110"/>
      <c r="L586" s="1110"/>
      <c r="M586" s="1110"/>
      <c r="N586" s="1111"/>
    </row>
    <row r="587" spans="2:14">
      <c r="B587" s="1130" t="s">
        <v>277</v>
      </c>
      <c r="C587" s="1139"/>
      <c r="D587" s="1139"/>
      <c r="E587" s="1139"/>
      <c r="F587" s="1139"/>
      <c r="G587" s="1139"/>
      <c r="H587" s="1139"/>
      <c r="I587" s="288" t="s">
        <v>278</v>
      </c>
      <c r="J587" s="306" t="s">
        <v>279</v>
      </c>
      <c r="K587" s="307" t="s">
        <v>280</v>
      </c>
      <c r="L587" s="1133" t="s">
        <v>281</v>
      </c>
      <c r="M587" s="1136"/>
      <c r="N587" s="289" t="s">
        <v>265</v>
      </c>
    </row>
    <row r="588" spans="2:14">
      <c r="B588" s="1112"/>
      <c r="C588" s="1113"/>
      <c r="D588" s="1113"/>
      <c r="E588" s="1113"/>
      <c r="F588" s="1113"/>
      <c r="G588" s="1113"/>
      <c r="H588" s="1113"/>
      <c r="I588" s="308"/>
      <c r="J588" s="309"/>
      <c r="K588" s="308"/>
      <c r="L588" s="1142"/>
      <c r="M588" s="1143"/>
      <c r="N588" s="297"/>
    </row>
    <row r="589" spans="2:14" ht="13.5" thickBot="1">
      <c r="B589" s="1094"/>
      <c r="C589" s="1095"/>
      <c r="D589" s="1095"/>
      <c r="E589" s="1095"/>
      <c r="F589" s="1095"/>
      <c r="G589" s="1095"/>
      <c r="H589" s="1095"/>
      <c r="I589" s="310"/>
      <c r="J589" s="311"/>
      <c r="K589" s="310"/>
      <c r="L589" s="1137"/>
      <c r="M589" s="1138"/>
      <c r="N589" s="312"/>
    </row>
    <row r="590" spans="2:14" ht="13.5" thickBot="1">
      <c r="B590" s="1100" t="s">
        <v>269</v>
      </c>
      <c r="C590" s="1101"/>
      <c r="D590" s="1101"/>
      <c r="E590" s="1101"/>
      <c r="F590" s="1101"/>
      <c r="G590" s="1101"/>
      <c r="H590" s="1101"/>
      <c r="I590" s="1101"/>
      <c r="J590" s="1101"/>
      <c r="K590" s="1101"/>
      <c r="L590" s="1101"/>
      <c r="M590" s="1102"/>
      <c r="N590" s="313">
        <v>0</v>
      </c>
    </row>
    <row r="591" spans="2:14">
      <c r="B591" s="1103" t="s">
        <v>282</v>
      </c>
      <c r="C591" s="1104"/>
      <c r="D591" s="1104"/>
      <c r="E591" s="1104"/>
      <c r="F591" s="1104"/>
      <c r="G591" s="1104"/>
      <c r="H591" s="1104"/>
      <c r="I591" s="1104"/>
      <c r="J591" s="1104"/>
      <c r="K591" s="1104"/>
      <c r="L591" s="1104"/>
      <c r="M591" s="1104"/>
      <c r="N591" s="1105"/>
    </row>
    <row r="592" spans="2:14">
      <c r="B592" s="1106"/>
      <c r="C592" s="1107"/>
      <c r="D592" s="1107"/>
      <c r="E592" s="1107"/>
      <c r="F592" s="1107"/>
      <c r="G592" s="1107"/>
      <c r="H592" s="1107"/>
      <c r="I592" s="1107"/>
      <c r="J592" s="1107"/>
      <c r="K592" s="1107"/>
      <c r="L592" s="1107"/>
      <c r="M592" s="1107"/>
      <c r="N592" s="1108"/>
    </row>
    <row r="593" spans="2:14" ht="13.5" thickBot="1">
      <c r="B593" s="1109"/>
      <c r="C593" s="1110"/>
      <c r="D593" s="1110"/>
      <c r="E593" s="1110"/>
      <c r="F593" s="1110"/>
      <c r="G593" s="1110"/>
      <c r="H593" s="1110"/>
      <c r="I593" s="1110"/>
      <c r="J593" s="1110"/>
      <c r="K593" s="1110"/>
      <c r="L593" s="1110"/>
      <c r="M593" s="1110"/>
      <c r="N593" s="1111"/>
    </row>
    <row r="594" spans="2:14">
      <c r="B594" s="1130" t="s">
        <v>283</v>
      </c>
      <c r="C594" s="1139"/>
      <c r="D594" s="1139"/>
      <c r="E594" s="1139"/>
      <c r="F594" s="1139"/>
      <c r="G594" s="1139"/>
      <c r="H594" s="1139"/>
      <c r="I594" s="288" t="s">
        <v>284</v>
      </c>
      <c r="J594" s="314" t="s">
        <v>285</v>
      </c>
      <c r="K594" s="315" t="s">
        <v>286</v>
      </c>
      <c r="L594" s="1140" t="s">
        <v>264</v>
      </c>
      <c r="M594" s="1141"/>
      <c r="N594" s="316" t="s">
        <v>265</v>
      </c>
    </row>
    <row r="595" spans="2:14">
      <c r="B595" s="317" t="s">
        <v>315</v>
      </c>
      <c r="C595" s="318"/>
      <c r="D595" s="318"/>
      <c r="E595" s="318"/>
      <c r="F595" s="318"/>
      <c r="G595" s="318"/>
      <c r="H595" s="318"/>
      <c r="I595" s="319">
        <v>31851</v>
      </c>
      <c r="J595" s="321">
        <v>23888</v>
      </c>
      <c r="K595" s="321">
        <f>+I595+J595</f>
        <v>55739</v>
      </c>
      <c r="L595" s="1157">
        <v>56.000447999999999</v>
      </c>
      <c r="M595" s="1158"/>
      <c r="N595" s="322">
        <f>+K595/L595</f>
        <v>995.33132306370123</v>
      </c>
    </row>
    <row r="596" spans="2:14" ht="13.5" thickBot="1">
      <c r="B596" s="317"/>
      <c r="C596" s="318"/>
      <c r="D596" s="318"/>
      <c r="E596" s="318"/>
      <c r="F596" s="318"/>
      <c r="G596" s="318"/>
      <c r="H596" s="318"/>
      <c r="I596" s="364"/>
      <c r="J596" s="320"/>
      <c r="K596" s="365"/>
      <c r="L596" s="1157"/>
      <c r="M596" s="1158"/>
      <c r="N596" s="382"/>
    </row>
    <row r="597" spans="2:14" ht="13.5" thickBot="1">
      <c r="B597" s="1100" t="s">
        <v>269</v>
      </c>
      <c r="C597" s="1101"/>
      <c r="D597" s="1101"/>
      <c r="E597" s="1101"/>
      <c r="F597" s="1101"/>
      <c r="G597" s="1101"/>
      <c r="H597" s="1101"/>
      <c r="I597" s="1101"/>
      <c r="J597" s="1101"/>
      <c r="K597" s="1101"/>
      <c r="L597" s="1101"/>
      <c r="M597" s="1102"/>
      <c r="N597" s="323">
        <f>+N595</f>
        <v>995.33132306370123</v>
      </c>
    </row>
    <row r="598" spans="2:14" ht="13.5" thickBot="1">
      <c r="B598" s="324" t="s">
        <v>288</v>
      </c>
      <c r="C598" s="325"/>
      <c r="D598" s="325"/>
      <c r="E598" s="325"/>
      <c r="F598" s="325"/>
      <c r="G598" s="325"/>
      <c r="H598" s="325"/>
      <c r="I598" s="326"/>
      <c r="J598" s="327"/>
      <c r="K598" s="328"/>
      <c r="L598" s="329"/>
      <c r="M598" s="329"/>
      <c r="N598" s="330"/>
    </row>
    <row r="599" spans="2:14">
      <c r="B599" s="1130" t="s">
        <v>17</v>
      </c>
      <c r="C599" s="1139"/>
      <c r="D599" s="1139"/>
      <c r="E599" s="1139"/>
      <c r="F599" s="1139"/>
      <c r="G599" s="1139"/>
      <c r="H599" s="1139"/>
      <c r="I599" s="1136"/>
      <c r="J599" s="299" t="s">
        <v>259</v>
      </c>
      <c r="K599" s="288" t="s">
        <v>133</v>
      </c>
      <c r="L599" s="1133" t="s">
        <v>271</v>
      </c>
      <c r="M599" s="1136"/>
      <c r="N599" s="316" t="s">
        <v>265</v>
      </c>
    </row>
    <row r="600" spans="2:14">
      <c r="B600" s="331" t="s">
        <v>289</v>
      </c>
      <c r="C600" s="332"/>
      <c r="D600" s="332"/>
      <c r="E600" s="332"/>
      <c r="F600" s="332"/>
      <c r="G600" s="332"/>
      <c r="H600" s="332"/>
      <c r="I600" s="333"/>
      <c r="J600" s="334" t="s">
        <v>290</v>
      </c>
      <c r="K600" s="335">
        <v>0.05</v>
      </c>
      <c r="L600" s="1144">
        <v>995</v>
      </c>
      <c r="M600" s="1145"/>
      <c r="N600" s="322">
        <f>+K600*L600</f>
        <v>49.75</v>
      </c>
    </row>
    <row r="601" spans="2:14" ht="13.5" thickBot="1">
      <c r="B601" s="356"/>
      <c r="C601" s="325"/>
      <c r="D601" s="325"/>
      <c r="E601" s="325"/>
      <c r="F601" s="325"/>
      <c r="G601" s="325"/>
      <c r="H601" s="325"/>
      <c r="I601" s="369"/>
      <c r="J601" s="327"/>
      <c r="K601" s="370"/>
      <c r="L601" s="371"/>
      <c r="M601" s="372"/>
      <c r="N601" s="373"/>
    </row>
    <row r="602" spans="2:14" ht="13.5" thickBot="1">
      <c r="B602" s="1100" t="s">
        <v>269</v>
      </c>
      <c r="C602" s="1101"/>
      <c r="D602" s="1101"/>
      <c r="E602" s="1101"/>
      <c r="F602" s="1101"/>
      <c r="G602" s="1101"/>
      <c r="H602" s="1101"/>
      <c r="I602" s="1101"/>
      <c r="J602" s="1101"/>
      <c r="K602" s="1101"/>
      <c r="L602" s="1101"/>
      <c r="M602" s="1102"/>
      <c r="N602" s="323">
        <f>+N600</f>
        <v>49.75</v>
      </c>
    </row>
    <row r="603" spans="2:14" ht="13.5" thickBot="1">
      <c r="B603" s="374" t="s">
        <v>78</v>
      </c>
      <c r="C603" s="325"/>
      <c r="D603" s="325"/>
      <c r="E603" s="325"/>
      <c r="F603" s="325"/>
      <c r="G603" s="325"/>
      <c r="H603" s="325"/>
      <c r="I603" s="369"/>
      <c r="J603" s="327"/>
      <c r="K603" s="370"/>
      <c r="L603" s="371"/>
      <c r="M603" s="372"/>
      <c r="N603" s="373"/>
    </row>
    <row r="604" spans="2:14">
      <c r="B604" s="1130" t="s">
        <v>17</v>
      </c>
      <c r="C604" s="1139"/>
      <c r="D604" s="1139"/>
      <c r="E604" s="1139"/>
      <c r="F604" s="1139"/>
      <c r="G604" s="1139"/>
      <c r="H604" s="1139"/>
      <c r="I604" s="1136"/>
      <c r="J604" s="299" t="s">
        <v>259</v>
      </c>
      <c r="K604" s="288" t="s">
        <v>133</v>
      </c>
      <c r="L604" s="1133" t="s">
        <v>271</v>
      </c>
      <c r="M604" s="1136"/>
      <c r="N604" s="316" t="s">
        <v>265</v>
      </c>
    </row>
    <row r="605" spans="2:14" ht="22.5" customHeight="1" thickBot="1">
      <c r="B605" s="1179" t="s">
        <v>161</v>
      </c>
      <c r="C605" s="1180"/>
      <c r="D605" s="1180"/>
      <c r="E605" s="1180"/>
      <c r="F605" s="1180"/>
      <c r="G605" s="1180"/>
      <c r="H605" s="1181"/>
      <c r="I605" s="333"/>
      <c r="J605" s="384" t="s">
        <v>147</v>
      </c>
      <c r="K605" s="385">
        <v>0.3</v>
      </c>
      <c r="L605" s="1184">
        <v>38446</v>
      </c>
      <c r="M605" s="1185"/>
      <c r="N605" s="386">
        <f>+K605*L605</f>
        <v>11533.8</v>
      </c>
    </row>
    <row r="606" spans="2:14" ht="13.5" thickBot="1">
      <c r="B606" s="1100" t="s">
        <v>269</v>
      </c>
      <c r="C606" s="1101"/>
      <c r="D606" s="1101"/>
      <c r="E606" s="1101"/>
      <c r="F606" s="1101"/>
      <c r="G606" s="1101"/>
      <c r="H606" s="1101"/>
      <c r="I606" s="1101"/>
      <c r="J606" s="1101"/>
      <c r="K606" s="1101"/>
      <c r="L606" s="1101"/>
      <c r="M606" s="1102"/>
      <c r="N606" s="323">
        <f>+N605</f>
        <v>11533.8</v>
      </c>
    </row>
    <row r="607" spans="2:14">
      <c r="B607" s="280"/>
      <c r="C607" s="281"/>
      <c r="D607" s="281"/>
      <c r="E607" s="281"/>
      <c r="F607" s="281"/>
      <c r="G607" s="281"/>
      <c r="H607" s="281"/>
      <c r="I607" s="281"/>
      <c r="J607" s="281"/>
      <c r="K607" s="281"/>
      <c r="L607" s="281"/>
      <c r="M607" s="281"/>
      <c r="N607" s="282"/>
    </row>
    <row r="608" spans="2:14" ht="13.5" thickBot="1">
      <c r="B608" s="378"/>
      <c r="C608" s="311"/>
      <c r="D608" s="311"/>
      <c r="E608" s="311"/>
      <c r="F608" s="311"/>
      <c r="G608" s="311"/>
      <c r="H608" s="311"/>
      <c r="I608" s="311"/>
      <c r="J608" s="311"/>
      <c r="K608" s="311"/>
      <c r="L608" s="311"/>
      <c r="M608" s="311"/>
      <c r="N608" s="379"/>
    </row>
    <row r="609" spans="2:14" ht="13.5" thickBot="1">
      <c r="B609" s="1150" t="s">
        <v>291</v>
      </c>
      <c r="C609" s="1151"/>
      <c r="D609" s="1151"/>
      <c r="E609" s="1151"/>
      <c r="F609" s="1151"/>
      <c r="G609" s="1151"/>
      <c r="H609" s="1151"/>
      <c r="I609" s="1151"/>
      <c r="J609" s="1151"/>
      <c r="K609" s="1151"/>
      <c r="L609" s="1151"/>
      <c r="M609" s="1152"/>
      <c r="N609" s="336">
        <f>+N576+N583+N590+N597+N602+N606</f>
        <v>33046.922259145569</v>
      </c>
    </row>
    <row r="610" spans="2:14">
      <c r="B610" s="1103" t="s">
        <v>292</v>
      </c>
      <c r="C610" s="1104"/>
      <c r="D610" s="1104"/>
      <c r="E610" s="1104"/>
      <c r="F610" s="1104"/>
      <c r="G610" s="1104"/>
      <c r="H610" s="1104"/>
      <c r="I610" s="1104"/>
      <c r="J610" s="1104"/>
      <c r="K610" s="1104"/>
      <c r="L610" s="1104"/>
      <c r="M610" s="1104"/>
      <c r="N610" s="1105"/>
    </row>
    <row r="611" spans="2:14">
      <c r="B611" s="1106"/>
      <c r="C611" s="1107"/>
      <c r="D611" s="1107"/>
      <c r="E611" s="1107"/>
      <c r="F611" s="1107"/>
      <c r="G611" s="1107"/>
      <c r="H611" s="1107"/>
      <c r="I611" s="1107"/>
      <c r="J611" s="1107"/>
      <c r="K611" s="1107"/>
      <c r="L611" s="1107"/>
      <c r="M611" s="1107"/>
      <c r="N611" s="1108"/>
    </row>
    <row r="612" spans="2:14" ht="13.5" thickBot="1">
      <c r="B612" s="1109"/>
      <c r="C612" s="1110"/>
      <c r="D612" s="1110"/>
      <c r="E612" s="1110"/>
      <c r="F612" s="1110"/>
      <c r="G612" s="1110"/>
      <c r="H612" s="1110"/>
      <c r="I612" s="1110"/>
      <c r="J612" s="1110"/>
      <c r="K612" s="1110"/>
      <c r="L612" s="1110"/>
      <c r="M612" s="1110"/>
      <c r="N612" s="1111"/>
    </row>
    <row r="613" spans="2:14">
      <c r="B613" s="1130" t="s">
        <v>17</v>
      </c>
      <c r="C613" s="1139"/>
      <c r="D613" s="1139"/>
      <c r="E613" s="1139"/>
      <c r="F613" s="1139"/>
      <c r="G613" s="1139"/>
      <c r="H613" s="1139"/>
      <c r="I613" s="306"/>
      <c r="J613" s="337"/>
      <c r="K613" s="315" t="s">
        <v>79</v>
      </c>
      <c r="L613" s="1140" t="s">
        <v>11</v>
      </c>
      <c r="M613" s="1141"/>
      <c r="N613" s="316"/>
    </row>
    <row r="614" spans="2:14">
      <c r="B614" s="1112" t="s">
        <v>232</v>
      </c>
      <c r="C614" s="1113"/>
      <c r="D614" s="1113"/>
      <c r="E614" s="1113"/>
      <c r="F614" s="1113"/>
      <c r="G614" s="1113"/>
      <c r="H614" s="1113"/>
      <c r="I614" s="338"/>
      <c r="J614" s="339"/>
      <c r="K614" s="340">
        <f>'PRESUPUESTO OFICIAL'!$K$100</f>
        <v>0</v>
      </c>
      <c r="L614" s="1146">
        <f>K614*N609</f>
        <v>0</v>
      </c>
      <c r="M614" s="1147"/>
      <c r="N614" s="341"/>
    </row>
    <row r="615" spans="2:14">
      <c r="B615" s="292" t="s">
        <v>293</v>
      </c>
      <c r="C615" s="293"/>
      <c r="D615" s="293"/>
      <c r="E615" s="293"/>
      <c r="F615" s="293"/>
      <c r="G615" s="293"/>
      <c r="H615" s="293"/>
      <c r="I615" s="338"/>
      <c r="J615" s="339"/>
      <c r="K615" s="340">
        <f>'PRESUPUESTO OFICIAL'!$K$101</f>
        <v>0</v>
      </c>
      <c r="L615" s="1146">
        <f>K615*N609</f>
        <v>0</v>
      </c>
      <c r="M615" s="1147"/>
      <c r="N615" s="341"/>
    </row>
    <row r="616" spans="2:14" ht="13.5" thickBot="1">
      <c r="B616" s="277" t="s">
        <v>294</v>
      </c>
      <c r="C616" s="278"/>
      <c r="D616" s="278"/>
      <c r="E616" s="278"/>
      <c r="F616" s="278"/>
      <c r="G616" s="278"/>
      <c r="H616" s="278"/>
      <c r="I616" s="342"/>
      <c r="J616" s="343"/>
      <c r="K616" s="340">
        <f>'PRESUPUESTO OFICIAL'!$K$102</f>
        <v>0</v>
      </c>
      <c r="L616" s="1148">
        <f>K616*N609</f>
        <v>0</v>
      </c>
      <c r="M616" s="1149"/>
      <c r="N616" s="341"/>
    </row>
    <row r="617" spans="2:14" ht="13.5" thickBot="1">
      <c r="B617" s="1100" t="s">
        <v>269</v>
      </c>
      <c r="C617" s="1101"/>
      <c r="D617" s="1101"/>
      <c r="E617" s="1101"/>
      <c r="F617" s="1101"/>
      <c r="G617" s="1101"/>
      <c r="H617" s="1101"/>
      <c r="I617" s="1101"/>
      <c r="J617" s="1101"/>
      <c r="K617" s="1101"/>
      <c r="L617" s="1101"/>
      <c r="M617" s="1102"/>
      <c r="N617" s="344">
        <f>SUM(L614:M616)</f>
        <v>0</v>
      </c>
    </row>
    <row r="618" spans="2:14" ht="13.5" thickBot="1">
      <c r="B618" s="283"/>
      <c r="N618" s="284"/>
    </row>
    <row r="619" spans="2:14" ht="13.5" thickBot="1">
      <c r="B619" s="1150" t="s">
        <v>295</v>
      </c>
      <c r="C619" s="1151"/>
      <c r="D619" s="1151"/>
      <c r="E619" s="1151"/>
      <c r="F619" s="1151"/>
      <c r="G619" s="1151"/>
      <c r="H619" s="1151"/>
      <c r="I619" s="1151"/>
      <c r="J619" s="1151"/>
      <c r="K619" s="1151"/>
      <c r="L619" s="1151"/>
      <c r="M619" s="1152"/>
      <c r="N619" s="345">
        <f>ROUND(N609+N617,0)</f>
        <v>33047</v>
      </c>
    </row>
    <row r="620" spans="2:14">
      <c r="B620" s="280"/>
      <c r="C620" s="281"/>
      <c r="D620" s="281"/>
      <c r="E620" s="281"/>
      <c r="F620" s="281"/>
      <c r="G620" s="281"/>
      <c r="H620" s="281"/>
      <c r="I620" s="281"/>
      <c r="J620" s="281"/>
      <c r="K620" s="281"/>
      <c r="L620" s="281"/>
      <c r="M620" s="281"/>
      <c r="N620" s="282"/>
    </row>
    <row r="621" spans="2:14">
      <c r="B621" s="283"/>
      <c r="N621" s="284"/>
    </row>
    <row r="622" spans="2:14">
      <c r="B622" s="283"/>
      <c r="N622" s="284"/>
    </row>
    <row r="623" spans="2:14">
      <c r="B623" s="283"/>
      <c r="G623" s="346" t="s">
        <v>296</v>
      </c>
      <c r="H623" s="346"/>
      <c r="I623" s="346"/>
      <c r="J623" s="346"/>
      <c r="N623" s="284"/>
    </row>
    <row r="624" spans="2:14">
      <c r="B624" s="347"/>
      <c r="C624" s="348"/>
      <c r="D624" s="348"/>
      <c r="E624" s="348"/>
      <c r="F624" s="348"/>
      <c r="G624" s="346" t="s">
        <v>297</v>
      </c>
      <c r="H624" s="348"/>
      <c r="I624" s="348"/>
      <c r="J624" s="348"/>
      <c r="K624" s="348"/>
      <c r="L624" s="348"/>
      <c r="M624" s="348"/>
      <c r="N624" s="349"/>
    </row>
    <row r="625" spans="2:14">
      <c r="B625" s="347"/>
      <c r="C625" s="348"/>
      <c r="D625" s="348"/>
      <c r="E625" s="348"/>
      <c r="F625" s="348"/>
      <c r="G625" s="346" t="s">
        <v>298</v>
      </c>
      <c r="J625" s="348"/>
      <c r="K625" s="348"/>
      <c r="L625" s="348"/>
      <c r="M625" s="348"/>
      <c r="N625" s="349"/>
    </row>
    <row r="626" spans="2:14">
      <c r="B626" s="268"/>
      <c r="C626" s="350"/>
      <c r="D626" s="350"/>
      <c r="E626" s="350"/>
      <c r="F626" s="350"/>
      <c r="G626" s="346" t="s">
        <v>299</v>
      </c>
      <c r="H626" s="350"/>
      <c r="I626" s="350"/>
      <c r="J626" s="350"/>
      <c r="K626" s="350"/>
      <c r="L626" s="350"/>
      <c r="M626" s="350"/>
      <c r="N626" s="351"/>
    </row>
    <row r="627" spans="2:14">
      <c r="B627" s="283"/>
      <c r="G627" s="258" t="s">
        <v>300</v>
      </c>
      <c r="N627" s="284"/>
    </row>
    <row r="628" spans="2:14">
      <c r="B628" s="352" t="s">
        <v>301</v>
      </c>
      <c r="C628" s="353"/>
      <c r="D628" s="353"/>
      <c r="E628" s="353"/>
      <c r="F628" s="353"/>
      <c r="G628" s="353"/>
      <c r="H628" s="353"/>
      <c r="I628" s="353"/>
      <c r="J628" s="353"/>
      <c r="K628" s="353"/>
      <c r="L628" s="353"/>
      <c r="M628" s="353"/>
      <c r="N628" s="354"/>
    </row>
    <row r="629" spans="2:14">
      <c r="B629" s="1153"/>
      <c r="C629" s="1154"/>
      <c r="D629" s="1154"/>
      <c r="E629" s="1154"/>
      <c r="F629" s="1154"/>
      <c r="G629" s="1154"/>
      <c r="H629" s="1154"/>
      <c r="I629" s="1154"/>
      <c r="J629" s="1154"/>
      <c r="K629" s="1154"/>
      <c r="L629" s="1154"/>
      <c r="M629" s="1154"/>
      <c r="N629" s="1155"/>
    </row>
    <row r="630" spans="2:14">
      <c r="B630" s="1153"/>
      <c r="C630" s="1154"/>
      <c r="D630" s="1154"/>
      <c r="E630" s="1154"/>
      <c r="F630" s="1154"/>
      <c r="G630" s="1154"/>
      <c r="H630" s="1154"/>
      <c r="I630" s="1154"/>
      <c r="J630" s="1154"/>
      <c r="K630" s="1154"/>
      <c r="L630" s="1154"/>
      <c r="M630" s="1154"/>
      <c r="N630" s="1155"/>
    </row>
    <row r="631" spans="2:14">
      <c r="B631" s="268"/>
      <c r="C631" s="350"/>
      <c r="D631" s="350"/>
      <c r="E631" s="350"/>
      <c r="F631" s="350"/>
      <c r="G631" s="350"/>
      <c r="H631" s="350"/>
      <c r="I631" s="350"/>
      <c r="J631" s="350"/>
      <c r="K631" s="350"/>
      <c r="L631" s="350"/>
      <c r="M631" s="350"/>
      <c r="N631" s="351"/>
    </row>
    <row r="632" spans="2:14">
      <c r="B632" s="355" t="s">
        <v>302</v>
      </c>
      <c r="C632" s="350"/>
      <c r="D632" s="350"/>
      <c r="E632" s="350"/>
      <c r="F632" s="350"/>
      <c r="G632" s="350"/>
      <c r="H632" s="350"/>
      <c r="I632" s="350"/>
      <c r="J632" s="350"/>
      <c r="K632" s="350"/>
      <c r="L632" s="350"/>
      <c r="M632" s="350"/>
      <c r="N632" s="351"/>
    </row>
    <row r="633" spans="2:14">
      <c r="B633" s="1159" t="s">
        <v>303</v>
      </c>
      <c r="C633" s="1160"/>
      <c r="D633" s="1160"/>
      <c r="E633" s="1160"/>
      <c r="F633" s="1160"/>
      <c r="G633" s="1160"/>
      <c r="H633" s="1160"/>
      <c r="I633" s="1160"/>
      <c r="J633" s="1160"/>
      <c r="K633" s="1160"/>
      <c r="L633" s="1160"/>
      <c r="M633" s="1160"/>
      <c r="N633" s="1161"/>
    </row>
    <row r="634" spans="2:14">
      <c r="B634" s="1159"/>
      <c r="C634" s="1160"/>
      <c r="D634" s="1160"/>
      <c r="E634" s="1160"/>
      <c r="F634" s="1160"/>
      <c r="G634" s="1160"/>
      <c r="H634" s="1160"/>
      <c r="I634" s="1160"/>
      <c r="J634" s="1160"/>
      <c r="K634" s="1160"/>
      <c r="L634" s="1160"/>
      <c r="M634" s="1160"/>
      <c r="N634" s="1161"/>
    </row>
    <row r="635" spans="2:14">
      <c r="B635" s="1159" t="s">
        <v>304</v>
      </c>
      <c r="C635" s="1160"/>
      <c r="D635" s="1160"/>
      <c r="E635" s="1160"/>
      <c r="F635" s="1160"/>
      <c r="G635" s="1160"/>
      <c r="H635" s="1160"/>
      <c r="I635" s="1160"/>
      <c r="J635" s="1160"/>
      <c r="K635" s="1160"/>
      <c r="L635" s="1160"/>
      <c r="M635" s="1160"/>
      <c r="N635" s="1161"/>
    </row>
    <row r="636" spans="2:14">
      <c r="B636" s="1159"/>
      <c r="C636" s="1160"/>
      <c r="D636" s="1160"/>
      <c r="E636" s="1160"/>
      <c r="F636" s="1160"/>
      <c r="G636" s="1160"/>
      <c r="H636" s="1160"/>
      <c r="I636" s="1160"/>
      <c r="J636" s="1160"/>
      <c r="K636" s="1160"/>
      <c r="L636" s="1160"/>
      <c r="M636" s="1160"/>
      <c r="N636" s="1161"/>
    </row>
    <row r="637" spans="2:14">
      <c r="B637" s="268"/>
      <c r="C637" s="350"/>
      <c r="D637" s="350"/>
      <c r="E637" s="350"/>
      <c r="F637" s="350"/>
      <c r="G637" s="350"/>
      <c r="H637" s="350"/>
      <c r="I637" s="350"/>
      <c r="J637" s="350"/>
      <c r="K637" s="350"/>
      <c r="L637" s="350"/>
      <c r="M637" s="350"/>
      <c r="N637" s="351"/>
    </row>
    <row r="638" spans="2:14">
      <c r="B638" s="283"/>
      <c r="G638" s="346" t="s">
        <v>296</v>
      </c>
      <c r="N638" s="284"/>
    </row>
    <row r="639" spans="2:14">
      <c r="B639" s="283"/>
      <c r="G639" s="258" t="s">
        <v>305</v>
      </c>
      <c r="H639" s="293"/>
      <c r="I639" s="293"/>
      <c r="J639" s="293"/>
      <c r="N639" s="284"/>
    </row>
    <row r="640" spans="2:14">
      <c r="B640" s="283"/>
      <c r="G640" s="258" t="s">
        <v>306</v>
      </c>
      <c r="H640" s="325"/>
      <c r="I640" s="325"/>
      <c r="J640" s="325"/>
      <c r="N640" s="284"/>
    </row>
    <row r="641" spans="2:14">
      <c r="B641" s="356"/>
      <c r="C641" s="350"/>
      <c r="D641" s="350"/>
      <c r="E641" s="350"/>
      <c r="F641" s="350"/>
      <c r="G641" s="258" t="s">
        <v>299</v>
      </c>
      <c r="K641" s="350"/>
      <c r="L641" s="350"/>
      <c r="M641" s="350"/>
      <c r="N641" s="351"/>
    </row>
    <row r="642" spans="2:14">
      <c r="B642" s="357"/>
      <c r="C642" s="358"/>
      <c r="D642" s="358"/>
      <c r="J642" s="1162"/>
      <c r="K642" s="1162"/>
      <c r="L642" s="1162"/>
      <c r="M642" s="1162"/>
      <c r="N642" s="1163"/>
    </row>
    <row r="643" spans="2:14" ht="13.5" thickBot="1">
      <c r="B643" s="1166"/>
      <c r="C643" s="1167"/>
      <c r="D643" s="1167"/>
      <c r="E643" s="311"/>
      <c r="F643" s="311"/>
      <c r="G643" s="311"/>
      <c r="H643" s="311"/>
      <c r="I643" s="311"/>
      <c r="J643" s="1164"/>
      <c r="K643" s="1164"/>
      <c r="L643" s="1164"/>
      <c r="M643" s="1164"/>
      <c r="N643" s="1165"/>
    </row>
    <row r="644" spans="2:14" ht="13.5" thickBot="1"/>
    <row r="645" spans="2:14">
      <c r="B645" s="1070"/>
      <c r="C645" s="1072"/>
      <c r="D645" s="1073"/>
      <c r="E645" s="1073"/>
      <c r="F645" s="1073"/>
      <c r="G645" s="1073"/>
      <c r="H645" s="1073"/>
      <c r="I645" s="1073"/>
      <c r="J645" s="1074"/>
      <c r="K645" s="1075"/>
      <c r="L645" s="1076"/>
      <c r="M645" s="1076"/>
      <c r="N645" s="1077"/>
    </row>
    <row r="646" spans="2:14">
      <c r="B646" s="1071"/>
      <c r="C646" s="1062" t="s">
        <v>244</v>
      </c>
      <c r="D646" s="1063"/>
      <c r="E646" s="1063"/>
      <c r="F646" s="1063"/>
      <c r="G646" s="1063"/>
      <c r="H646" s="1063"/>
      <c r="I646" s="1063"/>
      <c r="J646" s="1064"/>
      <c r="K646" s="1078"/>
      <c r="L646" s="1079"/>
      <c r="M646" s="1079"/>
      <c r="N646" s="1080"/>
    </row>
    <row r="647" spans="2:14">
      <c r="B647" s="1071"/>
      <c r="C647" s="1081"/>
      <c r="D647" s="1082"/>
      <c r="E647" s="1082"/>
      <c r="F647" s="1082"/>
      <c r="G647" s="1082"/>
      <c r="H647" s="1082"/>
      <c r="I647" s="1082"/>
      <c r="J647" s="1083"/>
      <c r="K647" s="1058" t="s">
        <v>245</v>
      </c>
      <c r="L647" s="1085"/>
      <c r="M647" s="1086"/>
      <c r="N647" s="1087"/>
    </row>
    <row r="648" spans="2:14">
      <c r="B648" s="1071"/>
      <c r="C648" s="1062" t="s">
        <v>246</v>
      </c>
      <c r="D648" s="1063"/>
      <c r="E648" s="1063"/>
      <c r="F648" s="1063"/>
      <c r="G648" s="1063"/>
      <c r="H648" s="1063"/>
      <c r="I648" s="1063"/>
      <c r="J648" s="1064"/>
      <c r="K648" s="1084"/>
      <c r="L648" s="1088"/>
      <c r="M648" s="1089"/>
      <c r="N648" s="1090"/>
    </row>
    <row r="649" spans="2:14">
      <c r="B649" s="1071"/>
      <c r="C649" s="1091"/>
      <c r="D649" s="1092"/>
      <c r="E649" s="1092"/>
      <c r="F649" s="1092"/>
      <c r="G649" s="1092"/>
      <c r="H649" s="1092"/>
      <c r="I649" s="1092"/>
      <c r="J649" s="1093"/>
      <c r="K649" s="1058" t="s">
        <v>247</v>
      </c>
      <c r="L649" s="1058">
        <v>8</v>
      </c>
      <c r="M649" s="1058" t="s">
        <v>248</v>
      </c>
      <c r="N649" s="1060">
        <v>80</v>
      </c>
    </row>
    <row r="650" spans="2:14">
      <c r="B650" s="1071"/>
      <c r="C650" s="1091"/>
      <c r="D650" s="1092"/>
      <c r="E650" s="1092"/>
      <c r="F650" s="1092"/>
      <c r="G650" s="1092"/>
      <c r="H650" s="1092"/>
      <c r="I650" s="1092"/>
      <c r="J650" s="1093"/>
      <c r="K650" s="1059"/>
      <c r="L650" s="1059"/>
      <c r="M650" s="1059"/>
      <c r="N650" s="1061"/>
    </row>
    <row r="651" spans="2:14">
      <c r="B651" s="1071"/>
      <c r="C651" s="1062" t="s">
        <v>249</v>
      </c>
      <c r="D651" s="1063"/>
      <c r="E651" s="1063"/>
      <c r="F651" s="1063"/>
      <c r="G651" s="1063"/>
      <c r="H651" s="1063"/>
      <c r="I651" s="1063"/>
      <c r="J651" s="1064"/>
      <c r="K651" s="1059"/>
      <c r="L651" s="1059"/>
      <c r="M651" s="1059"/>
      <c r="N651" s="1061"/>
    </row>
    <row r="652" spans="2:14" ht="13.5" thickBot="1">
      <c r="B652" s="259"/>
      <c r="C652" s="260"/>
      <c r="D652" s="260"/>
      <c r="E652" s="260"/>
      <c r="F652" s="260"/>
      <c r="G652" s="260"/>
      <c r="H652" s="260"/>
      <c r="I652" s="260"/>
      <c r="J652" s="260"/>
      <c r="K652" s="260"/>
      <c r="L652" s="261"/>
      <c r="M652" s="261"/>
      <c r="N652" s="262"/>
    </row>
    <row r="653" spans="2:14">
      <c r="B653" s="263"/>
      <c r="C653" s="264"/>
      <c r="D653" s="264"/>
      <c r="E653" s="264"/>
      <c r="F653" s="264"/>
      <c r="G653" s="264"/>
      <c r="H653" s="264"/>
      <c r="I653" s="264"/>
      <c r="J653" s="264"/>
      <c r="K653" s="265" t="s">
        <v>250</v>
      </c>
      <c r="L653" s="266" t="s">
        <v>251</v>
      </c>
      <c r="M653" s="266" t="s">
        <v>252</v>
      </c>
      <c r="N653" s="267" t="s">
        <v>253</v>
      </c>
    </row>
    <row r="654" spans="2:14">
      <c r="B654" s="268"/>
      <c r="C654" s="269"/>
      <c r="D654" s="269"/>
      <c r="E654" s="269"/>
      <c r="F654" s="269"/>
      <c r="G654" s="269"/>
      <c r="H654" s="269"/>
      <c r="I654" s="269"/>
      <c r="J654" s="269"/>
      <c r="K654" s="270"/>
      <c r="L654" s="271"/>
      <c r="M654" s="271"/>
      <c r="N654" s="272"/>
    </row>
    <row r="655" spans="2:14">
      <c r="B655" s="1065" t="s">
        <v>254</v>
      </c>
      <c r="C655" s="1066"/>
      <c r="D655" s="1066"/>
      <c r="E655" s="1066"/>
      <c r="F655" s="269"/>
      <c r="G655" s="269"/>
      <c r="H655" s="269" t="s">
        <v>255</v>
      </c>
      <c r="J655" s="269"/>
      <c r="K655" s="270"/>
      <c r="N655" s="273"/>
    </row>
    <row r="656" spans="2:14">
      <c r="B656" s="274"/>
      <c r="C656" s="275"/>
      <c r="D656" s="275"/>
      <c r="E656" s="275"/>
      <c r="F656" s="275"/>
      <c r="G656" s="275"/>
      <c r="H656" s="275"/>
      <c r="I656" s="275"/>
      <c r="J656" s="275"/>
      <c r="K656" s="275"/>
      <c r="L656" s="275"/>
      <c r="M656" s="275"/>
      <c r="N656" s="276"/>
    </row>
    <row r="657" spans="2:14" ht="13.5" thickBot="1">
      <c r="B657" s="277"/>
      <c r="C657" s="278"/>
      <c r="D657" s="278"/>
      <c r="E657" s="278"/>
      <c r="F657" s="278"/>
      <c r="G657" s="278"/>
      <c r="H657" s="278"/>
      <c r="I657" s="278"/>
      <c r="J657" s="278"/>
      <c r="K657" s="278"/>
      <c r="L657" s="278"/>
      <c r="M657" s="278"/>
      <c r="N657" s="279"/>
    </row>
    <row r="658" spans="2:14" ht="13.5" thickBot="1">
      <c r="B658" s="280"/>
      <c r="C658" s="281"/>
      <c r="D658" s="281"/>
      <c r="E658" s="281"/>
      <c r="F658" s="281"/>
      <c r="G658" s="281"/>
      <c r="J658" s="281"/>
      <c r="K658" s="281"/>
      <c r="L658" s="281"/>
      <c r="M658" s="281"/>
      <c r="N658" s="282"/>
    </row>
    <row r="659" spans="2:14">
      <c r="B659" s="1067" t="s">
        <v>256</v>
      </c>
      <c r="C659" s="1068"/>
      <c r="D659" s="1068"/>
      <c r="E659" s="1068"/>
      <c r="F659" s="1068"/>
      <c r="G659" s="1068"/>
      <c r="H659" s="1068"/>
      <c r="I659" s="1068"/>
      <c r="J659" s="1068"/>
      <c r="K659" s="1068"/>
      <c r="L659" s="1068"/>
      <c r="M659" s="1068"/>
      <c r="N659" s="1069"/>
    </row>
    <row r="660" spans="2:14" ht="13.5" thickBot="1">
      <c r="B660" s="283"/>
      <c r="N660" s="284"/>
    </row>
    <row r="661" spans="2:14">
      <c r="B661" s="285" t="s">
        <v>257</v>
      </c>
      <c r="C661" s="1120" t="s">
        <v>258</v>
      </c>
      <c r="D661" s="1121"/>
      <c r="E661" s="1121"/>
      <c r="F661" s="1121"/>
      <c r="G661" s="1121"/>
      <c r="H661" s="1121"/>
      <c r="I661" s="1121"/>
      <c r="J661" s="1121"/>
      <c r="K661" s="1122"/>
      <c r="L661" s="1123" t="s">
        <v>259</v>
      </c>
      <c r="M661" s="1124"/>
      <c r="N661" s="285" t="s">
        <v>133</v>
      </c>
    </row>
    <row r="662" spans="2:14" ht="28.5" customHeight="1" thickBot="1">
      <c r="B662" s="286">
        <v>8</v>
      </c>
      <c r="C662" s="1125" t="s">
        <v>149</v>
      </c>
      <c r="D662" s="1126"/>
      <c r="E662" s="1126"/>
      <c r="F662" s="1126"/>
      <c r="G662" s="1126"/>
      <c r="H662" s="1126"/>
      <c r="I662" s="1126"/>
      <c r="J662" s="1126"/>
      <c r="K662" s="1127"/>
      <c r="L662" s="1128" t="s">
        <v>141</v>
      </c>
      <c r="M662" s="1129"/>
      <c r="N662" s="366">
        <v>500</v>
      </c>
    </row>
    <row r="663" spans="2:14">
      <c r="B663" s="1103" t="s">
        <v>260</v>
      </c>
      <c r="C663" s="1104"/>
      <c r="D663" s="1104"/>
      <c r="E663" s="1104"/>
      <c r="F663" s="1104"/>
      <c r="G663" s="1104"/>
      <c r="H663" s="1104"/>
      <c r="I663" s="1104"/>
      <c r="J663" s="1104"/>
      <c r="K663" s="1104"/>
      <c r="L663" s="1104"/>
      <c r="M663" s="1104"/>
      <c r="N663" s="1105"/>
    </row>
    <row r="664" spans="2:14">
      <c r="B664" s="1106"/>
      <c r="C664" s="1107"/>
      <c r="D664" s="1107"/>
      <c r="E664" s="1107"/>
      <c r="F664" s="1107"/>
      <c r="G664" s="1107"/>
      <c r="H664" s="1107"/>
      <c r="I664" s="1107"/>
      <c r="J664" s="1107"/>
      <c r="K664" s="1107"/>
      <c r="L664" s="1107"/>
      <c r="M664" s="1107"/>
      <c r="N664" s="1108"/>
    </row>
    <row r="665" spans="2:14" ht="13.5" thickBot="1">
      <c r="B665" s="1109"/>
      <c r="C665" s="1110"/>
      <c r="D665" s="1110"/>
      <c r="E665" s="1110"/>
      <c r="F665" s="1110"/>
      <c r="G665" s="1110"/>
      <c r="H665" s="1110"/>
      <c r="I665" s="1110"/>
      <c r="J665" s="1110"/>
      <c r="K665" s="1110"/>
      <c r="L665" s="1110"/>
      <c r="M665" s="1110"/>
      <c r="N665" s="1111"/>
    </row>
    <row r="666" spans="2:14">
      <c r="B666" s="1130" t="s">
        <v>258</v>
      </c>
      <c r="C666" s="1131"/>
      <c r="D666" s="1131"/>
      <c r="E666" s="1131"/>
      <c r="F666" s="1132"/>
      <c r="G666" s="1133" t="s">
        <v>261</v>
      </c>
      <c r="H666" s="1131"/>
      <c r="I666" s="1134" t="s">
        <v>262</v>
      </c>
      <c r="J666" s="1135"/>
      <c r="K666" s="288" t="s">
        <v>263</v>
      </c>
      <c r="L666" s="1133" t="s">
        <v>264</v>
      </c>
      <c r="M666" s="1136"/>
      <c r="N666" s="289" t="s">
        <v>265</v>
      </c>
    </row>
    <row r="667" spans="2:14">
      <c r="B667" s="1179" t="s">
        <v>316</v>
      </c>
      <c r="C667" s="1180"/>
      <c r="D667" s="1180"/>
      <c r="E667" s="1180"/>
      <c r="F667" s="1181"/>
      <c r="G667" s="1115"/>
      <c r="H667" s="1114"/>
      <c r="I667" s="1182" t="s">
        <v>267</v>
      </c>
      <c r="J667" s="1183"/>
      <c r="K667" s="290">
        <v>122808</v>
      </c>
      <c r="L667" s="1118">
        <v>7.0000070000000001</v>
      </c>
      <c r="M667" s="1119"/>
      <c r="N667" s="290">
        <f>+K667/L667</f>
        <v>17543.982456017544</v>
      </c>
    </row>
    <row r="668" spans="2:14">
      <c r="B668" s="292"/>
      <c r="C668" s="293"/>
      <c r="D668" s="293"/>
      <c r="E668" s="293"/>
      <c r="F668" s="294"/>
      <c r="G668" s="295"/>
      <c r="H668" s="294"/>
      <c r="I668" s="1116"/>
      <c r="J668" s="1117"/>
      <c r="K668" s="290"/>
      <c r="L668" s="1118"/>
      <c r="M668" s="1119"/>
      <c r="N668" s="290"/>
    </row>
    <row r="669" spans="2:14" ht="13.5" thickBot="1">
      <c r="B669" s="1094"/>
      <c r="C669" s="1095"/>
      <c r="D669" s="1095"/>
      <c r="E669" s="1095"/>
      <c r="F669" s="1096"/>
      <c r="G669" s="1097"/>
      <c r="H669" s="1096"/>
      <c r="I669" s="1097"/>
      <c r="J669" s="1096"/>
      <c r="K669" s="290"/>
      <c r="L669" s="1098"/>
      <c r="M669" s="1099"/>
      <c r="N669" s="383"/>
    </row>
    <row r="670" spans="2:14" ht="13.5" thickBot="1">
      <c r="B670" s="1100" t="s">
        <v>269</v>
      </c>
      <c r="C670" s="1101"/>
      <c r="D670" s="1101"/>
      <c r="E670" s="1101"/>
      <c r="F670" s="1101"/>
      <c r="G670" s="1101"/>
      <c r="H670" s="1101"/>
      <c r="I670" s="1101"/>
      <c r="J670" s="1101"/>
      <c r="K670" s="1101"/>
      <c r="L670" s="1101"/>
      <c r="M670" s="1102"/>
      <c r="N670" s="323">
        <f>+N667+N668+N669</f>
        <v>17543.982456017544</v>
      </c>
    </row>
    <row r="671" spans="2:14">
      <c r="B671" s="1103" t="s">
        <v>270</v>
      </c>
      <c r="C671" s="1104"/>
      <c r="D671" s="1104"/>
      <c r="E671" s="1104"/>
      <c r="F671" s="1104"/>
      <c r="G671" s="1104"/>
      <c r="H671" s="1104"/>
      <c r="I671" s="1104"/>
      <c r="J671" s="1104"/>
      <c r="K671" s="1104"/>
      <c r="L671" s="1104"/>
      <c r="M671" s="1104"/>
      <c r="N671" s="1105"/>
    </row>
    <row r="672" spans="2:14">
      <c r="B672" s="1106"/>
      <c r="C672" s="1107"/>
      <c r="D672" s="1107"/>
      <c r="E672" s="1107"/>
      <c r="F672" s="1107"/>
      <c r="G672" s="1107"/>
      <c r="H672" s="1107"/>
      <c r="I672" s="1107"/>
      <c r="J672" s="1107"/>
      <c r="K672" s="1107"/>
      <c r="L672" s="1107"/>
      <c r="M672" s="1107"/>
      <c r="N672" s="1108"/>
    </row>
    <row r="673" spans="2:14" ht="13.5" thickBot="1">
      <c r="B673" s="1109"/>
      <c r="C673" s="1110"/>
      <c r="D673" s="1110"/>
      <c r="E673" s="1110"/>
      <c r="F673" s="1110"/>
      <c r="G673" s="1110"/>
      <c r="H673" s="1110"/>
      <c r="I673" s="1110"/>
      <c r="J673" s="1110"/>
      <c r="K673" s="1110"/>
      <c r="L673" s="1110"/>
      <c r="M673" s="1110"/>
      <c r="N673" s="1111"/>
    </row>
    <row r="674" spans="2:14">
      <c r="B674" s="1130" t="s">
        <v>258</v>
      </c>
      <c r="C674" s="1139"/>
      <c r="D674" s="1139"/>
      <c r="E674" s="1139"/>
      <c r="F674" s="1139"/>
      <c r="G674" s="1139"/>
      <c r="H674" s="1139"/>
      <c r="I674" s="1136"/>
      <c r="J674" s="299" t="s">
        <v>259</v>
      </c>
      <c r="K674" s="288" t="s">
        <v>133</v>
      </c>
      <c r="L674" s="1133" t="s">
        <v>271</v>
      </c>
      <c r="M674" s="1136"/>
      <c r="N674" s="289" t="s">
        <v>265</v>
      </c>
    </row>
    <row r="675" spans="2:14">
      <c r="B675" s="1112"/>
      <c r="C675" s="1113"/>
      <c r="D675" s="1113"/>
      <c r="E675" s="1113"/>
      <c r="F675" s="1113"/>
      <c r="G675" s="1113"/>
      <c r="H675" s="1113"/>
      <c r="I675" s="1114"/>
      <c r="J675" s="300"/>
      <c r="K675" s="301"/>
      <c r="L675" s="1168"/>
      <c r="M675" s="1169"/>
      <c r="N675" s="367"/>
    </row>
    <row r="676" spans="2:14" ht="13.5" thickBot="1">
      <c r="B676" s="1094"/>
      <c r="C676" s="1095"/>
      <c r="D676" s="1095"/>
      <c r="E676" s="1095"/>
      <c r="F676" s="1095"/>
      <c r="G676" s="1095"/>
      <c r="H676" s="1095"/>
      <c r="I676" s="1096"/>
      <c r="J676" s="303"/>
      <c r="K676" s="304"/>
      <c r="L676" s="1168"/>
      <c r="M676" s="1169"/>
      <c r="N676" s="297"/>
    </row>
    <row r="677" spans="2:14" ht="13.5" thickBot="1">
      <c r="B677" s="1100" t="s">
        <v>269</v>
      </c>
      <c r="C677" s="1101"/>
      <c r="D677" s="1101"/>
      <c r="E677" s="1101"/>
      <c r="F677" s="1101"/>
      <c r="G677" s="1101"/>
      <c r="H677" s="1101"/>
      <c r="I677" s="1101"/>
      <c r="J677" s="1101"/>
      <c r="K677" s="1101"/>
      <c r="L677" s="1101"/>
      <c r="M677" s="1102"/>
      <c r="N677" s="368">
        <f>+N675+N676</f>
        <v>0</v>
      </c>
    </row>
    <row r="678" spans="2:14">
      <c r="B678" s="1103" t="s">
        <v>276</v>
      </c>
      <c r="C678" s="1104"/>
      <c r="D678" s="1104"/>
      <c r="E678" s="1104"/>
      <c r="F678" s="1104"/>
      <c r="G678" s="1104"/>
      <c r="H678" s="1104"/>
      <c r="I678" s="1104"/>
      <c r="J678" s="1104"/>
      <c r="K678" s="1104"/>
      <c r="L678" s="1104"/>
      <c r="M678" s="1104"/>
      <c r="N678" s="1105"/>
    </row>
    <row r="679" spans="2:14">
      <c r="B679" s="1106"/>
      <c r="C679" s="1107"/>
      <c r="D679" s="1107"/>
      <c r="E679" s="1107"/>
      <c r="F679" s="1107"/>
      <c r="G679" s="1107"/>
      <c r="H679" s="1107"/>
      <c r="I679" s="1107"/>
      <c r="J679" s="1107"/>
      <c r="K679" s="1107"/>
      <c r="L679" s="1107"/>
      <c r="M679" s="1107"/>
      <c r="N679" s="1108"/>
    </row>
    <row r="680" spans="2:14" ht="13.5" thickBot="1">
      <c r="B680" s="1109"/>
      <c r="C680" s="1110"/>
      <c r="D680" s="1110"/>
      <c r="E680" s="1110"/>
      <c r="F680" s="1110"/>
      <c r="G680" s="1110"/>
      <c r="H680" s="1110"/>
      <c r="I680" s="1110"/>
      <c r="J680" s="1110"/>
      <c r="K680" s="1110"/>
      <c r="L680" s="1110"/>
      <c r="M680" s="1110"/>
      <c r="N680" s="1111"/>
    </row>
    <row r="681" spans="2:14">
      <c r="B681" s="1130" t="s">
        <v>277</v>
      </c>
      <c r="C681" s="1139"/>
      <c r="D681" s="1139"/>
      <c r="E681" s="1139"/>
      <c r="F681" s="1139"/>
      <c r="G681" s="1139"/>
      <c r="H681" s="1139"/>
      <c r="I681" s="288" t="s">
        <v>278</v>
      </c>
      <c r="J681" s="306" t="s">
        <v>279</v>
      </c>
      <c r="K681" s="307" t="s">
        <v>280</v>
      </c>
      <c r="L681" s="1133" t="s">
        <v>281</v>
      </c>
      <c r="M681" s="1136"/>
      <c r="N681" s="289" t="s">
        <v>265</v>
      </c>
    </row>
    <row r="682" spans="2:14">
      <c r="B682" s="1112"/>
      <c r="C682" s="1113"/>
      <c r="D682" s="1113"/>
      <c r="E682" s="1113"/>
      <c r="F682" s="1113"/>
      <c r="G682" s="1113"/>
      <c r="H682" s="1113"/>
      <c r="I682" s="308"/>
      <c r="J682" s="309"/>
      <c r="K682" s="308"/>
      <c r="L682" s="1142"/>
      <c r="M682" s="1143"/>
      <c r="N682" s="297"/>
    </row>
    <row r="683" spans="2:14" ht="13.5" thickBot="1">
      <c r="B683" s="1094"/>
      <c r="C683" s="1095"/>
      <c r="D683" s="1095"/>
      <c r="E683" s="1095"/>
      <c r="F683" s="1095"/>
      <c r="G683" s="1095"/>
      <c r="H683" s="1095"/>
      <c r="I683" s="310"/>
      <c r="J683" s="311"/>
      <c r="K683" s="310"/>
      <c r="L683" s="1137"/>
      <c r="M683" s="1138"/>
      <c r="N683" s="312"/>
    </row>
    <row r="684" spans="2:14" ht="13.5" thickBot="1">
      <c r="B684" s="1100" t="s">
        <v>269</v>
      </c>
      <c r="C684" s="1101"/>
      <c r="D684" s="1101"/>
      <c r="E684" s="1101"/>
      <c r="F684" s="1101"/>
      <c r="G684" s="1101"/>
      <c r="H684" s="1101"/>
      <c r="I684" s="1101"/>
      <c r="J684" s="1101"/>
      <c r="K684" s="1101"/>
      <c r="L684" s="1101"/>
      <c r="M684" s="1102"/>
      <c r="N684" s="313">
        <v>0</v>
      </c>
    </row>
    <row r="685" spans="2:14">
      <c r="B685" s="1103" t="s">
        <v>282</v>
      </c>
      <c r="C685" s="1104"/>
      <c r="D685" s="1104"/>
      <c r="E685" s="1104"/>
      <c r="F685" s="1104"/>
      <c r="G685" s="1104"/>
      <c r="H685" s="1104"/>
      <c r="I685" s="1104"/>
      <c r="J685" s="1104"/>
      <c r="K685" s="1104"/>
      <c r="L685" s="1104"/>
      <c r="M685" s="1104"/>
      <c r="N685" s="1105"/>
    </row>
    <row r="686" spans="2:14">
      <c r="B686" s="1106"/>
      <c r="C686" s="1107"/>
      <c r="D686" s="1107"/>
      <c r="E686" s="1107"/>
      <c r="F686" s="1107"/>
      <c r="G686" s="1107"/>
      <c r="H686" s="1107"/>
      <c r="I686" s="1107"/>
      <c r="J686" s="1107"/>
      <c r="K686" s="1107"/>
      <c r="L686" s="1107"/>
      <c r="M686" s="1107"/>
      <c r="N686" s="1108"/>
    </row>
    <row r="687" spans="2:14" ht="13.5" thickBot="1">
      <c r="B687" s="1109"/>
      <c r="C687" s="1110"/>
      <c r="D687" s="1110"/>
      <c r="E687" s="1110"/>
      <c r="F687" s="1110"/>
      <c r="G687" s="1110"/>
      <c r="H687" s="1110"/>
      <c r="I687" s="1110"/>
      <c r="J687" s="1110"/>
      <c r="K687" s="1110"/>
      <c r="L687" s="1110"/>
      <c r="M687" s="1110"/>
      <c r="N687" s="1111"/>
    </row>
    <row r="688" spans="2:14">
      <c r="B688" s="1130" t="s">
        <v>283</v>
      </c>
      <c r="C688" s="1139"/>
      <c r="D688" s="1139"/>
      <c r="E688" s="1139"/>
      <c r="F688" s="1139"/>
      <c r="G688" s="1139"/>
      <c r="H688" s="1139"/>
      <c r="I688" s="288" t="s">
        <v>284</v>
      </c>
      <c r="J688" s="314" t="s">
        <v>285</v>
      </c>
      <c r="K688" s="315" t="s">
        <v>286</v>
      </c>
      <c r="L688" s="1140" t="s">
        <v>264</v>
      </c>
      <c r="M688" s="1141"/>
      <c r="N688" s="316" t="s">
        <v>265</v>
      </c>
    </row>
    <row r="689" spans="2:14">
      <c r="B689" s="317" t="s">
        <v>315</v>
      </c>
      <c r="C689" s="318"/>
      <c r="D689" s="318"/>
      <c r="E689" s="318"/>
      <c r="F689" s="318"/>
      <c r="G689" s="318"/>
      <c r="H689" s="318"/>
      <c r="I689" s="319">
        <v>31851</v>
      </c>
      <c r="J689" s="321">
        <v>23888</v>
      </c>
      <c r="K689" s="321">
        <f>+I689+J689</f>
        <v>55739</v>
      </c>
      <c r="L689" s="1157">
        <v>59.998800000000003</v>
      </c>
      <c r="M689" s="1158"/>
      <c r="N689" s="322">
        <f>+K689/L689</f>
        <v>929.00191337160072</v>
      </c>
    </row>
    <row r="690" spans="2:14" ht="13.5" thickBot="1">
      <c r="B690" s="317"/>
      <c r="C690" s="318"/>
      <c r="D690" s="318"/>
      <c r="E690" s="318"/>
      <c r="F690" s="318"/>
      <c r="G690" s="318"/>
      <c r="H690" s="318"/>
      <c r="I690" s="364"/>
      <c r="J690" s="320"/>
      <c r="K690" s="365"/>
      <c r="L690" s="1157"/>
      <c r="M690" s="1158"/>
      <c r="N690" s="382"/>
    </row>
    <row r="691" spans="2:14" ht="13.5" thickBot="1">
      <c r="B691" s="1100" t="s">
        <v>269</v>
      </c>
      <c r="C691" s="1101"/>
      <c r="D691" s="1101"/>
      <c r="E691" s="1101"/>
      <c r="F691" s="1101"/>
      <c r="G691" s="1101"/>
      <c r="H691" s="1101"/>
      <c r="I691" s="1101"/>
      <c r="J691" s="1101"/>
      <c r="K691" s="1101"/>
      <c r="L691" s="1101"/>
      <c r="M691" s="1102"/>
      <c r="N691" s="323">
        <f>+N689</f>
        <v>929.00191337160072</v>
      </c>
    </row>
    <row r="692" spans="2:14" ht="13.5" thickBot="1">
      <c r="B692" s="324" t="s">
        <v>288</v>
      </c>
      <c r="C692" s="325"/>
      <c r="D692" s="325"/>
      <c r="E692" s="325"/>
      <c r="F692" s="325"/>
      <c r="G692" s="325"/>
      <c r="H692" s="325"/>
      <c r="I692" s="326"/>
      <c r="J692" s="327"/>
      <c r="K692" s="328"/>
      <c r="L692" s="329"/>
      <c r="M692" s="329"/>
      <c r="N692" s="330"/>
    </row>
    <row r="693" spans="2:14">
      <c r="B693" s="1130" t="s">
        <v>17</v>
      </c>
      <c r="C693" s="1139"/>
      <c r="D693" s="1139"/>
      <c r="E693" s="1139"/>
      <c r="F693" s="1139"/>
      <c r="G693" s="1139"/>
      <c r="H693" s="1139"/>
      <c r="I693" s="1136"/>
      <c r="J693" s="299" t="s">
        <v>259</v>
      </c>
      <c r="K693" s="288" t="s">
        <v>133</v>
      </c>
      <c r="L693" s="1133" t="s">
        <v>271</v>
      </c>
      <c r="M693" s="1136"/>
      <c r="N693" s="316" t="s">
        <v>265</v>
      </c>
    </row>
    <row r="694" spans="2:14">
      <c r="B694" s="331" t="s">
        <v>289</v>
      </c>
      <c r="C694" s="332"/>
      <c r="D694" s="332"/>
      <c r="E694" s="332"/>
      <c r="F694" s="332"/>
      <c r="G694" s="332"/>
      <c r="H694" s="332"/>
      <c r="I694" s="333"/>
      <c r="J694" s="334" t="s">
        <v>290</v>
      </c>
      <c r="K694" s="335">
        <v>0.05</v>
      </c>
      <c r="L694" s="1144">
        <f>+N691</f>
        <v>929.00191337160072</v>
      </c>
      <c r="M694" s="1145"/>
      <c r="N694" s="322">
        <f>+K694*L694</f>
        <v>46.45009566858004</v>
      </c>
    </row>
    <row r="695" spans="2:14" ht="13.5" thickBot="1">
      <c r="B695" s="356"/>
      <c r="C695" s="325"/>
      <c r="D695" s="325"/>
      <c r="E695" s="325"/>
      <c r="F695" s="325"/>
      <c r="G695" s="325"/>
      <c r="H695" s="325"/>
      <c r="I695" s="369"/>
      <c r="J695" s="327"/>
      <c r="K695" s="370"/>
      <c r="L695" s="371"/>
      <c r="M695" s="372"/>
      <c r="N695" s="373"/>
    </row>
    <row r="696" spans="2:14" ht="13.5" thickBot="1">
      <c r="B696" s="1100" t="s">
        <v>269</v>
      </c>
      <c r="C696" s="1101"/>
      <c r="D696" s="1101"/>
      <c r="E696" s="1101"/>
      <c r="F696" s="1101"/>
      <c r="G696" s="1101"/>
      <c r="H696" s="1101"/>
      <c r="I696" s="1101"/>
      <c r="J696" s="1101"/>
      <c r="K696" s="1101"/>
      <c r="L696" s="1101"/>
      <c r="M696" s="1102"/>
      <c r="N696" s="323">
        <f>+N694</f>
        <v>46.45009566858004</v>
      </c>
    </row>
    <row r="697" spans="2:14" ht="13.5" thickBot="1">
      <c r="B697" s="374" t="s">
        <v>78</v>
      </c>
      <c r="C697" s="325"/>
      <c r="D697" s="325"/>
      <c r="E697" s="325"/>
      <c r="F697" s="325"/>
      <c r="G697" s="325"/>
      <c r="H697" s="325"/>
      <c r="I697" s="369"/>
      <c r="J697" s="327"/>
      <c r="K697" s="370"/>
      <c r="L697" s="371"/>
      <c r="M697" s="372"/>
      <c r="N697" s="373"/>
    </row>
    <row r="698" spans="2:14">
      <c r="B698" s="1130" t="s">
        <v>17</v>
      </c>
      <c r="C698" s="1139"/>
      <c r="D698" s="1139"/>
      <c r="E698" s="1139"/>
      <c r="F698" s="1139"/>
      <c r="G698" s="1139"/>
      <c r="H698" s="1139"/>
      <c r="I698" s="1136"/>
      <c r="J698" s="299" t="s">
        <v>259</v>
      </c>
      <c r="K698" s="288" t="s">
        <v>133</v>
      </c>
      <c r="L698" s="1133" t="s">
        <v>271</v>
      </c>
      <c r="M698" s="1136"/>
      <c r="N698" s="316" t="s">
        <v>265</v>
      </c>
    </row>
    <row r="699" spans="2:14" ht="13.5" thickBot="1">
      <c r="B699" s="1179" t="s">
        <v>161</v>
      </c>
      <c r="C699" s="1180"/>
      <c r="D699" s="1180"/>
      <c r="E699" s="1180"/>
      <c r="F699" s="1180"/>
      <c r="G699" s="1180"/>
      <c r="H699" s="1181"/>
      <c r="I699" s="333"/>
      <c r="J699" s="384" t="s">
        <v>147</v>
      </c>
      <c r="K699" s="385">
        <v>0.1</v>
      </c>
      <c r="L699" s="1184">
        <v>38446</v>
      </c>
      <c r="M699" s="1185"/>
      <c r="N699" s="386">
        <f>+K699*L699</f>
        <v>3844.6000000000004</v>
      </c>
    </row>
    <row r="700" spans="2:14" ht="13.5" thickBot="1">
      <c r="B700" s="1100" t="s">
        <v>269</v>
      </c>
      <c r="C700" s="1101"/>
      <c r="D700" s="1101"/>
      <c r="E700" s="1101"/>
      <c r="F700" s="1101"/>
      <c r="G700" s="1101"/>
      <c r="H700" s="1101"/>
      <c r="I700" s="1101"/>
      <c r="J700" s="1101"/>
      <c r="K700" s="1101"/>
      <c r="L700" s="1101"/>
      <c r="M700" s="1102"/>
      <c r="N700" s="323">
        <f>+N699</f>
        <v>3844.6000000000004</v>
      </c>
    </row>
    <row r="701" spans="2:14">
      <c r="B701" s="280"/>
      <c r="C701" s="281"/>
      <c r="D701" s="281"/>
      <c r="E701" s="281"/>
      <c r="F701" s="281"/>
      <c r="G701" s="281"/>
      <c r="H701" s="281"/>
      <c r="I701" s="281"/>
      <c r="J701" s="281"/>
      <c r="K701" s="281"/>
      <c r="L701" s="281"/>
      <c r="M701" s="281"/>
      <c r="N701" s="282"/>
    </row>
    <row r="702" spans="2:14" ht="13.5" thickBot="1">
      <c r="B702" s="378"/>
      <c r="C702" s="311"/>
      <c r="D702" s="311"/>
      <c r="E702" s="311"/>
      <c r="F702" s="311"/>
      <c r="G702" s="311"/>
      <c r="H702" s="311"/>
      <c r="I702" s="311"/>
      <c r="J702" s="311"/>
      <c r="K702" s="311"/>
      <c r="L702" s="311"/>
      <c r="M702" s="311"/>
      <c r="N702" s="379"/>
    </row>
    <row r="703" spans="2:14" ht="13.5" thickBot="1">
      <c r="B703" s="1150" t="s">
        <v>291</v>
      </c>
      <c r="C703" s="1151"/>
      <c r="D703" s="1151"/>
      <c r="E703" s="1151"/>
      <c r="F703" s="1151"/>
      <c r="G703" s="1151"/>
      <c r="H703" s="1151"/>
      <c r="I703" s="1151"/>
      <c r="J703" s="1151"/>
      <c r="K703" s="1151"/>
      <c r="L703" s="1151"/>
      <c r="M703" s="1152"/>
      <c r="N703" s="336">
        <f>+N670+N677+N684+N691+N696+N700</f>
        <v>22364.034465057724</v>
      </c>
    </row>
    <row r="704" spans="2:14">
      <c r="B704" s="1103" t="s">
        <v>292</v>
      </c>
      <c r="C704" s="1104"/>
      <c r="D704" s="1104"/>
      <c r="E704" s="1104"/>
      <c r="F704" s="1104"/>
      <c r="G704" s="1104"/>
      <c r="H704" s="1104"/>
      <c r="I704" s="1104"/>
      <c r="J704" s="1104"/>
      <c r="K704" s="1104"/>
      <c r="L704" s="1104"/>
      <c r="M704" s="1104"/>
      <c r="N704" s="1105"/>
    </row>
    <row r="705" spans="2:14">
      <c r="B705" s="1106"/>
      <c r="C705" s="1107"/>
      <c r="D705" s="1107"/>
      <c r="E705" s="1107"/>
      <c r="F705" s="1107"/>
      <c r="G705" s="1107"/>
      <c r="H705" s="1107"/>
      <c r="I705" s="1107"/>
      <c r="J705" s="1107"/>
      <c r="K705" s="1107"/>
      <c r="L705" s="1107"/>
      <c r="M705" s="1107"/>
      <c r="N705" s="1108"/>
    </row>
    <row r="706" spans="2:14" ht="13.5" thickBot="1">
      <c r="B706" s="1109"/>
      <c r="C706" s="1110"/>
      <c r="D706" s="1110"/>
      <c r="E706" s="1110"/>
      <c r="F706" s="1110"/>
      <c r="G706" s="1110"/>
      <c r="H706" s="1110"/>
      <c r="I706" s="1110"/>
      <c r="J706" s="1110"/>
      <c r="K706" s="1110"/>
      <c r="L706" s="1110"/>
      <c r="M706" s="1110"/>
      <c r="N706" s="1111"/>
    </row>
    <row r="707" spans="2:14">
      <c r="B707" s="1130" t="s">
        <v>17</v>
      </c>
      <c r="C707" s="1139"/>
      <c r="D707" s="1139"/>
      <c r="E707" s="1139"/>
      <c r="F707" s="1139"/>
      <c r="G707" s="1139"/>
      <c r="H707" s="1139"/>
      <c r="I707" s="306"/>
      <c r="J707" s="337"/>
      <c r="K707" s="315" t="s">
        <v>79</v>
      </c>
      <c r="L707" s="1140" t="s">
        <v>11</v>
      </c>
      <c r="M707" s="1141"/>
      <c r="N707" s="316"/>
    </row>
    <row r="708" spans="2:14">
      <c r="B708" s="1112" t="s">
        <v>232</v>
      </c>
      <c r="C708" s="1113"/>
      <c r="D708" s="1113"/>
      <c r="E708" s="1113"/>
      <c r="F708" s="1113"/>
      <c r="G708" s="1113"/>
      <c r="H708" s="1113"/>
      <c r="I708" s="338"/>
      <c r="J708" s="339"/>
      <c r="K708" s="340">
        <f>'PRESUPUESTO OFICIAL'!$K$100</f>
        <v>0</v>
      </c>
      <c r="L708" s="1146">
        <f>K708*N703</f>
        <v>0</v>
      </c>
      <c r="M708" s="1147"/>
      <c r="N708" s="341"/>
    </row>
    <row r="709" spans="2:14">
      <c r="B709" s="292" t="s">
        <v>293</v>
      </c>
      <c r="C709" s="293"/>
      <c r="D709" s="293"/>
      <c r="E709" s="293"/>
      <c r="F709" s="293"/>
      <c r="G709" s="293"/>
      <c r="H709" s="293"/>
      <c r="I709" s="338"/>
      <c r="J709" s="339"/>
      <c r="K709" s="340">
        <f>'PRESUPUESTO OFICIAL'!$K$101</f>
        <v>0</v>
      </c>
      <c r="L709" s="1146">
        <f>K709*N703</f>
        <v>0</v>
      </c>
      <c r="M709" s="1147"/>
      <c r="N709" s="341"/>
    </row>
    <row r="710" spans="2:14" ht="13.5" thickBot="1">
      <c r="B710" s="277" t="s">
        <v>294</v>
      </c>
      <c r="C710" s="278"/>
      <c r="D710" s="278"/>
      <c r="E710" s="278"/>
      <c r="F710" s="278"/>
      <c r="G710" s="278"/>
      <c r="H710" s="278"/>
      <c r="I710" s="342"/>
      <c r="J710" s="343"/>
      <c r="K710" s="340">
        <f>'PRESUPUESTO OFICIAL'!$K$102</f>
        <v>0</v>
      </c>
      <c r="L710" s="1148">
        <f>K710*N703</f>
        <v>0</v>
      </c>
      <c r="M710" s="1149"/>
      <c r="N710" s="341"/>
    </row>
    <row r="711" spans="2:14" ht="13.5" thickBot="1">
      <c r="B711" s="1100" t="s">
        <v>269</v>
      </c>
      <c r="C711" s="1101"/>
      <c r="D711" s="1101"/>
      <c r="E711" s="1101"/>
      <c r="F711" s="1101"/>
      <c r="G711" s="1101"/>
      <c r="H711" s="1101"/>
      <c r="I711" s="1101"/>
      <c r="J711" s="1101"/>
      <c r="K711" s="1101"/>
      <c r="L711" s="1101"/>
      <c r="M711" s="1102"/>
      <c r="N711" s="344">
        <f>SUM(L708:M710)</f>
        <v>0</v>
      </c>
    </row>
    <row r="712" spans="2:14" ht="13.5" thickBot="1">
      <c r="B712" s="283"/>
      <c r="N712" s="284"/>
    </row>
    <row r="713" spans="2:14" ht="13.5" thickBot="1">
      <c r="B713" s="1150" t="s">
        <v>295</v>
      </c>
      <c r="C713" s="1151"/>
      <c r="D713" s="1151"/>
      <c r="E713" s="1151"/>
      <c r="F713" s="1151"/>
      <c r="G713" s="1151"/>
      <c r="H713" s="1151"/>
      <c r="I713" s="1151"/>
      <c r="J713" s="1151"/>
      <c r="K713" s="1151"/>
      <c r="L713" s="1151"/>
      <c r="M713" s="1152"/>
      <c r="N713" s="345">
        <f>ROUND(N703+N711,0)</f>
        <v>22364</v>
      </c>
    </row>
    <row r="714" spans="2:14">
      <c r="B714" s="280"/>
      <c r="C714" s="281"/>
      <c r="D714" s="281"/>
      <c r="E714" s="281"/>
      <c r="F714" s="281"/>
      <c r="G714" s="281"/>
      <c r="H714" s="281"/>
      <c r="I714" s="281"/>
      <c r="J714" s="281"/>
      <c r="K714" s="281"/>
      <c r="L714" s="281"/>
      <c r="M714" s="281"/>
      <c r="N714" s="282"/>
    </row>
    <row r="715" spans="2:14">
      <c r="B715" s="283"/>
      <c r="N715" s="284"/>
    </row>
    <row r="716" spans="2:14">
      <c r="B716" s="283"/>
      <c r="N716" s="284"/>
    </row>
    <row r="717" spans="2:14">
      <c r="B717" s="283"/>
      <c r="G717" s="346" t="s">
        <v>296</v>
      </c>
      <c r="H717" s="346"/>
      <c r="I717" s="346"/>
      <c r="J717" s="346"/>
      <c r="N717" s="284"/>
    </row>
    <row r="718" spans="2:14">
      <c r="B718" s="347"/>
      <c r="C718" s="348"/>
      <c r="D718" s="348"/>
      <c r="E718" s="348"/>
      <c r="F718" s="348"/>
      <c r="G718" s="346" t="s">
        <v>297</v>
      </c>
      <c r="H718" s="348"/>
      <c r="I718" s="348"/>
      <c r="J718" s="348"/>
      <c r="K718" s="348"/>
      <c r="L718" s="348"/>
      <c r="M718" s="348"/>
      <c r="N718" s="349"/>
    </row>
    <row r="719" spans="2:14">
      <c r="B719" s="347"/>
      <c r="C719" s="348"/>
      <c r="D719" s="348"/>
      <c r="E719" s="348"/>
      <c r="F719" s="348"/>
      <c r="G719" s="346" t="s">
        <v>298</v>
      </c>
      <c r="J719" s="348"/>
      <c r="K719" s="348"/>
      <c r="L719" s="348"/>
      <c r="M719" s="348"/>
      <c r="N719" s="349"/>
    </row>
    <row r="720" spans="2:14">
      <c r="B720" s="268"/>
      <c r="C720" s="350"/>
      <c r="D720" s="350"/>
      <c r="E720" s="350"/>
      <c r="F720" s="350"/>
      <c r="G720" s="346" t="s">
        <v>299</v>
      </c>
      <c r="H720" s="350"/>
      <c r="I720" s="350"/>
      <c r="J720" s="350"/>
      <c r="K720" s="350"/>
      <c r="L720" s="350"/>
      <c r="M720" s="350"/>
      <c r="N720" s="351"/>
    </row>
    <row r="721" spans="2:14">
      <c r="B721" s="283"/>
      <c r="G721" s="258" t="s">
        <v>300</v>
      </c>
      <c r="N721" s="284"/>
    </row>
    <row r="722" spans="2:14">
      <c r="B722" s="352" t="s">
        <v>301</v>
      </c>
      <c r="C722" s="353"/>
      <c r="D722" s="353"/>
      <c r="E722" s="353"/>
      <c r="F722" s="353"/>
      <c r="G722" s="353"/>
      <c r="H722" s="353"/>
      <c r="I722" s="353"/>
      <c r="J722" s="353"/>
      <c r="K722" s="353"/>
      <c r="L722" s="353"/>
      <c r="M722" s="353"/>
      <c r="N722" s="354"/>
    </row>
    <row r="723" spans="2:14">
      <c r="B723" s="1153"/>
      <c r="C723" s="1154"/>
      <c r="D723" s="1154"/>
      <c r="E723" s="1154"/>
      <c r="F723" s="1154"/>
      <c r="G723" s="1154"/>
      <c r="H723" s="1154"/>
      <c r="I723" s="1154"/>
      <c r="J723" s="1154"/>
      <c r="K723" s="1154"/>
      <c r="L723" s="1154"/>
      <c r="M723" s="1154"/>
      <c r="N723" s="1155"/>
    </row>
    <row r="724" spans="2:14">
      <c r="B724" s="1153"/>
      <c r="C724" s="1154"/>
      <c r="D724" s="1154"/>
      <c r="E724" s="1154"/>
      <c r="F724" s="1154"/>
      <c r="G724" s="1154"/>
      <c r="H724" s="1154"/>
      <c r="I724" s="1154"/>
      <c r="J724" s="1154"/>
      <c r="K724" s="1154"/>
      <c r="L724" s="1154"/>
      <c r="M724" s="1154"/>
      <c r="N724" s="1155"/>
    </row>
    <row r="725" spans="2:14">
      <c r="B725" s="268"/>
      <c r="C725" s="350"/>
      <c r="D725" s="350"/>
      <c r="E725" s="350"/>
      <c r="F725" s="350"/>
      <c r="G725" s="350"/>
      <c r="H725" s="350"/>
      <c r="I725" s="350"/>
      <c r="J725" s="350"/>
      <c r="K725" s="350"/>
      <c r="L725" s="350"/>
      <c r="M725" s="350"/>
      <c r="N725" s="351"/>
    </row>
    <row r="726" spans="2:14">
      <c r="B726" s="355" t="s">
        <v>302</v>
      </c>
      <c r="C726" s="350"/>
      <c r="D726" s="350"/>
      <c r="E726" s="350"/>
      <c r="F726" s="350"/>
      <c r="G726" s="350"/>
      <c r="H726" s="350"/>
      <c r="I726" s="350"/>
      <c r="J726" s="350"/>
      <c r="K726" s="350"/>
      <c r="L726" s="350"/>
      <c r="M726" s="350"/>
      <c r="N726" s="351"/>
    </row>
    <row r="727" spans="2:14">
      <c r="B727" s="1159" t="s">
        <v>303</v>
      </c>
      <c r="C727" s="1160"/>
      <c r="D727" s="1160"/>
      <c r="E727" s="1160"/>
      <c r="F727" s="1160"/>
      <c r="G727" s="1160"/>
      <c r="H727" s="1160"/>
      <c r="I727" s="1160"/>
      <c r="J727" s="1160"/>
      <c r="K727" s="1160"/>
      <c r="L727" s="1160"/>
      <c r="M727" s="1160"/>
      <c r="N727" s="1161"/>
    </row>
    <row r="728" spans="2:14">
      <c r="B728" s="1159"/>
      <c r="C728" s="1160"/>
      <c r="D728" s="1160"/>
      <c r="E728" s="1160"/>
      <c r="F728" s="1160"/>
      <c r="G728" s="1160"/>
      <c r="H728" s="1160"/>
      <c r="I728" s="1160"/>
      <c r="J728" s="1160"/>
      <c r="K728" s="1160"/>
      <c r="L728" s="1160"/>
      <c r="M728" s="1160"/>
      <c r="N728" s="1161"/>
    </row>
    <row r="729" spans="2:14">
      <c r="B729" s="1159" t="s">
        <v>304</v>
      </c>
      <c r="C729" s="1160"/>
      <c r="D729" s="1160"/>
      <c r="E729" s="1160"/>
      <c r="F729" s="1160"/>
      <c r="G729" s="1160"/>
      <c r="H729" s="1160"/>
      <c r="I729" s="1160"/>
      <c r="J729" s="1160"/>
      <c r="K729" s="1160"/>
      <c r="L729" s="1160"/>
      <c r="M729" s="1160"/>
      <c r="N729" s="1161"/>
    </row>
    <row r="730" spans="2:14">
      <c r="B730" s="1159"/>
      <c r="C730" s="1160"/>
      <c r="D730" s="1160"/>
      <c r="E730" s="1160"/>
      <c r="F730" s="1160"/>
      <c r="G730" s="1160"/>
      <c r="H730" s="1160"/>
      <c r="I730" s="1160"/>
      <c r="J730" s="1160"/>
      <c r="K730" s="1160"/>
      <c r="L730" s="1160"/>
      <c r="M730" s="1160"/>
      <c r="N730" s="1161"/>
    </row>
    <row r="731" spans="2:14">
      <c r="B731" s="268"/>
      <c r="C731" s="350"/>
      <c r="D731" s="350"/>
      <c r="E731" s="350"/>
      <c r="F731" s="350"/>
      <c r="G731" s="350"/>
      <c r="H731" s="350"/>
      <c r="I731" s="350"/>
      <c r="J731" s="350"/>
      <c r="K731" s="350"/>
      <c r="L731" s="350"/>
      <c r="M731" s="350"/>
      <c r="N731" s="351"/>
    </row>
    <row r="732" spans="2:14">
      <c r="B732" s="283"/>
      <c r="G732" s="346" t="s">
        <v>296</v>
      </c>
      <c r="N732" s="284"/>
    </row>
    <row r="733" spans="2:14">
      <c r="B733" s="283"/>
      <c r="G733" s="258" t="s">
        <v>305</v>
      </c>
      <c r="H733" s="293"/>
      <c r="I733" s="293"/>
      <c r="J733" s="293"/>
      <c r="N733" s="284"/>
    </row>
    <row r="734" spans="2:14">
      <c r="B734" s="283"/>
      <c r="G734" s="258" t="s">
        <v>306</v>
      </c>
      <c r="H734" s="325"/>
      <c r="I734" s="325"/>
      <c r="J734" s="325"/>
      <c r="N734" s="284"/>
    </row>
    <row r="735" spans="2:14">
      <c r="B735" s="356"/>
      <c r="C735" s="350"/>
      <c r="D735" s="350"/>
      <c r="E735" s="350"/>
      <c r="F735" s="350"/>
      <c r="G735" s="258" t="s">
        <v>299</v>
      </c>
      <c r="K735" s="350"/>
      <c r="L735" s="350"/>
      <c r="M735" s="350"/>
      <c r="N735" s="351"/>
    </row>
    <row r="736" spans="2:14">
      <c r="B736" s="357"/>
      <c r="C736" s="358"/>
      <c r="D736" s="358"/>
      <c r="J736" s="1162"/>
      <c r="K736" s="1162"/>
      <c r="L736" s="1162"/>
      <c r="M736" s="1162"/>
      <c r="N736" s="1163"/>
    </row>
    <row r="737" spans="2:14" ht="13.5" thickBot="1">
      <c r="B737" s="1166"/>
      <c r="C737" s="1167"/>
      <c r="D737" s="1167"/>
      <c r="E737" s="311"/>
      <c r="F737" s="311"/>
      <c r="G737" s="311"/>
      <c r="H737" s="311"/>
      <c r="I737" s="311"/>
      <c r="J737" s="1164"/>
      <c r="K737" s="1164"/>
      <c r="L737" s="1164"/>
      <c r="M737" s="1164"/>
      <c r="N737" s="1165"/>
    </row>
    <row r="738" spans="2:14" ht="13.5" thickBot="1"/>
    <row r="739" spans="2:14">
      <c r="B739" s="1070"/>
      <c r="C739" s="1072"/>
      <c r="D739" s="1073"/>
      <c r="E739" s="1073"/>
      <c r="F739" s="1073"/>
      <c r="G739" s="1073"/>
      <c r="H739" s="1073"/>
      <c r="I739" s="1073"/>
      <c r="J739" s="1074"/>
      <c r="K739" s="1075"/>
      <c r="L739" s="1076"/>
      <c r="M739" s="1076"/>
      <c r="N739" s="1077"/>
    </row>
    <row r="740" spans="2:14">
      <c r="B740" s="1071"/>
      <c r="C740" s="1062" t="s">
        <v>244</v>
      </c>
      <c r="D740" s="1063"/>
      <c r="E740" s="1063"/>
      <c r="F740" s="1063"/>
      <c r="G740" s="1063"/>
      <c r="H740" s="1063"/>
      <c r="I740" s="1063"/>
      <c r="J740" s="1064"/>
      <c r="K740" s="1078"/>
      <c r="L740" s="1079"/>
      <c r="M740" s="1079"/>
      <c r="N740" s="1080"/>
    </row>
    <row r="741" spans="2:14">
      <c r="B741" s="1071"/>
      <c r="C741" s="1081"/>
      <c r="D741" s="1082"/>
      <c r="E741" s="1082"/>
      <c r="F741" s="1082"/>
      <c r="G741" s="1082"/>
      <c r="H741" s="1082"/>
      <c r="I741" s="1082"/>
      <c r="J741" s="1083"/>
      <c r="K741" s="1058" t="s">
        <v>245</v>
      </c>
      <c r="L741" s="1085"/>
      <c r="M741" s="1086"/>
      <c r="N741" s="1087"/>
    </row>
    <row r="742" spans="2:14">
      <c r="B742" s="1071"/>
      <c r="C742" s="1062" t="s">
        <v>246</v>
      </c>
      <c r="D742" s="1063"/>
      <c r="E742" s="1063"/>
      <c r="F742" s="1063"/>
      <c r="G742" s="1063"/>
      <c r="H742" s="1063"/>
      <c r="I742" s="1063"/>
      <c r="J742" s="1064"/>
      <c r="K742" s="1084"/>
      <c r="L742" s="1088"/>
      <c r="M742" s="1089"/>
      <c r="N742" s="1090"/>
    </row>
    <row r="743" spans="2:14">
      <c r="B743" s="1071"/>
      <c r="C743" s="1091"/>
      <c r="D743" s="1092"/>
      <c r="E743" s="1092"/>
      <c r="F743" s="1092"/>
      <c r="G743" s="1092"/>
      <c r="H743" s="1092"/>
      <c r="I743" s="1092"/>
      <c r="J743" s="1093"/>
      <c r="K743" s="1058" t="s">
        <v>247</v>
      </c>
      <c r="L743" s="1058">
        <v>9</v>
      </c>
      <c r="M743" s="1058" t="s">
        <v>248</v>
      </c>
      <c r="N743" s="1060">
        <v>80</v>
      </c>
    </row>
    <row r="744" spans="2:14">
      <c r="B744" s="1071"/>
      <c r="C744" s="1091"/>
      <c r="D744" s="1092"/>
      <c r="E744" s="1092"/>
      <c r="F744" s="1092"/>
      <c r="G744" s="1092"/>
      <c r="H744" s="1092"/>
      <c r="I744" s="1092"/>
      <c r="J744" s="1093"/>
      <c r="K744" s="1059"/>
      <c r="L744" s="1059"/>
      <c r="M744" s="1059"/>
      <c r="N744" s="1061"/>
    </row>
    <row r="745" spans="2:14">
      <c r="B745" s="1071"/>
      <c r="C745" s="1062" t="s">
        <v>249</v>
      </c>
      <c r="D745" s="1063"/>
      <c r="E745" s="1063"/>
      <c r="F745" s="1063"/>
      <c r="G745" s="1063"/>
      <c r="H745" s="1063"/>
      <c r="I745" s="1063"/>
      <c r="J745" s="1064"/>
      <c r="K745" s="1059"/>
      <c r="L745" s="1059"/>
      <c r="M745" s="1059"/>
      <c r="N745" s="1061"/>
    </row>
    <row r="746" spans="2:14" ht="13.5" thickBot="1">
      <c r="B746" s="259"/>
      <c r="C746" s="260"/>
      <c r="D746" s="260"/>
      <c r="E746" s="260"/>
      <c r="F746" s="260"/>
      <c r="G746" s="260"/>
      <c r="H746" s="260"/>
      <c r="I746" s="260"/>
      <c r="J746" s="260"/>
      <c r="K746" s="260"/>
      <c r="L746" s="261"/>
      <c r="M746" s="261"/>
      <c r="N746" s="262"/>
    </row>
    <row r="747" spans="2:14">
      <c r="B747" s="263"/>
      <c r="C747" s="264"/>
      <c r="D747" s="264"/>
      <c r="E747" s="264"/>
      <c r="F747" s="264"/>
      <c r="G747" s="264"/>
      <c r="H747" s="264"/>
      <c r="I747" s="264"/>
      <c r="J747" s="264"/>
      <c r="K747" s="265" t="s">
        <v>250</v>
      </c>
      <c r="L747" s="266" t="s">
        <v>251</v>
      </c>
      <c r="M747" s="266" t="s">
        <v>252</v>
      </c>
      <c r="N747" s="267" t="s">
        <v>253</v>
      </c>
    </row>
    <row r="748" spans="2:14">
      <c r="B748" s="268"/>
      <c r="C748" s="269"/>
      <c r="D748" s="269"/>
      <c r="E748" s="269"/>
      <c r="F748" s="269"/>
      <c r="G748" s="269"/>
      <c r="H748" s="269"/>
      <c r="I748" s="269"/>
      <c r="J748" s="269"/>
      <c r="K748" s="270"/>
      <c r="L748" s="271"/>
      <c r="M748" s="271"/>
      <c r="N748" s="272"/>
    </row>
    <row r="749" spans="2:14">
      <c r="B749" s="1065" t="s">
        <v>254</v>
      </c>
      <c r="C749" s="1066"/>
      <c r="D749" s="1066"/>
      <c r="E749" s="1066"/>
      <c r="F749" s="269"/>
      <c r="G749" s="269"/>
      <c r="H749" s="269" t="s">
        <v>255</v>
      </c>
      <c r="J749" s="269"/>
      <c r="K749" s="270"/>
      <c r="N749" s="273"/>
    </row>
    <row r="750" spans="2:14">
      <c r="B750" s="274"/>
      <c r="C750" s="275"/>
      <c r="D750" s="275"/>
      <c r="E750" s="275"/>
      <c r="F750" s="275"/>
      <c r="G750" s="275"/>
      <c r="H750" s="275"/>
      <c r="I750" s="275"/>
      <c r="J750" s="275"/>
      <c r="K750" s="275"/>
      <c r="L750" s="275"/>
      <c r="M750" s="275"/>
      <c r="N750" s="276"/>
    </row>
    <row r="751" spans="2:14" ht="13.5" thickBot="1">
      <c r="B751" s="277"/>
      <c r="C751" s="278"/>
      <c r="D751" s="278"/>
      <c r="E751" s="278"/>
      <c r="F751" s="278"/>
      <c r="G751" s="278"/>
      <c r="H751" s="278"/>
      <c r="I751" s="278"/>
      <c r="J751" s="278"/>
      <c r="K751" s="278"/>
      <c r="L751" s="278"/>
      <c r="M751" s="278"/>
      <c r="N751" s="279"/>
    </row>
    <row r="752" spans="2:14" ht="13.5" thickBot="1">
      <c r="B752" s="280"/>
      <c r="C752" s="281"/>
      <c r="D752" s="281"/>
      <c r="E752" s="281"/>
      <c r="F752" s="281"/>
      <c r="G752" s="281"/>
      <c r="J752" s="281"/>
      <c r="K752" s="281"/>
      <c r="L752" s="281"/>
      <c r="M752" s="281"/>
      <c r="N752" s="282"/>
    </row>
    <row r="753" spans="2:14">
      <c r="B753" s="1067" t="s">
        <v>256</v>
      </c>
      <c r="C753" s="1068"/>
      <c r="D753" s="1068"/>
      <c r="E753" s="1068"/>
      <c r="F753" s="1068"/>
      <c r="G753" s="1068"/>
      <c r="H753" s="1068"/>
      <c r="I753" s="1068"/>
      <c r="J753" s="1068"/>
      <c r="K753" s="1068"/>
      <c r="L753" s="1068"/>
      <c r="M753" s="1068"/>
      <c r="N753" s="1069"/>
    </row>
    <row r="754" spans="2:14" ht="13.5" thickBot="1">
      <c r="B754" s="283"/>
      <c r="N754" s="284"/>
    </row>
    <row r="755" spans="2:14">
      <c r="B755" s="285" t="s">
        <v>257</v>
      </c>
      <c r="C755" s="1120" t="s">
        <v>258</v>
      </c>
      <c r="D755" s="1121"/>
      <c r="E755" s="1121"/>
      <c r="F755" s="1121"/>
      <c r="G755" s="1121"/>
      <c r="H755" s="1121"/>
      <c r="I755" s="1121"/>
      <c r="J755" s="1121"/>
      <c r="K755" s="1122"/>
      <c r="L755" s="1123" t="s">
        <v>259</v>
      </c>
      <c r="M755" s="1124"/>
      <c r="N755" s="285" t="s">
        <v>133</v>
      </c>
    </row>
    <row r="756" spans="2:14" ht="25.5" customHeight="1" thickBot="1">
      <c r="B756" s="286">
        <v>9</v>
      </c>
      <c r="C756" s="1125" t="s">
        <v>318</v>
      </c>
      <c r="D756" s="1126"/>
      <c r="E756" s="1126"/>
      <c r="F756" s="1126"/>
      <c r="G756" s="1126"/>
      <c r="H756" s="1126"/>
      <c r="I756" s="1126"/>
      <c r="J756" s="1126"/>
      <c r="K756" s="1127"/>
      <c r="L756" s="1128" t="s">
        <v>141</v>
      </c>
      <c r="M756" s="1129"/>
      <c r="N756" s="366">
        <v>500</v>
      </c>
    </row>
    <row r="757" spans="2:14">
      <c r="B757" s="1103" t="s">
        <v>260</v>
      </c>
      <c r="C757" s="1104"/>
      <c r="D757" s="1104"/>
      <c r="E757" s="1104"/>
      <c r="F757" s="1104"/>
      <c r="G757" s="1104"/>
      <c r="H757" s="1104"/>
      <c r="I757" s="1104"/>
      <c r="J757" s="1104"/>
      <c r="K757" s="1104"/>
      <c r="L757" s="1104"/>
      <c r="M757" s="1104"/>
      <c r="N757" s="1105"/>
    </row>
    <row r="758" spans="2:14">
      <c r="B758" s="1106"/>
      <c r="C758" s="1107"/>
      <c r="D758" s="1107"/>
      <c r="E758" s="1107"/>
      <c r="F758" s="1107"/>
      <c r="G758" s="1107"/>
      <c r="H758" s="1107"/>
      <c r="I758" s="1107"/>
      <c r="J758" s="1107"/>
      <c r="K758" s="1107"/>
      <c r="L758" s="1107"/>
      <c r="M758" s="1107"/>
      <c r="N758" s="1108"/>
    </row>
    <row r="759" spans="2:14" ht="13.5" thickBot="1">
      <c r="B759" s="1109"/>
      <c r="C759" s="1110"/>
      <c r="D759" s="1110"/>
      <c r="E759" s="1110"/>
      <c r="F759" s="1110"/>
      <c r="G759" s="1110"/>
      <c r="H759" s="1110"/>
      <c r="I759" s="1110"/>
      <c r="J759" s="1110"/>
      <c r="K759" s="1110"/>
      <c r="L759" s="1110"/>
      <c r="M759" s="1110"/>
      <c r="N759" s="1111"/>
    </row>
    <row r="760" spans="2:14">
      <c r="B760" s="1130" t="s">
        <v>258</v>
      </c>
      <c r="C760" s="1131"/>
      <c r="D760" s="1131"/>
      <c r="E760" s="1131"/>
      <c r="F760" s="1132"/>
      <c r="G760" s="1133" t="s">
        <v>261</v>
      </c>
      <c r="H760" s="1131"/>
      <c r="I760" s="1134" t="s">
        <v>262</v>
      </c>
      <c r="J760" s="1135"/>
      <c r="K760" s="288" t="s">
        <v>263</v>
      </c>
      <c r="L760" s="1133" t="s">
        <v>264</v>
      </c>
      <c r="M760" s="1136"/>
      <c r="N760" s="289" t="s">
        <v>265</v>
      </c>
    </row>
    <row r="761" spans="2:14">
      <c r="B761" s="1179" t="s">
        <v>316</v>
      </c>
      <c r="C761" s="1180"/>
      <c r="D761" s="1180"/>
      <c r="E761" s="1180"/>
      <c r="F761" s="1181"/>
      <c r="G761" s="1115"/>
      <c r="H761" s="1114"/>
      <c r="I761" s="1182" t="s">
        <v>267</v>
      </c>
      <c r="J761" s="1183"/>
      <c r="K761" s="290">
        <v>122808</v>
      </c>
      <c r="L761" s="1118">
        <v>10</v>
      </c>
      <c r="M761" s="1119"/>
      <c r="N761" s="290">
        <f>+K761/L761</f>
        <v>12280.8</v>
      </c>
    </row>
    <row r="762" spans="2:14">
      <c r="B762" s="292"/>
      <c r="C762" s="293"/>
      <c r="D762" s="293"/>
      <c r="E762" s="293"/>
      <c r="F762" s="294"/>
      <c r="G762" s="295"/>
      <c r="H762" s="294"/>
      <c r="I762" s="1116"/>
      <c r="J762" s="1117"/>
      <c r="K762" s="290"/>
      <c r="L762" s="1118"/>
      <c r="M762" s="1119"/>
      <c r="N762" s="290"/>
    </row>
    <row r="763" spans="2:14" ht="13.5" thickBot="1">
      <c r="B763" s="1094"/>
      <c r="C763" s="1095"/>
      <c r="D763" s="1095"/>
      <c r="E763" s="1095"/>
      <c r="F763" s="1096"/>
      <c r="G763" s="1097"/>
      <c r="H763" s="1096"/>
      <c r="I763" s="1097"/>
      <c r="J763" s="1096"/>
      <c r="K763" s="290"/>
      <c r="L763" s="1098"/>
      <c r="M763" s="1099"/>
      <c r="N763" s="383"/>
    </row>
    <row r="764" spans="2:14" ht="13.5" thickBot="1">
      <c r="B764" s="1100" t="s">
        <v>269</v>
      </c>
      <c r="C764" s="1101"/>
      <c r="D764" s="1101"/>
      <c r="E764" s="1101"/>
      <c r="F764" s="1101"/>
      <c r="G764" s="1101"/>
      <c r="H764" s="1101"/>
      <c r="I764" s="1101"/>
      <c r="J764" s="1101"/>
      <c r="K764" s="1101"/>
      <c r="L764" s="1101"/>
      <c r="M764" s="1102"/>
      <c r="N764" s="323">
        <f>+N761+N762+N763</f>
        <v>12280.8</v>
      </c>
    </row>
    <row r="765" spans="2:14">
      <c r="B765" s="1103" t="s">
        <v>270</v>
      </c>
      <c r="C765" s="1104"/>
      <c r="D765" s="1104"/>
      <c r="E765" s="1104"/>
      <c r="F765" s="1104"/>
      <c r="G765" s="1104"/>
      <c r="H765" s="1104"/>
      <c r="I765" s="1104"/>
      <c r="J765" s="1104"/>
      <c r="K765" s="1104"/>
      <c r="L765" s="1104"/>
      <c r="M765" s="1104"/>
      <c r="N765" s="1105"/>
    </row>
    <row r="766" spans="2:14">
      <c r="B766" s="1106"/>
      <c r="C766" s="1107"/>
      <c r="D766" s="1107"/>
      <c r="E766" s="1107"/>
      <c r="F766" s="1107"/>
      <c r="G766" s="1107"/>
      <c r="H766" s="1107"/>
      <c r="I766" s="1107"/>
      <c r="J766" s="1107"/>
      <c r="K766" s="1107"/>
      <c r="L766" s="1107"/>
      <c r="M766" s="1107"/>
      <c r="N766" s="1108"/>
    </row>
    <row r="767" spans="2:14" ht="13.5" thickBot="1">
      <c r="B767" s="1109"/>
      <c r="C767" s="1110"/>
      <c r="D767" s="1110"/>
      <c r="E767" s="1110"/>
      <c r="F767" s="1110"/>
      <c r="G767" s="1110"/>
      <c r="H767" s="1110"/>
      <c r="I767" s="1110"/>
      <c r="J767" s="1110"/>
      <c r="K767" s="1110"/>
      <c r="L767" s="1110"/>
      <c r="M767" s="1110"/>
      <c r="N767" s="1111"/>
    </row>
    <row r="768" spans="2:14">
      <c r="B768" s="1130" t="s">
        <v>258</v>
      </c>
      <c r="C768" s="1139"/>
      <c r="D768" s="1139"/>
      <c r="E768" s="1139"/>
      <c r="F768" s="1139"/>
      <c r="G768" s="1139"/>
      <c r="H768" s="1139"/>
      <c r="I768" s="1136"/>
      <c r="J768" s="299" t="s">
        <v>259</v>
      </c>
      <c r="K768" s="288" t="s">
        <v>133</v>
      </c>
      <c r="L768" s="1133" t="s">
        <v>271</v>
      </c>
      <c r="M768" s="1136"/>
      <c r="N768" s="289" t="s">
        <v>265</v>
      </c>
    </row>
    <row r="769" spans="2:14">
      <c r="B769" s="1112"/>
      <c r="C769" s="1113"/>
      <c r="D769" s="1113"/>
      <c r="E769" s="1113"/>
      <c r="F769" s="1113"/>
      <c r="G769" s="1113"/>
      <c r="H769" s="1113"/>
      <c r="I769" s="1114"/>
      <c r="J769" s="300"/>
      <c r="K769" s="301"/>
      <c r="L769" s="1168"/>
      <c r="M769" s="1169"/>
      <c r="N769" s="367"/>
    </row>
    <row r="770" spans="2:14" ht="13.5" thickBot="1">
      <c r="B770" s="1094"/>
      <c r="C770" s="1095"/>
      <c r="D770" s="1095"/>
      <c r="E770" s="1095"/>
      <c r="F770" s="1095"/>
      <c r="G770" s="1095"/>
      <c r="H770" s="1095"/>
      <c r="I770" s="1096"/>
      <c r="J770" s="303"/>
      <c r="K770" s="304"/>
      <c r="L770" s="1168"/>
      <c r="M770" s="1169"/>
      <c r="N770" s="297"/>
    </row>
    <row r="771" spans="2:14" ht="13.5" thickBot="1">
      <c r="B771" s="1100" t="s">
        <v>269</v>
      </c>
      <c r="C771" s="1101"/>
      <c r="D771" s="1101"/>
      <c r="E771" s="1101"/>
      <c r="F771" s="1101"/>
      <c r="G771" s="1101"/>
      <c r="H771" s="1101"/>
      <c r="I771" s="1101"/>
      <c r="J771" s="1101"/>
      <c r="K771" s="1101"/>
      <c r="L771" s="1101"/>
      <c r="M771" s="1102"/>
      <c r="N771" s="368">
        <f>+N769+N770</f>
        <v>0</v>
      </c>
    </row>
    <row r="772" spans="2:14">
      <c r="B772" s="1103" t="s">
        <v>276</v>
      </c>
      <c r="C772" s="1104"/>
      <c r="D772" s="1104"/>
      <c r="E772" s="1104"/>
      <c r="F772" s="1104"/>
      <c r="G772" s="1104"/>
      <c r="H772" s="1104"/>
      <c r="I772" s="1104"/>
      <c r="J772" s="1104"/>
      <c r="K772" s="1104"/>
      <c r="L772" s="1104"/>
      <c r="M772" s="1104"/>
      <c r="N772" s="1105"/>
    </row>
    <row r="773" spans="2:14">
      <c r="B773" s="1106"/>
      <c r="C773" s="1107"/>
      <c r="D773" s="1107"/>
      <c r="E773" s="1107"/>
      <c r="F773" s="1107"/>
      <c r="G773" s="1107"/>
      <c r="H773" s="1107"/>
      <c r="I773" s="1107"/>
      <c r="J773" s="1107"/>
      <c r="K773" s="1107"/>
      <c r="L773" s="1107"/>
      <c r="M773" s="1107"/>
      <c r="N773" s="1108"/>
    </row>
    <row r="774" spans="2:14" ht="13.5" thickBot="1">
      <c r="B774" s="1109"/>
      <c r="C774" s="1110"/>
      <c r="D774" s="1110"/>
      <c r="E774" s="1110"/>
      <c r="F774" s="1110"/>
      <c r="G774" s="1110"/>
      <c r="H774" s="1110"/>
      <c r="I774" s="1110"/>
      <c r="J774" s="1110"/>
      <c r="K774" s="1110"/>
      <c r="L774" s="1110"/>
      <c r="M774" s="1110"/>
      <c r="N774" s="1111"/>
    </row>
    <row r="775" spans="2:14">
      <c r="B775" s="1130" t="s">
        <v>277</v>
      </c>
      <c r="C775" s="1139"/>
      <c r="D775" s="1139"/>
      <c r="E775" s="1139"/>
      <c r="F775" s="1139"/>
      <c r="G775" s="1139"/>
      <c r="H775" s="1139"/>
      <c r="I775" s="288" t="s">
        <v>278</v>
      </c>
      <c r="J775" s="306" t="s">
        <v>279</v>
      </c>
      <c r="K775" s="307" t="s">
        <v>280</v>
      </c>
      <c r="L775" s="1133" t="s">
        <v>281</v>
      </c>
      <c r="M775" s="1136"/>
      <c r="N775" s="289" t="s">
        <v>265</v>
      </c>
    </row>
    <row r="776" spans="2:14">
      <c r="B776" s="1112"/>
      <c r="C776" s="1113"/>
      <c r="D776" s="1113"/>
      <c r="E776" s="1113"/>
      <c r="F776" s="1113"/>
      <c r="G776" s="1113"/>
      <c r="H776" s="1113"/>
      <c r="I776" s="308"/>
      <c r="J776" s="309"/>
      <c r="K776" s="308"/>
      <c r="L776" s="1142"/>
      <c r="M776" s="1143"/>
      <c r="N776" s="297"/>
    </row>
    <row r="777" spans="2:14" ht="13.5" thickBot="1">
      <c r="B777" s="1094"/>
      <c r="C777" s="1095"/>
      <c r="D777" s="1095"/>
      <c r="E777" s="1095"/>
      <c r="F777" s="1095"/>
      <c r="G777" s="1095"/>
      <c r="H777" s="1095"/>
      <c r="I777" s="310"/>
      <c r="J777" s="311"/>
      <c r="K777" s="310"/>
      <c r="L777" s="1137"/>
      <c r="M777" s="1138"/>
      <c r="N777" s="312"/>
    </row>
    <row r="778" spans="2:14" ht="13.5" thickBot="1">
      <c r="B778" s="1100" t="s">
        <v>269</v>
      </c>
      <c r="C778" s="1101"/>
      <c r="D778" s="1101"/>
      <c r="E778" s="1101"/>
      <c r="F778" s="1101"/>
      <c r="G778" s="1101"/>
      <c r="H778" s="1101"/>
      <c r="I778" s="1101"/>
      <c r="J778" s="1101"/>
      <c r="K778" s="1101"/>
      <c r="L778" s="1101"/>
      <c r="M778" s="1102"/>
      <c r="N778" s="313">
        <v>0</v>
      </c>
    </row>
    <row r="779" spans="2:14">
      <c r="B779" s="1103" t="s">
        <v>282</v>
      </c>
      <c r="C779" s="1104"/>
      <c r="D779" s="1104"/>
      <c r="E779" s="1104"/>
      <c r="F779" s="1104"/>
      <c r="G779" s="1104"/>
      <c r="H779" s="1104"/>
      <c r="I779" s="1104"/>
      <c r="J779" s="1104"/>
      <c r="K779" s="1104"/>
      <c r="L779" s="1104"/>
      <c r="M779" s="1104"/>
      <c r="N779" s="1105"/>
    </row>
    <row r="780" spans="2:14">
      <c r="B780" s="1106"/>
      <c r="C780" s="1107"/>
      <c r="D780" s="1107"/>
      <c r="E780" s="1107"/>
      <c r="F780" s="1107"/>
      <c r="G780" s="1107"/>
      <c r="H780" s="1107"/>
      <c r="I780" s="1107"/>
      <c r="J780" s="1107"/>
      <c r="K780" s="1107"/>
      <c r="L780" s="1107"/>
      <c r="M780" s="1107"/>
      <c r="N780" s="1108"/>
    </row>
    <row r="781" spans="2:14" ht="13.5" thickBot="1">
      <c r="B781" s="1109"/>
      <c r="C781" s="1110"/>
      <c r="D781" s="1110"/>
      <c r="E781" s="1110"/>
      <c r="F781" s="1110"/>
      <c r="G781" s="1110"/>
      <c r="H781" s="1110"/>
      <c r="I781" s="1110"/>
      <c r="J781" s="1110"/>
      <c r="K781" s="1110"/>
      <c r="L781" s="1110"/>
      <c r="M781" s="1110"/>
      <c r="N781" s="1111"/>
    </row>
    <row r="782" spans="2:14">
      <c r="B782" s="1130" t="s">
        <v>283</v>
      </c>
      <c r="C782" s="1139"/>
      <c r="D782" s="1139"/>
      <c r="E782" s="1139"/>
      <c r="F782" s="1139"/>
      <c r="G782" s="1139"/>
      <c r="H782" s="1139"/>
      <c r="I782" s="288" t="s">
        <v>284</v>
      </c>
      <c r="J782" s="314" t="s">
        <v>285</v>
      </c>
      <c r="K782" s="315" t="s">
        <v>286</v>
      </c>
      <c r="L782" s="1140" t="s">
        <v>264</v>
      </c>
      <c r="M782" s="1141"/>
      <c r="N782" s="316" t="s">
        <v>265</v>
      </c>
    </row>
    <row r="783" spans="2:14">
      <c r="B783" s="317" t="s">
        <v>315</v>
      </c>
      <c r="C783" s="318"/>
      <c r="D783" s="318"/>
      <c r="E783" s="318"/>
      <c r="F783" s="318"/>
      <c r="G783" s="318"/>
      <c r="H783" s="318"/>
      <c r="I783" s="319">
        <v>31851</v>
      </c>
      <c r="J783" s="321">
        <v>23888</v>
      </c>
      <c r="K783" s="321">
        <f>+I783+J783</f>
        <v>55739</v>
      </c>
      <c r="L783" s="1157">
        <v>8</v>
      </c>
      <c r="M783" s="1158"/>
      <c r="N783" s="322">
        <f>+K783/L783</f>
        <v>6967.375</v>
      </c>
    </row>
    <row r="784" spans="2:14" ht="13.5" thickBot="1">
      <c r="B784" s="317"/>
      <c r="C784" s="318"/>
      <c r="D784" s="318"/>
      <c r="E784" s="318"/>
      <c r="F784" s="318"/>
      <c r="G784" s="318"/>
      <c r="H784" s="318"/>
      <c r="I784" s="364"/>
      <c r="J784" s="320"/>
      <c r="K784" s="365"/>
      <c r="L784" s="1157"/>
      <c r="M784" s="1158"/>
      <c r="N784" s="382"/>
    </row>
    <row r="785" spans="2:14" ht="13.5" thickBot="1">
      <c r="B785" s="1100" t="s">
        <v>269</v>
      </c>
      <c r="C785" s="1101"/>
      <c r="D785" s="1101"/>
      <c r="E785" s="1101"/>
      <c r="F785" s="1101"/>
      <c r="G785" s="1101"/>
      <c r="H785" s="1101"/>
      <c r="I785" s="1101"/>
      <c r="J785" s="1101"/>
      <c r="K785" s="1101"/>
      <c r="L785" s="1101"/>
      <c r="M785" s="1102"/>
      <c r="N785" s="323">
        <f>+N783</f>
        <v>6967.375</v>
      </c>
    </row>
    <row r="786" spans="2:14" ht="13.5" thickBot="1">
      <c r="B786" s="324" t="s">
        <v>288</v>
      </c>
      <c r="C786" s="325"/>
      <c r="D786" s="325"/>
      <c r="E786" s="325"/>
      <c r="F786" s="325"/>
      <c r="G786" s="325"/>
      <c r="H786" s="325"/>
      <c r="I786" s="326"/>
      <c r="J786" s="327"/>
      <c r="K786" s="328"/>
      <c r="L786" s="329"/>
      <c r="M786" s="329"/>
      <c r="N786" s="330"/>
    </row>
    <row r="787" spans="2:14">
      <c r="B787" s="1130" t="s">
        <v>17</v>
      </c>
      <c r="C787" s="1139"/>
      <c r="D787" s="1139"/>
      <c r="E787" s="1139"/>
      <c r="F787" s="1139"/>
      <c r="G787" s="1139"/>
      <c r="H787" s="1139"/>
      <c r="I787" s="1136"/>
      <c r="J787" s="299" t="s">
        <v>259</v>
      </c>
      <c r="K787" s="288" t="s">
        <v>133</v>
      </c>
      <c r="L787" s="1133" t="s">
        <v>271</v>
      </c>
      <c r="M787" s="1136"/>
      <c r="N787" s="316" t="s">
        <v>265</v>
      </c>
    </row>
    <row r="788" spans="2:14">
      <c r="B788" s="331" t="s">
        <v>289</v>
      </c>
      <c r="C788" s="332"/>
      <c r="D788" s="332"/>
      <c r="E788" s="332"/>
      <c r="F788" s="332"/>
      <c r="G788" s="332"/>
      <c r="H788" s="332"/>
      <c r="I788" s="333"/>
      <c r="J788" s="334" t="s">
        <v>290</v>
      </c>
      <c r="K788" s="335">
        <v>0.05</v>
      </c>
      <c r="L788" s="1144">
        <f>+N785</f>
        <v>6967.375</v>
      </c>
      <c r="M788" s="1145"/>
      <c r="N788" s="322">
        <f>+K788*L788</f>
        <v>348.36875000000003</v>
      </c>
    </row>
    <row r="789" spans="2:14" ht="13.5" thickBot="1">
      <c r="B789" s="356"/>
      <c r="C789" s="325"/>
      <c r="D789" s="325"/>
      <c r="E789" s="325"/>
      <c r="F789" s="325"/>
      <c r="G789" s="325"/>
      <c r="H789" s="325"/>
      <c r="I789" s="369"/>
      <c r="J789" s="327"/>
      <c r="K789" s="370"/>
      <c r="L789" s="371"/>
      <c r="M789" s="372"/>
      <c r="N789" s="373"/>
    </row>
    <row r="790" spans="2:14" ht="13.5" thickBot="1">
      <c r="B790" s="1100" t="s">
        <v>269</v>
      </c>
      <c r="C790" s="1101"/>
      <c r="D790" s="1101"/>
      <c r="E790" s="1101"/>
      <c r="F790" s="1101"/>
      <c r="G790" s="1101"/>
      <c r="H790" s="1101"/>
      <c r="I790" s="1101"/>
      <c r="J790" s="1101"/>
      <c r="K790" s="1101"/>
      <c r="L790" s="1101"/>
      <c r="M790" s="1102"/>
      <c r="N790" s="323">
        <f>+N788</f>
        <v>348.36875000000003</v>
      </c>
    </row>
    <row r="791" spans="2:14" ht="13.5" thickBot="1">
      <c r="B791" s="374" t="s">
        <v>78</v>
      </c>
      <c r="C791" s="325"/>
      <c r="D791" s="325"/>
      <c r="E791" s="325"/>
      <c r="F791" s="325"/>
      <c r="G791" s="325"/>
      <c r="H791" s="325"/>
      <c r="I791" s="369"/>
      <c r="J791" s="327"/>
      <c r="K791" s="370"/>
      <c r="L791" s="371"/>
      <c r="M791" s="372"/>
      <c r="N791" s="373"/>
    </row>
    <row r="792" spans="2:14">
      <c r="B792" s="1130" t="s">
        <v>17</v>
      </c>
      <c r="C792" s="1139"/>
      <c r="D792" s="1139"/>
      <c r="E792" s="1139"/>
      <c r="F792" s="1139"/>
      <c r="G792" s="1139"/>
      <c r="H792" s="1139"/>
      <c r="I792" s="1136"/>
      <c r="J792" s="299" t="s">
        <v>259</v>
      </c>
      <c r="K792" s="288" t="s">
        <v>133</v>
      </c>
      <c r="L792" s="1133" t="s">
        <v>271</v>
      </c>
      <c r="M792" s="1136"/>
      <c r="N792" s="316" t="s">
        <v>265</v>
      </c>
    </row>
    <row r="793" spans="2:14" ht="13.5" thickBot="1">
      <c r="B793" s="1179" t="s">
        <v>161</v>
      </c>
      <c r="C793" s="1180"/>
      <c r="D793" s="1180"/>
      <c r="E793" s="1180"/>
      <c r="F793" s="1180"/>
      <c r="G793" s="1180"/>
      <c r="H793" s="1181"/>
      <c r="I793" s="333"/>
      <c r="J793" s="384" t="s">
        <v>147</v>
      </c>
      <c r="K793" s="385">
        <v>7.0000000000000007E-2</v>
      </c>
      <c r="L793" s="1184">
        <v>38446</v>
      </c>
      <c r="M793" s="1185"/>
      <c r="N793" s="386">
        <f>+K793*L793</f>
        <v>2691.2200000000003</v>
      </c>
    </row>
    <row r="794" spans="2:14" ht="13.5" thickBot="1">
      <c r="B794" s="1100" t="s">
        <v>269</v>
      </c>
      <c r="C794" s="1101"/>
      <c r="D794" s="1101"/>
      <c r="E794" s="1101"/>
      <c r="F794" s="1101"/>
      <c r="G794" s="1101"/>
      <c r="H794" s="1101"/>
      <c r="I794" s="1101"/>
      <c r="J794" s="1101"/>
      <c r="K794" s="1101"/>
      <c r="L794" s="1101"/>
      <c r="M794" s="1102"/>
      <c r="N794" s="323">
        <f>+N793</f>
        <v>2691.2200000000003</v>
      </c>
    </row>
    <row r="795" spans="2:14">
      <c r="B795" s="280"/>
      <c r="C795" s="281"/>
      <c r="D795" s="281"/>
      <c r="E795" s="281"/>
      <c r="F795" s="281"/>
      <c r="G795" s="281"/>
      <c r="H795" s="281"/>
      <c r="I795" s="281"/>
      <c r="J795" s="281"/>
      <c r="K795" s="281"/>
      <c r="L795" s="281"/>
      <c r="M795" s="281"/>
      <c r="N795" s="282"/>
    </row>
    <row r="796" spans="2:14" ht="13.5" thickBot="1">
      <c r="B796" s="378"/>
      <c r="C796" s="311"/>
      <c r="D796" s="311"/>
      <c r="E796" s="311"/>
      <c r="F796" s="311"/>
      <c r="G796" s="311"/>
      <c r="H796" s="311"/>
      <c r="I796" s="311"/>
      <c r="J796" s="311"/>
      <c r="K796" s="311"/>
      <c r="L796" s="311"/>
      <c r="M796" s="311"/>
      <c r="N796" s="379"/>
    </row>
    <row r="797" spans="2:14" ht="13.5" thickBot="1">
      <c r="B797" s="1150" t="s">
        <v>291</v>
      </c>
      <c r="C797" s="1151"/>
      <c r="D797" s="1151"/>
      <c r="E797" s="1151"/>
      <c r="F797" s="1151"/>
      <c r="G797" s="1151"/>
      <c r="H797" s="1151"/>
      <c r="I797" s="1151"/>
      <c r="J797" s="1151"/>
      <c r="K797" s="1151"/>
      <c r="L797" s="1151"/>
      <c r="M797" s="1152"/>
      <c r="N797" s="336">
        <f>+N764+N771+N778+N785+N790+N794</f>
        <v>22287.763750000002</v>
      </c>
    </row>
    <row r="798" spans="2:14">
      <c r="B798" s="1103" t="s">
        <v>292</v>
      </c>
      <c r="C798" s="1104"/>
      <c r="D798" s="1104"/>
      <c r="E798" s="1104"/>
      <c r="F798" s="1104"/>
      <c r="G798" s="1104"/>
      <c r="H798" s="1104"/>
      <c r="I798" s="1104"/>
      <c r="J798" s="1104"/>
      <c r="K798" s="1104"/>
      <c r="L798" s="1104"/>
      <c r="M798" s="1104"/>
      <c r="N798" s="1105"/>
    </row>
    <row r="799" spans="2:14">
      <c r="B799" s="1106"/>
      <c r="C799" s="1107"/>
      <c r="D799" s="1107"/>
      <c r="E799" s="1107"/>
      <c r="F799" s="1107"/>
      <c r="G799" s="1107"/>
      <c r="H799" s="1107"/>
      <c r="I799" s="1107"/>
      <c r="J799" s="1107"/>
      <c r="K799" s="1107"/>
      <c r="L799" s="1107"/>
      <c r="M799" s="1107"/>
      <c r="N799" s="1108"/>
    </row>
    <row r="800" spans="2:14" ht="13.5" thickBot="1">
      <c r="B800" s="1109"/>
      <c r="C800" s="1110"/>
      <c r="D800" s="1110"/>
      <c r="E800" s="1110"/>
      <c r="F800" s="1110"/>
      <c r="G800" s="1110"/>
      <c r="H800" s="1110"/>
      <c r="I800" s="1110"/>
      <c r="J800" s="1110"/>
      <c r="K800" s="1110"/>
      <c r="L800" s="1110"/>
      <c r="M800" s="1110"/>
      <c r="N800" s="1111"/>
    </row>
    <row r="801" spans="2:14">
      <c r="B801" s="1130" t="s">
        <v>17</v>
      </c>
      <c r="C801" s="1139"/>
      <c r="D801" s="1139"/>
      <c r="E801" s="1139"/>
      <c r="F801" s="1139"/>
      <c r="G801" s="1139"/>
      <c r="H801" s="1139"/>
      <c r="I801" s="306"/>
      <c r="J801" s="337"/>
      <c r="K801" s="315" t="s">
        <v>79</v>
      </c>
      <c r="L801" s="1140" t="s">
        <v>11</v>
      </c>
      <c r="M801" s="1141"/>
      <c r="N801" s="316"/>
    </row>
    <row r="802" spans="2:14">
      <c r="B802" s="1112" t="s">
        <v>232</v>
      </c>
      <c r="C802" s="1113"/>
      <c r="D802" s="1113"/>
      <c r="E802" s="1113"/>
      <c r="F802" s="1113"/>
      <c r="G802" s="1113"/>
      <c r="H802" s="1113"/>
      <c r="I802" s="338"/>
      <c r="J802" s="339"/>
      <c r="K802" s="340">
        <f>'PRESUPUESTO OFICIAL'!$K$100</f>
        <v>0</v>
      </c>
      <c r="L802" s="1146">
        <f>K802*N797</f>
        <v>0</v>
      </c>
      <c r="M802" s="1147"/>
      <c r="N802" s="341"/>
    </row>
    <row r="803" spans="2:14">
      <c r="B803" s="292" t="s">
        <v>293</v>
      </c>
      <c r="C803" s="293"/>
      <c r="D803" s="293"/>
      <c r="E803" s="293"/>
      <c r="F803" s="293"/>
      <c r="G803" s="293"/>
      <c r="H803" s="293"/>
      <c r="I803" s="338"/>
      <c r="J803" s="339"/>
      <c r="K803" s="340">
        <f>'PRESUPUESTO OFICIAL'!$K$101</f>
        <v>0</v>
      </c>
      <c r="L803" s="1146">
        <f>K803*N797</f>
        <v>0</v>
      </c>
      <c r="M803" s="1147"/>
      <c r="N803" s="341"/>
    </row>
    <row r="804" spans="2:14" ht="13.5" thickBot="1">
      <c r="B804" s="277" t="s">
        <v>294</v>
      </c>
      <c r="C804" s="278"/>
      <c r="D804" s="278"/>
      <c r="E804" s="278"/>
      <c r="F804" s="278"/>
      <c r="G804" s="278"/>
      <c r="H804" s="278"/>
      <c r="I804" s="342"/>
      <c r="J804" s="343"/>
      <c r="K804" s="340">
        <f>'PRESUPUESTO OFICIAL'!$K$102</f>
        <v>0</v>
      </c>
      <c r="L804" s="1148">
        <f>K804*N797</f>
        <v>0</v>
      </c>
      <c r="M804" s="1149"/>
      <c r="N804" s="341"/>
    </row>
    <row r="805" spans="2:14" ht="13.5" thickBot="1">
      <c r="B805" s="1100" t="s">
        <v>269</v>
      </c>
      <c r="C805" s="1101"/>
      <c r="D805" s="1101"/>
      <c r="E805" s="1101"/>
      <c r="F805" s="1101"/>
      <c r="G805" s="1101"/>
      <c r="H805" s="1101"/>
      <c r="I805" s="1101"/>
      <c r="J805" s="1101"/>
      <c r="K805" s="1101"/>
      <c r="L805" s="1101"/>
      <c r="M805" s="1102"/>
      <c r="N805" s="344">
        <f>SUM(L802:M804)</f>
        <v>0</v>
      </c>
    </row>
    <row r="806" spans="2:14" ht="13.5" thickBot="1">
      <c r="B806" s="283"/>
      <c r="N806" s="284"/>
    </row>
    <row r="807" spans="2:14" ht="13.5" thickBot="1">
      <c r="B807" s="1150" t="s">
        <v>295</v>
      </c>
      <c r="C807" s="1151"/>
      <c r="D807" s="1151"/>
      <c r="E807" s="1151"/>
      <c r="F807" s="1151"/>
      <c r="G807" s="1151"/>
      <c r="H807" s="1151"/>
      <c r="I807" s="1151"/>
      <c r="J807" s="1151"/>
      <c r="K807" s="1151"/>
      <c r="L807" s="1151"/>
      <c r="M807" s="1152"/>
      <c r="N807" s="345">
        <f>ROUND(N797+N805,0)</f>
        <v>22288</v>
      </c>
    </row>
    <row r="808" spans="2:14">
      <c r="B808" s="280"/>
      <c r="C808" s="281"/>
      <c r="D808" s="281"/>
      <c r="E808" s="281"/>
      <c r="F808" s="281"/>
      <c r="G808" s="281"/>
      <c r="H808" s="281"/>
      <c r="I808" s="281"/>
      <c r="J808" s="281"/>
      <c r="K808" s="281"/>
      <c r="L808" s="281"/>
      <c r="M808" s="281"/>
      <c r="N808" s="282"/>
    </row>
    <row r="809" spans="2:14">
      <c r="B809" s="283"/>
      <c r="N809" s="284"/>
    </row>
    <row r="810" spans="2:14">
      <c r="B810" s="283"/>
      <c r="N810" s="284"/>
    </row>
    <row r="811" spans="2:14">
      <c r="B811" s="283"/>
      <c r="G811" s="346" t="s">
        <v>296</v>
      </c>
      <c r="H811" s="346"/>
      <c r="I811" s="346"/>
      <c r="J811" s="346"/>
      <c r="N811" s="284"/>
    </row>
    <row r="812" spans="2:14">
      <c r="B812" s="347"/>
      <c r="C812" s="348"/>
      <c r="D812" s="348"/>
      <c r="E812" s="348"/>
      <c r="F812" s="348"/>
      <c r="G812" s="346" t="s">
        <v>297</v>
      </c>
      <c r="H812" s="348"/>
      <c r="I812" s="348"/>
      <c r="J812" s="348"/>
      <c r="K812" s="348"/>
      <c r="L812" s="348"/>
      <c r="M812" s="348"/>
      <c r="N812" s="349"/>
    </row>
    <row r="813" spans="2:14">
      <c r="B813" s="347"/>
      <c r="C813" s="348"/>
      <c r="D813" s="348"/>
      <c r="E813" s="348"/>
      <c r="F813" s="348"/>
      <c r="G813" s="346" t="s">
        <v>298</v>
      </c>
      <c r="J813" s="348"/>
      <c r="K813" s="348"/>
      <c r="L813" s="348"/>
      <c r="M813" s="348"/>
      <c r="N813" s="349"/>
    </row>
    <row r="814" spans="2:14">
      <c r="B814" s="268"/>
      <c r="C814" s="350"/>
      <c r="D814" s="350"/>
      <c r="E814" s="350"/>
      <c r="F814" s="350"/>
      <c r="G814" s="346" t="s">
        <v>299</v>
      </c>
      <c r="H814" s="350"/>
      <c r="I814" s="350"/>
      <c r="J814" s="350"/>
      <c r="K814" s="350"/>
      <c r="L814" s="350"/>
      <c r="M814" s="350"/>
      <c r="N814" s="351"/>
    </row>
    <row r="815" spans="2:14">
      <c r="B815" s="283"/>
      <c r="G815" s="258" t="s">
        <v>300</v>
      </c>
      <c r="N815" s="284"/>
    </row>
    <row r="816" spans="2:14">
      <c r="B816" s="352" t="s">
        <v>301</v>
      </c>
      <c r="C816" s="353"/>
      <c r="D816" s="353"/>
      <c r="E816" s="353"/>
      <c r="F816" s="353"/>
      <c r="G816" s="353"/>
      <c r="H816" s="353"/>
      <c r="I816" s="353"/>
      <c r="J816" s="353"/>
      <c r="K816" s="353"/>
      <c r="L816" s="353"/>
      <c r="M816" s="353"/>
      <c r="N816" s="354"/>
    </row>
    <row r="817" spans="2:14">
      <c r="B817" s="1153"/>
      <c r="C817" s="1154"/>
      <c r="D817" s="1154"/>
      <c r="E817" s="1154"/>
      <c r="F817" s="1154"/>
      <c r="G817" s="1154"/>
      <c r="H817" s="1154"/>
      <c r="I817" s="1154"/>
      <c r="J817" s="1154"/>
      <c r="K817" s="1154"/>
      <c r="L817" s="1154"/>
      <c r="M817" s="1154"/>
      <c r="N817" s="1155"/>
    </row>
    <row r="818" spans="2:14">
      <c r="B818" s="1153"/>
      <c r="C818" s="1154"/>
      <c r="D818" s="1154"/>
      <c r="E818" s="1154"/>
      <c r="F818" s="1154"/>
      <c r="G818" s="1154"/>
      <c r="H818" s="1154"/>
      <c r="I818" s="1154"/>
      <c r="J818" s="1154"/>
      <c r="K818" s="1154"/>
      <c r="L818" s="1154"/>
      <c r="M818" s="1154"/>
      <c r="N818" s="1155"/>
    </row>
    <row r="819" spans="2:14">
      <c r="B819" s="268"/>
      <c r="C819" s="350"/>
      <c r="D819" s="350"/>
      <c r="E819" s="350"/>
      <c r="F819" s="350"/>
      <c r="G819" s="350"/>
      <c r="H819" s="350"/>
      <c r="I819" s="350"/>
      <c r="J819" s="350"/>
      <c r="K819" s="350"/>
      <c r="L819" s="350"/>
      <c r="M819" s="350"/>
      <c r="N819" s="351"/>
    </row>
    <row r="820" spans="2:14">
      <c r="B820" s="355" t="s">
        <v>302</v>
      </c>
      <c r="C820" s="350"/>
      <c r="D820" s="350"/>
      <c r="E820" s="350"/>
      <c r="F820" s="350"/>
      <c r="G820" s="350"/>
      <c r="H820" s="350"/>
      <c r="I820" s="350"/>
      <c r="J820" s="350"/>
      <c r="K820" s="350"/>
      <c r="L820" s="350"/>
      <c r="M820" s="350"/>
      <c r="N820" s="351"/>
    </row>
    <row r="821" spans="2:14">
      <c r="B821" s="1159" t="s">
        <v>303</v>
      </c>
      <c r="C821" s="1160"/>
      <c r="D821" s="1160"/>
      <c r="E821" s="1160"/>
      <c r="F821" s="1160"/>
      <c r="G821" s="1160"/>
      <c r="H821" s="1160"/>
      <c r="I821" s="1160"/>
      <c r="J821" s="1160"/>
      <c r="K821" s="1160"/>
      <c r="L821" s="1160"/>
      <c r="M821" s="1160"/>
      <c r="N821" s="1161"/>
    </row>
    <row r="822" spans="2:14">
      <c r="B822" s="1159"/>
      <c r="C822" s="1160"/>
      <c r="D822" s="1160"/>
      <c r="E822" s="1160"/>
      <c r="F822" s="1160"/>
      <c r="G822" s="1160"/>
      <c r="H822" s="1160"/>
      <c r="I822" s="1160"/>
      <c r="J822" s="1160"/>
      <c r="K822" s="1160"/>
      <c r="L822" s="1160"/>
      <c r="M822" s="1160"/>
      <c r="N822" s="1161"/>
    </row>
    <row r="823" spans="2:14">
      <c r="B823" s="1159" t="s">
        <v>304</v>
      </c>
      <c r="C823" s="1160"/>
      <c r="D823" s="1160"/>
      <c r="E823" s="1160"/>
      <c r="F823" s="1160"/>
      <c r="G823" s="1160"/>
      <c r="H823" s="1160"/>
      <c r="I823" s="1160"/>
      <c r="J823" s="1160"/>
      <c r="K823" s="1160"/>
      <c r="L823" s="1160"/>
      <c r="M823" s="1160"/>
      <c r="N823" s="1161"/>
    </row>
    <row r="824" spans="2:14">
      <c r="B824" s="1159"/>
      <c r="C824" s="1160"/>
      <c r="D824" s="1160"/>
      <c r="E824" s="1160"/>
      <c r="F824" s="1160"/>
      <c r="G824" s="1160"/>
      <c r="H824" s="1160"/>
      <c r="I824" s="1160"/>
      <c r="J824" s="1160"/>
      <c r="K824" s="1160"/>
      <c r="L824" s="1160"/>
      <c r="M824" s="1160"/>
      <c r="N824" s="1161"/>
    </row>
    <row r="825" spans="2:14">
      <c r="B825" s="268"/>
      <c r="C825" s="350"/>
      <c r="D825" s="350"/>
      <c r="E825" s="350"/>
      <c r="F825" s="350"/>
      <c r="G825" s="350"/>
      <c r="H825" s="350"/>
      <c r="I825" s="350"/>
      <c r="J825" s="350"/>
      <c r="K825" s="350"/>
      <c r="L825" s="350"/>
      <c r="M825" s="350"/>
      <c r="N825" s="351"/>
    </row>
    <row r="826" spans="2:14">
      <c r="B826" s="283"/>
      <c r="G826" s="346" t="s">
        <v>296</v>
      </c>
      <c r="N826" s="284"/>
    </row>
    <row r="827" spans="2:14">
      <c r="B827" s="283"/>
      <c r="G827" s="258" t="s">
        <v>305</v>
      </c>
      <c r="H827" s="293"/>
      <c r="I827" s="293"/>
      <c r="J827" s="293"/>
      <c r="N827" s="284"/>
    </row>
    <row r="828" spans="2:14">
      <c r="B828" s="283"/>
      <c r="G828" s="258" t="s">
        <v>306</v>
      </c>
      <c r="H828" s="325"/>
      <c r="I828" s="325"/>
      <c r="J828" s="325"/>
      <c r="N828" s="284"/>
    </row>
    <row r="829" spans="2:14">
      <c r="B829" s="356"/>
      <c r="C829" s="350"/>
      <c r="D829" s="350"/>
      <c r="E829" s="350"/>
      <c r="F829" s="350"/>
      <c r="G829" s="258" t="s">
        <v>299</v>
      </c>
      <c r="K829" s="350"/>
      <c r="L829" s="350"/>
      <c r="M829" s="350"/>
      <c r="N829" s="351"/>
    </row>
    <row r="830" spans="2:14">
      <c r="B830" s="357"/>
      <c r="C830" s="358"/>
      <c r="D830" s="358"/>
      <c r="J830" s="1162"/>
      <c r="K830" s="1162"/>
      <c r="L830" s="1162"/>
      <c r="M830" s="1162"/>
      <c r="N830" s="1163"/>
    </row>
    <row r="831" spans="2:14" ht="13.5" thickBot="1">
      <c r="B831" s="1166"/>
      <c r="C831" s="1167"/>
      <c r="D831" s="1167"/>
      <c r="E831" s="311"/>
      <c r="F831" s="311"/>
      <c r="G831" s="311"/>
      <c r="H831" s="311"/>
      <c r="I831" s="311"/>
      <c r="J831" s="1164"/>
      <c r="K831" s="1164"/>
      <c r="L831" s="1164"/>
      <c r="M831" s="1164"/>
      <c r="N831" s="1165"/>
    </row>
    <row r="832" spans="2:14" ht="13.5" thickBot="1"/>
    <row r="833" spans="2:14">
      <c r="B833" s="1070"/>
      <c r="C833" s="1072"/>
      <c r="D833" s="1073"/>
      <c r="E833" s="1073"/>
      <c r="F833" s="1073"/>
      <c r="G833" s="1073"/>
      <c r="H833" s="1073"/>
      <c r="I833" s="1073"/>
      <c r="J833" s="1074"/>
      <c r="K833" s="1075"/>
      <c r="L833" s="1076"/>
      <c r="M833" s="1076"/>
      <c r="N833" s="1077"/>
    </row>
    <row r="834" spans="2:14">
      <c r="B834" s="1071"/>
      <c r="C834" s="1062" t="s">
        <v>244</v>
      </c>
      <c r="D834" s="1063"/>
      <c r="E834" s="1063"/>
      <c r="F834" s="1063"/>
      <c r="G834" s="1063"/>
      <c r="H834" s="1063"/>
      <c r="I834" s="1063"/>
      <c r="J834" s="1064"/>
      <c r="K834" s="1078"/>
      <c r="L834" s="1079"/>
      <c r="M834" s="1079"/>
      <c r="N834" s="1080"/>
    </row>
    <row r="835" spans="2:14">
      <c r="B835" s="1071"/>
      <c r="C835" s="1081"/>
      <c r="D835" s="1082"/>
      <c r="E835" s="1082"/>
      <c r="F835" s="1082"/>
      <c r="G835" s="1082"/>
      <c r="H835" s="1082"/>
      <c r="I835" s="1082"/>
      <c r="J835" s="1083"/>
      <c r="K835" s="1058" t="s">
        <v>245</v>
      </c>
      <c r="L835" s="1085"/>
      <c r="M835" s="1086"/>
      <c r="N835" s="1087"/>
    </row>
    <row r="836" spans="2:14">
      <c r="B836" s="1071"/>
      <c r="C836" s="1062" t="s">
        <v>246</v>
      </c>
      <c r="D836" s="1063"/>
      <c r="E836" s="1063"/>
      <c r="F836" s="1063"/>
      <c r="G836" s="1063"/>
      <c r="H836" s="1063"/>
      <c r="I836" s="1063"/>
      <c r="J836" s="1064"/>
      <c r="K836" s="1084"/>
      <c r="L836" s="1088"/>
      <c r="M836" s="1089"/>
      <c r="N836" s="1090"/>
    </row>
    <row r="837" spans="2:14">
      <c r="B837" s="1071"/>
      <c r="C837" s="1091"/>
      <c r="D837" s="1092"/>
      <c r="E837" s="1092"/>
      <c r="F837" s="1092"/>
      <c r="G837" s="1092"/>
      <c r="H837" s="1092"/>
      <c r="I837" s="1092"/>
      <c r="J837" s="1093"/>
      <c r="K837" s="1058" t="s">
        <v>247</v>
      </c>
      <c r="L837" s="1058">
        <v>10</v>
      </c>
      <c r="M837" s="1058" t="s">
        <v>248</v>
      </c>
      <c r="N837" s="1060">
        <v>80</v>
      </c>
    </row>
    <row r="838" spans="2:14">
      <c r="B838" s="1071"/>
      <c r="C838" s="1091"/>
      <c r="D838" s="1092"/>
      <c r="E838" s="1092"/>
      <c r="F838" s="1092"/>
      <c r="G838" s="1092"/>
      <c r="H838" s="1092"/>
      <c r="I838" s="1092"/>
      <c r="J838" s="1093"/>
      <c r="K838" s="1059"/>
      <c r="L838" s="1059"/>
      <c r="M838" s="1059"/>
      <c r="N838" s="1061"/>
    </row>
    <row r="839" spans="2:14">
      <c r="B839" s="1071"/>
      <c r="C839" s="1062" t="s">
        <v>249</v>
      </c>
      <c r="D839" s="1063"/>
      <c r="E839" s="1063"/>
      <c r="F839" s="1063"/>
      <c r="G839" s="1063"/>
      <c r="H839" s="1063"/>
      <c r="I839" s="1063"/>
      <c r="J839" s="1064"/>
      <c r="K839" s="1059"/>
      <c r="L839" s="1059"/>
      <c r="M839" s="1059"/>
      <c r="N839" s="1061"/>
    </row>
    <row r="840" spans="2:14" ht="13.5" thickBot="1">
      <c r="B840" s="259"/>
      <c r="C840" s="260"/>
      <c r="D840" s="260"/>
      <c r="E840" s="260"/>
      <c r="F840" s="260"/>
      <c r="G840" s="260"/>
      <c r="H840" s="260"/>
      <c r="I840" s="260"/>
      <c r="J840" s="260"/>
      <c r="K840" s="260"/>
      <c r="L840" s="261"/>
      <c r="M840" s="261"/>
      <c r="N840" s="262"/>
    </row>
    <row r="841" spans="2:14">
      <c r="B841" s="263"/>
      <c r="C841" s="264"/>
      <c r="D841" s="264"/>
      <c r="E841" s="264"/>
      <c r="F841" s="264"/>
      <c r="G841" s="264"/>
      <c r="H841" s="264"/>
      <c r="I841" s="264"/>
      <c r="J841" s="264"/>
      <c r="K841" s="265" t="s">
        <v>250</v>
      </c>
      <c r="L841" s="266" t="s">
        <v>251</v>
      </c>
      <c r="M841" s="266" t="s">
        <v>252</v>
      </c>
      <c r="N841" s="267" t="s">
        <v>253</v>
      </c>
    </row>
    <row r="842" spans="2:14">
      <c r="B842" s="268"/>
      <c r="C842" s="269"/>
      <c r="D842" s="269"/>
      <c r="E842" s="269"/>
      <c r="F842" s="269"/>
      <c r="G842" s="269"/>
      <c r="H842" s="269"/>
      <c r="I842" s="269"/>
      <c r="J842" s="269"/>
      <c r="K842" s="270"/>
      <c r="L842" s="271"/>
      <c r="M842" s="271"/>
      <c r="N842" s="272"/>
    </row>
    <row r="843" spans="2:14">
      <c r="B843" s="1065" t="s">
        <v>254</v>
      </c>
      <c r="C843" s="1066"/>
      <c r="D843" s="1066"/>
      <c r="E843" s="1066"/>
      <c r="F843" s="269"/>
      <c r="G843" s="269"/>
      <c r="H843" s="269" t="s">
        <v>255</v>
      </c>
      <c r="J843" s="269"/>
      <c r="K843" s="270"/>
      <c r="N843" s="273"/>
    </row>
    <row r="844" spans="2:14">
      <c r="B844" s="274"/>
      <c r="C844" s="275"/>
      <c r="D844" s="275"/>
      <c r="E844" s="275"/>
      <c r="F844" s="275"/>
      <c r="G844" s="275"/>
      <c r="H844" s="275"/>
      <c r="I844" s="275"/>
      <c r="J844" s="275"/>
      <c r="K844" s="275"/>
      <c r="L844" s="275"/>
      <c r="M844" s="275"/>
      <c r="N844" s="276"/>
    </row>
    <row r="845" spans="2:14" ht="13.5" thickBot="1">
      <c r="B845" s="277"/>
      <c r="C845" s="278"/>
      <c r="D845" s="278"/>
      <c r="E845" s="278"/>
      <c r="F845" s="278"/>
      <c r="G845" s="278"/>
      <c r="H845" s="278"/>
      <c r="I845" s="278"/>
      <c r="J845" s="278"/>
      <c r="K845" s="278"/>
      <c r="L845" s="278"/>
      <c r="M845" s="278"/>
      <c r="N845" s="279"/>
    </row>
    <row r="846" spans="2:14" ht="13.5" thickBot="1">
      <c r="B846" s="280"/>
      <c r="C846" s="281"/>
      <c r="D846" s="281"/>
      <c r="E846" s="281"/>
      <c r="F846" s="281"/>
      <c r="G846" s="281"/>
      <c r="J846" s="281"/>
      <c r="K846" s="281"/>
      <c r="L846" s="281"/>
      <c r="M846" s="281"/>
      <c r="N846" s="282"/>
    </row>
    <row r="847" spans="2:14">
      <c r="B847" s="1067" t="s">
        <v>256</v>
      </c>
      <c r="C847" s="1068"/>
      <c r="D847" s="1068"/>
      <c r="E847" s="1068"/>
      <c r="F847" s="1068"/>
      <c r="G847" s="1068"/>
      <c r="H847" s="1068"/>
      <c r="I847" s="1068"/>
      <c r="J847" s="1068"/>
      <c r="K847" s="1068"/>
      <c r="L847" s="1068"/>
      <c r="M847" s="1068"/>
      <c r="N847" s="1069"/>
    </row>
    <row r="848" spans="2:14" ht="13.5" thickBot="1">
      <c r="B848" s="283"/>
      <c r="N848" s="284"/>
    </row>
    <row r="849" spans="2:14">
      <c r="B849" s="285" t="s">
        <v>257</v>
      </c>
      <c r="C849" s="1120" t="s">
        <v>258</v>
      </c>
      <c r="D849" s="1121"/>
      <c r="E849" s="1121"/>
      <c r="F849" s="1121"/>
      <c r="G849" s="1121"/>
      <c r="H849" s="1121"/>
      <c r="I849" s="1121"/>
      <c r="J849" s="1121"/>
      <c r="K849" s="1122"/>
      <c r="L849" s="1123" t="s">
        <v>259</v>
      </c>
      <c r="M849" s="1124"/>
      <c r="N849" s="285" t="s">
        <v>133</v>
      </c>
    </row>
    <row r="850" spans="2:14" ht="28.5" customHeight="1" thickBot="1">
      <c r="B850" s="286">
        <v>10</v>
      </c>
      <c r="C850" s="1125" t="s">
        <v>151</v>
      </c>
      <c r="D850" s="1126"/>
      <c r="E850" s="1126"/>
      <c r="F850" s="1126"/>
      <c r="G850" s="1126"/>
      <c r="H850" s="1126"/>
      <c r="I850" s="1126"/>
      <c r="J850" s="1126"/>
      <c r="K850" s="1127"/>
      <c r="L850" s="1128" t="s">
        <v>141</v>
      </c>
      <c r="M850" s="1129"/>
      <c r="N850" s="366">
        <v>350</v>
      </c>
    </row>
    <row r="851" spans="2:14">
      <c r="B851" s="1103" t="s">
        <v>260</v>
      </c>
      <c r="C851" s="1104"/>
      <c r="D851" s="1104"/>
      <c r="E851" s="1104"/>
      <c r="F851" s="1104"/>
      <c r="G851" s="1104"/>
      <c r="H851" s="1104"/>
      <c r="I851" s="1104"/>
      <c r="J851" s="1104"/>
      <c r="K851" s="1104"/>
      <c r="L851" s="1104"/>
      <c r="M851" s="1104"/>
      <c r="N851" s="1105"/>
    </row>
    <row r="852" spans="2:14">
      <c r="B852" s="1106"/>
      <c r="C852" s="1107"/>
      <c r="D852" s="1107"/>
      <c r="E852" s="1107"/>
      <c r="F852" s="1107"/>
      <c r="G852" s="1107"/>
      <c r="H852" s="1107"/>
      <c r="I852" s="1107"/>
      <c r="J852" s="1107"/>
      <c r="K852" s="1107"/>
      <c r="L852" s="1107"/>
      <c r="M852" s="1107"/>
      <c r="N852" s="1108"/>
    </row>
    <row r="853" spans="2:14" ht="13.5" thickBot="1">
      <c r="B853" s="1109"/>
      <c r="C853" s="1110"/>
      <c r="D853" s="1110"/>
      <c r="E853" s="1110"/>
      <c r="F853" s="1110"/>
      <c r="G853" s="1110"/>
      <c r="H853" s="1110"/>
      <c r="I853" s="1110"/>
      <c r="J853" s="1110"/>
      <c r="K853" s="1110"/>
      <c r="L853" s="1110"/>
      <c r="M853" s="1110"/>
      <c r="N853" s="1111"/>
    </row>
    <row r="854" spans="2:14">
      <c r="B854" s="1130" t="s">
        <v>258</v>
      </c>
      <c r="C854" s="1131"/>
      <c r="D854" s="1131"/>
      <c r="E854" s="1131"/>
      <c r="F854" s="1132"/>
      <c r="G854" s="1133" t="s">
        <v>261</v>
      </c>
      <c r="H854" s="1131"/>
      <c r="I854" s="1134" t="s">
        <v>262</v>
      </c>
      <c r="J854" s="1135"/>
      <c r="K854" s="288" t="s">
        <v>263</v>
      </c>
      <c r="L854" s="1133" t="s">
        <v>264</v>
      </c>
      <c r="M854" s="1136"/>
      <c r="N854" s="289" t="s">
        <v>265</v>
      </c>
    </row>
    <row r="855" spans="2:14" ht="27.75" customHeight="1">
      <c r="B855" s="1179" t="s">
        <v>316</v>
      </c>
      <c r="C855" s="1180"/>
      <c r="D855" s="1180"/>
      <c r="E855" s="1180"/>
      <c r="F855" s="1181"/>
      <c r="G855" s="1115"/>
      <c r="H855" s="1114"/>
      <c r="I855" s="1182" t="s">
        <v>267</v>
      </c>
      <c r="J855" s="1183"/>
      <c r="K855" s="290">
        <v>122808</v>
      </c>
      <c r="L855" s="1118">
        <v>14.999924999999999</v>
      </c>
      <c r="M855" s="1119"/>
      <c r="N855" s="290">
        <f>+K855/L855</f>
        <v>8187.240936204681</v>
      </c>
    </row>
    <row r="856" spans="2:14">
      <c r="B856" s="292"/>
      <c r="C856" s="293"/>
      <c r="D856" s="293"/>
      <c r="E856" s="293"/>
      <c r="F856" s="294"/>
      <c r="G856" s="295"/>
      <c r="H856" s="294"/>
      <c r="I856" s="1116"/>
      <c r="J856" s="1117"/>
      <c r="K856" s="290"/>
      <c r="L856" s="1118"/>
      <c r="M856" s="1119"/>
      <c r="N856" s="290"/>
    </row>
    <row r="857" spans="2:14" ht="13.5" thickBot="1">
      <c r="B857" s="1094"/>
      <c r="C857" s="1095"/>
      <c r="D857" s="1095"/>
      <c r="E857" s="1095"/>
      <c r="F857" s="1096"/>
      <c r="G857" s="1097"/>
      <c r="H857" s="1096"/>
      <c r="I857" s="1097"/>
      <c r="J857" s="1096"/>
      <c r="K857" s="290"/>
      <c r="L857" s="1098"/>
      <c r="M857" s="1099"/>
      <c r="N857" s="383"/>
    </row>
    <row r="858" spans="2:14" ht="13.5" thickBot="1">
      <c r="B858" s="1100" t="s">
        <v>269</v>
      </c>
      <c r="C858" s="1101"/>
      <c r="D858" s="1101"/>
      <c r="E858" s="1101"/>
      <c r="F858" s="1101"/>
      <c r="G858" s="1101"/>
      <c r="H858" s="1101"/>
      <c r="I858" s="1101"/>
      <c r="J858" s="1101"/>
      <c r="K858" s="1101"/>
      <c r="L858" s="1101"/>
      <c r="M858" s="1102"/>
      <c r="N858" s="323">
        <f>+N855+N856+N857</f>
        <v>8187.240936204681</v>
      </c>
    </row>
    <row r="859" spans="2:14">
      <c r="B859" s="1103" t="s">
        <v>270</v>
      </c>
      <c r="C859" s="1104"/>
      <c r="D859" s="1104"/>
      <c r="E859" s="1104"/>
      <c r="F859" s="1104"/>
      <c r="G859" s="1104"/>
      <c r="H859" s="1104"/>
      <c r="I859" s="1104"/>
      <c r="J859" s="1104"/>
      <c r="K859" s="1104"/>
      <c r="L859" s="1104"/>
      <c r="M859" s="1104"/>
      <c r="N859" s="1105"/>
    </row>
    <row r="860" spans="2:14">
      <c r="B860" s="1106"/>
      <c r="C860" s="1107"/>
      <c r="D860" s="1107"/>
      <c r="E860" s="1107"/>
      <c r="F860" s="1107"/>
      <c r="G860" s="1107"/>
      <c r="H860" s="1107"/>
      <c r="I860" s="1107"/>
      <c r="J860" s="1107"/>
      <c r="K860" s="1107"/>
      <c r="L860" s="1107"/>
      <c r="M860" s="1107"/>
      <c r="N860" s="1108"/>
    </row>
    <row r="861" spans="2:14" ht="13.5" thickBot="1">
      <c r="B861" s="1109"/>
      <c r="C861" s="1110"/>
      <c r="D861" s="1110"/>
      <c r="E861" s="1110"/>
      <c r="F861" s="1110"/>
      <c r="G861" s="1110"/>
      <c r="H861" s="1110"/>
      <c r="I861" s="1110"/>
      <c r="J861" s="1110"/>
      <c r="K861" s="1110"/>
      <c r="L861" s="1110"/>
      <c r="M861" s="1110"/>
      <c r="N861" s="1111"/>
    </row>
    <row r="862" spans="2:14">
      <c r="B862" s="1130" t="s">
        <v>258</v>
      </c>
      <c r="C862" s="1139"/>
      <c r="D862" s="1139"/>
      <c r="E862" s="1139"/>
      <c r="F862" s="1139"/>
      <c r="G862" s="1139"/>
      <c r="H862" s="1139"/>
      <c r="I862" s="1136"/>
      <c r="J862" s="299" t="s">
        <v>259</v>
      </c>
      <c r="K862" s="288" t="s">
        <v>133</v>
      </c>
      <c r="L862" s="1133" t="s">
        <v>271</v>
      </c>
      <c r="M862" s="1136"/>
      <c r="N862" s="289" t="s">
        <v>265</v>
      </c>
    </row>
    <row r="863" spans="2:14">
      <c r="B863" s="1112"/>
      <c r="C863" s="1113"/>
      <c r="D863" s="1113"/>
      <c r="E863" s="1113"/>
      <c r="F863" s="1113"/>
      <c r="G863" s="1113"/>
      <c r="H863" s="1113"/>
      <c r="I863" s="1114"/>
      <c r="J863" s="300"/>
      <c r="K863" s="301"/>
      <c r="L863" s="1168"/>
      <c r="M863" s="1169"/>
      <c r="N863" s="367"/>
    </row>
    <row r="864" spans="2:14" ht="13.5" thickBot="1">
      <c r="B864" s="1094"/>
      <c r="C864" s="1095"/>
      <c r="D864" s="1095"/>
      <c r="E864" s="1095"/>
      <c r="F864" s="1095"/>
      <c r="G864" s="1095"/>
      <c r="H864" s="1095"/>
      <c r="I864" s="1096"/>
      <c r="J864" s="303"/>
      <c r="K864" s="304"/>
      <c r="L864" s="1168"/>
      <c r="M864" s="1169"/>
      <c r="N864" s="297"/>
    </row>
    <row r="865" spans="2:14" ht="13.5" thickBot="1">
      <c r="B865" s="1100" t="s">
        <v>269</v>
      </c>
      <c r="C865" s="1101"/>
      <c r="D865" s="1101"/>
      <c r="E865" s="1101"/>
      <c r="F865" s="1101"/>
      <c r="G865" s="1101"/>
      <c r="H865" s="1101"/>
      <c r="I865" s="1101"/>
      <c r="J865" s="1101"/>
      <c r="K865" s="1101"/>
      <c r="L865" s="1101"/>
      <c r="M865" s="1102"/>
      <c r="N865" s="368">
        <f>+N863+N864</f>
        <v>0</v>
      </c>
    </row>
    <row r="866" spans="2:14">
      <c r="B866" s="1103" t="s">
        <v>276</v>
      </c>
      <c r="C866" s="1104"/>
      <c r="D866" s="1104"/>
      <c r="E866" s="1104"/>
      <c r="F866" s="1104"/>
      <c r="G866" s="1104"/>
      <c r="H866" s="1104"/>
      <c r="I866" s="1104"/>
      <c r="J866" s="1104"/>
      <c r="K866" s="1104"/>
      <c r="L866" s="1104"/>
      <c r="M866" s="1104"/>
      <c r="N866" s="1105"/>
    </row>
    <row r="867" spans="2:14">
      <c r="B867" s="1106"/>
      <c r="C867" s="1107"/>
      <c r="D867" s="1107"/>
      <c r="E867" s="1107"/>
      <c r="F867" s="1107"/>
      <c r="G867" s="1107"/>
      <c r="H867" s="1107"/>
      <c r="I867" s="1107"/>
      <c r="J867" s="1107"/>
      <c r="K867" s="1107"/>
      <c r="L867" s="1107"/>
      <c r="M867" s="1107"/>
      <c r="N867" s="1108"/>
    </row>
    <row r="868" spans="2:14" ht="13.5" thickBot="1">
      <c r="B868" s="1109"/>
      <c r="C868" s="1110"/>
      <c r="D868" s="1110"/>
      <c r="E868" s="1110"/>
      <c r="F868" s="1110"/>
      <c r="G868" s="1110"/>
      <c r="H868" s="1110"/>
      <c r="I868" s="1110"/>
      <c r="J868" s="1110"/>
      <c r="K868" s="1110"/>
      <c r="L868" s="1110"/>
      <c r="M868" s="1110"/>
      <c r="N868" s="1111"/>
    </row>
    <row r="869" spans="2:14">
      <c r="B869" s="1130" t="s">
        <v>277</v>
      </c>
      <c r="C869" s="1139"/>
      <c r="D869" s="1139"/>
      <c r="E869" s="1139"/>
      <c r="F869" s="1139"/>
      <c r="G869" s="1139"/>
      <c r="H869" s="1139"/>
      <c r="I869" s="288" t="s">
        <v>278</v>
      </c>
      <c r="J869" s="306" t="s">
        <v>279</v>
      </c>
      <c r="K869" s="307" t="s">
        <v>280</v>
      </c>
      <c r="L869" s="1133" t="s">
        <v>281</v>
      </c>
      <c r="M869" s="1136"/>
      <c r="N869" s="289" t="s">
        <v>265</v>
      </c>
    </row>
    <row r="870" spans="2:14">
      <c r="B870" s="1112"/>
      <c r="C870" s="1113"/>
      <c r="D870" s="1113"/>
      <c r="E870" s="1113"/>
      <c r="F870" s="1113"/>
      <c r="G870" s="1113"/>
      <c r="H870" s="1113"/>
      <c r="I870" s="308"/>
      <c r="J870" s="309"/>
      <c r="K870" s="308"/>
      <c r="L870" s="1142"/>
      <c r="M870" s="1143"/>
      <c r="N870" s="297"/>
    </row>
    <row r="871" spans="2:14" ht="13.5" thickBot="1">
      <c r="B871" s="1094"/>
      <c r="C871" s="1095"/>
      <c r="D871" s="1095"/>
      <c r="E871" s="1095"/>
      <c r="F871" s="1095"/>
      <c r="G871" s="1095"/>
      <c r="H871" s="1095"/>
      <c r="I871" s="310"/>
      <c r="J871" s="311"/>
      <c r="K871" s="310"/>
      <c r="L871" s="1137"/>
      <c r="M871" s="1138"/>
      <c r="N871" s="312"/>
    </row>
    <row r="872" spans="2:14" ht="13.5" thickBot="1">
      <c r="B872" s="1100" t="s">
        <v>269</v>
      </c>
      <c r="C872" s="1101"/>
      <c r="D872" s="1101"/>
      <c r="E872" s="1101"/>
      <c r="F872" s="1101"/>
      <c r="G872" s="1101"/>
      <c r="H872" s="1101"/>
      <c r="I872" s="1101"/>
      <c r="J872" s="1101"/>
      <c r="K872" s="1101"/>
      <c r="L872" s="1101"/>
      <c r="M872" s="1102"/>
      <c r="N872" s="313">
        <v>0</v>
      </c>
    </row>
    <row r="873" spans="2:14">
      <c r="B873" s="1103" t="s">
        <v>282</v>
      </c>
      <c r="C873" s="1104"/>
      <c r="D873" s="1104"/>
      <c r="E873" s="1104"/>
      <c r="F873" s="1104"/>
      <c r="G873" s="1104"/>
      <c r="H873" s="1104"/>
      <c r="I873" s="1104"/>
      <c r="J873" s="1104"/>
      <c r="K873" s="1104"/>
      <c r="L873" s="1104"/>
      <c r="M873" s="1104"/>
      <c r="N873" s="1105"/>
    </row>
    <row r="874" spans="2:14">
      <c r="B874" s="1106"/>
      <c r="C874" s="1107"/>
      <c r="D874" s="1107"/>
      <c r="E874" s="1107"/>
      <c r="F874" s="1107"/>
      <c r="G874" s="1107"/>
      <c r="H874" s="1107"/>
      <c r="I874" s="1107"/>
      <c r="J874" s="1107"/>
      <c r="K874" s="1107"/>
      <c r="L874" s="1107"/>
      <c r="M874" s="1107"/>
      <c r="N874" s="1108"/>
    </row>
    <row r="875" spans="2:14" ht="13.5" thickBot="1">
      <c r="B875" s="1109"/>
      <c r="C875" s="1110"/>
      <c r="D875" s="1110"/>
      <c r="E875" s="1110"/>
      <c r="F875" s="1110"/>
      <c r="G875" s="1110"/>
      <c r="H875" s="1110"/>
      <c r="I875" s="1110"/>
      <c r="J875" s="1110"/>
      <c r="K875" s="1110"/>
      <c r="L875" s="1110"/>
      <c r="M875" s="1110"/>
      <c r="N875" s="1111"/>
    </row>
    <row r="876" spans="2:14">
      <c r="B876" s="1130" t="s">
        <v>283</v>
      </c>
      <c r="C876" s="1139"/>
      <c r="D876" s="1139"/>
      <c r="E876" s="1139"/>
      <c r="F876" s="1139"/>
      <c r="G876" s="1139"/>
      <c r="H876" s="1139"/>
      <c r="I876" s="288" t="s">
        <v>284</v>
      </c>
      <c r="J876" s="314" t="s">
        <v>285</v>
      </c>
      <c r="K876" s="315" t="s">
        <v>286</v>
      </c>
      <c r="L876" s="1140" t="s">
        <v>264</v>
      </c>
      <c r="M876" s="1141"/>
      <c r="N876" s="316" t="s">
        <v>265</v>
      </c>
    </row>
    <row r="877" spans="2:14">
      <c r="B877" s="317" t="s">
        <v>315</v>
      </c>
      <c r="C877" s="318"/>
      <c r="D877" s="318"/>
      <c r="E877" s="318"/>
      <c r="F877" s="318"/>
      <c r="G877" s="318"/>
      <c r="H877" s="318"/>
      <c r="I877" s="319">
        <v>31851</v>
      </c>
      <c r="J877" s="321">
        <v>23888</v>
      </c>
      <c r="K877" s="321">
        <f>+I877+J877</f>
        <v>55739</v>
      </c>
      <c r="L877" s="1157">
        <v>125</v>
      </c>
      <c r="M877" s="1158"/>
      <c r="N877" s="322">
        <f>+K877/L877</f>
        <v>445.91199999999998</v>
      </c>
    </row>
    <row r="878" spans="2:14" ht="13.5" thickBot="1">
      <c r="B878" s="317"/>
      <c r="C878" s="318"/>
      <c r="D878" s="318"/>
      <c r="E878" s="318"/>
      <c r="F878" s="318"/>
      <c r="G878" s="318"/>
      <c r="H878" s="318"/>
      <c r="I878" s="364"/>
      <c r="J878" s="320"/>
      <c r="K878" s="365"/>
      <c r="L878" s="1157"/>
      <c r="M878" s="1158"/>
      <c r="N878" s="382"/>
    </row>
    <row r="879" spans="2:14" ht="13.5" thickBot="1">
      <c r="B879" s="1100" t="s">
        <v>269</v>
      </c>
      <c r="C879" s="1101"/>
      <c r="D879" s="1101"/>
      <c r="E879" s="1101"/>
      <c r="F879" s="1101"/>
      <c r="G879" s="1101"/>
      <c r="H879" s="1101"/>
      <c r="I879" s="1101"/>
      <c r="J879" s="1101"/>
      <c r="K879" s="1101"/>
      <c r="L879" s="1101"/>
      <c r="M879" s="1102"/>
      <c r="N879" s="323">
        <f>+N877</f>
        <v>445.91199999999998</v>
      </c>
    </row>
    <row r="880" spans="2:14" ht="13.5" thickBot="1">
      <c r="B880" s="324" t="s">
        <v>288</v>
      </c>
      <c r="C880" s="325"/>
      <c r="D880" s="325"/>
      <c r="E880" s="325"/>
      <c r="F880" s="325"/>
      <c r="G880" s="325"/>
      <c r="H880" s="325"/>
      <c r="I880" s="326"/>
      <c r="J880" s="327"/>
      <c r="K880" s="328"/>
      <c r="L880" s="329"/>
      <c r="M880" s="329"/>
      <c r="N880" s="330"/>
    </row>
    <row r="881" spans="2:14">
      <c r="B881" s="1130" t="s">
        <v>17</v>
      </c>
      <c r="C881" s="1139"/>
      <c r="D881" s="1139"/>
      <c r="E881" s="1139"/>
      <c r="F881" s="1139"/>
      <c r="G881" s="1139"/>
      <c r="H881" s="1139"/>
      <c r="I881" s="1136"/>
      <c r="J881" s="299" t="s">
        <v>259</v>
      </c>
      <c r="K881" s="288" t="s">
        <v>133</v>
      </c>
      <c r="L881" s="1133" t="s">
        <v>271</v>
      </c>
      <c r="M881" s="1136"/>
      <c r="N881" s="316" t="s">
        <v>265</v>
      </c>
    </row>
    <row r="882" spans="2:14">
      <c r="B882" s="331" t="s">
        <v>289</v>
      </c>
      <c r="C882" s="332"/>
      <c r="D882" s="332"/>
      <c r="E882" s="332"/>
      <c r="F882" s="332"/>
      <c r="G882" s="332"/>
      <c r="H882" s="332"/>
      <c r="I882" s="333"/>
      <c r="J882" s="334" t="s">
        <v>290</v>
      </c>
      <c r="K882" s="335">
        <v>0.05</v>
      </c>
      <c r="L882" s="1144">
        <f>+N879</f>
        <v>445.91199999999998</v>
      </c>
      <c r="M882" s="1145"/>
      <c r="N882" s="322">
        <f>+K882*L882</f>
        <v>22.2956</v>
      </c>
    </row>
    <row r="883" spans="2:14" ht="13.5" thickBot="1">
      <c r="B883" s="356"/>
      <c r="C883" s="325"/>
      <c r="D883" s="325"/>
      <c r="E883" s="325"/>
      <c r="F883" s="325"/>
      <c r="G883" s="325"/>
      <c r="H883" s="325"/>
      <c r="I883" s="369"/>
      <c r="J883" s="327"/>
      <c r="K883" s="370"/>
      <c r="L883" s="371"/>
      <c r="M883" s="372"/>
      <c r="N883" s="373"/>
    </row>
    <row r="884" spans="2:14" ht="13.5" thickBot="1">
      <c r="B884" s="1100" t="s">
        <v>269</v>
      </c>
      <c r="C884" s="1101"/>
      <c r="D884" s="1101"/>
      <c r="E884" s="1101"/>
      <c r="F884" s="1101"/>
      <c r="G884" s="1101"/>
      <c r="H884" s="1101"/>
      <c r="I884" s="1101"/>
      <c r="J884" s="1101"/>
      <c r="K884" s="1101"/>
      <c r="L884" s="1101"/>
      <c r="M884" s="1102"/>
      <c r="N884" s="323">
        <f>+N882</f>
        <v>22.2956</v>
      </c>
    </row>
    <row r="885" spans="2:14" ht="13.5" thickBot="1">
      <c r="B885" s="374" t="s">
        <v>78</v>
      </c>
      <c r="C885" s="325"/>
      <c r="D885" s="325"/>
      <c r="E885" s="325"/>
      <c r="F885" s="325"/>
      <c r="G885" s="325"/>
      <c r="H885" s="325"/>
      <c r="I885" s="369"/>
      <c r="J885" s="327"/>
      <c r="K885" s="370"/>
      <c r="L885" s="371"/>
      <c r="M885" s="372"/>
      <c r="N885" s="373"/>
    </row>
    <row r="886" spans="2:14">
      <c r="B886" s="1130" t="s">
        <v>17</v>
      </c>
      <c r="C886" s="1139"/>
      <c r="D886" s="1139"/>
      <c r="E886" s="1139"/>
      <c r="F886" s="1139"/>
      <c r="G886" s="1139"/>
      <c r="H886" s="1139"/>
      <c r="I886" s="1136"/>
      <c r="J886" s="299" t="s">
        <v>259</v>
      </c>
      <c r="K886" s="288" t="s">
        <v>133</v>
      </c>
      <c r="L886" s="1133" t="s">
        <v>271</v>
      </c>
      <c r="M886" s="1136"/>
      <c r="N886" s="316" t="s">
        <v>265</v>
      </c>
    </row>
    <row r="887" spans="2:14" ht="13.5" thickBot="1">
      <c r="B887" s="1179" t="s">
        <v>161</v>
      </c>
      <c r="C887" s="1180"/>
      <c r="D887" s="1180"/>
      <c r="E887" s="1180"/>
      <c r="F887" s="1180"/>
      <c r="G887" s="1180"/>
      <c r="H887" s="1181"/>
      <c r="I887" s="333"/>
      <c r="J887" s="384" t="s">
        <v>147</v>
      </c>
      <c r="K887" s="385">
        <v>0.15</v>
      </c>
      <c r="L887" s="1184">
        <v>38446</v>
      </c>
      <c r="M887" s="1185"/>
      <c r="N887" s="386">
        <f>+K887*L887</f>
        <v>5766.9</v>
      </c>
    </row>
    <row r="888" spans="2:14" ht="13.5" thickBot="1">
      <c r="B888" s="1100" t="s">
        <v>269</v>
      </c>
      <c r="C888" s="1101"/>
      <c r="D888" s="1101"/>
      <c r="E888" s="1101"/>
      <c r="F888" s="1101"/>
      <c r="G888" s="1101"/>
      <c r="H888" s="1101"/>
      <c r="I888" s="1101"/>
      <c r="J888" s="1101"/>
      <c r="K888" s="1101"/>
      <c r="L888" s="1101"/>
      <c r="M888" s="1102"/>
      <c r="N888" s="323">
        <f>+N887</f>
        <v>5766.9</v>
      </c>
    </row>
    <row r="889" spans="2:14">
      <c r="B889" s="280"/>
      <c r="C889" s="281"/>
      <c r="D889" s="281"/>
      <c r="E889" s="281"/>
      <c r="F889" s="281"/>
      <c r="G889" s="281"/>
      <c r="H889" s="281"/>
      <c r="I889" s="281"/>
      <c r="J889" s="281"/>
      <c r="K889" s="281"/>
      <c r="L889" s="281"/>
      <c r="M889" s="281"/>
      <c r="N889" s="282"/>
    </row>
    <row r="890" spans="2:14" ht="13.5" thickBot="1">
      <c r="B890" s="378"/>
      <c r="C890" s="311"/>
      <c r="D890" s="311"/>
      <c r="E890" s="311"/>
      <c r="F890" s="311"/>
      <c r="G890" s="311"/>
      <c r="H890" s="311"/>
      <c r="I890" s="311"/>
      <c r="J890" s="311"/>
      <c r="K890" s="311"/>
      <c r="L890" s="311"/>
      <c r="M890" s="311"/>
      <c r="N890" s="379"/>
    </row>
    <row r="891" spans="2:14" ht="13.5" thickBot="1">
      <c r="B891" s="1150" t="s">
        <v>291</v>
      </c>
      <c r="C891" s="1151"/>
      <c r="D891" s="1151"/>
      <c r="E891" s="1151"/>
      <c r="F891" s="1151"/>
      <c r="G891" s="1151"/>
      <c r="H891" s="1151"/>
      <c r="I891" s="1151"/>
      <c r="J891" s="1151"/>
      <c r="K891" s="1151"/>
      <c r="L891" s="1151"/>
      <c r="M891" s="1152"/>
      <c r="N891" s="336">
        <f>+N858+N865+N872+N879+N884+N888</f>
        <v>14422.348536204679</v>
      </c>
    </row>
    <row r="892" spans="2:14">
      <c r="B892" s="1103" t="s">
        <v>292</v>
      </c>
      <c r="C892" s="1104"/>
      <c r="D892" s="1104"/>
      <c r="E892" s="1104"/>
      <c r="F892" s="1104"/>
      <c r="G892" s="1104"/>
      <c r="H892" s="1104"/>
      <c r="I892" s="1104"/>
      <c r="J892" s="1104"/>
      <c r="K892" s="1104"/>
      <c r="L892" s="1104"/>
      <c r="M892" s="1104"/>
      <c r="N892" s="1105"/>
    </row>
    <row r="893" spans="2:14">
      <c r="B893" s="1106"/>
      <c r="C893" s="1107"/>
      <c r="D893" s="1107"/>
      <c r="E893" s="1107"/>
      <c r="F893" s="1107"/>
      <c r="G893" s="1107"/>
      <c r="H893" s="1107"/>
      <c r="I893" s="1107"/>
      <c r="J893" s="1107"/>
      <c r="K893" s="1107"/>
      <c r="L893" s="1107"/>
      <c r="M893" s="1107"/>
      <c r="N893" s="1108"/>
    </row>
    <row r="894" spans="2:14" ht="13.5" thickBot="1">
      <c r="B894" s="1109"/>
      <c r="C894" s="1110"/>
      <c r="D894" s="1110"/>
      <c r="E894" s="1110"/>
      <c r="F894" s="1110"/>
      <c r="G894" s="1110"/>
      <c r="H894" s="1110"/>
      <c r="I894" s="1110"/>
      <c r="J894" s="1110"/>
      <c r="K894" s="1110"/>
      <c r="L894" s="1110"/>
      <c r="M894" s="1110"/>
      <c r="N894" s="1111"/>
    </row>
    <row r="895" spans="2:14">
      <c r="B895" s="1130" t="s">
        <v>17</v>
      </c>
      <c r="C895" s="1139"/>
      <c r="D895" s="1139"/>
      <c r="E895" s="1139"/>
      <c r="F895" s="1139"/>
      <c r="G895" s="1139"/>
      <c r="H895" s="1139"/>
      <c r="I895" s="306"/>
      <c r="J895" s="337"/>
      <c r="K895" s="315" t="s">
        <v>79</v>
      </c>
      <c r="L895" s="1140" t="s">
        <v>11</v>
      </c>
      <c r="M895" s="1141"/>
      <c r="N895" s="316"/>
    </row>
    <row r="896" spans="2:14">
      <c r="B896" s="1112" t="s">
        <v>232</v>
      </c>
      <c r="C896" s="1113"/>
      <c r="D896" s="1113"/>
      <c r="E896" s="1113"/>
      <c r="F896" s="1113"/>
      <c r="G896" s="1113"/>
      <c r="H896" s="1113"/>
      <c r="I896" s="338"/>
      <c r="J896" s="339"/>
      <c r="K896" s="340">
        <f>'PRESUPUESTO OFICIAL'!$K$100</f>
        <v>0</v>
      </c>
      <c r="L896" s="1146">
        <f>K896*N891</f>
        <v>0</v>
      </c>
      <c r="M896" s="1147"/>
      <c r="N896" s="341"/>
    </row>
    <row r="897" spans="2:14">
      <c r="B897" s="292" t="s">
        <v>293</v>
      </c>
      <c r="C897" s="293"/>
      <c r="D897" s="293"/>
      <c r="E897" s="293"/>
      <c r="F897" s="293"/>
      <c r="G897" s="293"/>
      <c r="H897" s="293"/>
      <c r="I897" s="338"/>
      <c r="J897" s="339"/>
      <c r="K897" s="340">
        <f>'PRESUPUESTO OFICIAL'!$K$101</f>
        <v>0</v>
      </c>
      <c r="L897" s="1146">
        <f>K897*N891</f>
        <v>0</v>
      </c>
      <c r="M897" s="1147"/>
      <c r="N897" s="341"/>
    </row>
    <row r="898" spans="2:14" ht="13.5" thickBot="1">
      <c r="B898" s="277" t="s">
        <v>294</v>
      </c>
      <c r="C898" s="278"/>
      <c r="D898" s="278"/>
      <c r="E898" s="278"/>
      <c r="F898" s="278"/>
      <c r="G898" s="278"/>
      <c r="H898" s="278"/>
      <c r="I898" s="342"/>
      <c r="J898" s="343"/>
      <c r="K898" s="340">
        <f>'PRESUPUESTO OFICIAL'!$K$102</f>
        <v>0</v>
      </c>
      <c r="L898" s="1148">
        <f>K898*N891</f>
        <v>0</v>
      </c>
      <c r="M898" s="1149"/>
      <c r="N898" s="341"/>
    </row>
    <row r="899" spans="2:14" ht="13.5" thickBot="1">
      <c r="B899" s="1100" t="s">
        <v>269</v>
      </c>
      <c r="C899" s="1101"/>
      <c r="D899" s="1101"/>
      <c r="E899" s="1101"/>
      <c r="F899" s="1101"/>
      <c r="G899" s="1101"/>
      <c r="H899" s="1101"/>
      <c r="I899" s="1101"/>
      <c r="J899" s="1101"/>
      <c r="K899" s="1101"/>
      <c r="L899" s="1101"/>
      <c r="M899" s="1102"/>
      <c r="N899" s="344">
        <f>SUM(L896:M898)</f>
        <v>0</v>
      </c>
    </row>
    <row r="900" spans="2:14" ht="13.5" thickBot="1">
      <c r="B900" s="283"/>
      <c r="N900" s="284"/>
    </row>
    <row r="901" spans="2:14" ht="13.5" thickBot="1">
      <c r="B901" s="1150" t="s">
        <v>295</v>
      </c>
      <c r="C901" s="1151"/>
      <c r="D901" s="1151"/>
      <c r="E901" s="1151"/>
      <c r="F901" s="1151"/>
      <c r="G901" s="1151"/>
      <c r="H901" s="1151"/>
      <c r="I901" s="1151"/>
      <c r="J901" s="1151"/>
      <c r="K901" s="1151"/>
      <c r="L901" s="1151"/>
      <c r="M901" s="1152"/>
      <c r="N901" s="345">
        <f>ROUND(N891+N899,0)</f>
        <v>14422</v>
      </c>
    </row>
    <row r="902" spans="2:14">
      <c r="B902" s="280"/>
      <c r="C902" s="281"/>
      <c r="D902" s="281"/>
      <c r="E902" s="281"/>
      <c r="F902" s="281"/>
      <c r="G902" s="281"/>
      <c r="H902" s="281"/>
      <c r="I902" s="281"/>
      <c r="J902" s="281"/>
      <c r="K902" s="281"/>
      <c r="L902" s="281"/>
      <c r="M902" s="281"/>
      <c r="N902" s="282"/>
    </row>
    <row r="903" spans="2:14">
      <c r="B903" s="283"/>
      <c r="N903" s="284"/>
    </row>
    <row r="904" spans="2:14">
      <c r="B904" s="283"/>
      <c r="N904" s="284"/>
    </row>
    <row r="905" spans="2:14">
      <c r="B905" s="283"/>
      <c r="G905" s="346" t="s">
        <v>296</v>
      </c>
      <c r="H905" s="346"/>
      <c r="I905" s="346"/>
      <c r="J905" s="346"/>
      <c r="N905" s="284"/>
    </row>
    <row r="906" spans="2:14">
      <c r="B906" s="347"/>
      <c r="C906" s="348"/>
      <c r="D906" s="348"/>
      <c r="E906" s="348"/>
      <c r="F906" s="348"/>
      <c r="G906" s="346" t="s">
        <v>297</v>
      </c>
      <c r="H906" s="348"/>
      <c r="I906" s="348"/>
      <c r="J906" s="348"/>
      <c r="K906" s="348"/>
      <c r="L906" s="348"/>
      <c r="M906" s="348"/>
      <c r="N906" s="349"/>
    </row>
    <row r="907" spans="2:14">
      <c r="B907" s="347"/>
      <c r="C907" s="348"/>
      <c r="D907" s="348"/>
      <c r="E907" s="348"/>
      <c r="F907" s="348"/>
      <c r="G907" s="346" t="s">
        <v>298</v>
      </c>
      <c r="J907" s="348"/>
      <c r="K907" s="348"/>
      <c r="L907" s="348"/>
      <c r="M907" s="348"/>
      <c r="N907" s="349"/>
    </row>
    <row r="908" spans="2:14">
      <c r="B908" s="268"/>
      <c r="C908" s="350"/>
      <c r="D908" s="350"/>
      <c r="E908" s="350"/>
      <c r="F908" s="350"/>
      <c r="G908" s="346" t="s">
        <v>299</v>
      </c>
      <c r="H908" s="350"/>
      <c r="I908" s="350"/>
      <c r="J908" s="350"/>
      <c r="K908" s="350"/>
      <c r="L908" s="350"/>
      <c r="M908" s="350"/>
      <c r="N908" s="351"/>
    </row>
    <row r="909" spans="2:14">
      <c r="B909" s="283"/>
      <c r="G909" s="258" t="s">
        <v>300</v>
      </c>
      <c r="N909" s="284"/>
    </row>
    <row r="910" spans="2:14">
      <c r="B910" s="352" t="s">
        <v>301</v>
      </c>
      <c r="C910" s="353"/>
      <c r="D910" s="353"/>
      <c r="E910" s="353"/>
      <c r="F910" s="353"/>
      <c r="G910" s="353"/>
      <c r="H910" s="353"/>
      <c r="I910" s="353"/>
      <c r="J910" s="353"/>
      <c r="K910" s="353"/>
      <c r="L910" s="353"/>
      <c r="M910" s="353"/>
      <c r="N910" s="354"/>
    </row>
    <row r="911" spans="2:14">
      <c r="B911" s="1153"/>
      <c r="C911" s="1154"/>
      <c r="D911" s="1154"/>
      <c r="E911" s="1154"/>
      <c r="F911" s="1154"/>
      <c r="G911" s="1154"/>
      <c r="H911" s="1154"/>
      <c r="I911" s="1154"/>
      <c r="J911" s="1154"/>
      <c r="K911" s="1154"/>
      <c r="L911" s="1154"/>
      <c r="M911" s="1154"/>
      <c r="N911" s="1155"/>
    </row>
    <row r="912" spans="2:14">
      <c r="B912" s="1153"/>
      <c r="C912" s="1154"/>
      <c r="D912" s="1154"/>
      <c r="E912" s="1154"/>
      <c r="F912" s="1154"/>
      <c r="G912" s="1154"/>
      <c r="H912" s="1154"/>
      <c r="I912" s="1154"/>
      <c r="J912" s="1154"/>
      <c r="K912" s="1154"/>
      <c r="L912" s="1154"/>
      <c r="M912" s="1154"/>
      <c r="N912" s="1155"/>
    </row>
    <row r="913" spans="2:14">
      <c r="B913" s="268"/>
      <c r="C913" s="350"/>
      <c r="D913" s="350"/>
      <c r="E913" s="350"/>
      <c r="F913" s="350"/>
      <c r="G913" s="350"/>
      <c r="H913" s="350"/>
      <c r="I913" s="350"/>
      <c r="J913" s="350"/>
      <c r="K913" s="350"/>
      <c r="L913" s="350"/>
      <c r="M913" s="350"/>
      <c r="N913" s="351"/>
    </row>
    <row r="914" spans="2:14">
      <c r="B914" s="355" t="s">
        <v>302</v>
      </c>
      <c r="C914" s="350"/>
      <c r="D914" s="350"/>
      <c r="E914" s="350"/>
      <c r="F914" s="350"/>
      <c r="G914" s="350"/>
      <c r="H914" s="350"/>
      <c r="I914" s="350"/>
      <c r="J914" s="350"/>
      <c r="K914" s="350"/>
      <c r="L914" s="350"/>
      <c r="M914" s="350"/>
      <c r="N914" s="351"/>
    </row>
    <row r="915" spans="2:14">
      <c r="B915" s="1159" t="s">
        <v>303</v>
      </c>
      <c r="C915" s="1160"/>
      <c r="D915" s="1160"/>
      <c r="E915" s="1160"/>
      <c r="F915" s="1160"/>
      <c r="G915" s="1160"/>
      <c r="H915" s="1160"/>
      <c r="I915" s="1160"/>
      <c r="J915" s="1160"/>
      <c r="K915" s="1160"/>
      <c r="L915" s="1160"/>
      <c r="M915" s="1160"/>
      <c r="N915" s="1161"/>
    </row>
    <row r="916" spans="2:14">
      <c r="B916" s="1159"/>
      <c r="C916" s="1160"/>
      <c r="D916" s="1160"/>
      <c r="E916" s="1160"/>
      <c r="F916" s="1160"/>
      <c r="G916" s="1160"/>
      <c r="H916" s="1160"/>
      <c r="I916" s="1160"/>
      <c r="J916" s="1160"/>
      <c r="K916" s="1160"/>
      <c r="L916" s="1160"/>
      <c r="M916" s="1160"/>
      <c r="N916" s="1161"/>
    </row>
    <row r="917" spans="2:14">
      <c r="B917" s="1159" t="s">
        <v>304</v>
      </c>
      <c r="C917" s="1160"/>
      <c r="D917" s="1160"/>
      <c r="E917" s="1160"/>
      <c r="F917" s="1160"/>
      <c r="G917" s="1160"/>
      <c r="H917" s="1160"/>
      <c r="I917" s="1160"/>
      <c r="J917" s="1160"/>
      <c r="K917" s="1160"/>
      <c r="L917" s="1160"/>
      <c r="M917" s="1160"/>
      <c r="N917" s="1161"/>
    </row>
    <row r="918" spans="2:14">
      <c r="B918" s="1159"/>
      <c r="C918" s="1160"/>
      <c r="D918" s="1160"/>
      <c r="E918" s="1160"/>
      <c r="F918" s="1160"/>
      <c r="G918" s="1160"/>
      <c r="H918" s="1160"/>
      <c r="I918" s="1160"/>
      <c r="J918" s="1160"/>
      <c r="K918" s="1160"/>
      <c r="L918" s="1160"/>
      <c r="M918" s="1160"/>
      <c r="N918" s="1161"/>
    </row>
    <row r="919" spans="2:14">
      <c r="B919" s="268"/>
      <c r="C919" s="350"/>
      <c r="D919" s="350"/>
      <c r="E919" s="350"/>
      <c r="F919" s="350"/>
      <c r="G919" s="350"/>
      <c r="H919" s="350"/>
      <c r="I919" s="350"/>
      <c r="J919" s="350"/>
      <c r="K919" s="350"/>
      <c r="L919" s="350"/>
      <c r="M919" s="350"/>
      <c r="N919" s="351"/>
    </row>
    <row r="920" spans="2:14">
      <c r="B920" s="283"/>
      <c r="G920" s="346" t="s">
        <v>296</v>
      </c>
      <c r="N920" s="284"/>
    </row>
    <row r="921" spans="2:14">
      <c r="B921" s="283"/>
      <c r="G921" s="258" t="s">
        <v>305</v>
      </c>
      <c r="H921" s="293"/>
      <c r="I921" s="293"/>
      <c r="J921" s="293"/>
      <c r="N921" s="284"/>
    </row>
    <row r="922" spans="2:14">
      <c r="B922" s="283"/>
      <c r="G922" s="258" t="s">
        <v>306</v>
      </c>
      <c r="H922" s="325"/>
      <c r="I922" s="325"/>
      <c r="J922" s="325"/>
      <c r="N922" s="284"/>
    </row>
    <row r="923" spans="2:14">
      <c r="B923" s="356"/>
      <c r="C923" s="350"/>
      <c r="D923" s="350"/>
      <c r="E923" s="350"/>
      <c r="F923" s="350"/>
      <c r="G923" s="258" t="s">
        <v>299</v>
      </c>
      <c r="K923" s="350"/>
      <c r="L923" s="350"/>
      <c r="M923" s="350"/>
      <c r="N923" s="351"/>
    </row>
    <row r="924" spans="2:14">
      <c r="B924" s="357"/>
      <c r="C924" s="358"/>
      <c r="D924" s="358"/>
      <c r="J924" s="1162"/>
      <c r="K924" s="1162"/>
      <c r="L924" s="1162"/>
      <c r="M924" s="1162"/>
      <c r="N924" s="1163"/>
    </row>
    <row r="925" spans="2:14" ht="13.5" thickBot="1">
      <c r="B925" s="1166"/>
      <c r="C925" s="1167"/>
      <c r="D925" s="1167"/>
      <c r="E925" s="311"/>
      <c r="F925" s="311"/>
      <c r="G925" s="311"/>
      <c r="H925" s="311"/>
      <c r="I925" s="311"/>
      <c r="J925" s="1164"/>
      <c r="K925" s="1164"/>
      <c r="L925" s="1164"/>
      <c r="M925" s="1164"/>
      <c r="N925" s="1165"/>
    </row>
    <row r="926" spans="2:14" ht="13.5" thickBot="1"/>
    <row r="927" spans="2:14">
      <c r="B927" s="1070"/>
      <c r="C927" s="1072"/>
      <c r="D927" s="1073"/>
      <c r="E927" s="1073"/>
      <c r="F927" s="1073"/>
      <c r="G927" s="1073"/>
      <c r="H927" s="1073"/>
      <c r="I927" s="1073"/>
      <c r="J927" s="1074"/>
      <c r="K927" s="1075"/>
      <c r="L927" s="1076"/>
      <c r="M927" s="1076"/>
      <c r="N927" s="1077"/>
    </row>
    <row r="928" spans="2:14">
      <c r="B928" s="1071"/>
      <c r="C928" s="1062" t="s">
        <v>244</v>
      </c>
      <c r="D928" s="1063"/>
      <c r="E928" s="1063"/>
      <c r="F928" s="1063"/>
      <c r="G928" s="1063"/>
      <c r="H928" s="1063"/>
      <c r="I928" s="1063"/>
      <c r="J928" s="1064"/>
      <c r="K928" s="1078"/>
      <c r="L928" s="1079"/>
      <c r="M928" s="1079"/>
      <c r="N928" s="1080"/>
    </row>
    <row r="929" spans="2:14">
      <c r="B929" s="1071"/>
      <c r="C929" s="1081"/>
      <c r="D929" s="1082"/>
      <c r="E929" s="1082"/>
      <c r="F929" s="1082"/>
      <c r="G929" s="1082"/>
      <c r="H929" s="1082"/>
      <c r="I929" s="1082"/>
      <c r="J929" s="1083"/>
      <c r="K929" s="1058" t="s">
        <v>245</v>
      </c>
      <c r="L929" s="1085"/>
      <c r="M929" s="1086"/>
      <c r="N929" s="1087"/>
    </row>
    <row r="930" spans="2:14">
      <c r="B930" s="1071"/>
      <c r="C930" s="1062" t="s">
        <v>246</v>
      </c>
      <c r="D930" s="1063"/>
      <c r="E930" s="1063"/>
      <c r="F930" s="1063"/>
      <c r="G930" s="1063"/>
      <c r="H930" s="1063"/>
      <c r="I930" s="1063"/>
      <c r="J930" s="1064"/>
      <c r="K930" s="1084"/>
      <c r="L930" s="1088"/>
      <c r="M930" s="1089"/>
      <c r="N930" s="1090"/>
    </row>
    <row r="931" spans="2:14">
      <c r="B931" s="1071"/>
      <c r="C931" s="1091"/>
      <c r="D931" s="1092"/>
      <c r="E931" s="1092"/>
      <c r="F931" s="1092"/>
      <c r="G931" s="1092"/>
      <c r="H931" s="1092"/>
      <c r="I931" s="1092"/>
      <c r="J931" s="1093"/>
      <c r="K931" s="1058" t="s">
        <v>247</v>
      </c>
      <c r="L931" s="1058">
        <v>11</v>
      </c>
      <c r="M931" s="1058" t="s">
        <v>248</v>
      </c>
      <c r="N931" s="1060">
        <v>80</v>
      </c>
    </row>
    <row r="932" spans="2:14">
      <c r="B932" s="1071"/>
      <c r="C932" s="1091"/>
      <c r="D932" s="1092"/>
      <c r="E932" s="1092"/>
      <c r="F932" s="1092"/>
      <c r="G932" s="1092"/>
      <c r="H932" s="1092"/>
      <c r="I932" s="1092"/>
      <c r="J932" s="1093"/>
      <c r="K932" s="1059"/>
      <c r="L932" s="1059"/>
      <c r="M932" s="1059"/>
      <c r="N932" s="1061"/>
    </row>
    <row r="933" spans="2:14">
      <c r="B933" s="1071"/>
      <c r="C933" s="1062" t="s">
        <v>249</v>
      </c>
      <c r="D933" s="1063"/>
      <c r="E933" s="1063"/>
      <c r="F933" s="1063"/>
      <c r="G933" s="1063"/>
      <c r="H933" s="1063"/>
      <c r="I933" s="1063"/>
      <c r="J933" s="1064"/>
      <c r="K933" s="1059"/>
      <c r="L933" s="1059"/>
      <c r="M933" s="1059"/>
      <c r="N933" s="1061"/>
    </row>
    <row r="934" spans="2:14" ht="13.5" thickBot="1">
      <c r="B934" s="259"/>
      <c r="C934" s="260"/>
      <c r="D934" s="260"/>
      <c r="E934" s="260"/>
      <c r="F934" s="260"/>
      <c r="G934" s="260"/>
      <c r="H934" s="260"/>
      <c r="I934" s="260"/>
      <c r="J934" s="260"/>
      <c r="K934" s="260"/>
      <c r="L934" s="261"/>
      <c r="M934" s="261"/>
      <c r="N934" s="262"/>
    </row>
    <row r="935" spans="2:14">
      <c r="B935" s="263"/>
      <c r="C935" s="264"/>
      <c r="D935" s="264"/>
      <c r="E935" s="264"/>
      <c r="F935" s="264"/>
      <c r="G935" s="264"/>
      <c r="H935" s="264"/>
      <c r="I935" s="264"/>
      <c r="J935" s="264"/>
      <c r="K935" s="265" t="s">
        <v>250</v>
      </c>
      <c r="L935" s="266" t="s">
        <v>251</v>
      </c>
      <c r="M935" s="266" t="s">
        <v>252</v>
      </c>
      <c r="N935" s="267" t="s">
        <v>253</v>
      </c>
    </row>
    <row r="936" spans="2:14">
      <c r="B936" s="268"/>
      <c r="C936" s="269"/>
      <c r="D936" s="269"/>
      <c r="E936" s="269"/>
      <c r="F936" s="269"/>
      <c r="G936" s="269"/>
      <c r="H936" s="269"/>
      <c r="I936" s="269"/>
      <c r="J936" s="269"/>
      <c r="K936" s="270"/>
      <c r="L936" s="271"/>
      <c r="M936" s="271"/>
      <c r="N936" s="272"/>
    </row>
    <row r="937" spans="2:14">
      <c r="B937" s="1065" t="s">
        <v>254</v>
      </c>
      <c r="C937" s="1066"/>
      <c r="D937" s="1066"/>
      <c r="E937" s="1066"/>
      <c r="F937" s="269"/>
      <c r="G937" s="269"/>
      <c r="H937" s="269" t="s">
        <v>255</v>
      </c>
      <c r="J937" s="269"/>
      <c r="K937" s="270"/>
      <c r="N937" s="273"/>
    </row>
    <row r="938" spans="2:14">
      <c r="B938" s="274"/>
      <c r="C938" s="275"/>
      <c r="D938" s="275"/>
      <c r="E938" s="275"/>
      <c r="F938" s="275"/>
      <c r="G938" s="275"/>
      <c r="H938" s="275"/>
      <c r="I938" s="275"/>
      <c r="J938" s="275"/>
      <c r="K938" s="275"/>
      <c r="L938" s="275"/>
      <c r="M938" s="275"/>
      <c r="N938" s="276"/>
    </row>
    <row r="939" spans="2:14" ht="13.5" thickBot="1">
      <c r="B939" s="277"/>
      <c r="C939" s="278"/>
      <c r="D939" s="278"/>
      <c r="E939" s="278"/>
      <c r="F939" s="278"/>
      <c r="G939" s="278"/>
      <c r="H939" s="278"/>
      <c r="I939" s="278"/>
      <c r="J939" s="278"/>
      <c r="K939" s="278"/>
      <c r="L939" s="278"/>
      <c r="M939" s="278"/>
      <c r="N939" s="279"/>
    </row>
    <row r="940" spans="2:14" ht="13.5" thickBot="1">
      <c r="B940" s="280"/>
      <c r="C940" s="281"/>
      <c r="D940" s="281"/>
      <c r="E940" s="281"/>
      <c r="F940" s="281"/>
      <c r="G940" s="281"/>
      <c r="J940" s="281"/>
      <c r="K940" s="281"/>
      <c r="L940" s="281"/>
      <c r="M940" s="281"/>
      <c r="N940" s="282"/>
    </row>
    <row r="941" spans="2:14">
      <c r="B941" s="1067" t="s">
        <v>256</v>
      </c>
      <c r="C941" s="1068"/>
      <c r="D941" s="1068"/>
      <c r="E941" s="1068"/>
      <c r="F941" s="1068"/>
      <c r="G941" s="1068"/>
      <c r="H941" s="1068"/>
      <c r="I941" s="1068"/>
      <c r="J941" s="1068"/>
      <c r="K941" s="1068"/>
      <c r="L941" s="1068"/>
      <c r="M941" s="1068"/>
      <c r="N941" s="1069"/>
    </row>
    <row r="942" spans="2:14" ht="13.5" thickBot="1">
      <c r="B942" s="283"/>
      <c r="N942" s="284"/>
    </row>
    <row r="943" spans="2:14">
      <c r="B943" s="285" t="s">
        <v>257</v>
      </c>
      <c r="C943" s="1120" t="s">
        <v>258</v>
      </c>
      <c r="D943" s="1121"/>
      <c r="E943" s="1121"/>
      <c r="F943" s="1121"/>
      <c r="G943" s="1121"/>
      <c r="H943" s="1121"/>
      <c r="I943" s="1121"/>
      <c r="J943" s="1121"/>
      <c r="K943" s="1122"/>
      <c r="L943" s="1123" t="s">
        <v>259</v>
      </c>
      <c r="M943" s="1124"/>
      <c r="N943" s="285" t="s">
        <v>133</v>
      </c>
    </row>
    <row r="944" spans="2:14" ht="25.5" customHeight="1" thickBot="1">
      <c r="B944" s="286">
        <v>11</v>
      </c>
      <c r="C944" s="1125" t="s">
        <v>152</v>
      </c>
      <c r="D944" s="1126"/>
      <c r="E944" s="1126"/>
      <c r="F944" s="1126"/>
      <c r="G944" s="1126"/>
      <c r="H944" s="1126"/>
      <c r="I944" s="1126"/>
      <c r="J944" s="1126"/>
      <c r="K944" s="1127"/>
      <c r="L944" s="1128" t="s">
        <v>147</v>
      </c>
      <c r="M944" s="1129"/>
      <c r="N944" s="366">
        <v>40</v>
      </c>
    </row>
    <row r="945" spans="2:14">
      <c r="B945" s="1103" t="s">
        <v>260</v>
      </c>
      <c r="C945" s="1104"/>
      <c r="D945" s="1104"/>
      <c r="E945" s="1104"/>
      <c r="F945" s="1104"/>
      <c r="G945" s="1104"/>
      <c r="H945" s="1104"/>
      <c r="I945" s="1104"/>
      <c r="J945" s="1104"/>
      <c r="K945" s="1104"/>
      <c r="L945" s="1104"/>
      <c r="M945" s="1104"/>
      <c r="N945" s="1105"/>
    </row>
    <row r="946" spans="2:14">
      <c r="B946" s="1106"/>
      <c r="C946" s="1107"/>
      <c r="D946" s="1107"/>
      <c r="E946" s="1107"/>
      <c r="F946" s="1107"/>
      <c r="G946" s="1107"/>
      <c r="H946" s="1107"/>
      <c r="I946" s="1107"/>
      <c r="J946" s="1107"/>
      <c r="K946" s="1107"/>
      <c r="L946" s="1107"/>
      <c r="M946" s="1107"/>
      <c r="N946" s="1108"/>
    </row>
    <row r="947" spans="2:14" ht="13.5" thickBot="1">
      <c r="B947" s="1109"/>
      <c r="C947" s="1110"/>
      <c r="D947" s="1110"/>
      <c r="E947" s="1110"/>
      <c r="F947" s="1110"/>
      <c r="G947" s="1110"/>
      <c r="H947" s="1110"/>
      <c r="I947" s="1110"/>
      <c r="J947" s="1110"/>
      <c r="K947" s="1110"/>
      <c r="L947" s="1110"/>
      <c r="M947" s="1110"/>
      <c r="N947" s="1111"/>
    </row>
    <row r="948" spans="2:14">
      <c r="B948" s="1130" t="s">
        <v>258</v>
      </c>
      <c r="C948" s="1131"/>
      <c r="D948" s="1131"/>
      <c r="E948" s="1131"/>
      <c r="F948" s="1132"/>
      <c r="G948" s="1133" t="s">
        <v>261</v>
      </c>
      <c r="H948" s="1131"/>
      <c r="I948" s="1134" t="s">
        <v>262</v>
      </c>
      <c r="J948" s="1135"/>
      <c r="K948" s="288" t="s">
        <v>263</v>
      </c>
      <c r="L948" s="1133" t="s">
        <v>264</v>
      </c>
      <c r="M948" s="1136"/>
      <c r="N948" s="289" t="s">
        <v>265</v>
      </c>
    </row>
    <row r="949" spans="2:14">
      <c r="B949" s="1179" t="s">
        <v>319</v>
      </c>
      <c r="C949" s="1180"/>
      <c r="D949" s="1180"/>
      <c r="E949" s="1180"/>
      <c r="F949" s="1181"/>
      <c r="G949" s="1115"/>
      <c r="H949" s="1114"/>
      <c r="I949" s="1182" t="s">
        <v>267</v>
      </c>
      <c r="J949" s="1183"/>
      <c r="K949" s="290">
        <v>464</v>
      </c>
      <c r="L949" s="1118">
        <v>0.16666700000000001</v>
      </c>
      <c r="M949" s="1119"/>
      <c r="N949" s="290">
        <f>+K949/L949</f>
        <v>2783.9944320111358</v>
      </c>
    </row>
    <row r="950" spans="2:14" ht="13.5" thickBot="1">
      <c r="B950" s="292"/>
      <c r="C950" s="293"/>
      <c r="D950" s="293"/>
      <c r="E950" s="293"/>
      <c r="F950" s="294"/>
      <c r="G950" s="295"/>
      <c r="H950" s="294"/>
      <c r="I950" s="1116"/>
      <c r="J950" s="1117"/>
      <c r="K950" s="290"/>
      <c r="L950" s="1118"/>
      <c r="M950" s="1119"/>
      <c r="N950" s="290"/>
    </row>
    <row r="951" spans="2:14" ht="13.5" thickBot="1">
      <c r="B951" s="1100" t="s">
        <v>269</v>
      </c>
      <c r="C951" s="1101"/>
      <c r="D951" s="1101"/>
      <c r="E951" s="1101"/>
      <c r="F951" s="1101"/>
      <c r="G951" s="1101"/>
      <c r="H951" s="1101"/>
      <c r="I951" s="1101"/>
      <c r="J951" s="1101"/>
      <c r="K951" s="1101"/>
      <c r="L951" s="1101"/>
      <c r="M951" s="1102"/>
      <c r="N951" s="323">
        <f>+N949+N950</f>
        <v>2783.9944320111358</v>
      </c>
    </row>
    <row r="952" spans="2:14">
      <c r="B952" s="1103" t="s">
        <v>270</v>
      </c>
      <c r="C952" s="1104"/>
      <c r="D952" s="1104"/>
      <c r="E952" s="1104"/>
      <c r="F952" s="1104"/>
      <c r="G952" s="1104"/>
      <c r="H952" s="1104"/>
      <c r="I952" s="1104"/>
      <c r="J952" s="1104"/>
      <c r="K952" s="1104"/>
      <c r="L952" s="1104"/>
      <c r="M952" s="1104"/>
      <c r="N952" s="1105"/>
    </row>
    <row r="953" spans="2:14">
      <c r="B953" s="1106"/>
      <c r="C953" s="1107"/>
      <c r="D953" s="1107"/>
      <c r="E953" s="1107"/>
      <c r="F953" s="1107"/>
      <c r="G953" s="1107"/>
      <c r="H953" s="1107"/>
      <c r="I953" s="1107"/>
      <c r="J953" s="1107"/>
      <c r="K953" s="1107"/>
      <c r="L953" s="1107"/>
      <c r="M953" s="1107"/>
      <c r="N953" s="1108"/>
    </row>
    <row r="954" spans="2:14" ht="13.5" thickBot="1">
      <c r="B954" s="1109"/>
      <c r="C954" s="1110"/>
      <c r="D954" s="1110"/>
      <c r="E954" s="1110"/>
      <c r="F954" s="1110"/>
      <c r="G954" s="1110"/>
      <c r="H954" s="1110"/>
      <c r="I954" s="1110"/>
      <c r="J954" s="1110"/>
      <c r="K954" s="1110"/>
      <c r="L954" s="1110"/>
      <c r="M954" s="1110"/>
      <c r="N954" s="1111"/>
    </row>
    <row r="955" spans="2:14">
      <c r="B955" s="1130" t="s">
        <v>258</v>
      </c>
      <c r="C955" s="1139"/>
      <c r="D955" s="1139"/>
      <c r="E955" s="1139"/>
      <c r="F955" s="1139"/>
      <c r="G955" s="1139"/>
      <c r="H955" s="1139"/>
      <c r="I955" s="1136"/>
      <c r="J955" s="299" t="s">
        <v>259</v>
      </c>
      <c r="K955" s="288" t="s">
        <v>133</v>
      </c>
      <c r="L955" s="1133" t="s">
        <v>271</v>
      </c>
      <c r="M955" s="1136"/>
      <c r="N955" s="289" t="s">
        <v>265</v>
      </c>
    </row>
    <row r="956" spans="2:14">
      <c r="B956" s="1112" t="s">
        <v>320</v>
      </c>
      <c r="C956" s="1113"/>
      <c r="D956" s="1113"/>
      <c r="E956" s="1113"/>
      <c r="F956" s="1113"/>
      <c r="G956" s="1113"/>
      <c r="H956" s="1113"/>
      <c r="I956" s="1114"/>
      <c r="J956" s="300" t="s">
        <v>190</v>
      </c>
      <c r="K956" s="301">
        <v>2.1</v>
      </c>
      <c r="L956" s="1144">
        <v>4195</v>
      </c>
      <c r="M956" s="1145"/>
      <c r="N956" s="363">
        <f>+K956*L956</f>
        <v>8809.5</v>
      </c>
    </row>
    <row r="957" spans="2:14" ht="13.5" thickBot="1">
      <c r="B957" s="1094" t="s">
        <v>321</v>
      </c>
      <c r="C957" s="1095"/>
      <c r="D957" s="1095"/>
      <c r="E957" s="1095"/>
      <c r="F957" s="1095"/>
      <c r="G957" s="1095"/>
      <c r="H957" s="1095"/>
      <c r="I957" s="1096"/>
      <c r="J957" s="303" t="s">
        <v>196</v>
      </c>
      <c r="K957" s="304">
        <v>1</v>
      </c>
      <c r="L957" s="1144">
        <v>51600</v>
      </c>
      <c r="M957" s="1145"/>
      <c r="N957" s="363">
        <f>+K957*L957</f>
        <v>51600</v>
      </c>
    </row>
    <row r="958" spans="2:14" ht="13.5" thickBot="1">
      <c r="B958" s="1100" t="s">
        <v>269</v>
      </c>
      <c r="C958" s="1101"/>
      <c r="D958" s="1101"/>
      <c r="E958" s="1101"/>
      <c r="F958" s="1101"/>
      <c r="G958" s="1101"/>
      <c r="H958" s="1101"/>
      <c r="I958" s="1101"/>
      <c r="J958" s="1101"/>
      <c r="K958" s="1101"/>
      <c r="L958" s="1101"/>
      <c r="M958" s="1102"/>
      <c r="N958" s="323">
        <f>+N956+N957</f>
        <v>60409.5</v>
      </c>
    </row>
    <row r="959" spans="2:14">
      <c r="B959" s="1103" t="s">
        <v>276</v>
      </c>
      <c r="C959" s="1104"/>
      <c r="D959" s="1104"/>
      <c r="E959" s="1104"/>
      <c r="F959" s="1104"/>
      <c r="G959" s="1104"/>
      <c r="H959" s="1104"/>
      <c r="I959" s="1104"/>
      <c r="J959" s="1104"/>
      <c r="K959" s="1104"/>
      <c r="L959" s="1104"/>
      <c r="M959" s="1104"/>
      <c r="N959" s="1105"/>
    </row>
    <row r="960" spans="2:14">
      <c r="B960" s="1106"/>
      <c r="C960" s="1107"/>
      <c r="D960" s="1107"/>
      <c r="E960" s="1107"/>
      <c r="F960" s="1107"/>
      <c r="G960" s="1107"/>
      <c r="H960" s="1107"/>
      <c r="I960" s="1107"/>
      <c r="J960" s="1107"/>
      <c r="K960" s="1107"/>
      <c r="L960" s="1107"/>
      <c r="M960" s="1107"/>
      <c r="N960" s="1108"/>
    </row>
    <row r="961" spans="2:14" ht="13.5" thickBot="1">
      <c r="B961" s="1109"/>
      <c r="C961" s="1110"/>
      <c r="D961" s="1110"/>
      <c r="E961" s="1110"/>
      <c r="F961" s="1110"/>
      <c r="G961" s="1110"/>
      <c r="H961" s="1110"/>
      <c r="I961" s="1110"/>
      <c r="J961" s="1110"/>
      <c r="K961" s="1110"/>
      <c r="L961" s="1110"/>
      <c r="M961" s="1110"/>
      <c r="N961" s="1111"/>
    </row>
    <row r="962" spans="2:14">
      <c r="B962" s="1130" t="s">
        <v>277</v>
      </c>
      <c r="C962" s="1139"/>
      <c r="D962" s="1139"/>
      <c r="E962" s="1139"/>
      <c r="F962" s="1139"/>
      <c r="G962" s="1139"/>
      <c r="H962" s="1139"/>
      <c r="I962" s="288" t="s">
        <v>278</v>
      </c>
      <c r="J962" s="306" t="s">
        <v>279</v>
      </c>
      <c r="K962" s="307" t="s">
        <v>280</v>
      </c>
      <c r="L962" s="1133" t="s">
        <v>281</v>
      </c>
      <c r="M962" s="1136"/>
      <c r="N962" s="289" t="s">
        <v>265</v>
      </c>
    </row>
    <row r="963" spans="2:14">
      <c r="B963" s="1112"/>
      <c r="C963" s="1113"/>
      <c r="D963" s="1113"/>
      <c r="E963" s="1113"/>
      <c r="F963" s="1113"/>
      <c r="G963" s="1113"/>
      <c r="H963" s="1113"/>
      <c r="I963" s="308"/>
      <c r="J963" s="309"/>
      <c r="K963" s="308"/>
      <c r="L963" s="1142"/>
      <c r="M963" s="1143"/>
      <c r="N963" s="297"/>
    </row>
    <row r="964" spans="2:14" ht="13.5" thickBot="1">
      <c r="B964" s="1094"/>
      <c r="C964" s="1095"/>
      <c r="D964" s="1095"/>
      <c r="E964" s="1095"/>
      <c r="F964" s="1095"/>
      <c r="G964" s="1095"/>
      <c r="H964" s="1095"/>
      <c r="I964" s="310"/>
      <c r="J964" s="311"/>
      <c r="K964" s="310"/>
      <c r="L964" s="1137"/>
      <c r="M964" s="1138"/>
      <c r="N964" s="312"/>
    </row>
    <row r="965" spans="2:14" ht="13.5" thickBot="1">
      <c r="B965" s="1100" t="s">
        <v>269</v>
      </c>
      <c r="C965" s="1101"/>
      <c r="D965" s="1101"/>
      <c r="E965" s="1101"/>
      <c r="F965" s="1101"/>
      <c r="G965" s="1101"/>
      <c r="H965" s="1101"/>
      <c r="I965" s="1101"/>
      <c r="J965" s="1101"/>
      <c r="K965" s="1101"/>
      <c r="L965" s="1101"/>
      <c r="M965" s="1102"/>
      <c r="N965" s="313">
        <v>0</v>
      </c>
    </row>
    <row r="966" spans="2:14">
      <c r="B966" s="1103" t="s">
        <v>282</v>
      </c>
      <c r="C966" s="1104"/>
      <c r="D966" s="1104"/>
      <c r="E966" s="1104"/>
      <c r="F966" s="1104"/>
      <c r="G966" s="1104"/>
      <c r="H966" s="1104"/>
      <c r="I966" s="1104"/>
      <c r="J966" s="1104"/>
      <c r="K966" s="1104"/>
      <c r="L966" s="1104"/>
      <c r="M966" s="1104"/>
      <c r="N966" s="1105"/>
    </row>
    <row r="967" spans="2:14">
      <c r="B967" s="1106"/>
      <c r="C967" s="1107"/>
      <c r="D967" s="1107"/>
      <c r="E967" s="1107"/>
      <c r="F967" s="1107"/>
      <c r="G967" s="1107"/>
      <c r="H967" s="1107"/>
      <c r="I967" s="1107"/>
      <c r="J967" s="1107"/>
      <c r="K967" s="1107"/>
      <c r="L967" s="1107"/>
      <c r="M967" s="1107"/>
      <c r="N967" s="1108"/>
    </row>
    <row r="968" spans="2:14" ht="13.5" thickBot="1">
      <c r="B968" s="1109"/>
      <c r="C968" s="1110"/>
      <c r="D968" s="1110"/>
      <c r="E968" s="1110"/>
      <c r="F968" s="1110"/>
      <c r="G968" s="1110"/>
      <c r="H968" s="1110"/>
      <c r="I968" s="1110"/>
      <c r="J968" s="1110"/>
      <c r="K968" s="1110"/>
      <c r="L968" s="1110"/>
      <c r="M968" s="1110"/>
      <c r="N968" s="1111"/>
    </row>
    <row r="969" spans="2:14">
      <c r="B969" s="1130" t="s">
        <v>283</v>
      </c>
      <c r="C969" s="1139"/>
      <c r="D969" s="1139"/>
      <c r="E969" s="1139"/>
      <c r="F969" s="1139"/>
      <c r="G969" s="1139"/>
      <c r="H969" s="1139"/>
      <c r="I969" s="288" t="s">
        <v>284</v>
      </c>
      <c r="J969" s="314" t="s">
        <v>285</v>
      </c>
      <c r="K969" s="315" t="s">
        <v>286</v>
      </c>
      <c r="L969" s="1140" t="s">
        <v>264</v>
      </c>
      <c r="M969" s="1141"/>
      <c r="N969" s="316" t="s">
        <v>265</v>
      </c>
    </row>
    <row r="970" spans="2:14">
      <c r="B970" s="317" t="s">
        <v>322</v>
      </c>
      <c r="C970" s="318"/>
      <c r="D970" s="318"/>
      <c r="E970" s="318"/>
      <c r="F970" s="318"/>
      <c r="G970" s="318"/>
      <c r="H970" s="318"/>
      <c r="I970" s="319">
        <v>153482</v>
      </c>
      <c r="J970" s="321">
        <v>0</v>
      </c>
      <c r="K970" s="321">
        <f>+I970+J970</f>
        <v>153482</v>
      </c>
      <c r="L970" s="1157">
        <v>2</v>
      </c>
      <c r="M970" s="1158"/>
      <c r="N970" s="322">
        <f>+K970/L970</f>
        <v>76741</v>
      </c>
    </row>
    <row r="971" spans="2:14" ht="13.5" thickBot="1">
      <c r="B971" s="317" t="s">
        <v>315</v>
      </c>
      <c r="C971" s="318"/>
      <c r="D971" s="318"/>
      <c r="E971" s="318"/>
      <c r="F971" s="318"/>
      <c r="G971" s="318"/>
      <c r="H971" s="318"/>
      <c r="I971" s="319">
        <v>31851</v>
      </c>
      <c r="J971" s="321">
        <v>23888</v>
      </c>
      <c r="K971" s="321">
        <f>+I971+J971</f>
        <v>55739</v>
      </c>
      <c r="L971" s="1157">
        <v>4</v>
      </c>
      <c r="M971" s="1158"/>
      <c r="N971" s="322">
        <f>+K971/L971</f>
        <v>13934.75</v>
      </c>
    </row>
    <row r="972" spans="2:14" ht="13.5" thickBot="1">
      <c r="B972" s="1100" t="s">
        <v>269</v>
      </c>
      <c r="C972" s="1101"/>
      <c r="D972" s="1101"/>
      <c r="E972" s="1101"/>
      <c r="F972" s="1101"/>
      <c r="G972" s="1101"/>
      <c r="H972" s="1101"/>
      <c r="I972" s="1101"/>
      <c r="J972" s="1101"/>
      <c r="K972" s="1101"/>
      <c r="L972" s="1101"/>
      <c r="M972" s="1102"/>
      <c r="N972" s="323">
        <f>+N970+N971</f>
        <v>90675.75</v>
      </c>
    </row>
    <row r="973" spans="2:14" ht="13.5" thickBot="1">
      <c r="B973" s="324" t="s">
        <v>288</v>
      </c>
      <c r="C973" s="325"/>
      <c r="D973" s="325"/>
      <c r="E973" s="325"/>
      <c r="F973" s="325"/>
      <c r="G973" s="325"/>
      <c r="H973" s="325"/>
      <c r="I973" s="326"/>
      <c r="J973" s="327"/>
      <c r="K973" s="328"/>
      <c r="L973" s="329"/>
      <c r="M973" s="329"/>
      <c r="N973" s="330"/>
    </row>
    <row r="974" spans="2:14">
      <c r="B974" s="1130" t="s">
        <v>17</v>
      </c>
      <c r="C974" s="1139"/>
      <c r="D974" s="1139"/>
      <c r="E974" s="1139"/>
      <c r="F974" s="1139"/>
      <c r="G974" s="1139"/>
      <c r="H974" s="1139"/>
      <c r="I974" s="1136"/>
      <c r="J974" s="299" t="s">
        <v>259</v>
      </c>
      <c r="K974" s="288" t="s">
        <v>133</v>
      </c>
      <c r="L974" s="1133" t="s">
        <v>271</v>
      </c>
      <c r="M974" s="1136"/>
      <c r="N974" s="316" t="s">
        <v>265</v>
      </c>
    </row>
    <row r="975" spans="2:14">
      <c r="B975" s="331" t="s">
        <v>289</v>
      </c>
      <c r="C975" s="332"/>
      <c r="D975" s="332"/>
      <c r="E975" s="332"/>
      <c r="F975" s="332"/>
      <c r="G975" s="332"/>
      <c r="H975" s="332"/>
      <c r="I975" s="333"/>
      <c r="J975" s="334" t="s">
        <v>290</v>
      </c>
      <c r="K975" s="335">
        <v>0.05</v>
      </c>
      <c r="L975" s="1144">
        <f>+N972</f>
        <v>90675.75</v>
      </c>
      <c r="M975" s="1145"/>
      <c r="N975" s="322">
        <f>+K975*L975</f>
        <v>4533.7875000000004</v>
      </c>
    </row>
    <row r="976" spans="2:14" ht="13.5" thickBot="1">
      <c r="B976" s="356"/>
      <c r="C976" s="325"/>
      <c r="D976" s="325"/>
      <c r="E976" s="325"/>
      <c r="F976" s="325"/>
      <c r="G976" s="325"/>
      <c r="H976" s="325"/>
      <c r="I976" s="369"/>
      <c r="J976" s="327"/>
      <c r="K976" s="370"/>
      <c r="L976" s="371"/>
      <c r="M976" s="372"/>
      <c r="N976" s="373"/>
    </row>
    <row r="977" spans="2:14" ht="13.5" thickBot="1">
      <c r="B977" s="1100" t="s">
        <v>269</v>
      </c>
      <c r="C977" s="1101"/>
      <c r="D977" s="1101"/>
      <c r="E977" s="1101"/>
      <c r="F977" s="1101"/>
      <c r="G977" s="1101"/>
      <c r="H977" s="1101"/>
      <c r="I977" s="1101"/>
      <c r="J977" s="1101"/>
      <c r="K977" s="1101"/>
      <c r="L977" s="1101"/>
      <c r="M977" s="1102"/>
      <c r="N977" s="323">
        <f>+N975</f>
        <v>4533.7875000000004</v>
      </c>
    </row>
    <row r="978" spans="2:14" ht="13.5" thickBot="1">
      <c r="B978" s="374" t="s">
        <v>78</v>
      </c>
      <c r="C978" s="325"/>
      <c r="D978" s="325"/>
      <c r="E978" s="325"/>
      <c r="F978" s="325"/>
      <c r="G978" s="325"/>
      <c r="H978" s="325"/>
      <c r="I978" s="369"/>
      <c r="J978" s="327"/>
      <c r="K978" s="370"/>
      <c r="L978" s="371"/>
      <c r="M978" s="372"/>
      <c r="N978" s="373"/>
    </row>
    <row r="979" spans="2:14">
      <c r="B979" s="1130" t="s">
        <v>17</v>
      </c>
      <c r="C979" s="1139"/>
      <c r="D979" s="1139"/>
      <c r="E979" s="1139"/>
      <c r="F979" s="1139"/>
      <c r="G979" s="1139"/>
      <c r="H979" s="1139"/>
      <c r="I979" s="1136"/>
      <c r="J979" s="299" t="s">
        <v>259</v>
      </c>
      <c r="K979" s="288" t="s">
        <v>133</v>
      </c>
      <c r="L979" s="1133" t="s">
        <v>271</v>
      </c>
      <c r="M979" s="1136"/>
      <c r="N979" s="316" t="s">
        <v>265</v>
      </c>
    </row>
    <row r="980" spans="2:14" ht="13.5" thickBot="1">
      <c r="B980" s="1179" t="s">
        <v>209</v>
      </c>
      <c r="C980" s="1180"/>
      <c r="D980" s="1180"/>
      <c r="E980" s="1180"/>
      <c r="F980" s="1180"/>
      <c r="G980" s="1180"/>
      <c r="H980" s="1181"/>
      <c r="I980" s="333"/>
      <c r="J980" s="384" t="s">
        <v>147</v>
      </c>
      <c r="K980" s="385">
        <v>1</v>
      </c>
      <c r="L980" s="1184">
        <v>5853</v>
      </c>
      <c r="M980" s="1185"/>
      <c r="N980" s="386">
        <f>+K980*L980</f>
        <v>5853</v>
      </c>
    </row>
    <row r="981" spans="2:14" ht="13.5" thickBot="1">
      <c r="B981" s="1100" t="s">
        <v>269</v>
      </c>
      <c r="C981" s="1101"/>
      <c r="D981" s="1101"/>
      <c r="E981" s="1101"/>
      <c r="F981" s="1101"/>
      <c r="G981" s="1101"/>
      <c r="H981" s="1101"/>
      <c r="I981" s="1101"/>
      <c r="J981" s="1101"/>
      <c r="K981" s="1101"/>
      <c r="L981" s="1101"/>
      <c r="M981" s="1102"/>
      <c r="N981" s="323">
        <f>+N980</f>
        <v>5853</v>
      </c>
    </row>
    <row r="982" spans="2:14">
      <c r="B982" s="280"/>
      <c r="C982" s="281"/>
      <c r="D982" s="281"/>
      <c r="E982" s="281"/>
      <c r="F982" s="281"/>
      <c r="G982" s="281"/>
      <c r="H982" s="281"/>
      <c r="I982" s="281"/>
      <c r="J982" s="281"/>
      <c r="K982" s="281"/>
      <c r="L982" s="281"/>
      <c r="M982" s="281"/>
      <c r="N982" s="282"/>
    </row>
    <row r="983" spans="2:14" ht="13.5" thickBot="1">
      <c r="B983" s="378"/>
      <c r="C983" s="311"/>
      <c r="D983" s="311"/>
      <c r="E983" s="311"/>
      <c r="F983" s="311"/>
      <c r="G983" s="311"/>
      <c r="H983" s="311"/>
      <c r="I983" s="311"/>
      <c r="J983" s="311"/>
      <c r="K983" s="311"/>
      <c r="L983" s="311"/>
      <c r="M983" s="311"/>
      <c r="N983" s="379"/>
    </row>
    <row r="984" spans="2:14" ht="13.5" thickBot="1">
      <c r="B984" s="1150" t="s">
        <v>291</v>
      </c>
      <c r="C984" s="1151"/>
      <c r="D984" s="1151"/>
      <c r="E984" s="1151"/>
      <c r="F984" s="1151"/>
      <c r="G984" s="1151"/>
      <c r="H984" s="1151"/>
      <c r="I984" s="1151"/>
      <c r="J984" s="1151"/>
      <c r="K984" s="1151"/>
      <c r="L984" s="1151"/>
      <c r="M984" s="1152"/>
      <c r="N984" s="336">
        <f>+N951+N958+N965+N972+N977+N981</f>
        <v>164256.03193201116</v>
      </c>
    </row>
    <row r="985" spans="2:14">
      <c r="B985" s="1103" t="s">
        <v>292</v>
      </c>
      <c r="C985" s="1104"/>
      <c r="D985" s="1104"/>
      <c r="E985" s="1104"/>
      <c r="F985" s="1104"/>
      <c r="G985" s="1104"/>
      <c r="H985" s="1104"/>
      <c r="I985" s="1104"/>
      <c r="J985" s="1104"/>
      <c r="K985" s="1104"/>
      <c r="L985" s="1104"/>
      <c r="M985" s="1104"/>
      <c r="N985" s="1105"/>
    </row>
    <row r="986" spans="2:14">
      <c r="B986" s="1106"/>
      <c r="C986" s="1107"/>
      <c r="D986" s="1107"/>
      <c r="E986" s="1107"/>
      <c r="F986" s="1107"/>
      <c r="G986" s="1107"/>
      <c r="H986" s="1107"/>
      <c r="I986" s="1107"/>
      <c r="J986" s="1107"/>
      <c r="K986" s="1107"/>
      <c r="L986" s="1107"/>
      <c r="M986" s="1107"/>
      <c r="N986" s="1108"/>
    </row>
    <row r="987" spans="2:14" ht="13.5" thickBot="1">
      <c r="B987" s="1109"/>
      <c r="C987" s="1110"/>
      <c r="D987" s="1110"/>
      <c r="E987" s="1110"/>
      <c r="F987" s="1110"/>
      <c r="G987" s="1110"/>
      <c r="H987" s="1110"/>
      <c r="I987" s="1110"/>
      <c r="J987" s="1110"/>
      <c r="K987" s="1110"/>
      <c r="L987" s="1110"/>
      <c r="M987" s="1110"/>
      <c r="N987" s="1111"/>
    </row>
    <row r="988" spans="2:14">
      <c r="B988" s="1130" t="s">
        <v>17</v>
      </c>
      <c r="C988" s="1139"/>
      <c r="D988" s="1139"/>
      <c r="E988" s="1139"/>
      <c r="F988" s="1139"/>
      <c r="G988" s="1139"/>
      <c r="H988" s="1139"/>
      <c r="I988" s="306"/>
      <c r="J988" s="337"/>
      <c r="K988" s="315" t="s">
        <v>79</v>
      </c>
      <c r="L988" s="1140" t="s">
        <v>11</v>
      </c>
      <c r="M988" s="1141"/>
      <c r="N988" s="316"/>
    </row>
    <row r="989" spans="2:14">
      <c r="B989" s="1112" t="s">
        <v>232</v>
      </c>
      <c r="C989" s="1113"/>
      <c r="D989" s="1113"/>
      <c r="E989" s="1113"/>
      <c r="F989" s="1113"/>
      <c r="G989" s="1113"/>
      <c r="H989" s="1113"/>
      <c r="I989" s="338"/>
      <c r="J989" s="339"/>
      <c r="K989" s="340">
        <f>'PRESUPUESTO OFICIAL'!$K$100</f>
        <v>0</v>
      </c>
      <c r="L989" s="1146">
        <f>K989*N984</f>
        <v>0</v>
      </c>
      <c r="M989" s="1147"/>
      <c r="N989" s="341"/>
    </row>
    <row r="990" spans="2:14">
      <c r="B990" s="292" t="s">
        <v>293</v>
      </c>
      <c r="C990" s="293"/>
      <c r="D990" s="293"/>
      <c r="E990" s="293"/>
      <c r="F990" s="293"/>
      <c r="G990" s="293"/>
      <c r="H990" s="293"/>
      <c r="I990" s="338"/>
      <c r="J990" s="339"/>
      <c r="K990" s="340">
        <f>'PRESUPUESTO OFICIAL'!$K$101</f>
        <v>0</v>
      </c>
      <c r="L990" s="1146">
        <f>K990*N984</f>
        <v>0</v>
      </c>
      <c r="M990" s="1147"/>
      <c r="N990" s="341"/>
    </row>
    <row r="991" spans="2:14" ht="13.5" thickBot="1">
      <c r="B991" s="277" t="s">
        <v>294</v>
      </c>
      <c r="C991" s="278"/>
      <c r="D991" s="278"/>
      <c r="E991" s="278"/>
      <c r="F991" s="278"/>
      <c r="G991" s="278"/>
      <c r="H991" s="278"/>
      <c r="I991" s="342"/>
      <c r="J991" s="343"/>
      <c r="K991" s="340">
        <f>'PRESUPUESTO OFICIAL'!$K$102</f>
        <v>0</v>
      </c>
      <c r="L991" s="1148">
        <f>K991*N984</f>
        <v>0</v>
      </c>
      <c r="M991" s="1149"/>
      <c r="N991" s="341"/>
    </row>
    <row r="992" spans="2:14" ht="13.5" thickBot="1">
      <c r="B992" s="1100" t="s">
        <v>269</v>
      </c>
      <c r="C992" s="1101"/>
      <c r="D992" s="1101"/>
      <c r="E992" s="1101"/>
      <c r="F992" s="1101"/>
      <c r="G992" s="1101"/>
      <c r="H992" s="1101"/>
      <c r="I992" s="1101"/>
      <c r="J992" s="1101"/>
      <c r="K992" s="1101"/>
      <c r="L992" s="1101"/>
      <c r="M992" s="1102"/>
      <c r="N992" s="344">
        <f>SUM(L989:M991)</f>
        <v>0</v>
      </c>
    </row>
    <row r="993" spans="2:14" ht="13.5" thickBot="1">
      <c r="B993" s="283"/>
      <c r="N993" s="284"/>
    </row>
    <row r="994" spans="2:14" ht="13.5" thickBot="1">
      <c r="B994" s="1150" t="s">
        <v>295</v>
      </c>
      <c r="C994" s="1151"/>
      <c r="D994" s="1151"/>
      <c r="E994" s="1151"/>
      <c r="F994" s="1151"/>
      <c r="G994" s="1151"/>
      <c r="H994" s="1151"/>
      <c r="I994" s="1151"/>
      <c r="J994" s="1151"/>
      <c r="K994" s="1151"/>
      <c r="L994" s="1151"/>
      <c r="M994" s="1152"/>
      <c r="N994" s="345">
        <f>ROUND(N984+N992,0)</f>
        <v>164256</v>
      </c>
    </row>
    <row r="995" spans="2:14">
      <c r="B995" s="280"/>
      <c r="C995" s="281"/>
      <c r="D995" s="281"/>
      <c r="E995" s="281"/>
      <c r="F995" s="281"/>
      <c r="G995" s="281"/>
      <c r="H995" s="281"/>
      <c r="I995" s="281"/>
      <c r="J995" s="281"/>
      <c r="K995" s="281"/>
      <c r="L995" s="281"/>
      <c r="M995" s="281"/>
      <c r="N995" s="282"/>
    </row>
    <row r="996" spans="2:14">
      <c r="B996" s="283"/>
      <c r="N996" s="284"/>
    </row>
    <row r="997" spans="2:14">
      <c r="B997" s="283"/>
      <c r="N997" s="284"/>
    </row>
    <row r="998" spans="2:14">
      <c r="B998" s="283"/>
      <c r="G998" s="346" t="s">
        <v>296</v>
      </c>
      <c r="H998" s="346"/>
      <c r="I998" s="346"/>
      <c r="J998" s="346"/>
      <c r="N998" s="284"/>
    </row>
    <row r="999" spans="2:14">
      <c r="B999" s="347"/>
      <c r="C999" s="348"/>
      <c r="D999" s="348"/>
      <c r="E999" s="348"/>
      <c r="F999" s="348"/>
      <c r="G999" s="346" t="s">
        <v>297</v>
      </c>
      <c r="H999" s="348"/>
      <c r="I999" s="348"/>
      <c r="J999" s="348"/>
      <c r="K999" s="348"/>
      <c r="L999" s="348"/>
      <c r="M999" s="348"/>
      <c r="N999" s="349"/>
    </row>
    <row r="1000" spans="2:14">
      <c r="B1000" s="347"/>
      <c r="C1000" s="348"/>
      <c r="D1000" s="348"/>
      <c r="E1000" s="348"/>
      <c r="F1000" s="348"/>
      <c r="G1000" s="346" t="s">
        <v>298</v>
      </c>
      <c r="J1000" s="348"/>
      <c r="K1000" s="348"/>
      <c r="L1000" s="348"/>
      <c r="M1000" s="348"/>
      <c r="N1000" s="349"/>
    </row>
    <row r="1001" spans="2:14">
      <c r="B1001" s="268"/>
      <c r="C1001" s="350"/>
      <c r="D1001" s="350"/>
      <c r="E1001" s="350"/>
      <c r="F1001" s="350"/>
      <c r="G1001" s="346" t="s">
        <v>299</v>
      </c>
      <c r="H1001" s="350"/>
      <c r="I1001" s="350"/>
      <c r="J1001" s="350"/>
      <c r="K1001" s="350"/>
      <c r="L1001" s="350"/>
      <c r="M1001" s="350"/>
      <c r="N1001" s="351"/>
    </row>
    <row r="1002" spans="2:14">
      <c r="B1002" s="283"/>
      <c r="G1002" s="258" t="s">
        <v>300</v>
      </c>
      <c r="N1002" s="284"/>
    </row>
    <row r="1003" spans="2:14">
      <c r="B1003" s="352" t="s">
        <v>301</v>
      </c>
      <c r="C1003" s="353"/>
      <c r="D1003" s="353"/>
      <c r="E1003" s="353"/>
      <c r="F1003" s="353"/>
      <c r="G1003" s="353"/>
      <c r="H1003" s="353"/>
      <c r="I1003" s="353"/>
      <c r="J1003" s="353"/>
      <c r="K1003" s="353"/>
      <c r="L1003" s="353"/>
      <c r="M1003" s="353"/>
      <c r="N1003" s="354"/>
    </row>
    <row r="1004" spans="2:14">
      <c r="B1004" s="1153"/>
      <c r="C1004" s="1154"/>
      <c r="D1004" s="1154"/>
      <c r="E1004" s="1154"/>
      <c r="F1004" s="1154"/>
      <c r="G1004" s="1154"/>
      <c r="H1004" s="1154"/>
      <c r="I1004" s="1154"/>
      <c r="J1004" s="1154"/>
      <c r="K1004" s="1154"/>
      <c r="L1004" s="1154"/>
      <c r="M1004" s="1154"/>
      <c r="N1004" s="1155"/>
    </row>
    <row r="1005" spans="2:14">
      <c r="B1005" s="1153"/>
      <c r="C1005" s="1154"/>
      <c r="D1005" s="1154"/>
      <c r="E1005" s="1154"/>
      <c r="F1005" s="1154"/>
      <c r="G1005" s="1154"/>
      <c r="H1005" s="1154"/>
      <c r="I1005" s="1154"/>
      <c r="J1005" s="1154"/>
      <c r="K1005" s="1154"/>
      <c r="L1005" s="1154"/>
      <c r="M1005" s="1154"/>
      <c r="N1005" s="1155"/>
    </row>
    <row r="1006" spans="2:14">
      <c r="B1006" s="268"/>
      <c r="C1006" s="350"/>
      <c r="D1006" s="350"/>
      <c r="E1006" s="350"/>
      <c r="F1006" s="350"/>
      <c r="G1006" s="350"/>
      <c r="H1006" s="350"/>
      <c r="I1006" s="350"/>
      <c r="J1006" s="350"/>
      <c r="K1006" s="350"/>
      <c r="L1006" s="350"/>
      <c r="M1006" s="350"/>
      <c r="N1006" s="351"/>
    </row>
    <row r="1007" spans="2:14">
      <c r="B1007" s="355" t="s">
        <v>302</v>
      </c>
      <c r="C1007" s="350"/>
      <c r="D1007" s="350"/>
      <c r="E1007" s="350"/>
      <c r="F1007" s="350"/>
      <c r="G1007" s="350"/>
      <c r="H1007" s="350"/>
      <c r="I1007" s="350"/>
      <c r="J1007" s="350"/>
      <c r="K1007" s="350"/>
      <c r="L1007" s="350"/>
      <c r="M1007" s="350"/>
      <c r="N1007" s="351"/>
    </row>
    <row r="1008" spans="2:14">
      <c r="B1008" s="1159" t="s">
        <v>303</v>
      </c>
      <c r="C1008" s="1160"/>
      <c r="D1008" s="1160"/>
      <c r="E1008" s="1160"/>
      <c r="F1008" s="1160"/>
      <c r="G1008" s="1160"/>
      <c r="H1008" s="1160"/>
      <c r="I1008" s="1160"/>
      <c r="J1008" s="1160"/>
      <c r="K1008" s="1160"/>
      <c r="L1008" s="1160"/>
      <c r="M1008" s="1160"/>
      <c r="N1008" s="1161"/>
    </row>
    <row r="1009" spans="2:14">
      <c r="B1009" s="1159"/>
      <c r="C1009" s="1160"/>
      <c r="D1009" s="1160"/>
      <c r="E1009" s="1160"/>
      <c r="F1009" s="1160"/>
      <c r="G1009" s="1160"/>
      <c r="H1009" s="1160"/>
      <c r="I1009" s="1160"/>
      <c r="J1009" s="1160"/>
      <c r="K1009" s="1160"/>
      <c r="L1009" s="1160"/>
      <c r="M1009" s="1160"/>
      <c r="N1009" s="1161"/>
    </row>
    <row r="1010" spans="2:14">
      <c r="B1010" s="1159" t="s">
        <v>304</v>
      </c>
      <c r="C1010" s="1160"/>
      <c r="D1010" s="1160"/>
      <c r="E1010" s="1160"/>
      <c r="F1010" s="1160"/>
      <c r="G1010" s="1160"/>
      <c r="H1010" s="1160"/>
      <c r="I1010" s="1160"/>
      <c r="J1010" s="1160"/>
      <c r="K1010" s="1160"/>
      <c r="L1010" s="1160"/>
      <c r="M1010" s="1160"/>
      <c r="N1010" s="1161"/>
    </row>
    <row r="1011" spans="2:14">
      <c r="B1011" s="1159"/>
      <c r="C1011" s="1160"/>
      <c r="D1011" s="1160"/>
      <c r="E1011" s="1160"/>
      <c r="F1011" s="1160"/>
      <c r="G1011" s="1160"/>
      <c r="H1011" s="1160"/>
      <c r="I1011" s="1160"/>
      <c r="J1011" s="1160"/>
      <c r="K1011" s="1160"/>
      <c r="L1011" s="1160"/>
      <c r="M1011" s="1160"/>
      <c r="N1011" s="1161"/>
    </row>
    <row r="1012" spans="2:14">
      <c r="B1012" s="268"/>
      <c r="C1012" s="350"/>
      <c r="D1012" s="350"/>
      <c r="E1012" s="350"/>
      <c r="F1012" s="350"/>
      <c r="G1012" s="350"/>
      <c r="H1012" s="350"/>
      <c r="I1012" s="350"/>
      <c r="J1012" s="350"/>
      <c r="K1012" s="350"/>
      <c r="L1012" s="350"/>
      <c r="M1012" s="350"/>
      <c r="N1012" s="351"/>
    </row>
    <row r="1013" spans="2:14">
      <c r="B1013" s="283"/>
      <c r="G1013" s="346" t="s">
        <v>296</v>
      </c>
      <c r="N1013" s="284"/>
    </row>
    <row r="1014" spans="2:14">
      <c r="B1014" s="283"/>
      <c r="G1014" s="258" t="s">
        <v>305</v>
      </c>
      <c r="H1014" s="293"/>
      <c r="I1014" s="293"/>
      <c r="J1014" s="293"/>
      <c r="N1014" s="284"/>
    </row>
    <row r="1015" spans="2:14">
      <c r="B1015" s="283"/>
      <c r="G1015" s="258" t="s">
        <v>306</v>
      </c>
      <c r="H1015" s="325"/>
      <c r="I1015" s="325"/>
      <c r="J1015" s="325"/>
      <c r="N1015" s="284"/>
    </row>
    <row r="1016" spans="2:14">
      <c r="B1016" s="356"/>
      <c r="C1016" s="350"/>
      <c r="D1016" s="350"/>
      <c r="E1016" s="350"/>
      <c r="F1016" s="350"/>
      <c r="G1016" s="258" t="s">
        <v>299</v>
      </c>
      <c r="K1016" s="350"/>
      <c r="L1016" s="350"/>
      <c r="M1016" s="350"/>
      <c r="N1016" s="351"/>
    </row>
    <row r="1017" spans="2:14">
      <c r="B1017" s="357"/>
      <c r="C1017" s="358"/>
      <c r="D1017" s="358"/>
      <c r="J1017" s="1162"/>
      <c r="K1017" s="1162"/>
      <c r="L1017" s="1162"/>
      <c r="M1017" s="1162"/>
      <c r="N1017" s="1163"/>
    </row>
    <row r="1018" spans="2:14" ht="13.5" thickBot="1">
      <c r="B1018" s="1166"/>
      <c r="C1018" s="1167"/>
      <c r="D1018" s="1167"/>
      <c r="E1018" s="311"/>
      <c r="F1018" s="311"/>
      <c r="G1018" s="311"/>
      <c r="H1018" s="311"/>
      <c r="I1018" s="311"/>
      <c r="J1018" s="1164"/>
      <c r="K1018" s="1164"/>
      <c r="L1018" s="1164"/>
      <c r="M1018" s="1164"/>
      <c r="N1018" s="1165"/>
    </row>
    <row r="1019" spans="2:14" ht="13.5" thickBot="1"/>
    <row r="1020" spans="2:14">
      <c r="B1020" s="1070"/>
      <c r="C1020" s="1072"/>
      <c r="D1020" s="1073"/>
      <c r="E1020" s="1073"/>
      <c r="F1020" s="1073"/>
      <c r="G1020" s="1073"/>
      <c r="H1020" s="1073"/>
      <c r="I1020" s="1073"/>
      <c r="J1020" s="1074"/>
      <c r="K1020" s="1075"/>
      <c r="L1020" s="1076"/>
      <c r="M1020" s="1076"/>
      <c r="N1020" s="1077"/>
    </row>
    <row r="1021" spans="2:14">
      <c r="B1021" s="1071"/>
      <c r="C1021" s="1062" t="s">
        <v>244</v>
      </c>
      <c r="D1021" s="1063"/>
      <c r="E1021" s="1063"/>
      <c r="F1021" s="1063"/>
      <c r="G1021" s="1063"/>
      <c r="H1021" s="1063"/>
      <c r="I1021" s="1063"/>
      <c r="J1021" s="1064"/>
      <c r="K1021" s="1078"/>
      <c r="L1021" s="1079"/>
      <c r="M1021" s="1079"/>
      <c r="N1021" s="1080"/>
    </row>
    <row r="1022" spans="2:14">
      <c r="B1022" s="1071"/>
      <c r="C1022" s="1081"/>
      <c r="D1022" s="1082"/>
      <c r="E1022" s="1082"/>
      <c r="F1022" s="1082"/>
      <c r="G1022" s="1082"/>
      <c r="H1022" s="1082"/>
      <c r="I1022" s="1082"/>
      <c r="J1022" s="1083"/>
      <c r="K1022" s="1058" t="s">
        <v>245</v>
      </c>
      <c r="L1022" s="1085"/>
      <c r="M1022" s="1086"/>
      <c r="N1022" s="1087"/>
    </row>
    <row r="1023" spans="2:14">
      <c r="B1023" s="1071"/>
      <c r="C1023" s="1062" t="s">
        <v>246</v>
      </c>
      <c r="D1023" s="1063"/>
      <c r="E1023" s="1063"/>
      <c r="F1023" s="1063"/>
      <c r="G1023" s="1063"/>
      <c r="H1023" s="1063"/>
      <c r="I1023" s="1063"/>
      <c r="J1023" s="1064"/>
      <c r="K1023" s="1084"/>
      <c r="L1023" s="1088"/>
      <c r="M1023" s="1089"/>
      <c r="N1023" s="1090"/>
    </row>
    <row r="1024" spans="2:14">
      <c r="B1024" s="1071"/>
      <c r="C1024" s="1091"/>
      <c r="D1024" s="1092"/>
      <c r="E1024" s="1092"/>
      <c r="F1024" s="1092"/>
      <c r="G1024" s="1092"/>
      <c r="H1024" s="1092"/>
      <c r="I1024" s="1092"/>
      <c r="J1024" s="1093"/>
      <c r="K1024" s="1058" t="s">
        <v>247</v>
      </c>
      <c r="L1024" s="1058">
        <v>12</v>
      </c>
      <c r="M1024" s="1058" t="s">
        <v>248</v>
      </c>
      <c r="N1024" s="1060">
        <v>80</v>
      </c>
    </row>
    <row r="1025" spans="2:14">
      <c r="B1025" s="1071"/>
      <c r="C1025" s="1091"/>
      <c r="D1025" s="1092"/>
      <c r="E1025" s="1092"/>
      <c r="F1025" s="1092"/>
      <c r="G1025" s="1092"/>
      <c r="H1025" s="1092"/>
      <c r="I1025" s="1092"/>
      <c r="J1025" s="1093"/>
      <c r="K1025" s="1059"/>
      <c r="L1025" s="1059"/>
      <c r="M1025" s="1059"/>
      <c r="N1025" s="1061"/>
    </row>
    <row r="1026" spans="2:14">
      <c r="B1026" s="1071"/>
      <c r="C1026" s="1062" t="s">
        <v>249</v>
      </c>
      <c r="D1026" s="1063"/>
      <c r="E1026" s="1063"/>
      <c r="F1026" s="1063"/>
      <c r="G1026" s="1063"/>
      <c r="H1026" s="1063"/>
      <c r="I1026" s="1063"/>
      <c r="J1026" s="1064"/>
      <c r="K1026" s="1059"/>
      <c r="L1026" s="1059"/>
      <c r="M1026" s="1059"/>
      <c r="N1026" s="1061"/>
    </row>
    <row r="1027" spans="2:14" ht="13.5" thickBot="1">
      <c r="B1027" s="259"/>
      <c r="C1027" s="260"/>
      <c r="D1027" s="260"/>
      <c r="E1027" s="260"/>
      <c r="F1027" s="260"/>
      <c r="G1027" s="260"/>
      <c r="H1027" s="260"/>
      <c r="I1027" s="260"/>
      <c r="J1027" s="260"/>
      <c r="K1027" s="260"/>
      <c r="L1027" s="261"/>
      <c r="M1027" s="261"/>
      <c r="N1027" s="262"/>
    </row>
    <row r="1028" spans="2:14">
      <c r="B1028" s="263"/>
      <c r="C1028" s="264"/>
      <c r="D1028" s="264"/>
      <c r="E1028" s="264"/>
      <c r="F1028" s="264"/>
      <c r="G1028" s="264"/>
      <c r="H1028" s="264"/>
      <c r="I1028" s="264"/>
      <c r="J1028" s="264"/>
      <c r="K1028" s="265" t="s">
        <v>250</v>
      </c>
      <c r="L1028" s="266" t="s">
        <v>251</v>
      </c>
      <c r="M1028" s="266" t="s">
        <v>252</v>
      </c>
      <c r="N1028" s="267" t="s">
        <v>253</v>
      </c>
    </row>
    <row r="1029" spans="2:14">
      <c r="B1029" s="268"/>
      <c r="C1029" s="269"/>
      <c r="D1029" s="269"/>
      <c r="E1029" s="269"/>
      <c r="F1029" s="269"/>
      <c r="G1029" s="269"/>
      <c r="H1029" s="269"/>
      <c r="I1029" s="269"/>
      <c r="J1029" s="269"/>
      <c r="K1029" s="270"/>
      <c r="L1029" s="271"/>
      <c r="M1029" s="271"/>
      <c r="N1029" s="272"/>
    </row>
    <row r="1030" spans="2:14">
      <c r="B1030" s="1065" t="s">
        <v>254</v>
      </c>
      <c r="C1030" s="1066"/>
      <c r="D1030" s="1066"/>
      <c r="E1030" s="1066"/>
      <c r="F1030" s="269"/>
      <c r="G1030" s="269"/>
      <c r="H1030" s="269" t="s">
        <v>255</v>
      </c>
      <c r="J1030" s="269"/>
      <c r="K1030" s="270"/>
      <c r="N1030" s="273"/>
    </row>
    <row r="1031" spans="2:14">
      <c r="B1031" s="274"/>
      <c r="C1031" s="275"/>
      <c r="D1031" s="275"/>
      <c r="E1031" s="275"/>
      <c r="F1031" s="275"/>
      <c r="G1031" s="275"/>
      <c r="H1031" s="275"/>
      <c r="I1031" s="275"/>
      <c r="J1031" s="275"/>
      <c r="K1031" s="275"/>
      <c r="L1031" s="275"/>
      <c r="M1031" s="275"/>
      <c r="N1031" s="276"/>
    </row>
    <row r="1032" spans="2:14" ht="13.5" thickBot="1">
      <c r="B1032" s="277"/>
      <c r="C1032" s="278"/>
      <c r="D1032" s="278"/>
      <c r="E1032" s="278"/>
      <c r="F1032" s="278"/>
      <c r="G1032" s="278"/>
      <c r="H1032" s="278"/>
      <c r="I1032" s="278"/>
      <c r="J1032" s="278"/>
      <c r="K1032" s="278"/>
      <c r="L1032" s="278"/>
      <c r="M1032" s="278"/>
      <c r="N1032" s="279"/>
    </row>
    <row r="1033" spans="2:14" ht="13.5" thickBot="1">
      <c r="B1033" s="280"/>
      <c r="C1033" s="281"/>
      <c r="D1033" s="281"/>
      <c r="E1033" s="281"/>
      <c r="F1033" s="281"/>
      <c r="G1033" s="281"/>
      <c r="J1033" s="281"/>
      <c r="K1033" s="281"/>
      <c r="L1033" s="281"/>
      <c r="M1033" s="281"/>
      <c r="N1033" s="282"/>
    </row>
    <row r="1034" spans="2:14">
      <c r="B1034" s="1067" t="s">
        <v>256</v>
      </c>
      <c r="C1034" s="1068"/>
      <c r="D1034" s="1068"/>
      <c r="E1034" s="1068"/>
      <c r="F1034" s="1068"/>
      <c r="G1034" s="1068"/>
      <c r="H1034" s="1068"/>
      <c r="I1034" s="1068"/>
      <c r="J1034" s="1068"/>
      <c r="K1034" s="1068"/>
      <c r="L1034" s="1068"/>
      <c r="M1034" s="1068"/>
      <c r="N1034" s="1069"/>
    </row>
    <row r="1035" spans="2:14" ht="13.5" thickBot="1">
      <c r="B1035" s="283"/>
      <c r="N1035" s="284"/>
    </row>
    <row r="1036" spans="2:14">
      <c r="B1036" s="285" t="s">
        <v>257</v>
      </c>
      <c r="C1036" s="1120" t="s">
        <v>258</v>
      </c>
      <c r="D1036" s="1121"/>
      <c r="E1036" s="1121"/>
      <c r="F1036" s="1121"/>
      <c r="G1036" s="1121"/>
      <c r="H1036" s="1121"/>
      <c r="I1036" s="1121"/>
      <c r="J1036" s="1121"/>
      <c r="K1036" s="1122"/>
      <c r="L1036" s="1123" t="s">
        <v>259</v>
      </c>
      <c r="M1036" s="1124"/>
      <c r="N1036" s="285" t="s">
        <v>133</v>
      </c>
    </row>
    <row r="1037" spans="2:14" ht="20.25" customHeight="1" thickBot="1">
      <c r="B1037" s="286">
        <v>12</v>
      </c>
      <c r="C1037" s="1125" t="s">
        <v>153</v>
      </c>
      <c r="D1037" s="1126"/>
      <c r="E1037" s="1126"/>
      <c r="F1037" s="1126"/>
      <c r="G1037" s="1126"/>
      <c r="H1037" s="1126"/>
      <c r="I1037" s="1126"/>
      <c r="J1037" s="1126"/>
      <c r="K1037" s="1127"/>
      <c r="L1037" s="1128" t="s">
        <v>147</v>
      </c>
      <c r="M1037" s="1129"/>
      <c r="N1037" s="366">
        <v>904</v>
      </c>
    </row>
    <row r="1038" spans="2:14">
      <c r="B1038" s="1103" t="s">
        <v>260</v>
      </c>
      <c r="C1038" s="1104"/>
      <c r="D1038" s="1104"/>
      <c r="E1038" s="1104"/>
      <c r="F1038" s="1104"/>
      <c r="G1038" s="1104"/>
      <c r="H1038" s="1104"/>
      <c r="I1038" s="1104"/>
      <c r="J1038" s="1104"/>
      <c r="K1038" s="1104"/>
      <c r="L1038" s="1104"/>
      <c r="M1038" s="1104"/>
      <c r="N1038" s="1105"/>
    </row>
    <row r="1039" spans="2:14">
      <c r="B1039" s="1106"/>
      <c r="C1039" s="1107"/>
      <c r="D1039" s="1107"/>
      <c r="E1039" s="1107"/>
      <c r="F1039" s="1107"/>
      <c r="G1039" s="1107"/>
      <c r="H1039" s="1107"/>
      <c r="I1039" s="1107"/>
      <c r="J1039" s="1107"/>
      <c r="K1039" s="1107"/>
      <c r="L1039" s="1107"/>
      <c r="M1039" s="1107"/>
      <c r="N1039" s="1108"/>
    </row>
    <row r="1040" spans="2:14" ht="13.5" thickBot="1">
      <c r="B1040" s="1109"/>
      <c r="C1040" s="1110"/>
      <c r="D1040" s="1110"/>
      <c r="E1040" s="1110"/>
      <c r="F1040" s="1110"/>
      <c r="G1040" s="1110"/>
      <c r="H1040" s="1110"/>
      <c r="I1040" s="1110"/>
      <c r="J1040" s="1110"/>
      <c r="K1040" s="1110"/>
      <c r="L1040" s="1110"/>
      <c r="M1040" s="1110"/>
      <c r="N1040" s="1111"/>
    </row>
    <row r="1041" spans="2:14">
      <c r="B1041" s="1130" t="s">
        <v>258</v>
      </c>
      <c r="C1041" s="1131"/>
      <c r="D1041" s="1131"/>
      <c r="E1041" s="1131"/>
      <c r="F1041" s="1132"/>
      <c r="G1041" s="1133" t="s">
        <v>261</v>
      </c>
      <c r="H1041" s="1131"/>
      <c r="I1041" s="1134" t="s">
        <v>262</v>
      </c>
      <c r="J1041" s="1135"/>
      <c r="K1041" s="288" t="s">
        <v>263</v>
      </c>
      <c r="L1041" s="1133" t="s">
        <v>264</v>
      </c>
      <c r="M1041" s="1136"/>
      <c r="N1041" s="289" t="s">
        <v>265</v>
      </c>
    </row>
    <row r="1042" spans="2:14">
      <c r="B1042" s="1179"/>
      <c r="C1042" s="1180"/>
      <c r="D1042" s="1180"/>
      <c r="E1042" s="1180"/>
      <c r="F1042" s="1181"/>
      <c r="G1042" s="1115"/>
      <c r="H1042" s="1114"/>
      <c r="I1042" s="1182"/>
      <c r="J1042" s="1183"/>
      <c r="K1042" s="290"/>
      <c r="L1042" s="1118"/>
      <c r="M1042" s="1119"/>
      <c r="N1042" s="290"/>
    </row>
    <row r="1043" spans="2:14" ht="13.5" thickBot="1">
      <c r="B1043" s="292"/>
      <c r="C1043" s="293"/>
      <c r="D1043" s="293"/>
      <c r="E1043" s="293"/>
      <c r="F1043" s="294"/>
      <c r="G1043" s="295"/>
      <c r="H1043" s="294"/>
      <c r="I1043" s="1116"/>
      <c r="J1043" s="1117"/>
      <c r="K1043" s="290"/>
      <c r="L1043" s="1118"/>
      <c r="M1043" s="1119"/>
      <c r="N1043" s="290"/>
    </row>
    <row r="1044" spans="2:14" ht="13.5" thickBot="1">
      <c r="B1044" s="1100" t="s">
        <v>269</v>
      </c>
      <c r="C1044" s="1101"/>
      <c r="D1044" s="1101"/>
      <c r="E1044" s="1101"/>
      <c r="F1044" s="1101"/>
      <c r="G1044" s="1101"/>
      <c r="H1044" s="1101"/>
      <c r="I1044" s="1101"/>
      <c r="J1044" s="1101"/>
      <c r="K1044" s="1101"/>
      <c r="L1044" s="1101"/>
      <c r="M1044" s="1102"/>
      <c r="N1044" s="323">
        <f>+N1042+N1043</f>
        <v>0</v>
      </c>
    </row>
    <row r="1045" spans="2:14">
      <c r="B1045" s="1103" t="s">
        <v>270</v>
      </c>
      <c r="C1045" s="1104"/>
      <c r="D1045" s="1104"/>
      <c r="E1045" s="1104"/>
      <c r="F1045" s="1104"/>
      <c r="G1045" s="1104"/>
      <c r="H1045" s="1104"/>
      <c r="I1045" s="1104"/>
      <c r="J1045" s="1104"/>
      <c r="K1045" s="1104"/>
      <c r="L1045" s="1104"/>
      <c r="M1045" s="1104"/>
      <c r="N1045" s="1105"/>
    </row>
    <row r="1046" spans="2:14">
      <c r="B1046" s="1106"/>
      <c r="C1046" s="1107"/>
      <c r="D1046" s="1107"/>
      <c r="E1046" s="1107"/>
      <c r="F1046" s="1107"/>
      <c r="G1046" s="1107"/>
      <c r="H1046" s="1107"/>
      <c r="I1046" s="1107"/>
      <c r="J1046" s="1107"/>
      <c r="K1046" s="1107"/>
      <c r="L1046" s="1107"/>
      <c r="M1046" s="1107"/>
      <c r="N1046" s="1108"/>
    </row>
    <row r="1047" spans="2:14" ht="13.5" thickBot="1">
      <c r="B1047" s="1109"/>
      <c r="C1047" s="1110"/>
      <c r="D1047" s="1110"/>
      <c r="E1047" s="1110"/>
      <c r="F1047" s="1110"/>
      <c r="G1047" s="1110"/>
      <c r="H1047" s="1110"/>
      <c r="I1047" s="1110"/>
      <c r="J1047" s="1110"/>
      <c r="K1047" s="1110"/>
      <c r="L1047" s="1110"/>
      <c r="M1047" s="1110"/>
      <c r="N1047" s="1111"/>
    </row>
    <row r="1048" spans="2:14">
      <c r="B1048" s="1130" t="s">
        <v>258</v>
      </c>
      <c r="C1048" s="1139"/>
      <c r="D1048" s="1139"/>
      <c r="E1048" s="1139"/>
      <c r="F1048" s="1139"/>
      <c r="G1048" s="1139"/>
      <c r="H1048" s="1139"/>
      <c r="I1048" s="1136"/>
      <c r="J1048" s="299" t="s">
        <v>259</v>
      </c>
      <c r="K1048" s="288" t="s">
        <v>133</v>
      </c>
      <c r="L1048" s="1133" t="s">
        <v>271</v>
      </c>
      <c r="M1048" s="1136"/>
      <c r="N1048" s="289" t="s">
        <v>265</v>
      </c>
    </row>
    <row r="1049" spans="2:14">
      <c r="B1049" s="1112"/>
      <c r="C1049" s="1113"/>
      <c r="D1049" s="1113"/>
      <c r="E1049" s="1113"/>
      <c r="F1049" s="1113"/>
      <c r="G1049" s="1113"/>
      <c r="H1049" s="1113"/>
      <c r="I1049" s="1114"/>
      <c r="J1049" s="300"/>
      <c r="K1049" s="301"/>
      <c r="L1049" s="1144"/>
      <c r="M1049" s="1145"/>
      <c r="N1049" s="363"/>
    </row>
    <row r="1050" spans="2:14" ht="13.5" thickBot="1">
      <c r="B1050" s="1094"/>
      <c r="C1050" s="1095"/>
      <c r="D1050" s="1095"/>
      <c r="E1050" s="1095"/>
      <c r="F1050" s="1095"/>
      <c r="G1050" s="1095"/>
      <c r="H1050" s="1095"/>
      <c r="I1050" s="1096"/>
      <c r="J1050" s="303"/>
      <c r="K1050" s="304"/>
      <c r="L1050" s="1144"/>
      <c r="M1050" s="1145"/>
      <c r="N1050" s="363"/>
    </row>
    <row r="1051" spans="2:14" ht="13.5" thickBot="1">
      <c r="B1051" s="1100" t="s">
        <v>269</v>
      </c>
      <c r="C1051" s="1101"/>
      <c r="D1051" s="1101"/>
      <c r="E1051" s="1101"/>
      <c r="F1051" s="1101"/>
      <c r="G1051" s="1101"/>
      <c r="H1051" s="1101"/>
      <c r="I1051" s="1101"/>
      <c r="J1051" s="1101"/>
      <c r="K1051" s="1101"/>
      <c r="L1051" s="1101"/>
      <c r="M1051" s="1102"/>
      <c r="N1051" s="323">
        <f>+N1049+N1050</f>
        <v>0</v>
      </c>
    </row>
    <row r="1052" spans="2:14">
      <c r="B1052" s="1103" t="s">
        <v>276</v>
      </c>
      <c r="C1052" s="1104"/>
      <c r="D1052" s="1104"/>
      <c r="E1052" s="1104"/>
      <c r="F1052" s="1104"/>
      <c r="G1052" s="1104"/>
      <c r="H1052" s="1104"/>
      <c r="I1052" s="1104"/>
      <c r="J1052" s="1104"/>
      <c r="K1052" s="1104"/>
      <c r="L1052" s="1104"/>
      <c r="M1052" s="1104"/>
      <c r="N1052" s="1105"/>
    </row>
    <row r="1053" spans="2:14">
      <c r="B1053" s="1106"/>
      <c r="C1053" s="1107"/>
      <c r="D1053" s="1107"/>
      <c r="E1053" s="1107"/>
      <c r="F1053" s="1107"/>
      <c r="G1053" s="1107"/>
      <c r="H1053" s="1107"/>
      <c r="I1053" s="1107"/>
      <c r="J1053" s="1107"/>
      <c r="K1053" s="1107"/>
      <c r="L1053" s="1107"/>
      <c r="M1053" s="1107"/>
      <c r="N1053" s="1108"/>
    </row>
    <row r="1054" spans="2:14" ht="13.5" thickBot="1">
      <c r="B1054" s="1109"/>
      <c r="C1054" s="1110"/>
      <c r="D1054" s="1110"/>
      <c r="E1054" s="1110"/>
      <c r="F1054" s="1110"/>
      <c r="G1054" s="1110"/>
      <c r="H1054" s="1110"/>
      <c r="I1054" s="1110"/>
      <c r="J1054" s="1110"/>
      <c r="K1054" s="1110"/>
      <c r="L1054" s="1110"/>
      <c r="M1054" s="1110"/>
      <c r="N1054" s="1111"/>
    </row>
    <row r="1055" spans="2:14">
      <c r="B1055" s="1130" t="s">
        <v>277</v>
      </c>
      <c r="C1055" s="1139"/>
      <c r="D1055" s="1139"/>
      <c r="E1055" s="1139"/>
      <c r="F1055" s="1139"/>
      <c r="G1055" s="1139"/>
      <c r="H1055" s="1139"/>
      <c r="I1055" s="288" t="s">
        <v>278</v>
      </c>
      <c r="J1055" s="306" t="s">
        <v>279</v>
      </c>
      <c r="K1055" s="307" t="s">
        <v>280</v>
      </c>
      <c r="L1055" s="1133" t="s">
        <v>281</v>
      </c>
      <c r="M1055" s="1136"/>
      <c r="N1055" s="289" t="s">
        <v>265</v>
      </c>
    </row>
    <row r="1056" spans="2:14">
      <c r="B1056" s="1112"/>
      <c r="C1056" s="1113"/>
      <c r="D1056" s="1113"/>
      <c r="E1056" s="1113"/>
      <c r="F1056" s="1113"/>
      <c r="G1056" s="1113"/>
      <c r="H1056" s="1113"/>
      <c r="I1056" s="308"/>
      <c r="J1056" s="309"/>
      <c r="K1056" s="308"/>
      <c r="L1056" s="1142"/>
      <c r="M1056" s="1143"/>
      <c r="N1056" s="297"/>
    </row>
    <row r="1057" spans="2:14" ht="13.5" thickBot="1">
      <c r="B1057" s="1094"/>
      <c r="C1057" s="1095"/>
      <c r="D1057" s="1095"/>
      <c r="E1057" s="1095"/>
      <c r="F1057" s="1095"/>
      <c r="G1057" s="1095"/>
      <c r="H1057" s="1095"/>
      <c r="I1057" s="310"/>
      <c r="J1057" s="311"/>
      <c r="K1057" s="310"/>
      <c r="L1057" s="1137"/>
      <c r="M1057" s="1138"/>
      <c r="N1057" s="312"/>
    </row>
    <row r="1058" spans="2:14" ht="13.5" thickBot="1">
      <c r="B1058" s="1100" t="s">
        <v>269</v>
      </c>
      <c r="C1058" s="1101"/>
      <c r="D1058" s="1101"/>
      <c r="E1058" s="1101"/>
      <c r="F1058" s="1101"/>
      <c r="G1058" s="1101"/>
      <c r="H1058" s="1101"/>
      <c r="I1058" s="1101"/>
      <c r="J1058" s="1101"/>
      <c r="K1058" s="1101"/>
      <c r="L1058" s="1101"/>
      <c r="M1058" s="1102"/>
      <c r="N1058" s="313">
        <v>0</v>
      </c>
    </row>
    <row r="1059" spans="2:14">
      <c r="B1059" s="1103" t="s">
        <v>282</v>
      </c>
      <c r="C1059" s="1104"/>
      <c r="D1059" s="1104"/>
      <c r="E1059" s="1104"/>
      <c r="F1059" s="1104"/>
      <c r="G1059" s="1104"/>
      <c r="H1059" s="1104"/>
      <c r="I1059" s="1104"/>
      <c r="J1059" s="1104"/>
      <c r="K1059" s="1104"/>
      <c r="L1059" s="1104"/>
      <c r="M1059" s="1104"/>
      <c r="N1059" s="1105"/>
    </row>
    <row r="1060" spans="2:14">
      <c r="B1060" s="1106"/>
      <c r="C1060" s="1107"/>
      <c r="D1060" s="1107"/>
      <c r="E1060" s="1107"/>
      <c r="F1060" s="1107"/>
      <c r="G1060" s="1107"/>
      <c r="H1060" s="1107"/>
      <c r="I1060" s="1107"/>
      <c r="J1060" s="1107"/>
      <c r="K1060" s="1107"/>
      <c r="L1060" s="1107"/>
      <c r="M1060" s="1107"/>
      <c r="N1060" s="1108"/>
    </row>
    <row r="1061" spans="2:14" ht="13.5" thickBot="1">
      <c r="B1061" s="1109"/>
      <c r="C1061" s="1110"/>
      <c r="D1061" s="1110"/>
      <c r="E1061" s="1110"/>
      <c r="F1061" s="1110"/>
      <c r="G1061" s="1110"/>
      <c r="H1061" s="1110"/>
      <c r="I1061" s="1110"/>
      <c r="J1061" s="1110"/>
      <c r="K1061" s="1110"/>
      <c r="L1061" s="1110"/>
      <c r="M1061" s="1110"/>
      <c r="N1061" s="1111"/>
    </row>
    <row r="1062" spans="2:14">
      <c r="B1062" s="1130" t="s">
        <v>283</v>
      </c>
      <c r="C1062" s="1139"/>
      <c r="D1062" s="1139"/>
      <c r="E1062" s="1139"/>
      <c r="F1062" s="1139"/>
      <c r="G1062" s="1139"/>
      <c r="H1062" s="1139"/>
      <c r="I1062" s="288" t="s">
        <v>284</v>
      </c>
      <c r="J1062" s="314" t="s">
        <v>285</v>
      </c>
      <c r="K1062" s="315" t="s">
        <v>286</v>
      </c>
      <c r="L1062" s="1140" t="s">
        <v>264</v>
      </c>
      <c r="M1062" s="1141"/>
      <c r="N1062" s="316" t="s">
        <v>265</v>
      </c>
    </row>
    <row r="1063" spans="2:14">
      <c r="B1063" s="317" t="s">
        <v>322</v>
      </c>
      <c r="C1063" s="318"/>
      <c r="D1063" s="318"/>
      <c r="E1063" s="318"/>
      <c r="F1063" s="318"/>
      <c r="G1063" s="318"/>
      <c r="H1063" s="318"/>
      <c r="I1063" s="319">
        <v>153482</v>
      </c>
      <c r="J1063" s="321">
        <v>0</v>
      </c>
      <c r="K1063" s="321">
        <f>+I1063+J1063</f>
        <v>153482</v>
      </c>
      <c r="L1063" s="1157">
        <v>9.0008999999999997</v>
      </c>
      <c r="M1063" s="1158"/>
      <c r="N1063" s="322">
        <f>+K1063/L1063</f>
        <v>17051.850370518503</v>
      </c>
    </row>
    <row r="1064" spans="2:14" ht="13.5" thickBot="1">
      <c r="B1064" s="317"/>
      <c r="C1064" s="318"/>
      <c r="D1064" s="318"/>
      <c r="E1064" s="318"/>
      <c r="F1064" s="318"/>
      <c r="G1064" s="318"/>
      <c r="H1064" s="318"/>
      <c r="I1064" s="319"/>
      <c r="J1064" s="321"/>
      <c r="K1064" s="321"/>
      <c r="L1064" s="1157"/>
      <c r="M1064" s="1158"/>
      <c r="N1064" s="322"/>
    </row>
    <row r="1065" spans="2:14" ht="13.5" thickBot="1">
      <c r="B1065" s="1100" t="s">
        <v>269</v>
      </c>
      <c r="C1065" s="1101"/>
      <c r="D1065" s="1101"/>
      <c r="E1065" s="1101"/>
      <c r="F1065" s="1101"/>
      <c r="G1065" s="1101"/>
      <c r="H1065" s="1101"/>
      <c r="I1065" s="1101"/>
      <c r="J1065" s="1101"/>
      <c r="K1065" s="1101"/>
      <c r="L1065" s="1101"/>
      <c r="M1065" s="1102"/>
      <c r="N1065" s="323">
        <f>+N1063+N1064</f>
        <v>17051.850370518503</v>
      </c>
    </row>
    <row r="1066" spans="2:14" ht="13.5" thickBot="1">
      <c r="B1066" s="324" t="s">
        <v>288</v>
      </c>
      <c r="C1066" s="325"/>
      <c r="D1066" s="325"/>
      <c r="E1066" s="325"/>
      <c r="F1066" s="325"/>
      <c r="G1066" s="325"/>
      <c r="H1066" s="325"/>
      <c r="I1066" s="326"/>
      <c r="J1066" s="327"/>
      <c r="K1066" s="328"/>
      <c r="L1066" s="329"/>
      <c r="M1066" s="329"/>
      <c r="N1066" s="330"/>
    </row>
    <row r="1067" spans="2:14">
      <c r="B1067" s="1130" t="s">
        <v>17</v>
      </c>
      <c r="C1067" s="1139"/>
      <c r="D1067" s="1139"/>
      <c r="E1067" s="1139"/>
      <c r="F1067" s="1139"/>
      <c r="G1067" s="1139"/>
      <c r="H1067" s="1139"/>
      <c r="I1067" s="1136"/>
      <c r="J1067" s="299" t="s">
        <v>259</v>
      </c>
      <c r="K1067" s="288" t="s">
        <v>133</v>
      </c>
      <c r="L1067" s="1133" t="s">
        <v>271</v>
      </c>
      <c r="M1067" s="1136"/>
      <c r="N1067" s="316" t="s">
        <v>265</v>
      </c>
    </row>
    <row r="1068" spans="2:14">
      <c r="B1068" s="331" t="s">
        <v>289</v>
      </c>
      <c r="C1068" s="332"/>
      <c r="D1068" s="332"/>
      <c r="E1068" s="332"/>
      <c r="F1068" s="332"/>
      <c r="G1068" s="332"/>
      <c r="H1068" s="332"/>
      <c r="I1068" s="333"/>
      <c r="J1068" s="334" t="s">
        <v>290</v>
      </c>
      <c r="K1068" s="335">
        <v>0.05</v>
      </c>
      <c r="L1068" s="1144">
        <f>+N1065</f>
        <v>17051.850370518503</v>
      </c>
      <c r="M1068" s="1145"/>
      <c r="N1068" s="322">
        <f>+K1068*L1068</f>
        <v>852.59251852592524</v>
      </c>
    </row>
    <row r="1069" spans="2:14" ht="13.5" thickBot="1">
      <c r="B1069" s="356"/>
      <c r="C1069" s="325"/>
      <c r="D1069" s="325"/>
      <c r="E1069" s="325"/>
      <c r="F1069" s="325"/>
      <c r="G1069" s="325"/>
      <c r="H1069" s="325"/>
      <c r="I1069" s="369"/>
      <c r="J1069" s="327"/>
      <c r="K1069" s="370"/>
      <c r="L1069" s="371"/>
      <c r="M1069" s="372"/>
      <c r="N1069" s="373"/>
    </row>
    <row r="1070" spans="2:14" ht="13.5" thickBot="1">
      <c r="B1070" s="1100" t="s">
        <v>269</v>
      </c>
      <c r="C1070" s="1101"/>
      <c r="D1070" s="1101"/>
      <c r="E1070" s="1101"/>
      <c r="F1070" s="1101"/>
      <c r="G1070" s="1101"/>
      <c r="H1070" s="1101"/>
      <c r="I1070" s="1101"/>
      <c r="J1070" s="1101"/>
      <c r="K1070" s="1101"/>
      <c r="L1070" s="1101"/>
      <c r="M1070" s="1102"/>
      <c r="N1070" s="323">
        <f>+N1068</f>
        <v>852.59251852592524</v>
      </c>
    </row>
    <row r="1071" spans="2:14">
      <c r="B1071" s="280"/>
      <c r="C1071" s="281"/>
      <c r="D1071" s="281"/>
      <c r="E1071" s="281"/>
      <c r="F1071" s="281"/>
      <c r="G1071" s="281"/>
      <c r="H1071" s="281"/>
      <c r="I1071" s="281"/>
      <c r="J1071" s="281"/>
      <c r="K1071" s="281"/>
      <c r="L1071" s="281"/>
      <c r="M1071" s="281"/>
      <c r="N1071" s="282"/>
    </row>
    <row r="1072" spans="2:14" ht="13.5" thickBot="1">
      <c r="B1072" s="378"/>
      <c r="C1072" s="311"/>
      <c r="D1072" s="311"/>
      <c r="E1072" s="311"/>
      <c r="F1072" s="311"/>
      <c r="G1072" s="311"/>
      <c r="H1072" s="311"/>
      <c r="I1072" s="311"/>
      <c r="J1072" s="311"/>
      <c r="K1072" s="311"/>
      <c r="L1072" s="311"/>
      <c r="M1072" s="311"/>
      <c r="N1072" s="379"/>
    </row>
    <row r="1073" spans="2:14" ht="13.5" thickBot="1">
      <c r="B1073" s="1150" t="s">
        <v>291</v>
      </c>
      <c r="C1073" s="1151"/>
      <c r="D1073" s="1151"/>
      <c r="E1073" s="1151"/>
      <c r="F1073" s="1151"/>
      <c r="G1073" s="1151"/>
      <c r="H1073" s="1151"/>
      <c r="I1073" s="1151"/>
      <c r="J1073" s="1151"/>
      <c r="K1073" s="1151"/>
      <c r="L1073" s="1151"/>
      <c r="M1073" s="1152"/>
      <c r="N1073" s="336">
        <f>+N1044+N1051+N1058+N1065+N1070</f>
        <v>17904.442889044429</v>
      </c>
    </row>
    <row r="1074" spans="2:14">
      <c r="B1074" s="1103" t="s">
        <v>292</v>
      </c>
      <c r="C1074" s="1104"/>
      <c r="D1074" s="1104"/>
      <c r="E1074" s="1104"/>
      <c r="F1074" s="1104"/>
      <c r="G1074" s="1104"/>
      <c r="H1074" s="1104"/>
      <c r="I1074" s="1104"/>
      <c r="J1074" s="1104"/>
      <c r="K1074" s="1104"/>
      <c r="L1074" s="1104"/>
      <c r="M1074" s="1104"/>
      <c r="N1074" s="1105"/>
    </row>
    <row r="1075" spans="2:14">
      <c r="B1075" s="1106"/>
      <c r="C1075" s="1107"/>
      <c r="D1075" s="1107"/>
      <c r="E1075" s="1107"/>
      <c r="F1075" s="1107"/>
      <c r="G1075" s="1107"/>
      <c r="H1075" s="1107"/>
      <c r="I1075" s="1107"/>
      <c r="J1075" s="1107"/>
      <c r="K1075" s="1107"/>
      <c r="L1075" s="1107"/>
      <c r="M1075" s="1107"/>
      <c r="N1075" s="1108"/>
    </row>
    <row r="1076" spans="2:14" ht="13.5" thickBot="1">
      <c r="B1076" s="1109"/>
      <c r="C1076" s="1110"/>
      <c r="D1076" s="1110"/>
      <c r="E1076" s="1110"/>
      <c r="F1076" s="1110"/>
      <c r="G1076" s="1110"/>
      <c r="H1076" s="1110"/>
      <c r="I1076" s="1110"/>
      <c r="J1076" s="1110"/>
      <c r="K1076" s="1110"/>
      <c r="L1076" s="1110"/>
      <c r="M1076" s="1110"/>
      <c r="N1076" s="1111"/>
    </row>
    <row r="1077" spans="2:14">
      <c r="B1077" s="1130" t="s">
        <v>17</v>
      </c>
      <c r="C1077" s="1139"/>
      <c r="D1077" s="1139"/>
      <c r="E1077" s="1139"/>
      <c r="F1077" s="1139"/>
      <c r="G1077" s="1139"/>
      <c r="H1077" s="1139"/>
      <c r="I1077" s="306"/>
      <c r="J1077" s="337"/>
      <c r="K1077" s="315" t="s">
        <v>79</v>
      </c>
      <c r="L1077" s="1140" t="s">
        <v>11</v>
      </c>
      <c r="M1077" s="1141"/>
      <c r="N1077" s="316"/>
    </row>
    <row r="1078" spans="2:14">
      <c r="B1078" s="1112" t="s">
        <v>232</v>
      </c>
      <c r="C1078" s="1113"/>
      <c r="D1078" s="1113"/>
      <c r="E1078" s="1113"/>
      <c r="F1078" s="1113"/>
      <c r="G1078" s="1113"/>
      <c r="H1078" s="1113"/>
      <c r="I1078" s="338"/>
      <c r="J1078" s="339"/>
      <c r="K1078" s="340">
        <f>'PRESUPUESTO OFICIAL'!$K$100</f>
        <v>0</v>
      </c>
      <c r="L1078" s="1146">
        <f>K1078*N1073</f>
        <v>0</v>
      </c>
      <c r="M1078" s="1147"/>
      <c r="N1078" s="341"/>
    </row>
    <row r="1079" spans="2:14">
      <c r="B1079" s="292" t="s">
        <v>293</v>
      </c>
      <c r="C1079" s="293"/>
      <c r="D1079" s="293"/>
      <c r="E1079" s="293"/>
      <c r="F1079" s="293"/>
      <c r="G1079" s="293"/>
      <c r="H1079" s="293"/>
      <c r="I1079" s="338"/>
      <c r="J1079" s="339"/>
      <c r="K1079" s="340">
        <f>'PRESUPUESTO OFICIAL'!$K$101</f>
        <v>0</v>
      </c>
      <c r="L1079" s="1146">
        <f>K1079*N1073</f>
        <v>0</v>
      </c>
      <c r="M1079" s="1147"/>
      <c r="N1079" s="341"/>
    </row>
    <row r="1080" spans="2:14" ht="13.5" thickBot="1">
      <c r="B1080" s="277" t="s">
        <v>294</v>
      </c>
      <c r="C1080" s="278"/>
      <c r="D1080" s="278"/>
      <c r="E1080" s="278"/>
      <c r="F1080" s="278"/>
      <c r="G1080" s="278"/>
      <c r="H1080" s="278"/>
      <c r="I1080" s="342"/>
      <c r="J1080" s="343"/>
      <c r="K1080" s="340">
        <f>'PRESUPUESTO OFICIAL'!$K$102</f>
        <v>0</v>
      </c>
      <c r="L1080" s="1148">
        <f>K1080*N1073</f>
        <v>0</v>
      </c>
      <c r="M1080" s="1149"/>
      <c r="N1080" s="341"/>
    </row>
    <row r="1081" spans="2:14" ht="13.5" thickBot="1">
      <c r="B1081" s="1100" t="s">
        <v>269</v>
      </c>
      <c r="C1081" s="1101"/>
      <c r="D1081" s="1101"/>
      <c r="E1081" s="1101"/>
      <c r="F1081" s="1101"/>
      <c r="G1081" s="1101"/>
      <c r="H1081" s="1101"/>
      <c r="I1081" s="1101"/>
      <c r="J1081" s="1101"/>
      <c r="K1081" s="1101"/>
      <c r="L1081" s="1101"/>
      <c r="M1081" s="1102"/>
      <c r="N1081" s="344">
        <f>SUM(L1078:M1080)</f>
        <v>0</v>
      </c>
    </row>
    <row r="1082" spans="2:14" ht="13.5" thickBot="1">
      <c r="B1082" s="283"/>
      <c r="N1082" s="284"/>
    </row>
    <row r="1083" spans="2:14" ht="13.5" thickBot="1">
      <c r="B1083" s="1150" t="s">
        <v>295</v>
      </c>
      <c r="C1083" s="1151"/>
      <c r="D1083" s="1151"/>
      <c r="E1083" s="1151"/>
      <c r="F1083" s="1151"/>
      <c r="G1083" s="1151"/>
      <c r="H1083" s="1151"/>
      <c r="I1083" s="1151"/>
      <c r="J1083" s="1151"/>
      <c r="K1083" s="1151"/>
      <c r="L1083" s="1151"/>
      <c r="M1083" s="1152"/>
      <c r="N1083" s="345">
        <f>ROUND(N1073+N1081,0)</f>
        <v>17904</v>
      </c>
    </row>
    <row r="1084" spans="2:14">
      <c r="B1084" s="280"/>
      <c r="C1084" s="281"/>
      <c r="D1084" s="281"/>
      <c r="E1084" s="281"/>
      <c r="F1084" s="281"/>
      <c r="G1084" s="281"/>
      <c r="H1084" s="281"/>
      <c r="I1084" s="281"/>
      <c r="J1084" s="281"/>
      <c r="K1084" s="281"/>
      <c r="L1084" s="281"/>
      <c r="M1084" s="281"/>
      <c r="N1084" s="282"/>
    </row>
    <row r="1085" spans="2:14">
      <c r="B1085" s="283"/>
      <c r="N1085" s="284"/>
    </row>
    <row r="1086" spans="2:14">
      <c r="B1086" s="283"/>
      <c r="N1086" s="284"/>
    </row>
    <row r="1087" spans="2:14">
      <c r="B1087" s="283"/>
      <c r="G1087" s="346" t="s">
        <v>296</v>
      </c>
      <c r="H1087" s="346"/>
      <c r="I1087" s="346"/>
      <c r="J1087" s="346"/>
      <c r="N1087" s="284"/>
    </row>
    <row r="1088" spans="2:14">
      <c r="B1088" s="347"/>
      <c r="C1088" s="348"/>
      <c r="D1088" s="348"/>
      <c r="E1088" s="348"/>
      <c r="F1088" s="348"/>
      <c r="G1088" s="346" t="s">
        <v>297</v>
      </c>
      <c r="H1088" s="348"/>
      <c r="I1088" s="348"/>
      <c r="J1088" s="348"/>
      <c r="K1088" s="348"/>
      <c r="L1088" s="348"/>
      <c r="M1088" s="348"/>
      <c r="N1088" s="349"/>
    </row>
    <row r="1089" spans="2:14">
      <c r="B1089" s="347"/>
      <c r="C1089" s="348"/>
      <c r="D1089" s="348"/>
      <c r="E1089" s="348"/>
      <c r="F1089" s="348"/>
      <c r="G1089" s="346" t="s">
        <v>298</v>
      </c>
      <c r="J1089" s="348"/>
      <c r="K1089" s="348"/>
      <c r="L1089" s="348"/>
      <c r="M1089" s="348"/>
      <c r="N1089" s="349"/>
    </row>
    <row r="1090" spans="2:14">
      <c r="B1090" s="268"/>
      <c r="C1090" s="350"/>
      <c r="D1090" s="350"/>
      <c r="E1090" s="350"/>
      <c r="F1090" s="350"/>
      <c r="G1090" s="346" t="s">
        <v>299</v>
      </c>
      <c r="H1090" s="350"/>
      <c r="I1090" s="350"/>
      <c r="J1090" s="350"/>
      <c r="K1090" s="350"/>
      <c r="L1090" s="350"/>
      <c r="M1090" s="350"/>
      <c r="N1090" s="351"/>
    </row>
    <row r="1091" spans="2:14">
      <c r="B1091" s="283"/>
      <c r="G1091" s="258" t="s">
        <v>300</v>
      </c>
      <c r="N1091" s="284"/>
    </row>
    <row r="1092" spans="2:14">
      <c r="B1092" s="352" t="s">
        <v>301</v>
      </c>
      <c r="C1092" s="353"/>
      <c r="D1092" s="353"/>
      <c r="E1092" s="353"/>
      <c r="F1092" s="353"/>
      <c r="G1092" s="353"/>
      <c r="H1092" s="353"/>
      <c r="I1092" s="353"/>
      <c r="J1092" s="353"/>
      <c r="K1092" s="353"/>
      <c r="L1092" s="353"/>
      <c r="M1092" s="353"/>
      <c r="N1092" s="354"/>
    </row>
    <row r="1093" spans="2:14">
      <c r="B1093" s="1153"/>
      <c r="C1093" s="1154"/>
      <c r="D1093" s="1154"/>
      <c r="E1093" s="1154"/>
      <c r="F1093" s="1154"/>
      <c r="G1093" s="1154"/>
      <c r="H1093" s="1154"/>
      <c r="I1093" s="1154"/>
      <c r="J1093" s="1154"/>
      <c r="K1093" s="1154"/>
      <c r="L1093" s="1154"/>
      <c r="M1093" s="1154"/>
      <c r="N1093" s="1155"/>
    </row>
    <row r="1094" spans="2:14">
      <c r="B1094" s="1153"/>
      <c r="C1094" s="1154"/>
      <c r="D1094" s="1154"/>
      <c r="E1094" s="1154"/>
      <c r="F1094" s="1154"/>
      <c r="G1094" s="1154"/>
      <c r="H1094" s="1154"/>
      <c r="I1094" s="1154"/>
      <c r="J1094" s="1154"/>
      <c r="K1094" s="1154"/>
      <c r="L1094" s="1154"/>
      <c r="M1094" s="1154"/>
      <c r="N1094" s="1155"/>
    </row>
    <row r="1095" spans="2:14">
      <c r="B1095" s="268"/>
      <c r="C1095" s="350"/>
      <c r="D1095" s="350"/>
      <c r="E1095" s="350"/>
      <c r="F1095" s="350"/>
      <c r="G1095" s="350"/>
      <c r="H1095" s="350"/>
      <c r="I1095" s="350"/>
      <c r="J1095" s="350"/>
      <c r="K1095" s="350"/>
      <c r="L1095" s="350"/>
      <c r="M1095" s="350"/>
      <c r="N1095" s="351"/>
    </row>
    <row r="1096" spans="2:14">
      <c r="B1096" s="355" t="s">
        <v>302</v>
      </c>
      <c r="C1096" s="350"/>
      <c r="D1096" s="350"/>
      <c r="E1096" s="350"/>
      <c r="F1096" s="350"/>
      <c r="G1096" s="350"/>
      <c r="H1096" s="350"/>
      <c r="I1096" s="350"/>
      <c r="J1096" s="350"/>
      <c r="K1096" s="350"/>
      <c r="L1096" s="350"/>
      <c r="M1096" s="350"/>
      <c r="N1096" s="351"/>
    </row>
    <row r="1097" spans="2:14">
      <c r="B1097" s="1159" t="s">
        <v>303</v>
      </c>
      <c r="C1097" s="1160"/>
      <c r="D1097" s="1160"/>
      <c r="E1097" s="1160"/>
      <c r="F1097" s="1160"/>
      <c r="G1097" s="1160"/>
      <c r="H1097" s="1160"/>
      <c r="I1097" s="1160"/>
      <c r="J1097" s="1160"/>
      <c r="K1097" s="1160"/>
      <c r="L1097" s="1160"/>
      <c r="M1097" s="1160"/>
      <c r="N1097" s="1161"/>
    </row>
    <row r="1098" spans="2:14">
      <c r="B1098" s="1159"/>
      <c r="C1098" s="1160"/>
      <c r="D1098" s="1160"/>
      <c r="E1098" s="1160"/>
      <c r="F1098" s="1160"/>
      <c r="G1098" s="1160"/>
      <c r="H1098" s="1160"/>
      <c r="I1098" s="1160"/>
      <c r="J1098" s="1160"/>
      <c r="K1098" s="1160"/>
      <c r="L1098" s="1160"/>
      <c r="M1098" s="1160"/>
      <c r="N1098" s="1161"/>
    </row>
    <row r="1099" spans="2:14">
      <c r="B1099" s="1159" t="s">
        <v>304</v>
      </c>
      <c r="C1099" s="1160"/>
      <c r="D1099" s="1160"/>
      <c r="E1099" s="1160"/>
      <c r="F1099" s="1160"/>
      <c r="G1099" s="1160"/>
      <c r="H1099" s="1160"/>
      <c r="I1099" s="1160"/>
      <c r="J1099" s="1160"/>
      <c r="K1099" s="1160"/>
      <c r="L1099" s="1160"/>
      <c r="M1099" s="1160"/>
      <c r="N1099" s="1161"/>
    </row>
    <row r="1100" spans="2:14">
      <c r="B1100" s="1159"/>
      <c r="C1100" s="1160"/>
      <c r="D1100" s="1160"/>
      <c r="E1100" s="1160"/>
      <c r="F1100" s="1160"/>
      <c r="G1100" s="1160"/>
      <c r="H1100" s="1160"/>
      <c r="I1100" s="1160"/>
      <c r="J1100" s="1160"/>
      <c r="K1100" s="1160"/>
      <c r="L1100" s="1160"/>
      <c r="M1100" s="1160"/>
      <c r="N1100" s="1161"/>
    </row>
    <row r="1101" spans="2:14">
      <c r="B1101" s="268"/>
      <c r="C1101" s="350"/>
      <c r="D1101" s="350"/>
      <c r="E1101" s="350"/>
      <c r="F1101" s="350"/>
      <c r="G1101" s="350"/>
      <c r="H1101" s="350"/>
      <c r="I1101" s="350"/>
      <c r="J1101" s="350"/>
      <c r="K1101" s="350"/>
      <c r="L1101" s="350"/>
      <c r="M1101" s="350"/>
      <c r="N1101" s="351"/>
    </row>
    <row r="1102" spans="2:14">
      <c r="B1102" s="283"/>
      <c r="G1102" s="346" t="s">
        <v>296</v>
      </c>
      <c r="N1102" s="284"/>
    </row>
    <row r="1103" spans="2:14">
      <c r="B1103" s="283"/>
      <c r="G1103" s="258" t="s">
        <v>305</v>
      </c>
      <c r="H1103" s="293"/>
      <c r="I1103" s="293"/>
      <c r="J1103" s="293"/>
      <c r="N1103" s="284"/>
    </row>
    <row r="1104" spans="2:14">
      <c r="B1104" s="283"/>
      <c r="G1104" s="258" t="s">
        <v>306</v>
      </c>
      <c r="H1104" s="325"/>
      <c r="I1104" s="325"/>
      <c r="J1104" s="325"/>
      <c r="N1104" s="284"/>
    </row>
    <row r="1105" spans="2:14">
      <c r="B1105" s="356"/>
      <c r="C1105" s="350"/>
      <c r="D1105" s="350"/>
      <c r="E1105" s="350"/>
      <c r="F1105" s="350"/>
      <c r="G1105" s="258" t="s">
        <v>299</v>
      </c>
      <c r="K1105" s="350"/>
      <c r="L1105" s="350"/>
      <c r="M1105" s="350"/>
      <c r="N1105" s="351"/>
    </row>
    <row r="1106" spans="2:14">
      <c r="B1106" s="357"/>
      <c r="C1106" s="358"/>
      <c r="D1106" s="358"/>
      <c r="J1106" s="1162"/>
      <c r="K1106" s="1162"/>
      <c r="L1106" s="1162"/>
      <c r="M1106" s="1162"/>
      <c r="N1106" s="1163"/>
    </row>
    <row r="1107" spans="2:14" ht="13.5" thickBot="1">
      <c r="B1107" s="1166"/>
      <c r="C1107" s="1167"/>
      <c r="D1107" s="1167"/>
      <c r="E1107" s="311"/>
      <c r="F1107" s="311"/>
      <c r="G1107" s="311"/>
      <c r="H1107" s="311"/>
      <c r="I1107" s="311"/>
      <c r="J1107" s="1164"/>
      <c r="K1107" s="1164"/>
      <c r="L1107" s="1164"/>
      <c r="M1107" s="1164"/>
      <c r="N1107" s="1165"/>
    </row>
    <row r="1108" spans="2:14" ht="13.5" thickBot="1"/>
    <row r="1109" spans="2:14">
      <c r="B1109" s="1070"/>
      <c r="C1109" s="1072"/>
      <c r="D1109" s="1073"/>
      <c r="E1109" s="1073"/>
      <c r="F1109" s="1073"/>
      <c r="G1109" s="1073"/>
      <c r="H1109" s="1073"/>
      <c r="I1109" s="1073"/>
      <c r="J1109" s="1074"/>
      <c r="K1109" s="1075"/>
      <c r="L1109" s="1076"/>
      <c r="M1109" s="1076"/>
      <c r="N1109" s="1077"/>
    </row>
    <row r="1110" spans="2:14">
      <c r="B1110" s="1071"/>
      <c r="C1110" s="1062" t="s">
        <v>244</v>
      </c>
      <c r="D1110" s="1063"/>
      <c r="E1110" s="1063"/>
      <c r="F1110" s="1063"/>
      <c r="G1110" s="1063"/>
      <c r="H1110" s="1063"/>
      <c r="I1110" s="1063"/>
      <c r="J1110" s="1064"/>
      <c r="K1110" s="1078"/>
      <c r="L1110" s="1079"/>
      <c r="M1110" s="1079"/>
      <c r="N1110" s="1080"/>
    </row>
    <row r="1111" spans="2:14">
      <c r="B1111" s="1071"/>
      <c r="C1111" s="1081"/>
      <c r="D1111" s="1082"/>
      <c r="E1111" s="1082"/>
      <c r="F1111" s="1082"/>
      <c r="G1111" s="1082"/>
      <c r="H1111" s="1082"/>
      <c r="I1111" s="1082"/>
      <c r="J1111" s="1083"/>
      <c r="K1111" s="1058" t="s">
        <v>245</v>
      </c>
      <c r="L1111" s="1085"/>
      <c r="M1111" s="1086"/>
      <c r="N1111" s="1087"/>
    </row>
    <row r="1112" spans="2:14">
      <c r="B1112" s="1071"/>
      <c r="C1112" s="1062" t="s">
        <v>246</v>
      </c>
      <c r="D1112" s="1063"/>
      <c r="E1112" s="1063"/>
      <c r="F1112" s="1063"/>
      <c r="G1112" s="1063"/>
      <c r="H1112" s="1063"/>
      <c r="I1112" s="1063"/>
      <c r="J1112" s="1064"/>
      <c r="K1112" s="1084"/>
      <c r="L1112" s="1088"/>
      <c r="M1112" s="1089"/>
      <c r="N1112" s="1090"/>
    </row>
    <row r="1113" spans="2:14">
      <c r="B1113" s="1071"/>
      <c r="C1113" s="1091"/>
      <c r="D1113" s="1092"/>
      <c r="E1113" s="1092"/>
      <c r="F1113" s="1092"/>
      <c r="G1113" s="1092"/>
      <c r="H1113" s="1092"/>
      <c r="I1113" s="1092"/>
      <c r="J1113" s="1093"/>
      <c r="K1113" s="1058" t="s">
        <v>247</v>
      </c>
      <c r="L1113" s="1058">
        <v>13</v>
      </c>
      <c r="M1113" s="1058" t="s">
        <v>248</v>
      </c>
      <c r="N1113" s="1060">
        <v>80</v>
      </c>
    </row>
    <row r="1114" spans="2:14">
      <c r="B1114" s="1071"/>
      <c r="C1114" s="1091"/>
      <c r="D1114" s="1092"/>
      <c r="E1114" s="1092"/>
      <c r="F1114" s="1092"/>
      <c r="G1114" s="1092"/>
      <c r="H1114" s="1092"/>
      <c r="I1114" s="1092"/>
      <c r="J1114" s="1093"/>
      <c r="K1114" s="1059"/>
      <c r="L1114" s="1059"/>
      <c r="M1114" s="1059"/>
      <c r="N1114" s="1061"/>
    </row>
    <row r="1115" spans="2:14">
      <c r="B1115" s="1071"/>
      <c r="C1115" s="1062" t="s">
        <v>249</v>
      </c>
      <c r="D1115" s="1063"/>
      <c r="E1115" s="1063"/>
      <c r="F1115" s="1063"/>
      <c r="G1115" s="1063"/>
      <c r="H1115" s="1063"/>
      <c r="I1115" s="1063"/>
      <c r="J1115" s="1064"/>
      <c r="K1115" s="1059"/>
      <c r="L1115" s="1059"/>
      <c r="M1115" s="1059"/>
      <c r="N1115" s="1061"/>
    </row>
    <row r="1116" spans="2:14" ht="13.5" thickBot="1">
      <c r="B1116" s="259"/>
      <c r="C1116" s="260"/>
      <c r="D1116" s="260"/>
      <c r="E1116" s="260"/>
      <c r="F1116" s="260"/>
      <c r="G1116" s="260"/>
      <c r="H1116" s="260"/>
      <c r="I1116" s="260"/>
      <c r="J1116" s="260"/>
      <c r="K1116" s="260"/>
      <c r="L1116" s="261"/>
      <c r="M1116" s="261"/>
      <c r="N1116" s="262"/>
    </row>
    <row r="1117" spans="2:14">
      <c r="B1117" s="263"/>
      <c r="C1117" s="264"/>
      <c r="D1117" s="264"/>
      <c r="E1117" s="264"/>
      <c r="F1117" s="264"/>
      <c r="G1117" s="264"/>
      <c r="H1117" s="264"/>
      <c r="I1117" s="264"/>
      <c r="J1117" s="264"/>
      <c r="K1117" s="265" t="s">
        <v>250</v>
      </c>
      <c r="L1117" s="266" t="s">
        <v>251</v>
      </c>
      <c r="M1117" s="266" t="s">
        <v>252</v>
      </c>
      <c r="N1117" s="267" t="s">
        <v>253</v>
      </c>
    </row>
    <row r="1118" spans="2:14">
      <c r="B1118" s="268"/>
      <c r="C1118" s="269"/>
      <c r="D1118" s="269"/>
      <c r="E1118" s="269"/>
      <c r="F1118" s="269"/>
      <c r="G1118" s="269"/>
      <c r="H1118" s="269"/>
      <c r="I1118" s="269"/>
      <c r="J1118" s="269"/>
      <c r="K1118" s="270"/>
      <c r="L1118" s="271"/>
      <c r="M1118" s="271"/>
      <c r="N1118" s="272"/>
    </row>
    <row r="1119" spans="2:14">
      <c r="B1119" s="1065" t="s">
        <v>254</v>
      </c>
      <c r="C1119" s="1066"/>
      <c r="D1119" s="1066"/>
      <c r="E1119" s="1066"/>
      <c r="F1119" s="269"/>
      <c r="G1119" s="269"/>
      <c r="H1119" s="269" t="s">
        <v>255</v>
      </c>
      <c r="J1119" s="269"/>
      <c r="K1119" s="270"/>
      <c r="N1119" s="273"/>
    </row>
    <row r="1120" spans="2:14">
      <c r="B1120" s="274"/>
      <c r="C1120" s="275"/>
      <c r="D1120" s="275"/>
      <c r="E1120" s="275"/>
      <c r="F1120" s="275"/>
      <c r="G1120" s="275"/>
      <c r="H1120" s="275"/>
      <c r="I1120" s="275"/>
      <c r="J1120" s="275"/>
      <c r="K1120" s="275"/>
      <c r="L1120" s="275"/>
      <c r="M1120" s="275"/>
      <c r="N1120" s="276"/>
    </row>
    <row r="1121" spans="2:14" ht="13.5" thickBot="1">
      <c r="B1121" s="277"/>
      <c r="C1121" s="278"/>
      <c r="D1121" s="278"/>
      <c r="E1121" s="278"/>
      <c r="F1121" s="278"/>
      <c r="G1121" s="278"/>
      <c r="H1121" s="278"/>
      <c r="I1121" s="278"/>
      <c r="J1121" s="278"/>
      <c r="K1121" s="278"/>
      <c r="L1121" s="278"/>
      <c r="M1121" s="278"/>
      <c r="N1121" s="279"/>
    </row>
    <row r="1122" spans="2:14" ht="13.5" thickBot="1">
      <c r="B1122" s="280"/>
      <c r="C1122" s="281"/>
      <c r="D1122" s="281"/>
      <c r="E1122" s="281"/>
      <c r="F1122" s="281"/>
      <c r="G1122" s="281"/>
      <c r="J1122" s="281"/>
      <c r="K1122" s="281"/>
      <c r="L1122" s="281"/>
      <c r="M1122" s="281"/>
      <c r="N1122" s="282"/>
    </row>
    <row r="1123" spans="2:14">
      <c r="B1123" s="1067" t="s">
        <v>256</v>
      </c>
      <c r="C1123" s="1068"/>
      <c r="D1123" s="1068"/>
      <c r="E1123" s="1068"/>
      <c r="F1123" s="1068"/>
      <c r="G1123" s="1068"/>
      <c r="H1123" s="1068"/>
      <c r="I1123" s="1068"/>
      <c r="J1123" s="1068"/>
      <c r="K1123" s="1068"/>
      <c r="L1123" s="1068"/>
      <c r="M1123" s="1068"/>
      <c r="N1123" s="1069"/>
    </row>
    <row r="1124" spans="2:14" ht="13.5" thickBot="1">
      <c r="B1124" s="283"/>
      <c r="N1124" s="284"/>
    </row>
    <row r="1125" spans="2:14">
      <c r="B1125" s="285" t="s">
        <v>257</v>
      </c>
      <c r="C1125" s="1120" t="s">
        <v>258</v>
      </c>
      <c r="D1125" s="1121"/>
      <c r="E1125" s="1121"/>
      <c r="F1125" s="1121"/>
      <c r="G1125" s="1121"/>
      <c r="H1125" s="1121"/>
      <c r="I1125" s="1121"/>
      <c r="J1125" s="1121"/>
      <c r="K1125" s="1122"/>
      <c r="L1125" s="1123" t="s">
        <v>259</v>
      </c>
      <c r="M1125" s="1124"/>
      <c r="N1125" s="285" t="s">
        <v>133</v>
      </c>
    </row>
    <row r="1126" spans="2:14" ht="13.5" thickBot="1">
      <c r="B1126" s="286">
        <v>13</v>
      </c>
      <c r="C1126" s="1125" t="s">
        <v>154</v>
      </c>
      <c r="D1126" s="1126"/>
      <c r="E1126" s="1126"/>
      <c r="F1126" s="1126"/>
      <c r="G1126" s="1126"/>
      <c r="H1126" s="1126"/>
      <c r="I1126" s="1126"/>
      <c r="J1126" s="1126"/>
      <c r="K1126" s="1127"/>
      <c r="L1126" s="1128" t="s">
        <v>147</v>
      </c>
      <c r="M1126" s="1129"/>
      <c r="N1126" s="366">
        <v>80</v>
      </c>
    </row>
    <row r="1127" spans="2:14">
      <c r="B1127" s="1103" t="s">
        <v>260</v>
      </c>
      <c r="C1127" s="1104"/>
      <c r="D1127" s="1104"/>
      <c r="E1127" s="1104"/>
      <c r="F1127" s="1104"/>
      <c r="G1127" s="1104"/>
      <c r="H1127" s="1104"/>
      <c r="I1127" s="1104"/>
      <c r="J1127" s="1104"/>
      <c r="K1127" s="1104"/>
      <c r="L1127" s="1104"/>
      <c r="M1127" s="1104"/>
      <c r="N1127" s="1105"/>
    </row>
    <row r="1128" spans="2:14">
      <c r="B1128" s="1106"/>
      <c r="C1128" s="1107"/>
      <c r="D1128" s="1107"/>
      <c r="E1128" s="1107"/>
      <c r="F1128" s="1107"/>
      <c r="G1128" s="1107"/>
      <c r="H1128" s="1107"/>
      <c r="I1128" s="1107"/>
      <c r="J1128" s="1107"/>
      <c r="K1128" s="1107"/>
      <c r="L1128" s="1107"/>
      <c r="M1128" s="1107"/>
      <c r="N1128" s="1108"/>
    </row>
    <row r="1129" spans="2:14" ht="13.5" thickBot="1">
      <c r="B1129" s="1109"/>
      <c r="C1129" s="1110"/>
      <c r="D1129" s="1110"/>
      <c r="E1129" s="1110"/>
      <c r="F1129" s="1110"/>
      <c r="G1129" s="1110"/>
      <c r="H1129" s="1110"/>
      <c r="I1129" s="1110"/>
      <c r="J1129" s="1110"/>
      <c r="K1129" s="1110"/>
      <c r="L1129" s="1110"/>
      <c r="M1129" s="1110"/>
      <c r="N1129" s="1111"/>
    </row>
    <row r="1130" spans="2:14">
      <c r="B1130" s="1130" t="s">
        <v>258</v>
      </c>
      <c r="C1130" s="1131"/>
      <c r="D1130" s="1131"/>
      <c r="E1130" s="1131"/>
      <c r="F1130" s="1132"/>
      <c r="G1130" s="1133" t="s">
        <v>261</v>
      </c>
      <c r="H1130" s="1131"/>
      <c r="I1130" s="1134" t="s">
        <v>262</v>
      </c>
      <c r="J1130" s="1135"/>
      <c r="K1130" s="288" t="s">
        <v>263</v>
      </c>
      <c r="L1130" s="1133" t="s">
        <v>264</v>
      </c>
      <c r="M1130" s="1136"/>
      <c r="N1130" s="289" t="s">
        <v>265</v>
      </c>
    </row>
    <row r="1131" spans="2:14">
      <c r="B1131" s="1179"/>
      <c r="C1131" s="1180"/>
      <c r="D1131" s="1180"/>
      <c r="E1131" s="1180"/>
      <c r="F1131" s="1181"/>
      <c r="G1131" s="1115"/>
      <c r="H1131" s="1114"/>
      <c r="I1131" s="1182"/>
      <c r="J1131" s="1183"/>
      <c r="K1131" s="290"/>
      <c r="L1131" s="1118"/>
      <c r="M1131" s="1119"/>
      <c r="N1131" s="290"/>
    </row>
    <row r="1132" spans="2:14" ht="13.5" thickBot="1">
      <c r="B1132" s="292"/>
      <c r="C1132" s="293"/>
      <c r="D1132" s="293"/>
      <c r="E1132" s="293"/>
      <c r="F1132" s="294"/>
      <c r="G1132" s="295"/>
      <c r="H1132" s="294"/>
      <c r="I1132" s="1116"/>
      <c r="J1132" s="1117"/>
      <c r="K1132" s="290"/>
      <c r="L1132" s="1118"/>
      <c r="M1132" s="1119"/>
      <c r="N1132" s="290"/>
    </row>
    <row r="1133" spans="2:14" ht="13.5" thickBot="1">
      <c r="B1133" s="1100" t="s">
        <v>269</v>
      </c>
      <c r="C1133" s="1101"/>
      <c r="D1133" s="1101"/>
      <c r="E1133" s="1101"/>
      <c r="F1133" s="1101"/>
      <c r="G1133" s="1101"/>
      <c r="H1133" s="1101"/>
      <c r="I1133" s="1101"/>
      <c r="J1133" s="1101"/>
      <c r="K1133" s="1101"/>
      <c r="L1133" s="1101"/>
      <c r="M1133" s="1102"/>
      <c r="N1133" s="323">
        <f>+N1131+N1132</f>
        <v>0</v>
      </c>
    </row>
    <row r="1134" spans="2:14">
      <c r="B1134" s="1103" t="s">
        <v>270</v>
      </c>
      <c r="C1134" s="1104"/>
      <c r="D1134" s="1104"/>
      <c r="E1134" s="1104"/>
      <c r="F1134" s="1104"/>
      <c r="G1134" s="1104"/>
      <c r="H1134" s="1104"/>
      <c r="I1134" s="1104"/>
      <c r="J1134" s="1104"/>
      <c r="K1134" s="1104"/>
      <c r="L1134" s="1104"/>
      <c r="M1134" s="1104"/>
      <c r="N1134" s="1105"/>
    </row>
    <row r="1135" spans="2:14">
      <c r="B1135" s="1106"/>
      <c r="C1135" s="1107"/>
      <c r="D1135" s="1107"/>
      <c r="E1135" s="1107"/>
      <c r="F1135" s="1107"/>
      <c r="G1135" s="1107"/>
      <c r="H1135" s="1107"/>
      <c r="I1135" s="1107"/>
      <c r="J1135" s="1107"/>
      <c r="K1135" s="1107"/>
      <c r="L1135" s="1107"/>
      <c r="M1135" s="1107"/>
      <c r="N1135" s="1108"/>
    </row>
    <row r="1136" spans="2:14" ht="13.5" thickBot="1">
      <c r="B1136" s="1109"/>
      <c r="C1136" s="1110"/>
      <c r="D1136" s="1110"/>
      <c r="E1136" s="1110"/>
      <c r="F1136" s="1110"/>
      <c r="G1136" s="1110"/>
      <c r="H1136" s="1110"/>
      <c r="I1136" s="1110"/>
      <c r="J1136" s="1110"/>
      <c r="K1136" s="1110"/>
      <c r="L1136" s="1110"/>
      <c r="M1136" s="1110"/>
      <c r="N1136" s="1111"/>
    </row>
    <row r="1137" spans="2:14">
      <c r="B1137" s="1130" t="s">
        <v>258</v>
      </c>
      <c r="C1137" s="1139"/>
      <c r="D1137" s="1139"/>
      <c r="E1137" s="1139"/>
      <c r="F1137" s="1139"/>
      <c r="G1137" s="1139"/>
      <c r="H1137" s="1139"/>
      <c r="I1137" s="1136"/>
      <c r="J1137" s="299" t="s">
        <v>259</v>
      </c>
      <c r="K1137" s="288" t="s">
        <v>133</v>
      </c>
      <c r="L1137" s="1133" t="s">
        <v>271</v>
      </c>
      <c r="M1137" s="1136"/>
      <c r="N1137" s="289" t="s">
        <v>265</v>
      </c>
    </row>
    <row r="1138" spans="2:14">
      <c r="B1138" s="1112"/>
      <c r="C1138" s="1113"/>
      <c r="D1138" s="1113"/>
      <c r="E1138" s="1113"/>
      <c r="F1138" s="1113"/>
      <c r="G1138" s="1113"/>
      <c r="H1138" s="1113"/>
      <c r="I1138" s="1114"/>
      <c r="J1138" s="300"/>
      <c r="K1138" s="301"/>
      <c r="L1138" s="1144"/>
      <c r="M1138" s="1145"/>
      <c r="N1138" s="363"/>
    </row>
    <row r="1139" spans="2:14" ht="13.5" thickBot="1">
      <c r="B1139" s="1094"/>
      <c r="C1139" s="1095"/>
      <c r="D1139" s="1095"/>
      <c r="E1139" s="1095"/>
      <c r="F1139" s="1095"/>
      <c r="G1139" s="1095"/>
      <c r="H1139" s="1095"/>
      <c r="I1139" s="1096"/>
      <c r="J1139" s="303"/>
      <c r="K1139" s="304"/>
      <c r="L1139" s="1144"/>
      <c r="M1139" s="1145"/>
      <c r="N1139" s="363"/>
    </row>
    <row r="1140" spans="2:14" ht="13.5" thickBot="1">
      <c r="B1140" s="1100" t="s">
        <v>269</v>
      </c>
      <c r="C1140" s="1101"/>
      <c r="D1140" s="1101"/>
      <c r="E1140" s="1101"/>
      <c r="F1140" s="1101"/>
      <c r="G1140" s="1101"/>
      <c r="H1140" s="1101"/>
      <c r="I1140" s="1101"/>
      <c r="J1140" s="1101"/>
      <c r="K1140" s="1101"/>
      <c r="L1140" s="1101"/>
      <c r="M1140" s="1102"/>
      <c r="N1140" s="323">
        <f>+N1138+N1139</f>
        <v>0</v>
      </c>
    </row>
    <row r="1141" spans="2:14">
      <c r="B1141" s="1103" t="s">
        <v>276</v>
      </c>
      <c r="C1141" s="1104"/>
      <c r="D1141" s="1104"/>
      <c r="E1141" s="1104"/>
      <c r="F1141" s="1104"/>
      <c r="G1141" s="1104"/>
      <c r="H1141" s="1104"/>
      <c r="I1141" s="1104"/>
      <c r="J1141" s="1104"/>
      <c r="K1141" s="1104"/>
      <c r="L1141" s="1104"/>
      <c r="M1141" s="1104"/>
      <c r="N1141" s="1105"/>
    </row>
    <row r="1142" spans="2:14">
      <c r="B1142" s="1106"/>
      <c r="C1142" s="1107"/>
      <c r="D1142" s="1107"/>
      <c r="E1142" s="1107"/>
      <c r="F1142" s="1107"/>
      <c r="G1142" s="1107"/>
      <c r="H1142" s="1107"/>
      <c r="I1142" s="1107"/>
      <c r="J1142" s="1107"/>
      <c r="K1142" s="1107"/>
      <c r="L1142" s="1107"/>
      <c r="M1142" s="1107"/>
      <c r="N1142" s="1108"/>
    </row>
    <row r="1143" spans="2:14" ht="13.5" thickBot="1">
      <c r="B1143" s="1109"/>
      <c r="C1143" s="1110"/>
      <c r="D1143" s="1110"/>
      <c r="E1143" s="1110"/>
      <c r="F1143" s="1110"/>
      <c r="G1143" s="1110"/>
      <c r="H1143" s="1110"/>
      <c r="I1143" s="1110"/>
      <c r="J1143" s="1110"/>
      <c r="K1143" s="1110"/>
      <c r="L1143" s="1110"/>
      <c r="M1143" s="1110"/>
      <c r="N1143" s="1111"/>
    </row>
    <row r="1144" spans="2:14">
      <c r="B1144" s="1130" t="s">
        <v>277</v>
      </c>
      <c r="C1144" s="1139"/>
      <c r="D1144" s="1139"/>
      <c r="E1144" s="1139"/>
      <c r="F1144" s="1139"/>
      <c r="G1144" s="1139"/>
      <c r="H1144" s="1139"/>
      <c r="I1144" s="288" t="s">
        <v>278</v>
      </c>
      <c r="J1144" s="306" t="s">
        <v>279</v>
      </c>
      <c r="K1144" s="307" t="s">
        <v>280</v>
      </c>
      <c r="L1144" s="1133" t="s">
        <v>281</v>
      </c>
      <c r="M1144" s="1136"/>
      <c r="N1144" s="289" t="s">
        <v>265</v>
      </c>
    </row>
    <row r="1145" spans="2:14">
      <c r="B1145" s="1112"/>
      <c r="C1145" s="1113"/>
      <c r="D1145" s="1113"/>
      <c r="E1145" s="1113"/>
      <c r="F1145" s="1113"/>
      <c r="G1145" s="1113"/>
      <c r="H1145" s="1113"/>
      <c r="I1145" s="308"/>
      <c r="J1145" s="309"/>
      <c r="K1145" s="308"/>
      <c r="L1145" s="1142"/>
      <c r="M1145" s="1143"/>
      <c r="N1145" s="297"/>
    </row>
    <row r="1146" spans="2:14" ht="13.5" thickBot="1">
      <c r="B1146" s="1094"/>
      <c r="C1146" s="1095"/>
      <c r="D1146" s="1095"/>
      <c r="E1146" s="1095"/>
      <c r="F1146" s="1095"/>
      <c r="G1146" s="1095"/>
      <c r="H1146" s="1095"/>
      <c r="I1146" s="310"/>
      <c r="J1146" s="311"/>
      <c r="K1146" s="310"/>
      <c r="L1146" s="1137"/>
      <c r="M1146" s="1138"/>
      <c r="N1146" s="312"/>
    </row>
    <row r="1147" spans="2:14" ht="13.5" thickBot="1">
      <c r="B1147" s="1100" t="s">
        <v>269</v>
      </c>
      <c r="C1147" s="1101"/>
      <c r="D1147" s="1101"/>
      <c r="E1147" s="1101"/>
      <c r="F1147" s="1101"/>
      <c r="G1147" s="1101"/>
      <c r="H1147" s="1101"/>
      <c r="I1147" s="1101"/>
      <c r="J1147" s="1101"/>
      <c r="K1147" s="1101"/>
      <c r="L1147" s="1101"/>
      <c r="M1147" s="1102"/>
      <c r="N1147" s="313">
        <v>0</v>
      </c>
    </row>
    <row r="1148" spans="2:14">
      <c r="B1148" s="1103" t="s">
        <v>282</v>
      </c>
      <c r="C1148" s="1104"/>
      <c r="D1148" s="1104"/>
      <c r="E1148" s="1104"/>
      <c r="F1148" s="1104"/>
      <c r="G1148" s="1104"/>
      <c r="H1148" s="1104"/>
      <c r="I1148" s="1104"/>
      <c r="J1148" s="1104"/>
      <c r="K1148" s="1104"/>
      <c r="L1148" s="1104"/>
      <c r="M1148" s="1104"/>
      <c r="N1148" s="1105"/>
    </row>
    <row r="1149" spans="2:14">
      <c r="B1149" s="1106"/>
      <c r="C1149" s="1107"/>
      <c r="D1149" s="1107"/>
      <c r="E1149" s="1107"/>
      <c r="F1149" s="1107"/>
      <c r="G1149" s="1107"/>
      <c r="H1149" s="1107"/>
      <c r="I1149" s="1107"/>
      <c r="J1149" s="1107"/>
      <c r="K1149" s="1107"/>
      <c r="L1149" s="1107"/>
      <c r="M1149" s="1107"/>
      <c r="N1149" s="1108"/>
    </row>
    <row r="1150" spans="2:14" ht="13.5" thickBot="1">
      <c r="B1150" s="1109"/>
      <c r="C1150" s="1110"/>
      <c r="D1150" s="1110"/>
      <c r="E1150" s="1110"/>
      <c r="F1150" s="1110"/>
      <c r="G1150" s="1110"/>
      <c r="H1150" s="1110"/>
      <c r="I1150" s="1110"/>
      <c r="J1150" s="1110"/>
      <c r="K1150" s="1110"/>
      <c r="L1150" s="1110"/>
      <c r="M1150" s="1110"/>
      <c r="N1150" s="1111"/>
    </row>
    <row r="1151" spans="2:14">
      <c r="B1151" s="1130" t="s">
        <v>283</v>
      </c>
      <c r="C1151" s="1139"/>
      <c r="D1151" s="1139"/>
      <c r="E1151" s="1139"/>
      <c r="F1151" s="1139"/>
      <c r="G1151" s="1139"/>
      <c r="H1151" s="1139"/>
      <c r="I1151" s="288" t="s">
        <v>284</v>
      </c>
      <c r="J1151" s="314" t="s">
        <v>285</v>
      </c>
      <c r="K1151" s="315" t="s">
        <v>286</v>
      </c>
      <c r="L1151" s="1140" t="s">
        <v>264</v>
      </c>
      <c r="M1151" s="1141"/>
      <c r="N1151" s="316" t="s">
        <v>265</v>
      </c>
    </row>
    <row r="1152" spans="2:14">
      <c r="B1152" s="317" t="s">
        <v>315</v>
      </c>
      <c r="C1152" s="318"/>
      <c r="D1152" s="318"/>
      <c r="E1152" s="318"/>
      <c r="F1152" s="318"/>
      <c r="G1152" s="318"/>
      <c r="H1152" s="318"/>
      <c r="I1152" s="319">
        <v>31851</v>
      </c>
      <c r="J1152" s="321">
        <v>23888</v>
      </c>
      <c r="K1152" s="321">
        <f>+I1152+J1152</f>
        <v>55739</v>
      </c>
      <c r="L1152" s="1157">
        <v>3.000003</v>
      </c>
      <c r="M1152" s="1158"/>
      <c r="N1152" s="322">
        <f>+K1152/L1152</f>
        <v>18579.648087018581</v>
      </c>
    </row>
    <row r="1153" spans="2:14" ht="13.5" thickBot="1">
      <c r="B1153" s="317"/>
      <c r="C1153" s="318"/>
      <c r="D1153" s="318"/>
      <c r="E1153" s="318"/>
      <c r="F1153" s="318"/>
      <c r="G1153" s="318"/>
      <c r="H1153" s="318"/>
      <c r="I1153" s="319"/>
      <c r="J1153" s="321"/>
      <c r="K1153" s="321"/>
      <c r="L1153" s="1157"/>
      <c r="M1153" s="1158"/>
      <c r="N1153" s="322"/>
    </row>
    <row r="1154" spans="2:14" ht="13.5" thickBot="1">
      <c r="B1154" s="1100" t="s">
        <v>269</v>
      </c>
      <c r="C1154" s="1101"/>
      <c r="D1154" s="1101"/>
      <c r="E1154" s="1101"/>
      <c r="F1154" s="1101"/>
      <c r="G1154" s="1101"/>
      <c r="H1154" s="1101"/>
      <c r="I1154" s="1101"/>
      <c r="J1154" s="1101"/>
      <c r="K1154" s="1101"/>
      <c r="L1154" s="1101"/>
      <c r="M1154" s="1102"/>
      <c r="N1154" s="323">
        <f>+N1152+N1153</f>
        <v>18579.648087018581</v>
      </c>
    </row>
    <row r="1155" spans="2:14" ht="13.5" thickBot="1">
      <c r="B1155" s="324" t="s">
        <v>288</v>
      </c>
      <c r="C1155" s="325"/>
      <c r="D1155" s="325"/>
      <c r="E1155" s="325"/>
      <c r="F1155" s="325"/>
      <c r="G1155" s="325"/>
      <c r="H1155" s="325"/>
      <c r="I1155" s="326"/>
      <c r="J1155" s="327"/>
      <c r="K1155" s="328"/>
      <c r="L1155" s="329"/>
      <c r="M1155" s="329"/>
      <c r="N1155" s="330"/>
    </row>
    <row r="1156" spans="2:14">
      <c r="B1156" s="1130" t="s">
        <v>17</v>
      </c>
      <c r="C1156" s="1139"/>
      <c r="D1156" s="1139"/>
      <c r="E1156" s="1139"/>
      <c r="F1156" s="1139"/>
      <c r="G1156" s="1139"/>
      <c r="H1156" s="1139"/>
      <c r="I1156" s="1136"/>
      <c r="J1156" s="299" t="s">
        <v>259</v>
      </c>
      <c r="K1156" s="288" t="s">
        <v>133</v>
      </c>
      <c r="L1156" s="1133" t="s">
        <v>271</v>
      </c>
      <c r="M1156" s="1136"/>
      <c r="N1156" s="316" t="s">
        <v>265</v>
      </c>
    </row>
    <row r="1157" spans="2:14">
      <c r="B1157" s="331" t="s">
        <v>289</v>
      </c>
      <c r="C1157" s="332"/>
      <c r="D1157" s="332"/>
      <c r="E1157" s="332"/>
      <c r="F1157" s="332"/>
      <c r="G1157" s="332"/>
      <c r="H1157" s="332"/>
      <c r="I1157" s="333"/>
      <c r="J1157" s="334" t="s">
        <v>290</v>
      </c>
      <c r="K1157" s="335">
        <v>0.05</v>
      </c>
      <c r="L1157" s="1144">
        <f>+N1154</f>
        <v>18579.648087018581</v>
      </c>
      <c r="M1157" s="1145"/>
      <c r="N1157" s="322">
        <f>+K1157*L1157</f>
        <v>928.98240435092907</v>
      </c>
    </row>
    <row r="1158" spans="2:14" ht="13.5" thickBot="1">
      <c r="B1158" s="356"/>
      <c r="C1158" s="325"/>
      <c r="D1158" s="325"/>
      <c r="E1158" s="325"/>
      <c r="F1158" s="325"/>
      <c r="G1158" s="325"/>
      <c r="H1158" s="325"/>
      <c r="I1158" s="369"/>
      <c r="J1158" s="327"/>
      <c r="K1158" s="370"/>
      <c r="L1158" s="371"/>
      <c r="M1158" s="372"/>
      <c r="N1158" s="373"/>
    </row>
    <row r="1159" spans="2:14" ht="13.5" thickBot="1">
      <c r="B1159" s="1100" t="s">
        <v>269</v>
      </c>
      <c r="C1159" s="1101"/>
      <c r="D1159" s="1101"/>
      <c r="E1159" s="1101"/>
      <c r="F1159" s="1101"/>
      <c r="G1159" s="1101"/>
      <c r="H1159" s="1101"/>
      <c r="I1159" s="1101"/>
      <c r="J1159" s="1101"/>
      <c r="K1159" s="1101"/>
      <c r="L1159" s="1101"/>
      <c r="M1159" s="1102"/>
      <c r="N1159" s="323">
        <f>+N1157</f>
        <v>928.98240435092907</v>
      </c>
    </row>
    <row r="1160" spans="2:14" ht="13.5" thickBot="1">
      <c r="B1160" s="374" t="s">
        <v>78</v>
      </c>
      <c r="C1160" s="325"/>
      <c r="D1160" s="325"/>
      <c r="E1160" s="325"/>
      <c r="F1160" s="325"/>
      <c r="G1160" s="325"/>
      <c r="H1160" s="325"/>
      <c r="I1160" s="369"/>
      <c r="J1160" s="327"/>
      <c r="K1160" s="370"/>
      <c r="L1160" s="371"/>
      <c r="M1160" s="372"/>
      <c r="N1160" s="373"/>
    </row>
    <row r="1161" spans="2:14">
      <c r="B1161" s="1130" t="s">
        <v>17</v>
      </c>
      <c r="C1161" s="1139"/>
      <c r="D1161" s="1139"/>
      <c r="E1161" s="1139"/>
      <c r="F1161" s="1139"/>
      <c r="G1161" s="1139"/>
      <c r="H1161" s="1139"/>
      <c r="I1161" s="1136"/>
      <c r="J1161" s="299" t="s">
        <v>259</v>
      </c>
      <c r="K1161" s="288" t="s">
        <v>133</v>
      </c>
      <c r="L1161" s="1133" t="s">
        <v>271</v>
      </c>
      <c r="M1161" s="1136"/>
      <c r="N1161" s="316" t="s">
        <v>265</v>
      </c>
    </row>
    <row r="1162" spans="2:14" ht="30" customHeight="1" thickBot="1">
      <c r="B1162" s="1179" t="s">
        <v>161</v>
      </c>
      <c r="C1162" s="1180"/>
      <c r="D1162" s="1180"/>
      <c r="E1162" s="1180"/>
      <c r="F1162" s="1180"/>
      <c r="G1162" s="1180"/>
      <c r="H1162" s="1181"/>
      <c r="I1162" s="333"/>
      <c r="J1162" s="384" t="s">
        <v>147</v>
      </c>
      <c r="K1162" s="385">
        <v>1</v>
      </c>
      <c r="L1162" s="1184">
        <v>38446</v>
      </c>
      <c r="M1162" s="1185"/>
      <c r="N1162" s="386">
        <f>+K1162*L1162</f>
        <v>38446</v>
      </c>
    </row>
    <row r="1163" spans="2:14" ht="13.5" thickBot="1">
      <c r="B1163" s="1100" t="s">
        <v>269</v>
      </c>
      <c r="C1163" s="1101"/>
      <c r="D1163" s="1101"/>
      <c r="E1163" s="1101"/>
      <c r="F1163" s="1101"/>
      <c r="G1163" s="1101"/>
      <c r="H1163" s="1101"/>
      <c r="I1163" s="1101"/>
      <c r="J1163" s="1101"/>
      <c r="K1163" s="1101"/>
      <c r="L1163" s="1101"/>
      <c r="M1163" s="1102"/>
      <c r="N1163" s="323">
        <f>+N1162</f>
        <v>38446</v>
      </c>
    </row>
    <row r="1164" spans="2:14">
      <c r="B1164" s="280"/>
      <c r="C1164" s="281"/>
      <c r="D1164" s="281"/>
      <c r="E1164" s="281"/>
      <c r="F1164" s="281"/>
      <c r="G1164" s="281"/>
      <c r="H1164" s="281"/>
      <c r="I1164" s="281"/>
      <c r="J1164" s="281"/>
      <c r="K1164" s="281"/>
      <c r="L1164" s="281"/>
      <c r="M1164" s="281"/>
      <c r="N1164" s="282"/>
    </row>
    <row r="1165" spans="2:14" ht="13.5" thickBot="1">
      <c r="B1165" s="378"/>
      <c r="C1165" s="311"/>
      <c r="D1165" s="311"/>
      <c r="E1165" s="311"/>
      <c r="F1165" s="311"/>
      <c r="G1165" s="311"/>
      <c r="H1165" s="311"/>
      <c r="I1165" s="311"/>
      <c r="J1165" s="311"/>
      <c r="K1165" s="311"/>
      <c r="L1165" s="311"/>
      <c r="M1165" s="311"/>
      <c r="N1165" s="379"/>
    </row>
    <row r="1166" spans="2:14" ht="13.5" thickBot="1">
      <c r="B1166" s="1150" t="s">
        <v>291</v>
      </c>
      <c r="C1166" s="1151"/>
      <c r="D1166" s="1151"/>
      <c r="E1166" s="1151"/>
      <c r="F1166" s="1151"/>
      <c r="G1166" s="1151"/>
      <c r="H1166" s="1151"/>
      <c r="I1166" s="1151"/>
      <c r="J1166" s="1151"/>
      <c r="K1166" s="1151"/>
      <c r="L1166" s="1151"/>
      <c r="M1166" s="1152"/>
      <c r="N1166" s="336">
        <f>+N1133+N1140+N1147+N1154+N1159+N1163</f>
        <v>57954.630491369506</v>
      </c>
    </row>
    <row r="1167" spans="2:14">
      <c r="B1167" s="1103" t="s">
        <v>292</v>
      </c>
      <c r="C1167" s="1104"/>
      <c r="D1167" s="1104"/>
      <c r="E1167" s="1104"/>
      <c r="F1167" s="1104"/>
      <c r="G1167" s="1104"/>
      <c r="H1167" s="1104"/>
      <c r="I1167" s="1104"/>
      <c r="J1167" s="1104"/>
      <c r="K1167" s="1104"/>
      <c r="L1167" s="1104"/>
      <c r="M1167" s="1104"/>
      <c r="N1167" s="1105"/>
    </row>
    <row r="1168" spans="2:14">
      <c r="B1168" s="1106"/>
      <c r="C1168" s="1107"/>
      <c r="D1168" s="1107"/>
      <c r="E1168" s="1107"/>
      <c r="F1168" s="1107"/>
      <c r="G1168" s="1107"/>
      <c r="H1168" s="1107"/>
      <c r="I1168" s="1107"/>
      <c r="J1168" s="1107"/>
      <c r="K1168" s="1107"/>
      <c r="L1168" s="1107"/>
      <c r="M1168" s="1107"/>
      <c r="N1168" s="1108"/>
    </row>
    <row r="1169" spans="2:14" ht="13.5" thickBot="1">
      <c r="B1169" s="1109"/>
      <c r="C1169" s="1110"/>
      <c r="D1169" s="1110"/>
      <c r="E1169" s="1110"/>
      <c r="F1169" s="1110"/>
      <c r="G1169" s="1110"/>
      <c r="H1169" s="1110"/>
      <c r="I1169" s="1110"/>
      <c r="J1169" s="1110"/>
      <c r="K1169" s="1110"/>
      <c r="L1169" s="1110"/>
      <c r="M1169" s="1110"/>
      <c r="N1169" s="1111"/>
    </row>
    <row r="1170" spans="2:14">
      <c r="B1170" s="1130" t="s">
        <v>17</v>
      </c>
      <c r="C1170" s="1139"/>
      <c r="D1170" s="1139"/>
      <c r="E1170" s="1139"/>
      <c r="F1170" s="1139"/>
      <c r="G1170" s="1139"/>
      <c r="H1170" s="1139"/>
      <c r="I1170" s="306"/>
      <c r="J1170" s="337"/>
      <c r="K1170" s="315" t="s">
        <v>79</v>
      </c>
      <c r="L1170" s="1140" t="s">
        <v>11</v>
      </c>
      <c r="M1170" s="1141"/>
      <c r="N1170" s="316"/>
    </row>
    <row r="1171" spans="2:14">
      <c r="B1171" s="1112" t="s">
        <v>232</v>
      </c>
      <c r="C1171" s="1113"/>
      <c r="D1171" s="1113"/>
      <c r="E1171" s="1113"/>
      <c r="F1171" s="1113"/>
      <c r="G1171" s="1113"/>
      <c r="H1171" s="1113"/>
      <c r="I1171" s="338"/>
      <c r="J1171" s="339"/>
      <c r="K1171" s="340">
        <f>'PRESUPUESTO OFICIAL'!$K$100</f>
        <v>0</v>
      </c>
      <c r="L1171" s="1146">
        <f>K1171*N1166</f>
        <v>0</v>
      </c>
      <c r="M1171" s="1147"/>
      <c r="N1171" s="341"/>
    </row>
    <row r="1172" spans="2:14">
      <c r="B1172" s="292" t="s">
        <v>293</v>
      </c>
      <c r="C1172" s="293"/>
      <c r="D1172" s="293"/>
      <c r="E1172" s="293"/>
      <c r="F1172" s="293"/>
      <c r="G1172" s="293"/>
      <c r="H1172" s="293"/>
      <c r="I1172" s="338"/>
      <c r="J1172" s="339"/>
      <c r="K1172" s="340">
        <f>'PRESUPUESTO OFICIAL'!$K$101</f>
        <v>0</v>
      </c>
      <c r="L1172" s="1146">
        <f>K1172*N1166</f>
        <v>0</v>
      </c>
      <c r="M1172" s="1147"/>
      <c r="N1172" s="341"/>
    </row>
    <row r="1173" spans="2:14" ht="13.5" thickBot="1">
      <c r="B1173" s="277" t="s">
        <v>294</v>
      </c>
      <c r="C1173" s="278"/>
      <c r="D1173" s="278"/>
      <c r="E1173" s="278"/>
      <c r="F1173" s="278"/>
      <c r="G1173" s="278"/>
      <c r="H1173" s="278"/>
      <c r="I1173" s="342"/>
      <c r="J1173" s="343"/>
      <c r="K1173" s="340">
        <f>'PRESUPUESTO OFICIAL'!$K$102</f>
        <v>0</v>
      </c>
      <c r="L1173" s="1148">
        <f>K1173*N1166</f>
        <v>0</v>
      </c>
      <c r="M1173" s="1149"/>
      <c r="N1173" s="341"/>
    </row>
    <row r="1174" spans="2:14" ht="13.5" thickBot="1">
      <c r="B1174" s="1100" t="s">
        <v>269</v>
      </c>
      <c r="C1174" s="1101"/>
      <c r="D1174" s="1101"/>
      <c r="E1174" s="1101"/>
      <c r="F1174" s="1101"/>
      <c r="G1174" s="1101"/>
      <c r="H1174" s="1101"/>
      <c r="I1174" s="1101"/>
      <c r="J1174" s="1101"/>
      <c r="K1174" s="1101"/>
      <c r="L1174" s="1101"/>
      <c r="M1174" s="1102"/>
      <c r="N1174" s="344">
        <f>SUM(L1171:M1173)</f>
        <v>0</v>
      </c>
    </row>
    <row r="1175" spans="2:14" ht="13.5" thickBot="1">
      <c r="B1175" s="283"/>
      <c r="N1175" s="284"/>
    </row>
    <row r="1176" spans="2:14" ht="13.5" thickBot="1">
      <c r="B1176" s="1150" t="s">
        <v>295</v>
      </c>
      <c r="C1176" s="1151"/>
      <c r="D1176" s="1151"/>
      <c r="E1176" s="1151"/>
      <c r="F1176" s="1151"/>
      <c r="G1176" s="1151"/>
      <c r="H1176" s="1151"/>
      <c r="I1176" s="1151"/>
      <c r="J1176" s="1151"/>
      <c r="K1176" s="1151"/>
      <c r="L1176" s="1151"/>
      <c r="M1176" s="1152"/>
      <c r="N1176" s="345">
        <f>ROUND(N1166+N1174,0)</f>
        <v>57955</v>
      </c>
    </row>
    <row r="1177" spans="2:14">
      <c r="B1177" s="280"/>
      <c r="C1177" s="281"/>
      <c r="D1177" s="281"/>
      <c r="E1177" s="281"/>
      <c r="F1177" s="281"/>
      <c r="G1177" s="281"/>
      <c r="H1177" s="281"/>
      <c r="I1177" s="281"/>
      <c r="J1177" s="281"/>
      <c r="K1177" s="281"/>
      <c r="L1177" s="281"/>
      <c r="M1177" s="281"/>
      <c r="N1177" s="282"/>
    </row>
    <row r="1178" spans="2:14">
      <c r="B1178" s="283"/>
      <c r="N1178" s="284"/>
    </row>
    <row r="1179" spans="2:14">
      <c r="B1179" s="283"/>
      <c r="N1179" s="284"/>
    </row>
    <row r="1180" spans="2:14">
      <c r="B1180" s="283"/>
      <c r="G1180" s="346" t="s">
        <v>296</v>
      </c>
      <c r="H1180" s="346"/>
      <c r="I1180" s="346"/>
      <c r="J1180" s="346"/>
      <c r="N1180" s="284"/>
    </row>
    <row r="1181" spans="2:14">
      <c r="B1181" s="347"/>
      <c r="C1181" s="348"/>
      <c r="D1181" s="348"/>
      <c r="E1181" s="348"/>
      <c r="F1181" s="348"/>
      <c r="G1181" s="346" t="s">
        <v>297</v>
      </c>
      <c r="H1181" s="348"/>
      <c r="I1181" s="348"/>
      <c r="J1181" s="348"/>
      <c r="K1181" s="348"/>
      <c r="L1181" s="348"/>
      <c r="M1181" s="348"/>
      <c r="N1181" s="349"/>
    </row>
    <row r="1182" spans="2:14">
      <c r="B1182" s="347"/>
      <c r="C1182" s="348"/>
      <c r="D1182" s="348"/>
      <c r="E1182" s="348"/>
      <c r="F1182" s="348"/>
      <c r="G1182" s="346" t="s">
        <v>298</v>
      </c>
      <c r="J1182" s="348"/>
      <c r="K1182" s="348"/>
      <c r="L1182" s="348"/>
      <c r="M1182" s="348"/>
      <c r="N1182" s="349"/>
    </row>
    <row r="1183" spans="2:14">
      <c r="B1183" s="268"/>
      <c r="C1183" s="350"/>
      <c r="D1183" s="350"/>
      <c r="E1183" s="350"/>
      <c r="F1183" s="350"/>
      <c r="G1183" s="346" t="s">
        <v>299</v>
      </c>
      <c r="H1183" s="350"/>
      <c r="I1183" s="350"/>
      <c r="J1183" s="350"/>
      <c r="K1183" s="350"/>
      <c r="L1183" s="350"/>
      <c r="M1183" s="350"/>
      <c r="N1183" s="351"/>
    </row>
    <row r="1184" spans="2:14">
      <c r="B1184" s="283"/>
      <c r="G1184" s="258" t="s">
        <v>300</v>
      </c>
      <c r="N1184" s="284"/>
    </row>
    <row r="1185" spans="2:14">
      <c r="B1185" s="352" t="s">
        <v>301</v>
      </c>
      <c r="C1185" s="353"/>
      <c r="D1185" s="353"/>
      <c r="E1185" s="353"/>
      <c r="F1185" s="353"/>
      <c r="G1185" s="353"/>
      <c r="H1185" s="353"/>
      <c r="I1185" s="353"/>
      <c r="J1185" s="353"/>
      <c r="K1185" s="353"/>
      <c r="L1185" s="353"/>
      <c r="M1185" s="353"/>
      <c r="N1185" s="354"/>
    </row>
    <row r="1186" spans="2:14">
      <c r="B1186" s="1153"/>
      <c r="C1186" s="1154"/>
      <c r="D1186" s="1154"/>
      <c r="E1186" s="1154"/>
      <c r="F1186" s="1154"/>
      <c r="G1186" s="1154"/>
      <c r="H1186" s="1154"/>
      <c r="I1186" s="1154"/>
      <c r="J1186" s="1154"/>
      <c r="K1186" s="1154"/>
      <c r="L1186" s="1154"/>
      <c r="M1186" s="1154"/>
      <c r="N1186" s="1155"/>
    </row>
    <row r="1187" spans="2:14">
      <c r="B1187" s="1153"/>
      <c r="C1187" s="1154"/>
      <c r="D1187" s="1154"/>
      <c r="E1187" s="1154"/>
      <c r="F1187" s="1154"/>
      <c r="G1187" s="1154"/>
      <c r="H1187" s="1154"/>
      <c r="I1187" s="1154"/>
      <c r="J1187" s="1154"/>
      <c r="K1187" s="1154"/>
      <c r="L1187" s="1154"/>
      <c r="M1187" s="1154"/>
      <c r="N1187" s="1155"/>
    </row>
    <row r="1188" spans="2:14">
      <c r="B1188" s="268"/>
      <c r="C1188" s="350"/>
      <c r="D1188" s="350"/>
      <c r="E1188" s="350"/>
      <c r="F1188" s="350"/>
      <c r="G1188" s="350"/>
      <c r="H1188" s="350"/>
      <c r="I1188" s="350"/>
      <c r="J1188" s="350"/>
      <c r="K1188" s="350"/>
      <c r="L1188" s="350"/>
      <c r="M1188" s="350"/>
      <c r="N1188" s="351"/>
    </row>
    <row r="1189" spans="2:14">
      <c r="B1189" s="355" t="s">
        <v>302</v>
      </c>
      <c r="C1189" s="350"/>
      <c r="D1189" s="350"/>
      <c r="E1189" s="350"/>
      <c r="F1189" s="350"/>
      <c r="G1189" s="350"/>
      <c r="H1189" s="350"/>
      <c r="I1189" s="350"/>
      <c r="J1189" s="350"/>
      <c r="K1189" s="350"/>
      <c r="L1189" s="350"/>
      <c r="M1189" s="350"/>
      <c r="N1189" s="351"/>
    </row>
    <row r="1190" spans="2:14">
      <c r="B1190" s="1159" t="s">
        <v>303</v>
      </c>
      <c r="C1190" s="1160"/>
      <c r="D1190" s="1160"/>
      <c r="E1190" s="1160"/>
      <c r="F1190" s="1160"/>
      <c r="G1190" s="1160"/>
      <c r="H1190" s="1160"/>
      <c r="I1190" s="1160"/>
      <c r="J1190" s="1160"/>
      <c r="K1190" s="1160"/>
      <c r="L1190" s="1160"/>
      <c r="M1190" s="1160"/>
      <c r="N1190" s="1161"/>
    </row>
    <row r="1191" spans="2:14">
      <c r="B1191" s="1159"/>
      <c r="C1191" s="1160"/>
      <c r="D1191" s="1160"/>
      <c r="E1191" s="1160"/>
      <c r="F1191" s="1160"/>
      <c r="G1191" s="1160"/>
      <c r="H1191" s="1160"/>
      <c r="I1191" s="1160"/>
      <c r="J1191" s="1160"/>
      <c r="K1191" s="1160"/>
      <c r="L1191" s="1160"/>
      <c r="M1191" s="1160"/>
      <c r="N1191" s="1161"/>
    </row>
    <row r="1192" spans="2:14">
      <c r="B1192" s="1159" t="s">
        <v>304</v>
      </c>
      <c r="C1192" s="1160"/>
      <c r="D1192" s="1160"/>
      <c r="E1192" s="1160"/>
      <c r="F1192" s="1160"/>
      <c r="G1192" s="1160"/>
      <c r="H1192" s="1160"/>
      <c r="I1192" s="1160"/>
      <c r="J1192" s="1160"/>
      <c r="K1192" s="1160"/>
      <c r="L1192" s="1160"/>
      <c r="M1192" s="1160"/>
      <c r="N1192" s="1161"/>
    </row>
    <row r="1193" spans="2:14">
      <c r="B1193" s="1159"/>
      <c r="C1193" s="1160"/>
      <c r="D1193" s="1160"/>
      <c r="E1193" s="1160"/>
      <c r="F1193" s="1160"/>
      <c r="G1193" s="1160"/>
      <c r="H1193" s="1160"/>
      <c r="I1193" s="1160"/>
      <c r="J1193" s="1160"/>
      <c r="K1193" s="1160"/>
      <c r="L1193" s="1160"/>
      <c r="M1193" s="1160"/>
      <c r="N1193" s="1161"/>
    </row>
    <row r="1194" spans="2:14">
      <c r="B1194" s="268"/>
      <c r="C1194" s="350"/>
      <c r="D1194" s="350"/>
      <c r="E1194" s="350"/>
      <c r="F1194" s="350"/>
      <c r="G1194" s="350"/>
      <c r="H1194" s="350"/>
      <c r="I1194" s="350"/>
      <c r="J1194" s="350"/>
      <c r="K1194" s="350"/>
      <c r="L1194" s="350"/>
      <c r="M1194" s="350"/>
      <c r="N1194" s="351"/>
    </row>
    <row r="1195" spans="2:14">
      <c r="B1195" s="283"/>
      <c r="G1195" s="346" t="s">
        <v>296</v>
      </c>
      <c r="N1195" s="284"/>
    </row>
    <row r="1196" spans="2:14">
      <c r="B1196" s="283"/>
      <c r="G1196" s="258" t="s">
        <v>305</v>
      </c>
      <c r="H1196" s="293"/>
      <c r="I1196" s="293"/>
      <c r="J1196" s="293"/>
      <c r="N1196" s="284"/>
    </row>
    <row r="1197" spans="2:14">
      <c r="B1197" s="283"/>
      <c r="G1197" s="258" t="s">
        <v>306</v>
      </c>
      <c r="H1197" s="325"/>
      <c r="I1197" s="325"/>
      <c r="J1197" s="325"/>
      <c r="N1197" s="284"/>
    </row>
    <row r="1198" spans="2:14">
      <c r="B1198" s="356"/>
      <c r="C1198" s="350"/>
      <c r="D1198" s="350"/>
      <c r="E1198" s="350"/>
      <c r="F1198" s="350"/>
      <c r="G1198" s="258" t="s">
        <v>299</v>
      </c>
      <c r="K1198" s="350"/>
      <c r="L1198" s="350"/>
      <c r="M1198" s="350"/>
      <c r="N1198" s="351"/>
    </row>
    <row r="1199" spans="2:14">
      <c r="B1199" s="357"/>
      <c r="C1199" s="358"/>
      <c r="D1199" s="358"/>
      <c r="J1199" s="1162"/>
      <c r="K1199" s="1162"/>
      <c r="L1199" s="1162"/>
      <c r="M1199" s="1162"/>
      <c r="N1199" s="1163"/>
    </row>
    <row r="1200" spans="2:14" ht="13.5" thickBot="1">
      <c r="B1200" s="1166"/>
      <c r="C1200" s="1167"/>
      <c r="D1200" s="1167"/>
      <c r="E1200" s="311"/>
      <c r="F1200" s="311"/>
      <c r="G1200" s="311"/>
      <c r="H1200" s="311"/>
      <c r="I1200" s="311"/>
      <c r="J1200" s="1164"/>
      <c r="K1200" s="1164"/>
      <c r="L1200" s="1164"/>
      <c r="M1200" s="1164"/>
      <c r="N1200" s="1165"/>
    </row>
    <row r="1201" spans="2:14" ht="13.5" thickBot="1"/>
    <row r="1202" spans="2:14">
      <c r="B1202" s="1070"/>
      <c r="C1202" s="1072"/>
      <c r="D1202" s="1073"/>
      <c r="E1202" s="1073"/>
      <c r="F1202" s="1073"/>
      <c r="G1202" s="1073"/>
      <c r="H1202" s="1073"/>
      <c r="I1202" s="1073"/>
      <c r="J1202" s="1074"/>
      <c r="K1202" s="1075"/>
      <c r="L1202" s="1076"/>
      <c r="M1202" s="1076"/>
      <c r="N1202" s="1077"/>
    </row>
    <row r="1203" spans="2:14">
      <c r="B1203" s="1071"/>
      <c r="C1203" s="1062" t="s">
        <v>244</v>
      </c>
      <c r="D1203" s="1063"/>
      <c r="E1203" s="1063"/>
      <c r="F1203" s="1063"/>
      <c r="G1203" s="1063"/>
      <c r="H1203" s="1063"/>
      <c r="I1203" s="1063"/>
      <c r="J1203" s="1064"/>
      <c r="K1203" s="1078"/>
      <c r="L1203" s="1079"/>
      <c r="M1203" s="1079"/>
      <c r="N1203" s="1080"/>
    </row>
    <row r="1204" spans="2:14">
      <c r="B1204" s="1071"/>
      <c r="C1204" s="1081"/>
      <c r="D1204" s="1082"/>
      <c r="E1204" s="1082"/>
      <c r="F1204" s="1082"/>
      <c r="G1204" s="1082"/>
      <c r="H1204" s="1082"/>
      <c r="I1204" s="1082"/>
      <c r="J1204" s="1083"/>
      <c r="K1204" s="1058" t="s">
        <v>245</v>
      </c>
      <c r="L1204" s="1085"/>
      <c r="M1204" s="1086"/>
      <c r="N1204" s="1087"/>
    </row>
    <row r="1205" spans="2:14">
      <c r="B1205" s="1071"/>
      <c r="C1205" s="1062" t="s">
        <v>246</v>
      </c>
      <c r="D1205" s="1063"/>
      <c r="E1205" s="1063"/>
      <c r="F1205" s="1063"/>
      <c r="G1205" s="1063"/>
      <c r="H1205" s="1063"/>
      <c r="I1205" s="1063"/>
      <c r="J1205" s="1064"/>
      <c r="K1205" s="1084"/>
      <c r="L1205" s="1088"/>
      <c r="M1205" s="1089"/>
      <c r="N1205" s="1090"/>
    </row>
    <row r="1206" spans="2:14">
      <c r="B1206" s="1071"/>
      <c r="C1206" s="1091"/>
      <c r="D1206" s="1092"/>
      <c r="E1206" s="1092"/>
      <c r="F1206" s="1092"/>
      <c r="G1206" s="1092"/>
      <c r="H1206" s="1092"/>
      <c r="I1206" s="1092"/>
      <c r="J1206" s="1093"/>
      <c r="K1206" s="1058" t="s">
        <v>247</v>
      </c>
      <c r="L1206" s="1058">
        <v>14</v>
      </c>
      <c r="M1206" s="1058" t="s">
        <v>248</v>
      </c>
      <c r="N1206" s="1060">
        <v>80</v>
      </c>
    </row>
    <row r="1207" spans="2:14">
      <c r="B1207" s="1071"/>
      <c r="C1207" s="1091"/>
      <c r="D1207" s="1092"/>
      <c r="E1207" s="1092"/>
      <c r="F1207" s="1092"/>
      <c r="G1207" s="1092"/>
      <c r="H1207" s="1092"/>
      <c r="I1207" s="1092"/>
      <c r="J1207" s="1093"/>
      <c r="K1207" s="1059"/>
      <c r="L1207" s="1059"/>
      <c r="M1207" s="1059"/>
      <c r="N1207" s="1061"/>
    </row>
    <row r="1208" spans="2:14">
      <c r="B1208" s="1071"/>
      <c r="C1208" s="1062" t="s">
        <v>249</v>
      </c>
      <c r="D1208" s="1063"/>
      <c r="E1208" s="1063"/>
      <c r="F1208" s="1063"/>
      <c r="G1208" s="1063"/>
      <c r="H1208" s="1063"/>
      <c r="I1208" s="1063"/>
      <c r="J1208" s="1064"/>
      <c r="K1208" s="1059"/>
      <c r="L1208" s="1059"/>
      <c r="M1208" s="1059"/>
      <c r="N1208" s="1061"/>
    </row>
    <row r="1209" spans="2:14" ht="13.5" thickBot="1">
      <c r="B1209" s="259"/>
      <c r="C1209" s="260"/>
      <c r="D1209" s="260"/>
      <c r="E1209" s="260"/>
      <c r="F1209" s="260"/>
      <c r="G1209" s="260"/>
      <c r="H1209" s="260"/>
      <c r="I1209" s="260"/>
      <c r="J1209" s="260"/>
      <c r="K1209" s="260"/>
      <c r="L1209" s="261"/>
      <c r="M1209" s="261"/>
      <c r="N1209" s="262"/>
    </row>
    <row r="1210" spans="2:14">
      <c r="B1210" s="263"/>
      <c r="C1210" s="264"/>
      <c r="D1210" s="264"/>
      <c r="E1210" s="264"/>
      <c r="F1210" s="264"/>
      <c r="G1210" s="264"/>
      <c r="H1210" s="264"/>
      <c r="I1210" s="264"/>
      <c r="J1210" s="264"/>
      <c r="K1210" s="265" t="s">
        <v>250</v>
      </c>
      <c r="L1210" s="266" t="s">
        <v>251</v>
      </c>
      <c r="M1210" s="266" t="s">
        <v>252</v>
      </c>
      <c r="N1210" s="267" t="s">
        <v>253</v>
      </c>
    </row>
    <row r="1211" spans="2:14">
      <c r="B1211" s="268"/>
      <c r="C1211" s="269"/>
      <c r="D1211" s="269"/>
      <c r="E1211" s="269"/>
      <c r="F1211" s="269"/>
      <c r="G1211" s="269"/>
      <c r="H1211" s="269"/>
      <c r="I1211" s="269"/>
      <c r="J1211" s="269"/>
      <c r="K1211" s="270"/>
      <c r="L1211" s="271"/>
      <c r="M1211" s="271"/>
      <c r="N1211" s="272"/>
    </row>
    <row r="1212" spans="2:14">
      <c r="B1212" s="1065" t="s">
        <v>254</v>
      </c>
      <c r="C1212" s="1066"/>
      <c r="D1212" s="1066"/>
      <c r="E1212" s="1066"/>
      <c r="F1212" s="269"/>
      <c r="G1212" s="269"/>
      <c r="H1212" s="269" t="s">
        <v>255</v>
      </c>
      <c r="J1212" s="269"/>
      <c r="K1212" s="270"/>
      <c r="N1212" s="273"/>
    </row>
    <row r="1213" spans="2:14">
      <c r="B1213" s="274"/>
      <c r="C1213" s="275"/>
      <c r="D1213" s="275"/>
      <c r="E1213" s="275"/>
      <c r="F1213" s="275"/>
      <c r="G1213" s="275"/>
      <c r="H1213" s="275"/>
      <c r="I1213" s="275"/>
      <c r="J1213" s="275"/>
      <c r="K1213" s="275"/>
      <c r="L1213" s="275"/>
      <c r="M1213" s="275"/>
      <c r="N1213" s="276"/>
    </row>
    <row r="1214" spans="2:14" ht="13.5" thickBot="1">
      <c r="B1214" s="277"/>
      <c r="C1214" s="278"/>
      <c r="D1214" s="278"/>
      <c r="E1214" s="278"/>
      <c r="F1214" s="278"/>
      <c r="G1214" s="278"/>
      <c r="H1214" s="278"/>
      <c r="I1214" s="278"/>
      <c r="J1214" s="278"/>
      <c r="K1214" s="278"/>
      <c r="L1214" s="278"/>
      <c r="M1214" s="278"/>
      <c r="N1214" s="279"/>
    </row>
    <row r="1215" spans="2:14" ht="13.5" thickBot="1">
      <c r="B1215" s="280"/>
      <c r="C1215" s="281"/>
      <c r="D1215" s="281"/>
      <c r="E1215" s="281"/>
      <c r="F1215" s="281"/>
      <c r="G1215" s="281"/>
      <c r="J1215" s="281"/>
      <c r="K1215" s="281"/>
      <c r="L1215" s="281"/>
      <c r="M1215" s="281"/>
      <c r="N1215" s="282"/>
    </row>
    <row r="1216" spans="2:14">
      <c r="B1216" s="1067" t="s">
        <v>256</v>
      </c>
      <c r="C1216" s="1068"/>
      <c r="D1216" s="1068"/>
      <c r="E1216" s="1068"/>
      <c r="F1216" s="1068"/>
      <c r="G1216" s="1068"/>
      <c r="H1216" s="1068"/>
      <c r="I1216" s="1068"/>
      <c r="J1216" s="1068"/>
      <c r="K1216" s="1068"/>
      <c r="L1216" s="1068"/>
      <c r="M1216" s="1068"/>
      <c r="N1216" s="1069"/>
    </row>
    <row r="1217" spans="2:14" ht="13.5" thickBot="1">
      <c r="B1217" s="283"/>
      <c r="N1217" s="284"/>
    </row>
    <row r="1218" spans="2:14">
      <c r="B1218" s="285" t="s">
        <v>257</v>
      </c>
      <c r="C1218" s="1120" t="s">
        <v>258</v>
      </c>
      <c r="D1218" s="1121"/>
      <c r="E1218" s="1121"/>
      <c r="F1218" s="1121"/>
      <c r="G1218" s="1121"/>
      <c r="H1218" s="1121"/>
      <c r="I1218" s="1121"/>
      <c r="J1218" s="1121"/>
      <c r="K1218" s="1122"/>
      <c r="L1218" s="1123" t="s">
        <v>259</v>
      </c>
      <c r="M1218" s="1124"/>
      <c r="N1218" s="285" t="s">
        <v>133</v>
      </c>
    </row>
    <row r="1219" spans="2:14" ht="13.5" thickBot="1">
      <c r="B1219" s="286">
        <v>14</v>
      </c>
      <c r="C1219" s="1125" t="s">
        <v>323</v>
      </c>
      <c r="D1219" s="1126"/>
      <c r="E1219" s="1126"/>
      <c r="F1219" s="1126"/>
      <c r="G1219" s="1126"/>
      <c r="H1219" s="1126"/>
      <c r="I1219" s="1126"/>
      <c r="J1219" s="1126"/>
      <c r="K1219" s="1127"/>
      <c r="L1219" s="1128" t="s">
        <v>147</v>
      </c>
      <c r="M1219" s="1129"/>
      <c r="N1219" s="366">
        <v>30</v>
      </c>
    </row>
    <row r="1220" spans="2:14">
      <c r="B1220" s="1103" t="s">
        <v>260</v>
      </c>
      <c r="C1220" s="1104"/>
      <c r="D1220" s="1104"/>
      <c r="E1220" s="1104"/>
      <c r="F1220" s="1104"/>
      <c r="G1220" s="1104"/>
      <c r="H1220" s="1104"/>
      <c r="I1220" s="1104"/>
      <c r="J1220" s="1104"/>
      <c r="K1220" s="1104"/>
      <c r="L1220" s="1104"/>
      <c r="M1220" s="1104"/>
      <c r="N1220" s="1105"/>
    </row>
    <row r="1221" spans="2:14">
      <c r="B1221" s="1106"/>
      <c r="C1221" s="1107"/>
      <c r="D1221" s="1107"/>
      <c r="E1221" s="1107"/>
      <c r="F1221" s="1107"/>
      <c r="G1221" s="1107"/>
      <c r="H1221" s="1107"/>
      <c r="I1221" s="1107"/>
      <c r="J1221" s="1107"/>
      <c r="K1221" s="1107"/>
      <c r="L1221" s="1107"/>
      <c r="M1221" s="1107"/>
      <c r="N1221" s="1108"/>
    </row>
    <row r="1222" spans="2:14" ht="13.5" thickBot="1">
      <c r="B1222" s="1109"/>
      <c r="C1222" s="1110"/>
      <c r="D1222" s="1110"/>
      <c r="E1222" s="1110"/>
      <c r="F1222" s="1110"/>
      <c r="G1222" s="1110"/>
      <c r="H1222" s="1110"/>
      <c r="I1222" s="1110"/>
      <c r="J1222" s="1110"/>
      <c r="K1222" s="1110"/>
      <c r="L1222" s="1110"/>
      <c r="M1222" s="1110"/>
      <c r="N1222" s="1111"/>
    </row>
    <row r="1223" spans="2:14">
      <c r="B1223" s="1130" t="s">
        <v>258</v>
      </c>
      <c r="C1223" s="1131"/>
      <c r="D1223" s="1131"/>
      <c r="E1223" s="1131"/>
      <c r="F1223" s="1132"/>
      <c r="G1223" s="1133" t="s">
        <v>261</v>
      </c>
      <c r="H1223" s="1131"/>
      <c r="I1223" s="1134" t="s">
        <v>262</v>
      </c>
      <c r="J1223" s="1135"/>
      <c r="K1223" s="288" t="s">
        <v>263</v>
      </c>
      <c r="L1223" s="1133" t="s">
        <v>264</v>
      </c>
      <c r="M1223" s="1136"/>
      <c r="N1223" s="289" t="s">
        <v>265</v>
      </c>
    </row>
    <row r="1224" spans="2:14">
      <c r="B1224" s="1179" t="s">
        <v>324</v>
      </c>
      <c r="C1224" s="1180"/>
      <c r="D1224" s="1180"/>
      <c r="E1224" s="1180"/>
      <c r="F1224" s="1181"/>
      <c r="G1224" s="1115"/>
      <c r="H1224" s="1114"/>
      <c r="I1224" s="1182" t="s">
        <v>267</v>
      </c>
      <c r="J1224" s="1183"/>
      <c r="K1224" s="290">
        <v>252000</v>
      </c>
      <c r="L1224" s="1118">
        <v>1</v>
      </c>
      <c r="M1224" s="1119"/>
      <c r="N1224" s="290">
        <f>+K1224/L1224</f>
        <v>252000</v>
      </c>
    </row>
    <row r="1225" spans="2:14" ht="12.75" customHeight="1">
      <c r="B1225" s="1179" t="s">
        <v>325</v>
      </c>
      <c r="C1225" s="1180"/>
      <c r="D1225" s="1180"/>
      <c r="E1225" s="1180"/>
      <c r="F1225" s="1181"/>
      <c r="G1225" s="295"/>
      <c r="H1225" s="294"/>
      <c r="I1225" s="1182" t="s">
        <v>267</v>
      </c>
      <c r="J1225" s="1183"/>
      <c r="K1225" s="290">
        <v>39627</v>
      </c>
      <c r="L1225" s="1118">
        <v>2</v>
      </c>
      <c r="M1225" s="1119"/>
      <c r="N1225" s="290">
        <f>+K1225/L1225</f>
        <v>19813.5</v>
      </c>
    </row>
    <row r="1226" spans="2:14">
      <c r="B1226" s="387" t="s">
        <v>326</v>
      </c>
      <c r="C1226" s="388"/>
      <c r="D1226" s="388"/>
      <c r="E1226" s="388"/>
      <c r="F1226" s="389"/>
      <c r="G1226" s="295"/>
      <c r="H1226" s="294"/>
      <c r="I1226" s="1182" t="s">
        <v>267</v>
      </c>
      <c r="J1226" s="1183"/>
      <c r="K1226" s="290">
        <v>3451</v>
      </c>
      <c r="L1226" s="1118">
        <v>1</v>
      </c>
      <c r="M1226" s="1119"/>
      <c r="N1226" s="290">
        <f>+K1226/L1226</f>
        <v>3451</v>
      </c>
    </row>
    <row r="1227" spans="2:14" ht="13.5" thickBot="1">
      <c r="B1227" s="292" t="s">
        <v>327</v>
      </c>
      <c r="C1227" s="293"/>
      <c r="D1227" s="293"/>
      <c r="E1227" s="293"/>
      <c r="F1227" s="294"/>
      <c r="G1227" s="295"/>
      <c r="H1227" s="294"/>
      <c r="I1227" s="1182" t="s">
        <v>267</v>
      </c>
      <c r="J1227" s="1183"/>
      <c r="K1227" s="290">
        <v>333</v>
      </c>
      <c r="L1227" s="1118">
        <v>0.5</v>
      </c>
      <c r="M1227" s="1119"/>
      <c r="N1227" s="290">
        <f>+K1227/L1227</f>
        <v>666</v>
      </c>
    </row>
    <row r="1228" spans="2:14" ht="13.5" thickBot="1">
      <c r="B1228" s="1100" t="s">
        <v>269</v>
      </c>
      <c r="C1228" s="1101"/>
      <c r="D1228" s="1101"/>
      <c r="E1228" s="1101"/>
      <c r="F1228" s="1101"/>
      <c r="G1228" s="1101"/>
      <c r="H1228" s="1101"/>
      <c r="I1228" s="1101"/>
      <c r="J1228" s="1101"/>
      <c r="K1228" s="1101"/>
      <c r="L1228" s="1101"/>
      <c r="M1228" s="1102"/>
      <c r="N1228" s="323">
        <f>+N1224+N1225+N1226+N1227</f>
        <v>275930.5</v>
      </c>
    </row>
    <row r="1229" spans="2:14">
      <c r="B1229" s="1103" t="s">
        <v>270</v>
      </c>
      <c r="C1229" s="1104"/>
      <c r="D1229" s="1104"/>
      <c r="E1229" s="1104"/>
      <c r="F1229" s="1104"/>
      <c r="G1229" s="1104"/>
      <c r="H1229" s="1104"/>
      <c r="I1229" s="1104"/>
      <c r="J1229" s="1104"/>
      <c r="K1229" s="1104"/>
      <c r="L1229" s="1104"/>
      <c r="M1229" s="1104"/>
      <c r="N1229" s="1105"/>
    </row>
    <row r="1230" spans="2:14">
      <c r="B1230" s="1106"/>
      <c r="C1230" s="1107"/>
      <c r="D1230" s="1107"/>
      <c r="E1230" s="1107"/>
      <c r="F1230" s="1107"/>
      <c r="G1230" s="1107"/>
      <c r="H1230" s="1107"/>
      <c r="I1230" s="1107"/>
      <c r="J1230" s="1107"/>
      <c r="K1230" s="1107"/>
      <c r="L1230" s="1107"/>
      <c r="M1230" s="1107"/>
      <c r="N1230" s="1108"/>
    </row>
    <row r="1231" spans="2:14" ht="13.5" thickBot="1">
      <c r="B1231" s="1109"/>
      <c r="C1231" s="1110"/>
      <c r="D1231" s="1110"/>
      <c r="E1231" s="1110"/>
      <c r="F1231" s="1110"/>
      <c r="G1231" s="1110"/>
      <c r="H1231" s="1110"/>
      <c r="I1231" s="1110"/>
      <c r="J1231" s="1110"/>
      <c r="K1231" s="1110"/>
      <c r="L1231" s="1110"/>
      <c r="M1231" s="1110"/>
      <c r="N1231" s="1111"/>
    </row>
    <row r="1232" spans="2:14">
      <c r="B1232" s="1130" t="s">
        <v>258</v>
      </c>
      <c r="C1232" s="1139"/>
      <c r="D1232" s="1139"/>
      <c r="E1232" s="1139"/>
      <c r="F1232" s="1139"/>
      <c r="G1232" s="1139"/>
      <c r="H1232" s="1139"/>
      <c r="I1232" s="1136"/>
      <c r="J1232" s="299" t="s">
        <v>259</v>
      </c>
      <c r="K1232" s="288" t="s">
        <v>133</v>
      </c>
      <c r="L1232" s="1133" t="s">
        <v>271</v>
      </c>
      <c r="M1232" s="1136"/>
      <c r="N1232" s="289" t="s">
        <v>265</v>
      </c>
    </row>
    <row r="1233" spans="2:14">
      <c r="B1233" s="1112"/>
      <c r="C1233" s="1113"/>
      <c r="D1233" s="1113"/>
      <c r="E1233" s="1113"/>
      <c r="F1233" s="1113"/>
      <c r="G1233" s="1113"/>
      <c r="H1233" s="1113"/>
      <c r="I1233" s="1114"/>
      <c r="J1233" s="300"/>
      <c r="K1233" s="301"/>
      <c r="L1233" s="1144"/>
      <c r="M1233" s="1145"/>
      <c r="N1233" s="363"/>
    </row>
    <row r="1234" spans="2:14" ht="13.5" thickBot="1">
      <c r="B1234" s="1094"/>
      <c r="C1234" s="1095"/>
      <c r="D1234" s="1095"/>
      <c r="E1234" s="1095"/>
      <c r="F1234" s="1095"/>
      <c r="G1234" s="1095"/>
      <c r="H1234" s="1095"/>
      <c r="I1234" s="1096"/>
      <c r="J1234" s="303"/>
      <c r="K1234" s="304"/>
      <c r="L1234" s="1144"/>
      <c r="M1234" s="1145"/>
      <c r="N1234" s="363"/>
    </row>
    <row r="1235" spans="2:14" ht="13.5" thickBot="1">
      <c r="B1235" s="1100" t="s">
        <v>269</v>
      </c>
      <c r="C1235" s="1101"/>
      <c r="D1235" s="1101"/>
      <c r="E1235" s="1101"/>
      <c r="F1235" s="1101"/>
      <c r="G1235" s="1101"/>
      <c r="H1235" s="1101"/>
      <c r="I1235" s="1101"/>
      <c r="J1235" s="1101"/>
      <c r="K1235" s="1101"/>
      <c r="L1235" s="1101"/>
      <c r="M1235" s="1102"/>
      <c r="N1235" s="323">
        <f>+N1233+N1234</f>
        <v>0</v>
      </c>
    </row>
    <row r="1236" spans="2:14">
      <c r="B1236" s="1103" t="s">
        <v>276</v>
      </c>
      <c r="C1236" s="1104"/>
      <c r="D1236" s="1104"/>
      <c r="E1236" s="1104"/>
      <c r="F1236" s="1104"/>
      <c r="G1236" s="1104"/>
      <c r="H1236" s="1104"/>
      <c r="I1236" s="1104"/>
      <c r="J1236" s="1104"/>
      <c r="K1236" s="1104"/>
      <c r="L1236" s="1104"/>
      <c r="M1236" s="1104"/>
      <c r="N1236" s="1105"/>
    </row>
    <row r="1237" spans="2:14">
      <c r="B1237" s="1106"/>
      <c r="C1237" s="1107"/>
      <c r="D1237" s="1107"/>
      <c r="E1237" s="1107"/>
      <c r="F1237" s="1107"/>
      <c r="G1237" s="1107"/>
      <c r="H1237" s="1107"/>
      <c r="I1237" s="1107"/>
      <c r="J1237" s="1107"/>
      <c r="K1237" s="1107"/>
      <c r="L1237" s="1107"/>
      <c r="M1237" s="1107"/>
      <c r="N1237" s="1108"/>
    </row>
    <row r="1238" spans="2:14" ht="13.5" thickBot="1">
      <c r="B1238" s="1109"/>
      <c r="C1238" s="1110"/>
      <c r="D1238" s="1110"/>
      <c r="E1238" s="1110"/>
      <c r="F1238" s="1110"/>
      <c r="G1238" s="1110"/>
      <c r="H1238" s="1110"/>
      <c r="I1238" s="1110"/>
      <c r="J1238" s="1110"/>
      <c r="K1238" s="1110"/>
      <c r="L1238" s="1110"/>
      <c r="M1238" s="1110"/>
      <c r="N1238" s="1111"/>
    </row>
    <row r="1239" spans="2:14">
      <c r="B1239" s="1130" t="s">
        <v>277</v>
      </c>
      <c r="C1239" s="1139"/>
      <c r="D1239" s="1139"/>
      <c r="E1239" s="1139"/>
      <c r="F1239" s="1139"/>
      <c r="G1239" s="1139"/>
      <c r="H1239" s="1139"/>
      <c r="I1239" s="288" t="s">
        <v>278</v>
      </c>
      <c r="J1239" s="306" t="s">
        <v>279</v>
      </c>
      <c r="K1239" s="307" t="s">
        <v>280</v>
      </c>
      <c r="L1239" s="1133" t="s">
        <v>281</v>
      </c>
      <c r="M1239" s="1136"/>
      <c r="N1239" s="289" t="s">
        <v>265</v>
      </c>
    </row>
    <row r="1240" spans="2:14">
      <c r="B1240" s="1112"/>
      <c r="C1240" s="1113"/>
      <c r="D1240" s="1113"/>
      <c r="E1240" s="1113"/>
      <c r="F1240" s="1113"/>
      <c r="G1240" s="1113"/>
      <c r="H1240" s="1113"/>
      <c r="I1240" s="308"/>
      <c r="J1240" s="309"/>
      <c r="K1240" s="308"/>
      <c r="L1240" s="1142"/>
      <c r="M1240" s="1143"/>
      <c r="N1240" s="297"/>
    </row>
    <row r="1241" spans="2:14" ht="13.5" thickBot="1">
      <c r="B1241" s="1094"/>
      <c r="C1241" s="1095"/>
      <c r="D1241" s="1095"/>
      <c r="E1241" s="1095"/>
      <c r="F1241" s="1095"/>
      <c r="G1241" s="1095"/>
      <c r="H1241" s="1095"/>
      <c r="I1241" s="310"/>
      <c r="J1241" s="311"/>
      <c r="K1241" s="310"/>
      <c r="L1241" s="1137"/>
      <c r="M1241" s="1138"/>
      <c r="N1241" s="312"/>
    </row>
    <row r="1242" spans="2:14" ht="13.5" thickBot="1">
      <c r="B1242" s="1100" t="s">
        <v>269</v>
      </c>
      <c r="C1242" s="1101"/>
      <c r="D1242" s="1101"/>
      <c r="E1242" s="1101"/>
      <c r="F1242" s="1101"/>
      <c r="G1242" s="1101"/>
      <c r="H1242" s="1101"/>
      <c r="I1242" s="1101"/>
      <c r="J1242" s="1101"/>
      <c r="K1242" s="1101"/>
      <c r="L1242" s="1101"/>
      <c r="M1242" s="1102"/>
      <c r="N1242" s="313">
        <v>0</v>
      </c>
    </row>
    <row r="1243" spans="2:14">
      <c r="B1243" s="1103" t="s">
        <v>282</v>
      </c>
      <c r="C1243" s="1104"/>
      <c r="D1243" s="1104"/>
      <c r="E1243" s="1104"/>
      <c r="F1243" s="1104"/>
      <c r="G1243" s="1104"/>
      <c r="H1243" s="1104"/>
      <c r="I1243" s="1104"/>
      <c r="J1243" s="1104"/>
      <c r="K1243" s="1104"/>
      <c r="L1243" s="1104"/>
      <c r="M1243" s="1104"/>
      <c r="N1243" s="1105"/>
    </row>
    <row r="1244" spans="2:14">
      <c r="B1244" s="1106"/>
      <c r="C1244" s="1107"/>
      <c r="D1244" s="1107"/>
      <c r="E1244" s="1107"/>
      <c r="F1244" s="1107"/>
      <c r="G1244" s="1107"/>
      <c r="H1244" s="1107"/>
      <c r="I1244" s="1107"/>
      <c r="J1244" s="1107"/>
      <c r="K1244" s="1107"/>
      <c r="L1244" s="1107"/>
      <c r="M1244" s="1107"/>
      <c r="N1244" s="1108"/>
    </row>
    <row r="1245" spans="2:14" ht="13.5" thickBot="1">
      <c r="B1245" s="1109"/>
      <c r="C1245" s="1110"/>
      <c r="D1245" s="1110"/>
      <c r="E1245" s="1110"/>
      <c r="F1245" s="1110"/>
      <c r="G1245" s="1110"/>
      <c r="H1245" s="1110"/>
      <c r="I1245" s="1110"/>
      <c r="J1245" s="1110"/>
      <c r="K1245" s="1110"/>
      <c r="L1245" s="1110"/>
      <c r="M1245" s="1110"/>
      <c r="N1245" s="1111"/>
    </row>
    <row r="1246" spans="2:14">
      <c r="B1246" s="1130" t="s">
        <v>283</v>
      </c>
      <c r="C1246" s="1139"/>
      <c r="D1246" s="1139"/>
      <c r="E1246" s="1139"/>
      <c r="F1246" s="1139"/>
      <c r="G1246" s="1139"/>
      <c r="H1246" s="1139"/>
      <c r="I1246" s="288" t="s">
        <v>284</v>
      </c>
      <c r="J1246" s="314" t="s">
        <v>285</v>
      </c>
      <c r="K1246" s="315" t="s">
        <v>286</v>
      </c>
      <c r="L1246" s="1140" t="s">
        <v>264</v>
      </c>
      <c r="M1246" s="1141"/>
      <c r="N1246" s="316" t="s">
        <v>265</v>
      </c>
    </row>
    <row r="1247" spans="2:14">
      <c r="B1247" s="317" t="s">
        <v>322</v>
      </c>
      <c r="C1247" s="318"/>
      <c r="D1247" s="318"/>
      <c r="E1247" s="318"/>
      <c r="F1247" s="318"/>
      <c r="G1247" s="318"/>
      <c r="H1247" s="318"/>
      <c r="I1247" s="319">
        <v>153482</v>
      </c>
      <c r="J1247" s="321">
        <v>0</v>
      </c>
      <c r="K1247" s="321">
        <f>+I1247+J1247</f>
        <v>153482</v>
      </c>
      <c r="L1247" s="1157">
        <v>1</v>
      </c>
      <c r="M1247" s="1158"/>
      <c r="N1247" s="322">
        <f>+K1247/L1247</f>
        <v>153482</v>
      </c>
    </row>
    <row r="1248" spans="2:14" ht="13.5" thickBot="1">
      <c r="B1248" s="317"/>
      <c r="C1248" s="318"/>
      <c r="D1248" s="318"/>
      <c r="E1248" s="318"/>
      <c r="F1248" s="318"/>
      <c r="G1248" s="318"/>
      <c r="H1248" s="318"/>
      <c r="I1248" s="319"/>
      <c r="J1248" s="321"/>
      <c r="K1248" s="321"/>
      <c r="L1248" s="1157"/>
      <c r="M1248" s="1158"/>
      <c r="N1248" s="322"/>
    </row>
    <row r="1249" spans="2:14" ht="13.5" thickBot="1">
      <c r="B1249" s="1100" t="s">
        <v>269</v>
      </c>
      <c r="C1249" s="1101"/>
      <c r="D1249" s="1101"/>
      <c r="E1249" s="1101"/>
      <c r="F1249" s="1101"/>
      <c r="G1249" s="1101"/>
      <c r="H1249" s="1101"/>
      <c r="I1249" s="1101"/>
      <c r="J1249" s="1101"/>
      <c r="K1249" s="1101"/>
      <c r="L1249" s="1101"/>
      <c r="M1249" s="1102"/>
      <c r="N1249" s="323">
        <f>+N1247+N1248</f>
        <v>153482</v>
      </c>
    </row>
    <row r="1250" spans="2:14" ht="13.5" thickBot="1">
      <c r="B1250" s="324" t="s">
        <v>288</v>
      </c>
      <c r="C1250" s="325"/>
      <c r="D1250" s="325"/>
      <c r="E1250" s="325"/>
      <c r="F1250" s="325"/>
      <c r="G1250" s="325"/>
      <c r="H1250" s="325"/>
      <c r="I1250" s="326"/>
      <c r="J1250" s="327"/>
      <c r="K1250" s="328"/>
      <c r="L1250" s="329"/>
      <c r="M1250" s="329"/>
      <c r="N1250" s="330"/>
    </row>
    <row r="1251" spans="2:14">
      <c r="B1251" s="1130" t="s">
        <v>17</v>
      </c>
      <c r="C1251" s="1139"/>
      <c r="D1251" s="1139"/>
      <c r="E1251" s="1139"/>
      <c r="F1251" s="1139"/>
      <c r="G1251" s="1139"/>
      <c r="H1251" s="1139"/>
      <c r="I1251" s="1136"/>
      <c r="J1251" s="299" t="s">
        <v>259</v>
      </c>
      <c r="K1251" s="288" t="s">
        <v>133</v>
      </c>
      <c r="L1251" s="1133" t="s">
        <v>271</v>
      </c>
      <c r="M1251" s="1136"/>
      <c r="N1251" s="316" t="s">
        <v>265</v>
      </c>
    </row>
    <row r="1252" spans="2:14">
      <c r="B1252" s="331" t="s">
        <v>289</v>
      </c>
      <c r="C1252" s="332"/>
      <c r="D1252" s="332"/>
      <c r="E1252" s="332"/>
      <c r="F1252" s="332"/>
      <c r="G1252" s="332"/>
      <c r="H1252" s="332"/>
      <c r="I1252" s="333"/>
      <c r="J1252" s="334" t="s">
        <v>290</v>
      </c>
      <c r="K1252" s="335">
        <v>0.05</v>
      </c>
      <c r="L1252" s="1144">
        <f>+N1249</f>
        <v>153482</v>
      </c>
      <c r="M1252" s="1145"/>
      <c r="N1252" s="322">
        <f>+K1252*L1252</f>
        <v>7674.1</v>
      </c>
    </row>
    <row r="1253" spans="2:14" ht="13.5" thickBot="1">
      <c r="B1253" s="356"/>
      <c r="C1253" s="325"/>
      <c r="D1253" s="325"/>
      <c r="E1253" s="325"/>
      <c r="F1253" s="325"/>
      <c r="G1253" s="325"/>
      <c r="H1253" s="325"/>
      <c r="I1253" s="369"/>
      <c r="J1253" s="327"/>
      <c r="K1253" s="370"/>
      <c r="L1253" s="371"/>
      <c r="M1253" s="372"/>
      <c r="N1253" s="373"/>
    </row>
    <row r="1254" spans="2:14" ht="13.5" thickBot="1">
      <c r="B1254" s="1100" t="s">
        <v>269</v>
      </c>
      <c r="C1254" s="1101"/>
      <c r="D1254" s="1101"/>
      <c r="E1254" s="1101"/>
      <c r="F1254" s="1101"/>
      <c r="G1254" s="1101"/>
      <c r="H1254" s="1101"/>
      <c r="I1254" s="1101"/>
      <c r="J1254" s="1101"/>
      <c r="K1254" s="1101"/>
      <c r="L1254" s="1101"/>
      <c r="M1254" s="1102"/>
      <c r="N1254" s="323">
        <f>+N1252</f>
        <v>7674.1</v>
      </c>
    </row>
    <row r="1255" spans="2:14" ht="13.5" thickBot="1">
      <c r="B1255" s="374" t="s">
        <v>78</v>
      </c>
      <c r="C1255" s="325"/>
      <c r="D1255" s="325"/>
      <c r="E1255" s="325"/>
      <c r="F1255" s="325"/>
      <c r="G1255" s="325"/>
      <c r="H1255" s="325"/>
      <c r="I1255" s="369"/>
      <c r="J1255" s="327"/>
      <c r="K1255" s="370"/>
      <c r="L1255" s="371"/>
      <c r="M1255" s="372"/>
      <c r="N1255" s="373"/>
    </row>
    <row r="1256" spans="2:14">
      <c r="B1256" s="1130" t="s">
        <v>17</v>
      </c>
      <c r="C1256" s="1139"/>
      <c r="D1256" s="1139"/>
      <c r="E1256" s="1139"/>
      <c r="F1256" s="1139"/>
      <c r="G1256" s="1139"/>
      <c r="H1256" s="1139"/>
      <c r="I1256" s="1136"/>
      <c r="J1256" s="299" t="s">
        <v>259</v>
      </c>
      <c r="K1256" s="288" t="s">
        <v>133</v>
      </c>
      <c r="L1256" s="1133" t="s">
        <v>271</v>
      </c>
      <c r="M1256" s="1136"/>
      <c r="N1256" s="316" t="s">
        <v>265</v>
      </c>
    </row>
    <row r="1257" spans="2:14" ht="13.5" thickBot="1">
      <c r="B1257" s="1179" t="s">
        <v>161</v>
      </c>
      <c r="C1257" s="1180"/>
      <c r="D1257" s="1180"/>
      <c r="E1257" s="1180"/>
      <c r="F1257" s="1180"/>
      <c r="G1257" s="1180"/>
      <c r="H1257" s="1181"/>
      <c r="I1257" s="333"/>
      <c r="J1257" s="384" t="s">
        <v>147</v>
      </c>
      <c r="K1257" s="385">
        <v>1</v>
      </c>
      <c r="L1257" s="1184">
        <v>38446</v>
      </c>
      <c r="M1257" s="1185"/>
      <c r="N1257" s="386">
        <f>+K1257*L1257</f>
        <v>38446</v>
      </c>
    </row>
    <row r="1258" spans="2:14" ht="13.5" thickBot="1">
      <c r="B1258" s="1100" t="s">
        <v>269</v>
      </c>
      <c r="C1258" s="1101"/>
      <c r="D1258" s="1101"/>
      <c r="E1258" s="1101"/>
      <c r="F1258" s="1101"/>
      <c r="G1258" s="1101"/>
      <c r="H1258" s="1101"/>
      <c r="I1258" s="1101"/>
      <c r="J1258" s="1101"/>
      <c r="K1258" s="1101"/>
      <c r="L1258" s="1101"/>
      <c r="M1258" s="1102"/>
      <c r="N1258" s="323">
        <f>+N1257</f>
        <v>38446</v>
      </c>
    </row>
    <row r="1259" spans="2:14">
      <c r="B1259" s="280"/>
      <c r="C1259" s="281"/>
      <c r="D1259" s="281"/>
      <c r="E1259" s="281"/>
      <c r="F1259" s="281"/>
      <c r="G1259" s="281"/>
      <c r="H1259" s="281"/>
      <c r="I1259" s="281"/>
      <c r="J1259" s="281"/>
      <c r="K1259" s="281"/>
      <c r="L1259" s="281"/>
      <c r="M1259" s="281"/>
      <c r="N1259" s="282"/>
    </row>
    <row r="1260" spans="2:14" ht="13.5" thickBot="1">
      <c r="B1260" s="378"/>
      <c r="C1260" s="311"/>
      <c r="D1260" s="311"/>
      <c r="E1260" s="311"/>
      <c r="F1260" s="311"/>
      <c r="G1260" s="311"/>
      <c r="H1260" s="311"/>
      <c r="I1260" s="311"/>
      <c r="J1260" s="311"/>
      <c r="K1260" s="311"/>
      <c r="L1260" s="311"/>
      <c r="M1260" s="311"/>
      <c r="N1260" s="379"/>
    </row>
    <row r="1261" spans="2:14" ht="13.5" thickBot="1">
      <c r="B1261" s="1150" t="s">
        <v>291</v>
      </c>
      <c r="C1261" s="1151"/>
      <c r="D1261" s="1151"/>
      <c r="E1261" s="1151"/>
      <c r="F1261" s="1151"/>
      <c r="G1261" s="1151"/>
      <c r="H1261" s="1151"/>
      <c r="I1261" s="1151"/>
      <c r="J1261" s="1151"/>
      <c r="K1261" s="1151"/>
      <c r="L1261" s="1151"/>
      <c r="M1261" s="1152"/>
      <c r="N1261" s="336">
        <f>+N1228+N1235+N1242+N1249+N1254+N1258</f>
        <v>475532.6</v>
      </c>
    </row>
    <row r="1262" spans="2:14">
      <c r="B1262" s="1103" t="s">
        <v>292</v>
      </c>
      <c r="C1262" s="1104"/>
      <c r="D1262" s="1104"/>
      <c r="E1262" s="1104"/>
      <c r="F1262" s="1104"/>
      <c r="G1262" s="1104"/>
      <c r="H1262" s="1104"/>
      <c r="I1262" s="1104"/>
      <c r="J1262" s="1104"/>
      <c r="K1262" s="1104"/>
      <c r="L1262" s="1104"/>
      <c r="M1262" s="1104"/>
      <c r="N1262" s="1105"/>
    </row>
    <row r="1263" spans="2:14">
      <c r="B1263" s="1106"/>
      <c r="C1263" s="1107"/>
      <c r="D1263" s="1107"/>
      <c r="E1263" s="1107"/>
      <c r="F1263" s="1107"/>
      <c r="G1263" s="1107"/>
      <c r="H1263" s="1107"/>
      <c r="I1263" s="1107"/>
      <c r="J1263" s="1107"/>
      <c r="K1263" s="1107"/>
      <c r="L1263" s="1107"/>
      <c r="M1263" s="1107"/>
      <c r="N1263" s="1108"/>
    </row>
    <row r="1264" spans="2:14" ht="13.5" thickBot="1">
      <c r="B1264" s="1109"/>
      <c r="C1264" s="1110"/>
      <c r="D1264" s="1110"/>
      <c r="E1264" s="1110"/>
      <c r="F1264" s="1110"/>
      <c r="G1264" s="1110"/>
      <c r="H1264" s="1110"/>
      <c r="I1264" s="1110"/>
      <c r="J1264" s="1110"/>
      <c r="K1264" s="1110"/>
      <c r="L1264" s="1110"/>
      <c r="M1264" s="1110"/>
      <c r="N1264" s="1111"/>
    </row>
    <row r="1265" spans="2:14">
      <c r="B1265" s="1130" t="s">
        <v>17</v>
      </c>
      <c r="C1265" s="1139"/>
      <c r="D1265" s="1139"/>
      <c r="E1265" s="1139"/>
      <c r="F1265" s="1139"/>
      <c r="G1265" s="1139"/>
      <c r="H1265" s="1139"/>
      <c r="I1265" s="306"/>
      <c r="J1265" s="337"/>
      <c r="K1265" s="315" t="s">
        <v>79</v>
      </c>
      <c r="L1265" s="1140" t="s">
        <v>11</v>
      </c>
      <c r="M1265" s="1141"/>
      <c r="N1265" s="316"/>
    </row>
    <row r="1266" spans="2:14">
      <c r="B1266" s="1112" t="s">
        <v>232</v>
      </c>
      <c r="C1266" s="1113"/>
      <c r="D1266" s="1113"/>
      <c r="E1266" s="1113"/>
      <c r="F1266" s="1113"/>
      <c r="G1266" s="1113"/>
      <c r="H1266" s="1113"/>
      <c r="I1266" s="338"/>
      <c r="J1266" s="339"/>
      <c r="K1266" s="340">
        <f>'PRESUPUESTO OFICIAL'!$K$100</f>
        <v>0</v>
      </c>
      <c r="L1266" s="1146">
        <f>K1266*N1261</f>
        <v>0</v>
      </c>
      <c r="M1266" s="1147"/>
      <c r="N1266" s="341"/>
    </row>
    <row r="1267" spans="2:14">
      <c r="B1267" s="292" t="s">
        <v>293</v>
      </c>
      <c r="C1267" s="293"/>
      <c r="D1267" s="293"/>
      <c r="E1267" s="293"/>
      <c r="F1267" s="293"/>
      <c r="G1267" s="293"/>
      <c r="H1267" s="293"/>
      <c r="I1267" s="338"/>
      <c r="J1267" s="339"/>
      <c r="K1267" s="340">
        <f>'PRESUPUESTO OFICIAL'!$K$101</f>
        <v>0</v>
      </c>
      <c r="L1267" s="1146">
        <f>K1267*N1261</f>
        <v>0</v>
      </c>
      <c r="M1267" s="1147"/>
      <c r="N1267" s="341"/>
    </row>
    <row r="1268" spans="2:14" ht="13.5" thickBot="1">
      <c r="B1268" s="277" t="s">
        <v>294</v>
      </c>
      <c r="C1268" s="278"/>
      <c r="D1268" s="278"/>
      <c r="E1268" s="278"/>
      <c r="F1268" s="278"/>
      <c r="G1268" s="278"/>
      <c r="H1268" s="278"/>
      <c r="I1268" s="342"/>
      <c r="J1268" s="343"/>
      <c r="K1268" s="340">
        <f>'PRESUPUESTO OFICIAL'!$K$102</f>
        <v>0</v>
      </c>
      <c r="L1268" s="1148">
        <f>K1268*N1261</f>
        <v>0</v>
      </c>
      <c r="M1268" s="1149"/>
      <c r="N1268" s="341"/>
    </row>
    <row r="1269" spans="2:14" ht="13.5" thickBot="1">
      <c r="B1269" s="1100" t="s">
        <v>269</v>
      </c>
      <c r="C1269" s="1101"/>
      <c r="D1269" s="1101"/>
      <c r="E1269" s="1101"/>
      <c r="F1269" s="1101"/>
      <c r="G1269" s="1101"/>
      <c r="H1269" s="1101"/>
      <c r="I1269" s="1101"/>
      <c r="J1269" s="1101"/>
      <c r="K1269" s="1101"/>
      <c r="L1269" s="1101"/>
      <c r="M1269" s="1102"/>
      <c r="N1269" s="344">
        <f>SUM(L1266:M1268)</f>
        <v>0</v>
      </c>
    </row>
    <row r="1270" spans="2:14" ht="13.5" thickBot="1">
      <c r="B1270" s="283"/>
      <c r="N1270" s="284"/>
    </row>
    <row r="1271" spans="2:14" ht="13.5" thickBot="1">
      <c r="B1271" s="1150" t="s">
        <v>295</v>
      </c>
      <c r="C1271" s="1151"/>
      <c r="D1271" s="1151"/>
      <c r="E1271" s="1151"/>
      <c r="F1271" s="1151"/>
      <c r="G1271" s="1151"/>
      <c r="H1271" s="1151"/>
      <c r="I1271" s="1151"/>
      <c r="J1271" s="1151"/>
      <c r="K1271" s="1151"/>
      <c r="L1271" s="1151"/>
      <c r="M1271" s="1152"/>
      <c r="N1271" s="345">
        <f>ROUND(N1261+N1269,0)</f>
        <v>475533</v>
      </c>
    </row>
    <row r="1272" spans="2:14">
      <c r="B1272" s="280"/>
      <c r="C1272" s="281"/>
      <c r="D1272" s="281"/>
      <c r="E1272" s="281"/>
      <c r="F1272" s="281"/>
      <c r="G1272" s="281"/>
      <c r="H1272" s="281"/>
      <c r="I1272" s="281"/>
      <c r="J1272" s="281"/>
      <c r="K1272" s="281"/>
      <c r="L1272" s="281"/>
      <c r="M1272" s="281"/>
      <c r="N1272" s="282"/>
    </row>
    <row r="1273" spans="2:14">
      <c r="B1273" s="283"/>
      <c r="N1273" s="284"/>
    </row>
    <row r="1274" spans="2:14">
      <c r="B1274" s="283"/>
      <c r="N1274" s="284"/>
    </row>
    <row r="1275" spans="2:14">
      <c r="B1275" s="283"/>
      <c r="G1275" s="346" t="s">
        <v>296</v>
      </c>
      <c r="H1275" s="346"/>
      <c r="I1275" s="346"/>
      <c r="J1275" s="346"/>
      <c r="N1275" s="284"/>
    </row>
    <row r="1276" spans="2:14">
      <c r="B1276" s="347"/>
      <c r="C1276" s="348"/>
      <c r="D1276" s="348"/>
      <c r="E1276" s="348"/>
      <c r="F1276" s="348"/>
      <c r="G1276" s="346" t="s">
        <v>297</v>
      </c>
      <c r="H1276" s="348"/>
      <c r="I1276" s="348"/>
      <c r="J1276" s="348"/>
      <c r="K1276" s="348"/>
      <c r="L1276" s="348"/>
      <c r="M1276" s="348"/>
      <c r="N1276" s="349"/>
    </row>
    <row r="1277" spans="2:14">
      <c r="B1277" s="347"/>
      <c r="C1277" s="348"/>
      <c r="D1277" s="348"/>
      <c r="E1277" s="348"/>
      <c r="F1277" s="348"/>
      <c r="G1277" s="346" t="s">
        <v>298</v>
      </c>
      <c r="J1277" s="348"/>
      <c r="K1277" s="348"/>
      <c r="L1277" s="348"/>
      <c r="M1277" s="348"/>
      <c r="N1277" s="349"/>
    </row>
    <row r="1278" spans="2:14">
      <c r="B1278" s="268"/>
      <c r="C1278" s="350"/>
      <c r="D1278" s="350"/>
      <c r="E1278" s="350"/>
      <c r="F1278" s="350"/>
      <c r="G1278" s="346" t="s">
        <v>299</v>
      </c>
      <c r="H1278" s="350"/>
      <c r="I1278" s="350"/>
      <c r="J1278" s="350"/>
      <c r="K1278" s="350"/>
      <c r="L1278" s="350"/>
      <c r="M1278" s="350"/>
      <c r="N1278" s="351"/>
    </row>
    <row r="1279" spans="2:14">
      <c r="B1279" s="283"/>
      <c r="G1279" s="258" t="s">
        <v>300</v>
      </c>
      <c r="N1279" s="284"/>
    </row>
    <row r="1280" spans="2:14">
      <c r="B1280" s="352" t="s">
        <v>301</v>
      </c>
      <c r="C1280" s="353"/>
      <c r="D1280" s="353"/>
      <c r="E1280" s="353"/>
      <c r="F1280" s="353"/>
      <c r="G1280" s="353"/>
      <c r="H1280" s="353"/>
      <c r="I1280" s="353"/>
      <c r="J1280" s="353"/>
      <c r="K1280" s="353"/>
      <c r="L1280" s="353"/>
      <c r="M1280" s="353"/>
      <c r="N1280" s="354"/>
    </row>
    <row r="1281" spans="2:14">
      <c r="B1281" s="1153"/>
      <c r="C1281" s="1154"/>
      <c r="D1281" s="1154"/>
      <c r="E1281" s="1154"/>
      <c r="F1281" s="1154"/>
      <c r="G1281" s="1154"/>
      <c r="H1281" s="1154"/>
      <c r="I1281" s="1154"/>
      <c r="J1281" s="1154"/>
      <c r="K1281" s="1154"/>
      <c r="L1281" s="1154"/>
      <c r="M1281" s="1154"/>
      <c r="N1281" s="1155"/>
    </row>
    <row r="1282" spans="2:14">
      <c r="B1282" s="1153"/>
      <c r="C1282" s="1154"/>
      <c r="D1282" s="1154"/>
      <c r="E1282" s="1154"/>
      <c r="F1282" s="1154"/>
      <c r="G1282" s="1154"/>
      <c r="H1282" s="1154"/>
      <c r="I1282" s="1154"/>
      <c r="J1282" s="1154"/>
      <c r="K1282" s="1154"/>
      <c r="L1282" s="1154"/>
      <c r="M1282" s="1154"/>
      <c r="N1282" s="1155"/>
    </row>
    <row r="1283" spans="2:14">
      <c r="B1283" s="268"/>
      <c r="C1283" s="350"/>
      <c r="D1283" s="350"/>
      <c r="E1283" s="350"/>
      <c r="F1283" s="350"/>
      <c r="G1283" s="350"/>
      <c r="H1283" s="350"/>
      <c r="I1283" s="350"/>
      <c r="J1283" s="350"/>
      <c r="K1283" s="350"/>
      <c r="L1283" s="350"/>
      <c r="M1283" s="350"/>
      <c r="N1283" s="351"/>
    </row>
    <row r="1284" spans="2:14">
      <c r="B1284" s="355" t="s">
        <v>302</v>
      </c>
      <c r="C1284" s="350"/>
      <c r="D1284" s="350"/>
      <c r="E1284" s="350"/>
      <c r="F1284" s="350"/>
      <c r="G1284" s="350"/>
      <c r="H1284" s="350"/>
      <c r="I1284" s="350"/>
      <c r="J1284" s="350"/>
      <c r="K1284" s="350"/>
      <c r="L1284" s="350"/>
      <c r="M1284" s="350"/>
      <c r="N1284" s="351"/>
    </row>
    <row r="1285" spans="2:14">
      <c r="B1285" s="1159" t="s">
        <v>303</v>
      </c>
      <c r="C1285" s="1160"/>
      <c r="D1285" s="1160"/>
      <c r="E1285" s="1160"/>
      <c r="F1285" s="1160"/>
      <c r="G1285" s="1160"/>
      <c r="H1285" s="1160"/>
      <c r="I1285" s="1160"/>
      <c r="J1285" s="1160"/>
      <c r="K1285" s="1160"/>
      <c r="L1285" s="1160"/>
      <c r="M1285" s="1160"/>
      <c r="N1285" s="1161"/>
    </row>
    <row r="1286" spans="2:14">
      <c r="B1286" s="1159"/>
      <c r="C1286" s="1160"/>
      <c r="D1286" s="1160"/>
      <c r="E1286" s="1160"/>
      <c r="F1286" s="1160"/>
      <c r="G1286" s="1160"/>
      <c r="H1286" s="1160"/>
      <c r="I1286" s="1160"/>
      <c r="J1286" s="1160"/>
      <c r="K1286" s="1160"/>
      <c r="L1286" s="1160"/>
      <c r="M1286" s="1160"/>
      <c r="N1286" s="1161"/>
    </row>
    <row r="1287" spans="2:14">
      <c r="B1287" s="1159" t="s">
        <v>304</v>
      </c>
      <c r="C1287" s="1160"/>
      <c r="D1287" s="1160"/>
      <c r="E1287" s="1160"/>
      <c r="F1287" s="1160"/>
      <c r="G1287" s="1160"/>
      <c r="H1287" s="1160"/>
      <c r="I1287" s="1160"/>
      <c r="J1287" s="1160"/>
      <c r="K1287" s="1160"/>
      <c r="L1287" s="1160"/>
      <c r="M1287" s="1160"/>
      <c r="N1287" s="1161"/>
    </row>
    <row r="1288" spans="2:14">
      <c r="B1288" s="1159"/>
      <c r="C1288" s="1160"/>
      <c r="D1288" s="1160"/>
      <c r="E1288" s="1160"/>
      <c r="F1288" s="1160"/>
      <c r="G1288" s="1160"/>
      <c r="H1288" s="1160"/>
      <c r="I1288" s="1160"/>
      <c r="J1288" s="1160"/>
      <c r="K1288" s="1160"/>
      <c r="L1288" s="1160"/>
      <c r="M1288" s="1160"/>
      <c r="N1288" s="1161"/>
    </row>
    <row r="1289" spans="2:14">
      <c r="B1289" s="268"/>
      <c r="C1289" s="350"/>
      <c r="D1289" s="350"/>
      <c r="E1289" s="350"/>
      <c r="F1289" s="350"/>
      <c r="G1289" s="350"/>
      <c r="H1289" s="350"/>
      <c r="I1289" s="350"/>
      <c r="J1289" s="350"/>
      <c r="K1289" s="350"/>
      <c r="L1289" s="350"/>
      <c r="M1289" s="350"/>
      <c r="N1289" s="351"/>
    </row>
    <row r="1290" spans="2:14">
      <c r="B1290" s="283"/>
      <c r="G1290" s="346" t="s">
        <v>296</v>
      </c>
      <c r="N1290" s="284"/>
    </row>
    <row r="1291" spans="2:14">
      <c r="B1291" s="283"/>
      <c r="G1291" s="258" t="s">
        <v>305</v>
      </c>
      <c r="H1291" s="293"/>
      <c r="I1291" s="293"/>
      <c r="J1291" s="293"/>
      <c r="N1291" s="284"/>
    </row>
    <row r="1292" spans="2:14">
      <c r="B1292" s="283"/>
      <c r="G1292" s="258" t="s">
        <v>306</v>
      </c>
      <c r="H1292" s="325"/>
      <c r="I1292" s="325"/>
      <c r="J1292" s="325"/>
      <c r="N1292" s="284"/>
    </row>
    <row r="1293" spans="2:14">
      <c r="B1293" s="356"/>
      <c r="C1293" s="350"/>
      <c r="D1293" s="350"/>
      <c r="E1293" s="350"/>
      <c r="F1293" s="350"/>
      <c r="G1293" s="258" t="s">
        <v>299</v>
      </c>
      <c r="K1293" s="350"/>
      <c r="L1293" s="350"/>
      <c r="M1293" s="350"/>
      <c r="N1293" s="351"/>
    </row>
    <row r="1294" spans="2:14">
      <c r="B1294" s="357"/>
      <c r="C1294" s="358"/>
      <c r="D1294" s="358"/>
      <c r="J1294" s="1162"/>
      <c r="K1294" s="1162"/>
      <c r="L1294" s="1162"/>
      <c r="M1294" s="1162"/>
      <c r="N1294" s="1163"/>
    </row>
    <row r="1295" spans="2:14" ht="13.5" thickBot="1">
      <c r="B1295" s="1166"/>
      <c r="C1295" s="1167"/>
      <c r="D1295" s="1167"/>
      <c r="E1295" s="311"/>
      <c r="F1295" s="311"/>
      <c r="G1295" s="311"/>
      <c r="H1295" s="311"/>
      <c r="I1295" s="311"/>
      <c r="J1295" s="1164"/>
      <c r="K1295" s="1164"/>
      <c r="L1295" s="1164"/>
      <c r="M1295" s="1164"/>
      <c r="N1295" s="1165"/>
    </row>
    <row r="1296" spans="2:14" ht="13.5" thickBot="1"/>
    <row r="1297" spans="2:14">
      <c r="B1297" s="1070"/>
      <c r="C1297" s="1072"/>
      <c r="D1297" s="1073"/>
      <c r="E1297" s="1073"/>
      <c r="F1297" s="1073"/>
      <c r="G1297" s="1073"/>
      <c r="H1297" s="1073"/>
      <c r="I1297" s="1073"/>
      <c r="J1297" s="1074"/>
      <c r="K1297" s="1075"/>
      <c r="L1297" s="1076"/>
      <c r="M1297" s="1076"/>
      <c r="N1297" s="1077"/>
    </row>
    <row r="1298" spans="2:14">
      <c r="B1298" s="1071"/>
      <c r="C1298" s="1062" t="s">
        <v>244</v>
      </c>
      <c r="D1298" s="1063"/>
      <c r="E1298" s="1063"/>
      <c r="F1298" s="1063"/>
      <c r="G1298" s="1063"/>
      <c r="H1298" s="1063"/>
      <c r="I1298" s="1063"/>
      <c r="J1298" s="1064"/>
      <c r="K1298" s="1078"/>
      <c r="L1298" s="1079"/>
      <c r="M1298" s="1079"/>
      <c r="N1298" s="1080"/>
    </row>
    <row r="1299" spans="2:14">
      <c r="B1299" s="1071"/>
      <c r="C1299" s="1081"/>
      <c r="D1299" s="1082"/>
      <c r="E1299" s="1082"/>
      <c r="F1299" s="1082"/>
      <c r="G1299" s="1082"/>
      <c r="H1299" s="1082"/>
      <c r="I1299" s="1082"/>
      <c r="J1299" s="1083"/>
      <c r="K1299" s="1058" t="s">
        <v>245</v>
      </c>
      <c r="L1299" s="1085"/>
      <c r="M1299" s="1086"/>
      <c r="N1299" s="1087"/>
    </row>
    <row r="1300" spans="2:14">
      <c r="B1300" s="1071"/>
      <c r="C1300" s="1062" t="s">
        <v>246</v>
      </c>
      <c r="D1300" s="1063"/>
      <c r="E1300" s="1063"/>
      <c r="F1300" s="1063"/>
      <c r="G1300" s="1063"/>
      <c r="H1300" s="1063"/>
      <c r="I1300" s="1063"/>
      <c r="J1300" s="1064"/>
      <c r="K1300" s="1084"/>
      <c r="L1300" s="1088"/>
      <c r="M1300" s="1089"/>
      <c r="N1300" s="1090"/>
    </row>
    <row r="1301" spans="2:14">
      <c r="B1301" s="1071"/>
      <c r="C1301" s="1091"/>
      <c r="D1301" s="1092"/>
      <c r="E1301" s="1092"/>
      <c r="F1301" s="1092"/>
      <c r="G1301" s="1092"/>
      <c r="H1301" s="1092"/>
      <c r="I1301" s="1092"/>
      <c r="J1301" s="1093"/>
      <c r="K1301" s="1058" t="s">
        <v>247</v>
      </c>
      <c r="L1301" s="1058">
        <v>15</v>
      </c>
      <c r="M1301" s="1058" t="s">
        <v>248</v>
      </c>
      <c r="N1301" s="1060">
        <v>80</v>
      </c>
    </row>
    <row r="1302" spans="2:14">
      <c r="B1302" s="1071"/>
      <c r="C1302" s="1091"/>
      <c r="D1302" s="1092"/>
      <c r="E1302" s="1092"/>
      <c r="F1302" s="1092"/>
      <c r="G1302" s="1092"/>
      <c r="H1302" s="1092"/>
      <c r="I1302" s="1092"/>
      <c r="J1302" s="1093"/>
      <c r="K1302" s="1059"/>
      <c r="L1302" s="1059"/>
      <c r="M1302" s="1059"/>
      <c r="N1302" s="1061"/>
    </row>
    <row r="1303" spans="2:14">
      <c r="B1303" s="1071"/>
      <c r="C1303" s="1062" t="s">
        <v>249</v>
      </c>
      <c r="D1303" s="1063"/>
      <c r="E1303" s="1063"/>
      <c r="F1303" s="1063"/>
      <c r="G1303" s="1063"/>
      <c r="H1303" s="1063"/>
      <c r="I1303" s="1063"/>
      <c r="J1303" s="1064"/>
      <c r="K1303" s="1059"/>
      <c r="L1303" s="1059"/>
      <c r="M1303" s="1059"/>
      <c r="N1303" s="1061"/>
    </row>
    <row r="1304" spans="2:14" ht="13.5" thickBot="1">
      <c r="B1304" s="259"/>
      <c r="C1304" s="260"/>
      <c r="D1304" s="260"/>
      <c r="E1304" s="260"/>
      <c r="F1304" s="260"/>
      <c r="G1304" s="260"/>
      <c r="H1304" s="260"/>
      <c r="I1304" s="260"/>
      <c r="J1304" s="260"/>
      <c r="K1304" s="260"/>
      <c r="L1304" s="261"/>
      <c r="M1304" s="261"/>
      <c r="N1304" s="262"/>
    </row>
    <row r="1305" spans="2:14">
      <c r="B1305" s="263"/>
      <c r="C1305" s="264"/>
      <c r="D1305" s="264"/>
      <c r="E1305" s="264"/>
      <c r="F1305" s="264"/>
      <c r="G1305" s="264"/>
      <c r="H1305" s="264"/>
      <c r="I1305" s="264"/>
      <c r="J1305" s="264"/>
      <c r="K1305" s="265" t="s">
        <v>250</v>
      </c>
      <c r="L1305" s="266" t="s">
        <v>251</v>
      </c>
      <c r="M1305" s="266" t="s">
        <v>252</v>
      </c>
      <c r="N1305" s="267" t="s">
        <v>253</v>
      </c>
    </row>
    <row r="1306" spans="2:14">
      <c r="B1306" s="268"/>
      <c r="C1306" s="269"/>
      <c r="D1306" s="269"/>
      <c r="E1306" s="269"/>
      <c r="F1306" s="269"/>
      <c r="G1306" s="269"/>
      <c r="H1306" s="269"/>
      <c r="I1306" s="269"/>
      <c r="J1306" s="269"/>
      <c r="K1306" s="270"/>
      <c r="L1306" s="271"/>
      <c r="M1306" s="271"/>
      <c r="N1306" s="272"/>
    </row>
    <row r="1307" spans="2:14">
      <c r="B1307" s="1065" t="s">
        <v>254</v>
      </c>
      <c r="C1307" s="1066"/>
      <c r="D1307" s="1066"/>
      <c r="E1307" s="1066"/>
      <c r="F1307" s="269"/>
      <c r="G1307" s="269"/>
      <c r="H1307" s="269" t="s">
        <v>255</v>
      </c>
      <c r="J1307" s="269"/>
      <c r="K1307" s="270"/>
      <c r="N1307" s="273"/>
    </row>
    <row r="1308" spans="2:14">
      <c r="B1308" s="274"/>
      <c r="C1308" s="275"/>
      <c r="D1308" s="275"/>
      <c r="E1308" s="275"/>
      <c r="F1308" s="275"/>
      <c r="G1308" s="275"/>
      <c r="H1308" s="275"/>
      <c r="I1308" s="275"/>
      <c r="J1308" s="275"/>
      <c r="K1308" s="275"/>
      <c r="L1308" s="275"/>
      <c r="M1308" s="275"/>
      <c r="N1308" s="276"/>
    </row>
    <row r="1309" spans="2:14" ht="13.5" thickBot="1">
      <c r="B1309" s="277"/>
      <c r="C1309" s="278"/>
      <c r="D1309" s="278"/>
      <c r="E1309" s="278"/>
      <c r="F1309" s="278"/>
      <c r="G1309" s="278"/>
      <c r="H1309" s="278"/>
      <c r="I1309" s="278"/>
      <c r="J1309" s="278"/>
      <c r="K1309" s="278"/>
      <c r="L1309" s="278"/>
      <c r="M1309" s="278"/>
      <c r="N1309" s="279"/>
    </row>
    <row r="1310" spans="2:14" ht="13.5" thickBot="1">
      <c r="B1310" s="280"/>
      <c r="C1310" s="281"/>
      <c r="D1310" s="281"/>
      <c r="E1310" s="281"/>
      <c r="F1310" s="281"/>
      <c r="G1310" s="281"/>
      <c r="J1310" s="281"/>
      <c r="K1310" s="281"/>
      <c r="L1310" s="281"/>
      <c r="M1310" s="281"/>
      <c r="N1310" s="282"/>
    </row>
    <row r="1311" spans="2:14">
      <c r="B1311" s="1067" t="s">
        <v>256</v>
      </c>
      <c r="C1311" s="1068"/>
      <c r="D1311" s="1068"/>
      <c r="E1311" s="1068"/>
      <c r="F1311" s="1068"/>
      <c r="G1311" s="1068"/>
      <c r="H1311" s="1068"/>
      <c r="I1311" s="1068"/>
      <c r="J1311" s="1068"/>
      <c r="K1311" s="1068"/>
      <c r="L1311" s="1068"/>
      <c r="M1311" s="1068"/>
      <c r="N1311" s="1069"/>
    </row>
    <row r="1312" spans="2:14" ht="13.5" thickBot="1">
      <c r="B1312" s="283"/>
      <c r="N1312" s="284"/>
    </row>
    <row r="1313" spans="2:14">
      <c r="B1313" s="285" t="s">
        <v>257</v>
      </c>
      <c r="C1313" s="1120" t="s">
        <v>258</v>
      </c>
      <c r="D1313" s="1121"/>
      <c r="E1313" s="1121"/>
      <c r="F1313" s="1121"/>
      <c r="G1313" s="1121"/>
      <c r="H1313" s="1121"/>
      <c r="I1313" s="1121"/>
      <c r="J1313" s="1121"/>
      <c r="K1313" s="1122"/>
      <c r="L1313" s="1123" t="s">
        <v>259</v>
      </c>
      <c r="M1313" s="1124"/>
      <c r="N1313" s="285" t="s">
        <v>133</v>
      </c>
    </row>
    <row r="1314" spans="2:14" ht="55.5" customHeight="1" thickBot="1">
      <c r="B1314" s="286">
        <v>15</v>
      </c>
      <c r="C1314" s="1125" t="s">
        <v>156</v>
      </c>
      <c r="D1314" s="1126"/>
      <c r="E1314" s="1126"/>
      <c r="F1314" s="1126"/>
      <c r="G1314" s="1126"/>
      <c r="H1314" s="1126"/>
      <c r="I1314" s="1126"/>
      <c r="J1314" s="1126"/>
      <c r="K1314" s="1127"/>
      <c r="L1314" s="1128" t="s">
        <v>147</v>
      </c>
      <c r="M1314" s="1129"/>
      <c r="N1314" s="366">
        <v>8</v>
      </c>
    </row>
    <row r="1315" spans="2:14">
      <c r="B1315" s="1103" t="s">
        <v>260</v>
      </c>
      <c r="C1315" s="1104"/>
      <c r="D1315" s="1104"/>
      <c r="E1315" s="1104"/>
      <c r="F1315" s="1104"/>
      <c r="G1315" s="1104"/>
      <c r="H1315" s="1104"/>
      <c r="I1315" s="1104"/>
      <c r="J1315" s="1104"/>
      <c r="K1315" s="1104"/>
      <c r="L1315" s="1104"/>
      <c r="M1315" s="1104"/>
      <c r="N1315" s="1105"/>
    </row>
    <row r="1316" spans="2:14">
      <c r="B1316" s="1106"/>
      <c r="C1316" s="1107"/>
      <c r="D1316" s="1107"/>
      <c r="E1316" s="1107"/>
      <c r="F1316" s="1107"/>
      <c r="G1316" s="1107"/>
      <c r="H1316" s="1107"/>
      <c r="I1316" s="1107"/>
      <c r="J1316" s="1107"/>
      <c r="K1316" s="1107"/>
      <c r="L1316" s="1107"/>
      <c r="M1316" s="1107"/>
      <c r="N1316" s="1108"/>
    </row>
    <row r="1317" spans="2:14" ht="13.5" thickBot="1">
      <c r="B1317" s="1109"/>
      <c r="C1317" s="1110"/>
      <c r="D1317" s="1110"/>
      <c r="E1317" s="1110"/>
      <c r="F1317" s="1110"/>
      <c r="G1317" s="1110"/>
      <c r="H1317" s="1110"/>
      <c r="I1317" s="1110"/>
      <c r="J1317" s="1110"/>
      <c r="K1317" s="1110"/>
      <c r="L1317" s="1110"/>
      <c r="M1317" s="1110"/>
      <c r="N1317" s="1111"/>
    </row>
    <row r="1318" spans="2:14">
      <c r="B1318" s="1130" t="s">
        <v>258</v>
      </c>
      <c r="C1318" s="1131"/>
      <c r="D1318" s="1131"/>
      <c r="E1318" s="1131"/>
      <c r="F1318" s="1132"/>
      <c r="G1318" s="1133" t="s">
        <v>261</v>
      </c>
      <c r="H1318" s="1131"/>
      <c r="I1318" s="1134" t="s">
        <v>262</v>
      </c>
      <c r="J1318" s="1135"/>
      <c r="K1318" s="288" t="s">
        <v>263</v>
      </c>
      <c r="L1318" s="1133" t="s">
        <v>264</v>
      </c>
      <c r="M1318" s="1136"/>
      <c r="N1318" s="289" t="s">
        <v>265</v>
      </c>
    </row>
    <row r="1319" spans="2:14">
      <c r="B1319" s="1179" t="s">
        <v>328</v>
      </c>
      <c r="C1319" s="1180"/>
      <c r="D1319" s="1180"/>
      <c r="E1319" s="1180"/>
      <c r="F1319" s="1181"/>
      <c r="G1319" s="1115"/>
      <c r="H1319" s="1114"/>
      <c r="I1319" s="1182" t="s">
        <v>267</v>
      </c>
      <c r="J1319" s="1183"/>
      <c r="K1319" s="290">
        <v>60</v>
      </c>
      <c r="L1319" s="1118">
        <v>5.5560000000000002E-3</v>
      </c>
      <c r="M1319" s="1119"/>
      <c r="N1319" s="290">
        <f>+K1319/L1319</f>
        <v>10799.136069114471</v>
      </c>
    </row>
    <row r="1320" spans="2:14" ht="13.5" thickBot="1">
      <c r="B1320" s="1179"/>
      <c r="C1320" s="1180"/>
      <c r="D1320" s="1180"/>
      <c r="E1320" s="1180"/>
      <c r="F1320" s="1181"/>
      <c r="G1320" s="295"/>
      <c r="H1320" s="294"/>
      <c r="I1320" s="1182"/>
      <c r="J1320" s="1183"/>
      <c r="K1320" s="290"/>
      <c r="L1320" s="1118"/>
      <c r="M1320" s="1119"/>
      <c r="N1320" s="290"/>
    </row>
    <row r="1321" spans="2:14" ht="13.5" thickBot="1">
      <c r="B1321" s="1100" t="s">
        <v>269</v>
      </c>
      <c r="C1321" s="1101"/>
      <c r="D1321" s="1101"/>
      <c r="E1321" s="1101"/>
      <c r="F1321" s="1101"/>
      <c r="G1321" s="1101"/>
      <c r="H1321" s="1101"/>
      <c r="I1321" s="1101"/>
      <c r="J1321" s="1101"/>
      <c r="K1321" s="1101"/>
      <c r="L1321" s="1101"/>
      <c r="M1321" s="1102"/>
      <c r="N1321" s="323">
        <f>+N1319+N1320</f>
        <v>10799.136069114471</v>
      </c>
    </row>
    <row r="1322" spans="2:14">
      <c r="B1322" s="1103" t="s">
        <v>270</v>
      </c>
      <c r="C1322" s="1104"/>
      <c r="D1322" s="1104"/>
      <c r="E1322" s="1104"/>
      <c r="F1322" s="1104"/>
      <c r="G1322" s="1104"/>
      <c r="H1322" s="1104"/>
      <c r="I1322" s="1104"/>
      <c r="J1322" s="1104"/>
      <c r="K1322" s="1104"/>
      <c r="L1322" s="1104"/>
      <c r="M1322" s="1104"/>
      <c r="N1322" s="1105"/>
    </row>
    <row r="1323" spans="2:14">
      <c r="B1323" s="1106"/>
      <c r="C1323" s="1107"/>
      <c r="D1323" s="1107"/>
      <c r="E1323" s="1107"/>
      <c r="F1323" s="1107"/>
      <c r="G1323" s="1107"/>
      <c r="H1323" s="1107"/>
      <c r="I1323" s="1107"/>
      <c r="J1323" s="1107"/>
      <c r="K1323" s="1107"/>
      <c r="L1323" s="1107"/>
      <c r="M1323" s="1107"/>
      <c r="N1323" s="1108"/>
    </row>
    <row r="1324" spans="2:14" ht="13.5" thickBot="1">
      <c r="B1324" s="1109"/>
      <c r="C1324" s="1110"/>
      <c r="D1324" s="1110"/>
      <c r="E1324" s="1110"/>
      <c r="F1324" s="1110"/>
      <c r="G1324" s="1110"/>
      <c r="H1324" s="1110"/>
      <c r="I1324" s="1110"/>
      <c r="J1324" s="1110"/>
      <c r="K1324" s="1110"/>
      <c r="L1324" s="1110"/>
      <c r="M1324" s="1110"/>
      <c r="N1324" s="1111"/>
    </row>
    <row r="1325" spans="2:14">
      <c r="B1325" s="1130" t="s">
        <v>258</v>
      </c>
      <c r="C1325" s="1139"/>
      <c r="D1325" s="1139"/>
      <c r="E1325" s="1139"/>
      <c r="F1325" s="1139"/>
      <c r="G1325" s="1139"/>
      <c r="H1325" s="1139"/>
      <c r="I1325" s="1136"/>
      <c r="J1325" s="299" t="s">
        <v>259</v>
      </c>
      <c r="K1325" s="288" t="s">
        <v>133</v>
      </c>
      <c r="L1325" s="1133" t="s">
        <v>271</v>
      </c>
      <c r="M1325" s="1136"/>
      <c r="N1325" s="289" t="s">
        <v>265</v>
      </c>
    </row>
    <row r="1326" spans="2:14">
      <c r="B1326" s="1112" t="s">
        <v>329</v>
      </c>
      <c r="C1326" s="1113"/>
      <c r="D1326" s="1113"/>
      <c r="E1326" s="1113"/>
      <c r="F1326" s="1113"/>
      <c r="G1326" s="1113"/>
      <c r="H1326" s="1113"/>
      <c r="I1326" s="1114"/>
      <c r="J1326" s="300" t="s">
        <v>190</v>
      </c>
      <c r="K1326" s="301">
        <v>7</v>
      </c>
      <c r="L1326" s="1144">
        <v>24907</v>
      </c>
      <c r="M1326" s="1145"/>
      <c r="N1326" s="363">
        <f>+K1326*L1326</f>
        <v>174349</v>
      </c>
    </row>
    <row r="1327" spans="2:14" ht="13.5" thickBot="1">
      <c r="B1327" s="1094"/>
      <c r="C1327" s="1095"/>
      <c r="D1327" s="1095"/>
      <c r="E1327" s="1095"/>
      <c r="F1327" s="1095"/>
      <c r="G1327" s="1095"/>
      <c r="H1327" s="1095"/>
      <c r="I1327" s="1096"/>
      <c r="J1327" s="303"/>
      <c r="K1327" s="304"/>
      <c r="L1327" s="1144"/>
      <c r="M1327" s="1145"/>
      <c r="N1327" s="363"/>
    </row>
    <row r="1328" spans="2:14" ht="13.5" thickBot="1">
      <c r="B1328" s="1100" t="s">
        <v>269</v>
      </c>
      <c r="C1328" s="1101"/>
      <c r="D1328" s="1101"/>
      <c r="E1328" s="1101"/>
      <c r="F1328" s="1101"/>
      <c r="G1328" s="1101"/>
      <c r="H1328" s="1101"/>
      <c r="I1328" s="1101"/>
      <c r="J1328" s="1101"/>
      <c r="K1328" s="1101"/>
      <c r="L1328" s="1101"/>
      <c r="M1328" s="1102"/>
      <c r="N1328" s="323">
        <f>+N1326+N1327</f>
        <v>174349</v>
      </c>
    </row>
    <row r="1329" spans="2:14">
      <c r="B1329" s="1103" t="s">
        <v>276</v>
      </c>
      <c r="C1329" s="1104"/>
      <c r="D1329" s="1104"/>
      <c r="E1329" s="1104"/>
      <c r="F1329" s="1104"/>
      <c r="G1329" s="1104"/>
      <c r="H1329" s="1104"/>
      <c r="I1329" s="1104"/>
      <c r="J1329" s="1104"/>
      <c r="K1329" s="1104"/>
      <c r="L1329" s="1104"/>
      <c r="M1329" s="1104"/>
      <c r="N1329" s="1105"/>
    </row>
    <row r="1330" spans="2:14">
      <c r="B1330" s="1106"/>
      <c r="C1330" s="1107"/>
      <c r="D1330" s="1107"/>
      <c r="E1330" s="1107"/>
      <c r="F1330" s="1107"/>
      <c r="G1330" s="1107"/>
      <c r="H1330" s="1107"/>
      <c r="I1330" s="1107"/>
      <c r="J1330" s="1107"/>
      <c r="K1330" s="1107"/>
      <c r="L1330" s="1107"/>
      <c r="M1330" s="1107"/>
      <c r="N1330" s="1108"/>
    </row>
    <row r="1331" spans="2:14" ht="13.5" thickBot="1">
      <c r="B1331" s="1109"/>
      <c r="C1331" s="1110"/>
      <c r="D1331" s="1110"/>
      <c r="E1331" s="1110"/>
      <c r="F1331" s="1110"/>
      <c r="G1331" s="1110"/>
      <c r="H1331" s="1110"/>
      <c r="I1331" s="1110"/>
      <c r="J1331" s="1110"/>
      <c r="K1331" s="1110"/>
      <c r="L1331" s="1110"/>
      <c r="M1331" s="1110"/>
      <c r="N1331" s="1111"/>
    </row>
    <row r="1332" spans="2:14">
      <c r="B1332" s="1130" t="s">
        <v>277</v>
      </c>
      <c r="C1332" s="1139"/>
      <c r="D1332" s="1139"/>
      <c r="E1332" s="1139"/>
      <c r="F1332" s="1139"/>
      <c r="G1332" s="1139"/>
      <c r="H1332" s="1139"/>
      <c r="I1332" s="288" t="s">
        <v>278</v>
      </c>
      <c r="J1332" s="306" t="s">
        <v>279</v>
      </c>
      <c r="K1332" s="307" t="s">
        <v>280</v>
      </c>
      <c r="L1332" s="1133" t="s">
        <v>281</v>
      </c>
      <c r="M1332" s="1136"/>
      <c r="N1332" s="289" t="s">
        <v>265</v>
      </c>
    </row>
    <row r="1333" spans="2:14">
      <c r="B1333" s="1112"/>
      <c r="C1333" s="1113"/>
      <c r="D1333" s="1113"/>
      <c r="E1333" s="1113"/>
      <c r="F1333" s="1113"/>
      <c r="G1333" s="1113"/>
      <c r="H1333" s="1113"/>
      <c r="I1333" s="308"/>
      <c r="J1333" s="309"/>
      <c r="K1333" s="308"/>
      <c r="L1333" s="1142"/>
      <c r="M1333" s="1143"/>
      <c r="N1333" s="297"/>
    </row>
    <row r="1334" spans="2:14" ht="13.5" thickBot="1">
      <c r="B1334" s="1094"/>
      <c r="C1334" s="1095"/>
      <c r="D1334" s="1095"/>
      <c r="E1334" s="1095"/>
      <c r="F1334" s="1095"/>
      <c r="G1334" s="1095"/>
      <c r="H1334" s="1095"/>
      <c r="I1334" s="310"/>
      <c r="J1334" s="311"/>
      <c r="K1334" s="310"/>
      <c r="L1334" s="1137"/>
      <c r="M1334" s="1138"/>
      <c r="N1334" s="312"/>
    </row>
    <row r="1335" spans="2:14" ht="13.5" thickBot="1">
      <c r="B1335" s="1100" t="s">
        <v>269</v>
      </c>
      <c r="C1335" s="1101"/>
      <c r="D1335" s="1101"/>
      <c r="E1335" s="1101"/>
      <c r="F1335" s="1101"/>
      <c r="G1335" s="1101"/>
      <c r="H1335" s="1101"/>
      <c r="I1335" s="1101"/>
      <c r="J1335" s="1101"/>
      <c r="K1335" s="1101"/>
      <c r="L1335" s="1101"/>
      <c r="M1335" s="1102"/>
      <c r="N1335" s="313">
        <v>0</v>
      </c>
    </row>
    <row r="1336" spans="2:14">
      <c r="B1336" s="1103" t="s">
        <v>282</v>
      </c>
      <c r="C1336" s="1104"/>
      <c r="D1336" s="1104"/>
      <c r="E1336" s="1104"/>
      <c r="F1336" s="1104"/>
      <c r="G1336" s="1104"/>
      <c r="H1336" s="1104"/>
      <c r="I1336" s="1104"/>
      <c r="J1336" s="1104"/>
      <c r="K1336" s="1104"/>
      <c r="L1336" s="1104"/>
      <c r="M1336" s="1104"/>
      <c r="N1336" s="1105"/>
    </row>
    <row r="1337" spans="2:14">
      <c r="B1337" s="1106"/>
      <c r="C1337" s="1107"/>
      <c r="D1337" s="1107"/>
      <c r="E1337" s="1107"/>
      <c r="F1337" s="1107"/>
      <c r="G1337" s="1107"/>
      <c r="H1337" s="1107"/>
      <c r="I1337" s="1107"/>
      <c r="J1337" s="1107"/>
      <c r="K1337" s="1107"/>
      <c r="L1337" s="1107"/>
      <c r="M1337" s="1107"/>
      <c r="N1337" s="1108"/>
    </row>
    <row r="1338" spans="2:14" ht="13.5" thickBot="1">
      <c r="B1338" s="1109"/>
      <c r="C1338" s="1110"/>
      <c r="D1338" s="1110"/>
      <c r="E1338" s="1110"/>
      <c r="F1338" s="1110"/>
      <c r="G1338" s="1110"/>
      <c r="H1338" s="1110"/>
      <c r="I1338" s="1110"/>
      <c r="J1338" s="1110"/>
      <c r="K1338" s="1110"/>
      <c r="L1338" s="1110"/>
      <c r="M1338" s="1110"/>
      <c r="N1338" s="1111"/>
    </row>
    <row r="1339" spans="2:14">
      <c r="B1339" s="1130" t="s">
        <v>283</v>
      </c>
      <c r="C1339" s="1139"/>
      <c r="D1339" s="1139"/>
      <c r="E1339" s="1139"/>
      <c r="F1339" s="1139"/>
      <c r="G1339" s="1139"/>
      <c r="H1339" s="1139"/>
      <c r="I1339" s="288" t="s">
        <v>284</v>
      </c>
      <c r="J1339" s="314" t="s">
        <v>285</v>
      </c>
      <c r="K1339" s="315" t="s">
        <v>286</v>
      </c>
      <c r="L1339" s="1140" t="s">
        <v>264</v>
      </c>
      <c r="M1339" s="1141"/>
      <c r="N1339" s="316" t="s">
        <v>265</v>
      </c>
    </row>
    <row r="1340" spans="2:14">
      <c r="B1340" s="331" t="s">
        <v>330</v>
      </c>
      <c r="C1340" s="318"/>
      <c r="D1340" s="318"/>
      <c r="E1340" s="318"/>
      <c r="F1340" s="318"/>
      <c r="G1340" s="318"/>
      <c r="H1340" s="318"/>
      <c r="I1340" s="319">
        <v>578</v>
      </c>
      <c r="J1340" s="321">
        <v>0</v>
      </c>
      <c r="K1340" s="321">
        <f>+I1340+J1340</f>
        <v>578</v>
      </c>
      <c r="L1340" s="1157">
        <v>5.5560000000000002E-3</v>
      </c>
      <c r="M1340" s="1158"/>
      <c r="N1340" s="390">
        <f>+K1340/L1340</f>
        <v>104031.67746580273</v>
      </c>
    </row>
    <row r="1341" spans="2:14" ht="13.5" thickBot="1">
      <c r="B1341" s="356" t="s">
        <v>322</v>
      </c>
      <c r="C1341" s="318"/>
      <c r="D1341" s="318"/>
      <c r="E1341" s="318"/>
      <c r="F1341" s="318"/>
      <c r="G1341" s="318"/>
      <c r="H1341" s="318"/>
      <c r="I1341" s="319">
        <v>153482</v>
      </c>
      <c r="J1341" s="321">
        <v>0</v>
      </c>
      <c r="K1341" s="321">
        <f>+I1341+J1341</f>
        <v>153482</v>
      </c>
      <c r="L1341" s="1157">
        <v>2</v>
      </c>
      <c r="M1341" s="1158"/>
      <c r="N1341" s="322">
        <f>+K1341/L1341</f>
        <v>76741</v>
      </c>
    </row>
    <row r="1342" spans="2:14" ht="13.5" thickBot="1">
      <c r="B1342" s="1100" t="s">
        <v>269</v>
      </c>
      <c r="C1342" s="1101"/>
      <c r="D1342" s="1101"/>
      <c r="E1342" s="1101"/>
      <c r="F1342" s="1101"/>
      <c r="G1342" s="1101"/>
      <c r="H1342" s="1101"/>
      <c r="I1342" s="1101"/>
      <c r="J1342" s="1101"/>
      <c r="K1342" s="1101"/>
      <c r="L1342" s="1101"/>
      <c r="M1342" s="1102"/>
      <c r="N1342" s="323">
        <f>+N1340+N1341</f>
        <v>180772.67746580273</v>
      </c>
    </row>
    <row r="1343" spans="2:14" ht="13.5" thickBot="1">
      <c r="B1343" s="324" t="s">
        <v>288</v>
      </c>
      <c r="C1343" s="325"/>
      <c r="D1343" s="325"/>
      <c r="E1343" s="325"/>
      <c r="F1343" s="325"/>
      <c r="G1343" s="325"/>
      <c r="H1343" s="325"/>
      <c r="I1343" s="326"/>
      <c r="J1343" s="327"/>
      <c r="K1343" s="328"/>
      <c r="L1343" s="329"/>
      <c r="M1343" s="329"/>
      <c r="N1343" s="330"/>
    </row>
    <row r="1344" spans="2:14">
      <c r="B1344" s="1130" t="s">
        <v>17</v>
      </c>
      <c r="C1344" s="1139"/>
      <c r="D1344" s="1139"/>
      <c r="E1344" s="1139"/>
      <c r="F1344" s="1139"/>
      <c r="G1344" s="1139"/>
      <c r="H1344" s="1139"/>
      <c r="I1344" s="1136"/>
      <c r="J1344" s="299" t="s">
        <v>259</v>
      </c>
      <c r="K1344" s="288" t="s">
        <v>133</v>
      </c>
      <c r="L1344" s="1133" t="s">
        <v>271</v>
      </c>
      <c r="M1344" s="1136"/>
      <c r="N1344" s="316" t="s">
        <v>265</v>
      </c>
    </row>
    <row r="1345" spans="2:14">
      <c r="B1345" s="331" t="s">
        <v>289</v>
      </c>
      <c r="C1345" s="332"/>
      <c r="D1345" s="332"/>
      <c r="E1345" s="332"/>
      <c r="F1345" s="332"/>
      <c r="G1345" s="332"/>
      <c r="H1345" s="332"/>
      <c r="I1345" s="333"/>
      <c r="J1345" s="334" t="s">
        <v>290</v>
      </c>
      <c r="K1345" s="335">
        <v>0.05</v>
      </c>
      <c r="L1345" s="1144">
        <f>+N1342</f>
        <v>180772.67746580273</v>
      </c>
      <c r="M1345" s="1145"/>
      <c r="N1345" s="322">
        <f>+K1345*L1345</f>
        <v>9038.6338732901368</v>
      </c>
    </row>
    <row r="1346" spans="2:14" ht="13.5" thickBot="1">
      <c r="B1346" s="356"/>
      <c r="C1346" s="325"/>
      <c r="D1346" s="325"/>
      <c r="E1346" s="325"/>
      <c r="F1346" s="325"/>
      <c r="G1346" s="325"/>
      <c r="H1346" s="325"/>
      <c r="I1346" s="369"/>
      <c r="J1346" s="327"/>
      <c r="K1346" s="370"/>
      <c r="L1346" s="371"/>
      <c r="M1346" s="372"/>
      <c r="N1346" s="373"/>
    </row>
    <row r="1347" spans="2:14" ht="13.5" thickBot="1">
      <c r="B1347" s="1100" t="s">
        <v>269</v>
      </c>
      <c r="C1347" s="1101"/>
      <c r="D1347" s="1101"/>
      <c r="E1347" s="1101"/>
      <c r="F1347" s="1101"/>
      <c r="G1347" s="1101"/>
      <c r="H1347" s="1101"/>
      <c r="I1347" s="1101"/>
      <c r="J1347" s="1101"/>
      <c r="K1347" s="1101"/>
      <c r="L1347" s="1101"/>
      <c r="M1347" s="1102"/>
      <c r="N1347" s="323">
        <f>+N1345</f>
        <v>9038.6338732901368</v>
      </c>
    </row>
    <row r="1348" spans="2:14" ht="13.5" thickBot="1">
      <c r="B1348" s="374" t="s">
        <v>78</v>
      </c>
      <c r="C1348" s="325"/>
      <c r="D1348" s="325"/>
      <c r="E1348" s="325"/>
      <c r="F1348" s="325"/>
      <c r="G1348" s="325"/>
      <c r="H1348" s="325"/>
      <c r="I1348" s="369"/>
      <c r="J1348" s="327"/>
      <c r="K1348" s="370"/>
      <c r="L1348" s="371"/>
      <c r="M1348" s="372"/>
      <c r="N1348" s="373"/>
    </row>
    <row r="1349" spans="2:14">
      <c r="B1349" s="1130" t="s">
        <v>17</v>
      </c>
      <c r="C1349" s="1139"/>
      <c r="D1349" s="1139"/>
      <c r="E1349" s="1139"/>
      <c r="F1349" s="1139"/>
      <c r="G1349" s="1139"/>
      <c r="H1349" s="1139"/>
      <c r="I1349" s="1136"/>
      <c r="J1349" s="299" t="s">
        <v>259</v>
      </c>
      <c r="K1349" s="288" t="s">
        <v>133</v>
      </c>
      <c r="L1349" s="1133" t="s">
        <v>271</v>
      </c>
      <c r="M1349" s="1136"/>
      <c r="N1349" s="316" t="s">
        <v>265</v>
      </c>
    </row>
    <row r="1350" spans="2:14" ht="27" customHeight="1" thickBot="1">
      <c r="B1350" s="1179" t="s">
        <v>161</v>
      </c>
      <c r="C1350" s="1180"/>
      <c r="D1350" s="1180"/>
      <c r="E1350" s="1180"/>
      <c r="F1350" s="1180"/>
      <c r="G1350" s="1180"/>
      <c r="H1350" s="1181"/>
      <c r="I1350" s="333"/>
      <c r="J1350" s="384" t="s">
        <v>147</v>
      </c>
      <c r="K1350" s="385">
        <v>1</v>
      </c>
      <c r="L1350" s="1184">
        <v>38446</v>
      </c>
      <c r="M1350" s="1185"/>
      <c r="N1350" s="386">
        <f>+K1350*L1350</f>
        <v>38446</v>
      </c>
    </row>
    <row r="1351" spans="2:14" ht="13.5" thickBot="1">
      <c r="B1351" s="1100" t="s">
        <v>269</v>
      </c>
      <c r="C1351" s="1101"/>
      <c r="D1351" s="1101"/>
      <c r="E1351" s="1101"/>
      <c r="F1351" s="1101"/>
      <c r="G1351" s="1101"/>
      <c r="H1351" s="1101"/>
      <c r="I1351" s="1101"/>
      <c r="J1351" s="1101"/>
      <c r="K1351" s="1101"/>
      <c r="L1351" s="1101"/>
      <c r="M1351" s="1102"/>
      <c r="N1351" s="323">
        <f>+N1350</f>
        <v>38446</v>
      </c>
    </row>
    <row r="1352" spans="2:14">
      <c r="B1352" s="280"/>
      <c r="C1352" s="281"/>
      <c r="D1352" s="281"/>
      <c r="E1352" s="281"/>
      <c r="F1352" s="281"/>
      <c r="G1352" s="281"/>
      <c r="H1352" s="281"/>
      <c r="I1352" s="281"/>
      <c r="J1352" s="281"/>
      <c r="K1352" s="281"/>
      <c r="L1352" s="281"/>
      <c r="M1352" s="281"/>
      <c r="N1352" s="282"/>
    </row>
    <row r="1353" spans="2:14" ht="13.5" thickBot="1">
      <c r="B1353" s="378"/>
      <c r="C1353" s="311"/>
      <c r="D1353" s="311"/>
      <c r="E1353" s="311"/>
      <c r="F1353" s="311"/>
      <c r="G1353" s="311"/>
      <c r="H1353" s="311"/>
      <c r="I1353" s="311"/>
      <c r="J1353" s="311"/>
      <c r="K1353" s="311"/>
      <c r="L1353" s="311"/>
      <c r="M1353" s="311"/>
      <c r="N1353" s="379"/>
    </row>
    <row r="1354" spans="2:14" ht="13.5" thickBot="1">
      <c r="B1354" s="1150" t="s">
        <v>291</v>
      </c>
      <c r="C1354" s="1151"/>
      <c r="D1354" s="1151"/>
      <c r="E1354" s="1151"/>
      <c r="F1354" s="1151"/>
      <c r="G1354" s="1151"/>
      <c r="H1354" s="1151"/>
      <c r="I1354" s="1151"/>
      <c r="J1354" s="1151"/>
      <c r="K1354" s="1151"/>
      <c r="L1354" s="1151"/>
      <c r="M1354" s="1152"/>
      <c r="N1354" s="391">
        <f>+N1321+N1328+N1335+N1342+N1347+N1351</f>
        <v>413405.44740820734</v>
      </c>
    </row>
    <row r="1355" spans="2:14">
      <c r="B1355" s="1103" t="s">
        <v>292</v>
      </c>
      <c r="C1355" s="1104"/>
      <c r="D1355" s="1104"/>
      <c r="E1355" s="1104"/>
      <c r="F1355" s="1104"/>
      <c r="G1355" s="1104"/>
      <c r="H1355" s="1104"/>
      <c r="I1355" s="1104"/>
      <c r="J1355" s="1104"/>
      <c r="K1355" s="1104"/>
      <c r="L1355" s="1104"/>
      <c r="M1355" s="1104"/>
      <c r="N1355" s="1105"/>
    </row>
    <row r="1356" spans="2:14">
      <c r="B1356" s="1106"/>
      <c r="C1356" s="1107"/>
      <c r="D1356" s="1107"/>
      <c r="E1356" s="1107"/>
      <c r="F1356" s="1107"/>
      <c r="G1356" s="1107"/>
      <c r="H1356" s="1107"/>
      <c r="I1356" s="1107"/>
      <c r="J1356" s="1107"/>
      <c r="K1356" s="1107"/>
      <c r="L1356" s="1107"/>
      <c r="M1356" s="1107"/>
      <c r="N1356" s="1108"/>
    </row>
    <row r="1357" spans="2:14" ht="13.5" thickBot="1">
      <c r="B1357" s="1109"/>
      <c r="C1357" s="1110"/>
      <c r="D1357" s="1110"/>
      <c r="E1357" s="1110"/>
      <c r="F1357" s="1110"/>
      <c r="G1357" s="1110"/>
      <c r="H1357" s="1110"/>
      <c r="I1357" s="1110"/>
      <c r="J1357" s="1110"/>
      <c r="K1357" s="1110"/>
      <c r="L1357" s="1110"/>
      <c r="M1357" s="1110"/>
      <c r="N1357" s="1111"/>
    </row>
    <row r="1358" spans="2:14">
      <c r="B1358" s="1130" t="s">
        <v>17</v>
      </c>
      <c r="C1358" s="1139"/>
      <c r="D1358" s="1139"/>
      <c r="E1358" s="1139"/>
      <c r="F1358" s="1139"/>
      <c r="G1358" s="1139"/>
      <c r="H1358" s="1139"/>
      <c r="I1358" s="306"/>
      <c r="J1358" s="337"/>
      <c r="K1358" s="315" t="s">
        <v>79</v>
      </c>
      <c r="L1358" s="1140" t="s">
        <v>11</v>
      </c>
      <c r="M1358" s="1141"/>
      <c r="N1358" s="316"/>
    </row>
    <row r="1359" spans="2:14">
      <c r="B1359" s="1112" t="s">
        <v>232</v>
      </c>
      <c r="C1359" s="1113"/>
      <c r="D1359" s="1113"/>
      <c r="E1359" s="1113"/>
      <c r="F1359" s="1113"/>
      <c r="G1359" s="1113"/>
      <c r="H1359" s="1113"/>
      <c r="I1359" s="338"/>
      <c r="J1359" s="339"/>
      <c r="K1359" s="340">
        <f>'PRESUPUESTO OFICIAL'!$K$100</f>
        <v>0</v>
      </c>
      <c r="L1359" s="1146">
        <f>K1359*N1354</f>
        <v>0</v>
      </c>
      <c r="M1359" s="1147"/>
      <c r="N1359" s="341"/>
    </row>
    <row r="1360" spans="2:14">
      <c r="B1360" s="292" t="s">
        <v>293</v>
      </c>
      <c r="C1360" s="293"/>
      <c r="D1360" s="293"/>
      <c r="E1360" s="293"/>
      <c r="F1360" s="293"/>
      <c r="G1360" s="293"/>
      <c r="H1360" s="293"/>
      <c r="I1360" s="338"/>
      <c r="J1360" s="339"/>
      <c r="K1360" s="340">
        <f>'PRESUPUESTO OFICIAL'!$K$101</f>
        <v>0</v>
      </c>
      <c r="L1360" s="1146">
        <f>K1360*N1354</f>
        <v>0</v>
      </c>
      <c r="M1360" s="1147"/>
      <c r="N1360" s="341"/>
    </row>
    <row r="1361" spans="2:14" ht="13.5" thickBot="1">
      <c r="B1361" s="277" t="s">
        <v>294</v>
      </c>
      <c r="C1361" s="278"/>
      <c r="D1361" s="278"/>
      <c r="E1361" s="278"/>
      <c r="F1361" s="278"/>
      <c r="G1361" s="278"/>
      <c r="H1361" s="278"/>
      <c r="I1361" s="342"/>
      <c r="J1361" s="343"/>
      <c r="K1361" s="340">
        <f>'PRESUPUESTO OFICIAL'!$K$102</f>
        <v>0</v>
      </c>
      <c r="L1361" s="1148">
        <f>K1361*N1354</f>
        <v>0</v>
      </c>
      <c r="M1361" s="1149"/>
      <c r="N1361" s="341"/>
    </row>
    <row r="1362" spans="2:14" ht="13.5" thickBot="1">
      <c r="B1362" s="1100" t="s">
        <v>269</v>
      </c>
      <c r="C1362" s="1101"/>
      <c r="D1362" s="1101"/>
      <c r="E1362" s="1101"/>
      <c r="F1362" s="1101"/>
      <c r="G1362" s="1101"/>
      <c r="H1362" s="1101"/>
      <c r="I1362" s="1101"/>
      <c r="J1362" s="1101"/>
      <c r="K1362" s="1101"/>
      <c r="L1362" s="1101"/>
      <c r="M1362" s="1102"/>
      <c r="N1362" s="344">
        <f>SUM(L1359:M1361)</f>
        <v>0</v>
      </c>
    </row>
    <row r="1363" spans="2:14" ht="13.5" thickBot="1">
      <c r="B1363" s="283"/>
      <c r="N1363" s="284"/>
    </row>
    <row r="1364" spans="2:14" ht="13.5" thickBot="1">
      <c r="B1364" s="1150" t="s">
        <v>295</v>
      </c>
      <c r="C1364" s="1151"/>
      <c r="D1364" s="1151"/>
      <c r="E1364" s="1151"/>
      <c r="F1364" s="1151"/>
      <c r="G1364" s="1151"/>
      <c r="H1364" s="1151"/>
      <c r="I1364" s="1151"/>
      <c r="J1364" s="1151"/>
      <c r="K1364" s="1151"/>
      <c r="L1364" s="1151"/>
      <c r="M1364" s="1152"/>
      <c r="N1364" s="345">
        <f>ROUND(N1354+N1362,0)</f>
        <v>413405</v>
      </c>
    </row>
    <row r="1365" spans="2:14">
      <c r="B1365" s="280"/>
      <c r="C1365" s="281"/>
      <c r="D1365" s="281"/>
      <c r="E1365" s="281"/>
      <c r="F1365" s="281"/>
      <c r="G1365" s="281"/>
      <c r="H1365" s="281"/>
      <c r="I1365" s="281"/>
      <c r="J1365" s="281"/>
      <c r="K1365" s="281"/>
      <c r="L1365" s="281"/>
      <c r="M1365" s="281"/>
      <c r="N1365" s="282"/>
    </row>
    <row r="1366" spans="2:14">
      <c r="B1366" s="283"/>
      <c r="N1366" s="284"/>
    </row>
    <row r="1367" spans="2:14">
      <c r="B1367" s="283"/>
      <c r="N1367" s="284"/>
    </row>
    <row r="1368" spans="2:14">
      <c r="B1368" s="283"/>
      <c r="G1368" s="346" t="s">
        <v>296</v>
      </c>
      <c r="H1368" s="346"/>
      <c r="I1368" s="346"/>
      <c r="J1368" s="346"/>
      <c r="N1368" s="284"/>
    </row>
    <row r="1369" spans="2:14">
      <c r="B1369" s="347"/>
      <c r="C1369" s="348"/>
      <c r="D1369" s="348"/>
      <c r="E1369" s="348"/>
      <c r="F1369" s="348"/>
      <c r="G1369" s="346" t="s">
        <v>297</v>
      </c>
      <c r="H1369" s="348"/>
      <c r="I1369" s="348"/>
      <c r="J1369" s="348"/>
      <c r="K1369" s="348"/>
      <c r="L1369" s="348"/>
      <c r="M1369" s="348"/>
      <c r="N1369" s="349"/>
    </row>
    <row r="1370" spans="2:14">
      <c r="B1370" s="347"/>
      <c r="C1370" s="348"/>
      <c r="D1370" s="348"/>
      <c r="E1370" s="348"/>
      <c r="F1370" s="348"/>
      <c r="G1370" s="346" t="s">
        <v>298</v>
      </c>
      <c r="J1370" s="348"/>
      <c r="K1370" s="348"/>
      <c r="L1370" s="348"/>
      <c r="M1370" s="348"/>
      <c r="N1370" s="349"/>
    </row>
    <row r="1371" spans="2:14">
      <c r="B1371" s="268"/>
      <c r="C1371" s="350"/>
      <c r="D1371" s="350"/>
      <c r="E1371" s="350"/>
      <c r="F1371" s="350"/>
      <c r="G1371" s="346" t="s">
        <v>299</v>
      </c>
      <c r="H1371" s="350"/>
      <c r="I1371" s="350"/>
      <c r="J1371" s="350"/>
      <c r="K1371" s="350"/>
      <c r="L1371" s="350"/>
      <c r="M1371" s="350"/>
      <c r="N1371" s="351"/>
    </row>
    <row r="1372" spans="2:14">
      <c r="B1372" s="283"/>
      <c r="G1372" s="258" t="s">
        <v>300</v>
      </c>
      <c r="N1372" s="284"/>
    </row>
    <row r="1373" spans="2:14">
      <c r="B1373" s="352" t="s">
        <v>301</v>
      </c>
      <c r="C1373" s="353"/>
      <c r="D1373" s="353"/>
      <c r="E1373" s="353"/>
      <c r="F1373" s="353"/>
      <c r="G1373" s="353"/>
      <c r="H1373" s="353"/>
      <c r="I1373" s="353"/>
      <c r="J1373" s="353"/>
      <c r="K1373" s="353"/>
      <c r="L1373" s="353"/>
      <c r="M1373" s="353"/>
      <c r="N1373" s="354"/>
    </row>
    <row r="1374" spans="2:14">
      <c r="B1374" s="1153"/>
      <c r="C1374" s="1154"/>
      <c r="D1374" s="1154"/>
      <c r="E1374" s="1154"/>
      <c r="F1374" s="1154"/>
      <c r="G1374" s="1154"/>
      <c r="H1374" s="1154"/>
      <c r="I1374" s="1154"/>
      <c r="J1374" s="1154"/>
      <c r="K1374" s="1154"/>
      <c r="L1374" s="1154"/>
      <c r="M1374" s="1154"/>
      <c r="N1374" s="1155"/>
    </row>
    <row r="1375" spans="2:14">
      <c r="B1375" s="1153"/>
      <c r="C1375" s="1154"/>
      <c r="D1375" s="1154"/>
      <c r="E1375" s="1154"/>
      <c r="F1375" s="1154"/>
      <c r="G1375" s="1154"/>
      <c r="H1375" s="1154"/>
      <c r="I1375" s="1154"/>
      <c r="J1375" s="1154"/>
      <c r="K1375" s="1154"/>
      <c r="L1375" s="1154"/>
      <c r="M1375" s="1154"/>
      <c r="N1375" s="1155"/>
    </row>
    <row r="1376" spans="2:14">
      <c r="B1376" s="268"/>
      <c r="C1376" s="350"/>
      <c r="D1376" s="350"/>
      <c r="E1376" s="350"/>
      <c r="F1376" s="350"/>
      <c r="G1376" s="350"/>
      <c r="H1376" s="350"/>
      <c r="I1376" s="350"/>
      <c r="J1376" s="350"/>
      <c r="K1376" s="350"/>
      <c r="L1376" s="350"/>
      <c r="M1376" s="350"/>
      <c r="N1376" s="351"/>
    </row>
    <row r="1377" spans="2:14">
      <c r="B1377" s="355" t="s">
        <v>302</v>
      </c>
      <c r="C1377" s="350"/>
      <c r="D1377" s="350"/>
      <c r="E1377" s="350"/>
      <c r="F1377" s="350"/>
      <c r="G1377" s="350"/>
      <c r="H1377" s="350"/>
      <c r="I1377" s="350"/>
      <c r="J1377" s="350"/>
      <c r="K1377" s="350"/>
      <c r="L1377" s="350"/>
      <c r="M1377" s="350"/>
      <c r="N1377" s="351"/>
    </row>
    <row r="1378" spans="2:14">
      <c r="B1378" s="1159" t="s">
        <v>303</v>
      </c>
      <c r="C1378" s="1160"/>
      <c r="D1378" s="1160"/>
      <c r="E1378" s="1160"/>
      <c r="F1378" s="1160"/>
      <c r="G1378" s="1160"/>
      <c r="H1378" s="1160"/>
      <c r="I1378" s="1160"/>
      <c r="J1378" s="1160"/>
      <c r="K1378" s="1160"/>
      <c r="L1378" s="1160"/>
      <c r="M1378" s="1160"/>
      <c r="N1378" s="1161"/>
    </row>
    <row r="1379" spans="2:14">
      <c r="B1379" s="1159"/>
      <c r="C1379" s="1160"/>
      <c r="D1379" s="1160"/>
      <c r="E1379" s="1160"/>
      <c r="F1379" s="1160"/>
      <c r="G1379" s="1160"/>
      <c r="H1379" s="1160"/>
      <c r="I1379" s="1160"/>
      <c r="J1379" s="1160"/>
      <c r="K1379" s="1160"/>
      <c r="L1379" s="1160"/>
      <c r="M1379" s="1160"/>
      <c r="N1379" s="1161"/>
    </row>
    <row r="1380" spans="2:14">
      <c r="B1380" s="1159" t="s">
        <v>304</v>
      </c>
      <c r="C1380" s="1160"/>
      <c r="D1380" s="1160"/>
      <c r="E1380" s="1160"/>
      <c r="F1380" s="1160"/>
      <c r="G1380" s="1160"/>
      <c r="H1380" s="1160"/>
      <c r="I1380" s="1160"/>
      <c r="J1380" s="1160"/>
      <c r="K1380" s="1160"/>
      <c r="L1380" s="1160"/>
      <c r="M1380" s="1160"/>
      <c r="N1380" s="1161"/>
    </row>
    <row r="1381" spans="2:14">
      <c r="B1381" s="1159"/>
      <c r="C1381" s="1160"/>
      <c r="D1381" s="1160"/>
      <c r="E1381" s="1160"/>
      <c r="F1381" s="1160"/>
      <c r="G1381" s="1160"/>
      <c r="H1381" s="1160"/>
      <c r="I1381" s="1160"/>
      <c r="J1381" s="1160"/>
      <c r="K1381" s="1160"/>
      <c r="L1381" s="1160"/>
      <c r="M1381" s="1160"/>
      <c r="N1381" s="1161"/>
    </row>
    <row r="1382" spans="2:14">
      <c r="B1382" s="268"/>
      <c r="C1382" s="350"/>
      <c r="D1382" s="350"/>
      <c r="E1382" s="350"/>
      <c r="F1382" s="350"/>
      <c r="G1382" s="350"/>
      <c r="H1382" s="350"/>
      <c r="I1382" s="350"/>
      <c r="J1382" s="350"/>
      <c r="K1382" s="350"/>
      <c r="L1382" s="350"/>
      <c r="M1382" s="350"/>
      <c r="N1382" s="351"/>
    </row>
    <row r="1383" spans="2:14">
      <c r="B1383" s="283"/>
      <c r="G1383" s="346" t="s">
        <v>296</v>
      </c>
      <c r="N1383" s="284"/>
    </row>
    <row r="1384" spans="2:14">
      <c r="B1384" s="283"/>
      <c r="G1384" s="258" t="s">
        <v>305</v>
      </c>
      <c r="H1384" s="293"/>
      <c r="I1384" s="293"/>
      <c r="J1384" s="293"/>
      <c r="N1384" s="284"/>
    </row>
    <row r="1385" spans="2:14">
      <c r="B1385" s="283"/>
      <c r="G1385" s="258" t="s">
        <v>306</v>
      </c>
      <c r="H1385" s="325"/>
      <c r="I1385" s="325"/>
      <c r="J1385" s="325"/>
      <c r="N1385" s="284"/>
    </row>
    <row r="1386" spans="2:14">
      <c r="B1386" s="356"/>
      <c r="C1386" s="350"/>
      <c r="D1386" s="350"/>
      <c r="E1386" s="350"/>
      <c r="F1386" s="350"/>
      <c r="G1386" s="258" t="s">
        <v>299</v>
      </c>
      <c r="K1386" s="350"/>
      <c r="L1386" s="350"/>
      <c r="M1386" s="350"/>
      <c r="N1386" s="351"/>
    </row>
    <row r="1387" spans="2:14">
      <c r="B1387" s="357"/>
      <c r="C1387" s="358"/>
      <c r="D1387" s="358"/>
      <c r="J1387" s="1162"/>
      <c r="K1387" s="1162"/>
      <c r="L1387" s="1162"/>
      <c r="M1387" s="1162"/>
      <c r="N1387" s="1163"/>
    </row>
    <row r="1388" spans="2:14" ht="13.5" thickBot="1">
      <c r="B1388" s="1166"/>
      <c r="C1388" s="1167"/>
      <c r="D1388" s="1167"/>
      <c r="E1388" s="311"/>
      <c r="F1388" s="311"/>
      <c r="G1388" s="311"/>
      <c r="H1388" s="311"/>
      <c r="I1388" s="311"/>
      <c r="J1388" s="1164"/>
      <c r="K1388" s="1164"/>
      <c r="L1388" s="1164"/>
      <c r="M1388" s="1164"/>
      <c r="N1388" s="1165"/>
    </row>
    <row r="1389" spans="2:14" ht="13.5" thickBot="1"/>
    <row r="1390" spans="2:14">
      <c r="B1390" s="1070"/>
      <c r="C1390" s="1072"/>
      <c r="D1390" s="1073"/>
      <c r="E1390" s="1073"/>
      <c r="F1390" s="1073"/>
      <c r="G1390" s="1073"/>
      <c r="H1390" s="1073"/>
      <c r="I1390" s="1073"/>
      <c r="J1390" s="1074"/>
      <c r="K1390" s="1075"/>
      <c r="L1390" s="1076"/>
      <c r="M1390" s="1076"/>
      <c r="N1390" s="1077"/>
    </row>
    <row r="1391" spans="2:14">
      <c r="B1391" s="1071"/>
      <c r="C1391" s="1062" t="s">
        <v>244</v>
      </c>
      <c r="D1391" s="1063"/>
      <c r="E1391" s="1063"/>
      <c r="F1391" s="1063"/>
      <c r="G1391" s="1063"/>
      <c r="H1391" s="1063"/>
      <c r="I1391" s="1063"/>
      <c r="J1391" s="1064"/>
      <c r="K1391" s="1078"/>
      <c r="L1391" s="1079"/>
      <c r="M1391" s="1079"/>
      <c r="N1391" s="1080"/>
    </row>
    <row r="1392" spans="2:14">
      <c r="B1392" s="1071"/>
      <c r="C1392" s="1081"/>
      <c r="D1392" s="1082"/>
      <c r="E1392" s="1082"/>
      <c r="F1392" s="1082"/>
      <c r="G1392" s="1082"/>
      <c r="H1392" s="1082"/>
      <c r="I1392" s="1082"/>
      <c r="J1392" s="1083"/>
      <c r="K1392" s="1058" t="s">
        <v>245</v>
      </c>
      <c r="L1392" s="1085"/>
      <c r="M1392" s="1086"/>
      <c r="N1392" s="1087"/>
    </row>
    <row r="1393" spans="2:14">
      <c r="B1393" s="1071"/>
      <c r="C1393" s="1062" t="s">
        <v>246</v>
      </c>
      <c r="D1393" s="1063"/>
      <c r="E1393" s="1063"/>
      <c r="F1393" s="1063"/>
      <c r="G1393" s="1063"/>
      <c r="H1393" s="1063"/>
      <c r="I1393" s="1063"/>
      <c r="J1393" s="1064"/>
      <c r="K1393" s="1084"/>
      <c r="L1393" s="1088"/>
      <c r="M1393" s="1089"/>
      <c r="N1393" s="1090"/>
    </row>
    <row r="1394" spans="2:14">
      <c r="B1394" s="1071"/>
      <c r="C1394" s="1091"/>
      <c r="D1394" s="1092"/>
      <c r="E1394" s="1092"/>
      <c r="F1394" s="1092"/>
      <c r="G1394" s="1092"/>
      <c r="H1394" s="1092"/>
      <c r="I1394" s="1092"/>
      <c r="J1394" s="1093"/>
      <c r="K1394" s="1058" t="s">
        <v>247</v>
      </c>
      <c r="L1394" s="1058">
        <v>16</v>
      </c>
      <c r="M1394" s="1058" t="s">
        <v>248</v>
      </c>
      <c r="N1394" s="1060">
        <v>80</v>
      </c>
    </row>
    <row r="1395" spans="2:14">
      <c r="B1395" s="1071"/>
      <c r="C1395" s="1091"/>
      <c r="D1395" s="1092"/>
      <c r="E1395" s="1092"/>
      <c r="F1395" s="1092"/>
      <c r="G1395" s="1092"/>
      <c r="H1395" s="1092"/>
      <c r="I1395" s="1092"/>
      <c r="J1395" s="1093"/>
      <c r="K1395" s="1059"/>
      <c r="L1395" s="1059"/>
      <c r="M1395" s="1059"/>
      <c r="N1395" s="1061"/>
    </row>
    <row r="1396" spans="2:14">
      <c r="B1396" s="1071"/>
      <c r="C1396" s="1062" t="s">
        <v>249</v>
      </c>
      <c r="D1396" s="1063"/>
      <c r="E1396" s="1063"/>
      <c r="F1396" s="1063"/>
      <c r="G1396" s="1063"/>
      <c r="H1396" s="1063"/>
      <c r="I1396" s="1063"/>
      <c r="J1396" s="1064"/>
      <c r="K1396" s="1059"/>
      <c r="L1396" s="1059"/>
      <c r="M1396" s="1059"/>
      <c r="N1396" s="1061"/>
    </row>
    <row r="1397" spans="2:14" ht="13.5" thickBot="1">
      <c r="B1397" s="259"/>
      <c r="C1397" s="260"/>
      <c r="D1397" s="260"/>
      <c r="E1397" s="260"/>
      <c r="F1397" s="260"/>
      <c r="G1397" s="260"/>
      <c r="H1397" s="260"/>
      <c r="I1397" s="260"/>
      <c r="J1397" s="260"/>
      <c r="K1397" s="260"/>
      <c r="L1397" s="261"/>
      <c r="M1397" s="261"/>
      <c r="N1397" s="262"/>
    </row>
    <row r="1398" spans="2:14">
      <c r="B1398" s="263"/>
      <c r="C1398" s="264"/>
      <c r="D1398" s="264"/>
      <c r="E1398" s="264"/>
      <c r="F1398" s="264"/>
      <c r="G1398" s="264"/>
      <c r="H1398" s="264"/>
      <c r="I1398" s="264"/>
      <c r="J1398" s="264"/>
      <c r="K1398" s="265" t="s">
        <v>250</v>
      </c>
      <c r="L1398" s="266" t="s">
        <v>251</v>
      </c>
      <c r="M1398" s="266" t="s">
        <v>252</v>
      </c>
      <c r="N1398" s="267" t="s">
        <v>253</v>
      </c>
    </row>
    <row r="1399" spans="2:14">
      <c r="B1399" s="268"/>
      <c r="C1399" s="269"/>
      <c r="D1399" s="269"/>
      <c r="E1399" s="269"/>
      <c r="F1399" s="269"/>
      <c r="G1399" s="269"/>
      <c r="H1399" s="269"/>
      <c r="I1399" s="269"/>
      <c r="J1399" s="269"/>
      <c r="K1399" s="270"/>
      <c r="L1399" s="271"/>
      <c r="M1399" s="271"/>
      <c r="N1399" s="272"/>
    </row>
    <row r="1400" spans="2:14">
      <c r="B1400" s="1065" t="s">
        <v>254</v>
      </c>
      <c r="C1400" s="1066"/>
      <c r="D1400" s="1066"/>
      <c r="E1400" s="1066"/>
      <c r="F1400" s="269"/>
      <c r="G1400" s="269"/>
      <c r="H1400" s="269" t="s">
        <v>255</v>
      </c>
      <c r="J1400" s="269"/>
      <c r="K1400" s="270"/>
      <c r="N1400" s="273"/>
    </row>
    <row r="1401" spans="2:14">
      <c r="B1401" s="274"/>
      <c r="C1401" s="275"/>
      <c r="D1401" s="275"/>
      <c r="E1401" s="275"/>
      <c r="F1401" s="275"/>
      <c r="G1401" s="275"/>
      <c r="H1401" s="275"/>
      <c r="I1401" s="275"/>
      <c r="J1401" s="275"/>
      <c r="K1401" s="275"/>
      <c r="L1401" s="275"/>
      <c r="M1401" s="275"/>
      <c r="N1401" s="276"/>
    </row>
    <row r="1402" spans="2:14" ht="13.5" thickBot="1">
      <c r="B1402" s="277"/>
      <c r="C1402" s="278"/>
      <c r="D1402" s="278"/>
      <c r="E1402" s="278"/>
      <c r="F1402" s="278"/>
      <c r="G1402" s="278"/>
      <c r="H1402" s="278"/>
      <c r="I1402" s="278"/>
      <c r="J1402" s="278"/>
      <c r="K1402" s="278"/>
      <c r="L1402" s="278"/>
      <c r="M1402" s="278"/>
      <c r="N1402" s="279"/>
    </row>
    <row r="1403" spans="2:14" ht="13.5" thickBot="1">
      <c r="B1403" s="280"/>
      <c r="C1403" s="281"/>
      <c r="D1403" s="281"/>
      <c r="E1403" s="281"/>
      <c r="F1403" s="281"/>
      <c r="G1403" s="281"/>
      <c r="J1403" s="281"/>
      <c r="K1403" s="281"/>
      <c r="L1403" s="281"/>
      <c r="M1403" s="281"/>
      <c r="N1403" s="282"/>
    </row>
    <row r="1404" spans="2:14">
      <c r="B1404" s="1067" t="s">
        <v>256</v>
      </c>
      <c r="C1404" s="1068"/>
      <c r="D1404" s="1068"/>
      <c r="E1404" s="1068"/>
      <c r="F1404" s="1068"/>
      <c r="G1404" s="1068"/>
      <c r="H1404" s="1068"/>
      <c r="I1404" s="1068"/>
      <c r="J1404" s="1068"/>
      <c r="K1404" s="1068"/>
      <c r="L1404" s="1068"/>
      <c r="M1404" s="1068"/>
      <c r="N1404" s="1069"/>
    </row>
    <row r="1405" spans="2:14" ht="13.5" thickBot="1">
      <c r="B1405" s="283"/>
      <c r="N1405" s="284"/>
    </row>
    <row r="1406" spans="2:14">
      <c r="B1406" s="285" t="s">
        <v>257</v>
      </c>
      <c r="C1406" s="1120" t="s">
        <v>258</v>
      </c>
      <c r="D1406" s="1121"/>
      <c r="E1406" s="1121"/>
      <c r="F1406" s="1121"/>
      <c r="G1406" s="1121"/>
      <c r="H1406" s="1121"/>
      <c r="I1406" s="1121"/>
      <c r="J1406" s="1121"/>
      <c r="K1406" s="1122"/>
      <c r="L1406" s="1123" t="s">
        <v>259</v>
      </c>
      <c r="M1406" s="1124"/>
      <c r="N1406" s="285" t="s">
        <v>133</v>
      </c>
    </row>
    <row r="1407" spans="2:14" ht="21" customHeight="1" thickBot="1">
      <c r="B1407" s="286">
        <v>16</v>
      </c>
      <c r="C1407" s="1125" t="s">
        <v>157</v>
      </c>
      <c r="D1407" s="1126"/>
      <c r="E1407" s="1126"/>
      <c r="F1407" s="1126"/>
      <c r="G1407" s="1126"/>
      <c r="H1407" s="1126"/>
      <c r="I1407" s="1126"/>
      <c r="J1407" s="1126"/>
      <c r="K1407" s="1127"/>
      <c r="L1407" s="1128" t="s">
        <v>141</v>
      </c>
      <c r="M1407" s="1129"/>
      <c r="N1407" s="366">
        <v>300</v>
      </c>
    </row>
    <row r="1408" spans="2:14">
      <c r="B1408" s="1103" t="s">
        <v>260</v>
      </c>
      <c r="C1408" s="1104"/>
      <c r="D1408" s="1104"/>
      <c r="E1408" s="1104"/>
      <c r="F1408" s="1104"/>
      <c r="G1408" s="1104"/>
      <c r="H1408" s="1104"/>
      <c r="I1408" s="1104"/>
      <c r="J1408" s="1104"/>
      <c r="K1408" s="1104"/>
      <c r="L1408" s="1104"/>
      <c r="M1408" s="1104"/>
      <c r="N1408" s="1105"/>
    </row>
    <row r="1409" spans="2:14">
      <c r="B1409" s="1106"/>
      <c r="C1409" s="1107"/>
      <c r="D1409" s="1107"/>
      <c r="E1409" s="1107"/>
      <c r="F1409" s="1107"/>
      <c r="G1409" s="1107"/>
      <c r="H1409" s="1107"/>
      <c r="I1409" s="1107"/>
      <c r="J1409" s="1107"/>
      <c r="K1409" s="1107"/>
      <c r="L1409" s="1107"/>
      <c r="M1409" s="1107"/>
      <c r="N1409" s="1108"/>
    </row>
    <row r="1410" spans="2:14" ht="13.5" thickBot="1">
      <c r="B1410" s="1109"/>
      <c r="C1410" s="1110"/>
      <c r="D1410" s="1110"/>
      <c r="E1410" s="1110"/>
      <c r="F1410" s="1110"/>
      <c r="G1410" s="1110"/>
      <c r="H1410" s="1110"/>
      <c r="I1410" s="1110"/>
      <c r="J1410" s="1110"/>
      <c r="K1410" s="1110"/>
      <c r="L1410" s="1110"/>
      <c r="M1410" s="1110"/>
      <c r="N1410" s="1111"/>
    </row>
    <row r="1411" spans="2:14">
      <c r="B1411" s="1130" t="s">
        <v>258</v>
      </c>
      <c r="C1411" s="1131"/>
      <c r="D1411" s="1131"/>
      <c r="E1411" s="1131"/>
      <c r="F1411" s="1132"/>
      <c r="G1411" s="1133" t="s">
        <v>261</v>
      </c>
      <c r="H1411" s="1131"/>
      <c r="I1411" s="1134" t="s">
        <v>262</v>
      </c>
      <c r="J1411" s="1135"/>
      <c r="K1411" s="288" t="s">
        <v>263</v>
      </c>
      <c r="L1411" s="1133" t="s">
        <v>264</v>
      </c>
      <c r="M1411" s="1136"/>
      <c r="N1411" s="289" t="s">
        <v>265</v>
      </c>
    </row>
    <row r="1412" spans="2:14">
      <c r="B1412" s="1179" t="s">
        <v>328</v>
      </c>
      <c r="C1412" s="1180"/>
      <c r="D1412" s="1180"/>
      <c r="E1412" s="1180"/>
      <c r="F1412" s="1181"/>
      <c r="G1412" s="1115"/>
      <c r="H1412" s="1114"/>
      <c r="I1412" s="1182" t="s">
        <v>267</v>
      </c>
      <c r="J1412" s="1183"/>
      <c r="K1412" s="290">
        <v>333</v>
      </c>
      <c r="L1412" s="1118">
        <v>0.2</v>
      </c>
      <c r="M1412" s="1119"/>
      <c r="N1412" s="290">
        <f>+K1412/L1412</f>
        <v>1665</v>
      </c>
    </row>
    <row r="1413" spans="2:14" ht="13.5" thickBot="1">
      <c r="B1413" s="1179"/>
      <c r="C1413" s="1180"/>
      <c r="D1413" s="1180"/>
      <c r="E1413" s="1180"/>
      <c r="F1413" s="1181"/>
      <c r="G1413" s="295"/>
      <c r="H1413" s="294"/>
      <c r="I1413" s="1182"/>
      <c r="J1413" s="1183"/>
      <c r="K1413" s="290"/>
      <c r="L1413" s="1118"/>
      <c r="M1413" s="1119"/>
      <c r="N1413" s="290"/>
    </row>
    <row r="1414" spans="2:14" ht="13.5" thickBot="1">
      <c r="B1414" s="1100" t="s">
        <v>269</v>
      </c>
      <c r="C1414" s="1101"/>
      <c r="D1414" s="1101"/>
      <c r="E1414" s="1101"/>
      <c r="F1414" s="1101"/>
      <c r="G1414" s="1101"/>
      <c r="H1414" s="1101"/>
      <c r="I1414" s="1101"/>
      <c r="J1414" s="1101"/>
      <c r="K1414" s="1101"/>
      <c r="L1414" s="1101"/>
      <c r="M1414" s="1102"/>
      <c r="N1414" s="323">
        <f>+N1412+N1413</f>
        <v>1665</v>
      </c>
    </row>
    <row r="1415" spans="2:14">
      <c r="B1415" s="1103" t="s">
        <v>270</v>
      </c>
      <c r="C1415" s="1104"/>
      <c r="D1415" s="1104"/>
      <c r="E1415" s="1104"/>
      <c r="F1415" s="1104"/>
      <c r="G1415" s="1104"/>
      <c r="H1415" s="1104"/>
      <c r="I1415" s="1104"/>
      <c r="J1415" s="1104"/>
      <c r="K1415" s="1104"/>
      <c r="L1415" s="1104"/>
      <c r="M1415" s="1104"/>
      <c r="N1415" s="1105"/>
    </row>
    <row r="1416" spans="2:14">
      <c r="B1416" s="1106"/>
      <c r="C1416" s="1107"/>
      <c r="D1416" s="1107"/>
      <c r="E1416" s="1107"/>
      <c r="F1416" s="1107"/>
      <c r="G1416" s="1107"/>
      <c r="H1416" s="1107"/>
      <c r="I1416" s="1107"/>
      <c r="J1416" s="1107"/>
      <c r="K1416" s="1107"/>
      <c r="L1416" s="1107"/>
      <c r="M1416" s="1107"/>
      <c r="N1416" s="1108"/>
    </row>
    <row r="1417" spans="2:14" ht="13.5" thickBot="1">
      <c r="B1417" s="1109"/>
      <c r="C1417" s="1110"/>
      <c r="D1417" s="1110"/>
      <c r="E1417" s="1110"/>
      <c r="F1417" s="1110"/>
      <c r="G1417" s="1110"/>
      <c r="H1417" s="1110"/>
      <c r="I1417" s="1110"/>
      <c r="J1417" s="1110"/>
      <c r="K1417" s="1110"/>
      <c r="L1417" s="1110"/>
      <c r="M1417" s="1110"/>
      <c r="N1417" s="1111"/>
    </row>
    <row r="1418" spans="2:14">
      <c r="B1418" s="1130" t="s">
        <v>258</v>
      </c>
      <c r="C1418" s="1139"/>
      <c r="D1418" s="1139"/>
      <c r="E1418" s="1139"/>
      <c r="F1418" s="1139"/>
      <c r="G1418" s="1139"/>
      <c r="H1418" s="1139"/>
      <c r="I1418" s="1136"/>
      <c r="J1418" s="299" t="s">
        <v>259</v>
      </c>
      <c r="K1418" s="288" t="s">
        <v>133</v>
      </c>
      <c r="L1418" s="1133" t="s">
        <v>271</v>
      </c>
      <c r="M1418" s="1136"/>
      <c r="N1418" s="289" t="s">
        <v>265</v>
      </c>
    </row>
    <row r="1419" spans="2:14">
      <c r="B1419" s="1112" t="s">
        <v>311</v>
      </c>
      <c r="C1419" s="1113"/>
      <c r="D1419" s="1113"/>
      <c r="E1419" s="1113"/>
      <c r="F1419" s="1113"/>
      <c r="G1419" s="1113"/>
      <c r="H1419" s="1113"/>
      <c r="I1419" s="1114"/>
      <c r="J1419" s="300" t="s">
        <v>275</v>
      </c>
      <c r="K1419" s="301">
        <v>0.15</v>
      </c>
      <c r="L1419" s="1144">
        <v>2540</v>
      </c>
      <c r="M1419" s="1145"/>
      <c r="N1419" s="363">
        <f>+K1419*L1419</f>
        <v>381</v>
      </c>
    </row>
    <row r="1420" spans="2:14">
      <c r="B1420" s="292" t="s">
        <v>331</v>
      </c>
      <c r="C1420" s="293"/>
      <c r="D1420" s="293"/>
      <c r="E1420" s="293"/>
      <c r="F1420" s="293"/>
      <c r="G1420" s="293"/>
      <c r="H1420" s="293"/>
      <c r="I1420" s="294"/>
      <c r="J1420" s="303" t="s">
        <v>196</v>
      </c>
      <c r="K1420" s="392">
        <v>1</v>
      </c>
      <c r="L1420" s="1144">
        <v>5355</v>
      </c>
      <c r="M1420" s="1145">
        <v>5355</v>
      </c>
      <c r="N1420" s="363">
        <f>+K1420*L1420</f>
        <v>5355</v>
      </c>
    </row>
    <row r="1421" spans="2:14" ht="13.5" thickBot="1">
      <c r="B1421" s="1094" t="s">
        <v>332</v>
      </c>
      <c r="C1421" s="1095"/>
      <c r="D1421" s="1095"/>
      <c r="E1421" s="1095"/>
      <c r="F1421" s="1095"/>
      <c r="G1421" s="1095"/>
      <c r="H1421" s="1095"/>
      <c r="I1421" s="1096"/>
      <c r="J1421" s="303" t="s">
        <v>196</v>
      </c>
      <c r="K1421" s="304">
        <v>1</v>
      </c>
      <c r="L1421" s="1144">
        <v>10710</v>
      </c>
      <c r="M1421" s="1145"/>
      <c r="N1421" s="363">
        <f>+K1421*L1421</f>
        <v>10710</v>
      </c>
    </row>
    <row r="1422" spans="2:14" ht="13.5" thickBot="1">
      <c r="B1422" s="1100" t="s">
        <v>269</v>
      </c>
      <c r="C1422" s="1101"/>
      <c r="D1422" s="1101"/>
      <c r="E1422" s="1101"/>
      <c r="F1422" s="1101"/>
      <c r="G1422" s="1101"/>
      <c r="H1422" s="1101"/>
      <c r="I1422" s="1101"/>
      <c r="J1422" s="1101"/>
      <c r="K1422" s="1101"/>
      <c r="L1422" s="1101"/>
      <c r="M1422" s="1102"/>
      <c r="N1422" s="323">
        <f>+N1419+N1420+N1421</f>
        <v>16446</v>
      </c>
    </row>
    <row r="1423" spans="2:14">
      <c r="B1423" s="1103" t="s">
        <v>276</v>
      </c>
      <c r="C1423" s="1104"/>
      <c r="D1423" s="1104"/>
      <c r="E1423" s="1104"/>
      <c r="F1423" s="1104"/>
      <c r="G1423" s="1104"/>
      <c r="H1423" s="1104"/>
      <c r="I1423" s="1104"/>
      <c r="J1423" s="1104"/>
      <c r="K1423" s="1104"/>
      <c r="L1423" s="1104"/>
      <c r="M1423" s="1104"/>
      <c r="N1423" s="1105"/>
    </row>
    <row r="1424" spans="2:14">
      <c r="B1424" s="1106"/>
      <c r="C1424" s="1107"/>
      <c r="D1424" s="1107"/>
      <c r="E1424" s="1107"/>
      <c r="F1424" s="1107"/>
      <c r="G1424" s="1107"/>
      <c r="H1424" s="1107"/>
      <c r="I1424" s="1107"/>
      <c r="J1424" s="1107"/>
      <c r="K1424" s="1107"/>
      <c r="L1424" s="1107"/>
      <c r="M1424" s="1107"/>
      <c r="N1424" s="1108"/>
    </row>
    <row r="1425" spans="2:14" ht="13.5" thickBot="1">
      <c r="B1425" s="1109"/>
      <c r="C1425" s="1110"/>
      <c r="D1425" s="1110"/>
      <c r="E1425" s="1110"/>
      <c r="F1425" s="1110"/>
      <c r="G1425" s="1110"/>
      <c r="H1425" s="1110"/>
      <c r="I1425" s="1110"/>
      <c r="J1425" s="1110"/>
      <c r="K1425" s="1110"/>
      <c r="L1425" s="1110"/>
      <c r="M1425" s="1110"/>
      <c r="N1425" s="1111"/>
    </row>
    <row r="1426" spans="2:14">
      <c r="B1426" s="1130" t="s">
        <v>277</v>
      </c>
      <c r="C1426" s="1139"/>
      <c r="D1426" s="1139"/>
      <c r="E1426" s="1139"/>
      <c r="F1426" s="1139"/>
      <c r="G1426" s="1139"/>
      <c r="H1426" s="1139"/>
      <c r="I1426" s="288" t="s">
        <v>278</v>
      </c>
      <c r="J1426" s="306" t="s">
        <v>279</v>
      </c>
      <c r="K1426" s="307" t="s">
        <v>280</v>
      </c>
      <c r="L1426" s="1133" t="s">
        <v>281</v>
      </c>
      <c r="M1426" s="1136"/>
      <c r="N1426" s="289" t="s">
        <v>265</v>
      </c>
    </row>
    <row r="1427" spans="2:14">
      <c r="B1427" s="1112"/>
      <c r="C1427" s="1113"/>
      <c r="D1427" s="1113"/>
      <c r="E1427" s="1113"/>
      <c r="F1427" s="1113"/>
      <c r="G1427" s="1113"/>
      <c r="H1427" s="1113"/>
      <c r="I1427" s="308"/>
      <c r="J1427" s="309"/>
      <c r="K1427" s="308"/>
      <c r="L1427" s="1142"/>
      <c r="M1427" s="1143"/>
      <c r="N1427" s="297"/>
    </row>
    <row r="1428" spans="2:14" ht="13.5" thickBot="1">
      <c r="B1428" s="1094"/>
      <c r="C1428" s="1095"/>
      <c r="D1428" s="1095"/>
      <c r="E1428" s="1095"/>
      <c r="F1428" s="1095"/>
      <c r="G1428" s="1095"/>
      <c r="H1428" s="1095"/>
      <c r="I1428" s="310"/>
      <c r="J1428" s="311"/>
      <c r="K1428" s="310"/>
      <c r="L1428" s="1137"/>
      <c r="M1428" s="1138"/>
      <c r="N1428" s="312"/>
    </row>
    <row r="1429" spans="2:14" ht="13.5" thickBot="1">
      <c r="B1429" s="1100" t="s">
        <v>269</v>
      </c>
      <c r="C1429" s="1101"/>
      <c r="D1429" s="1101"/>
      <c r="E1429" s="1101"/>
      <c r="F1429" s="1101"/>
      <c r="G1429" s="1101"/>
      <c r="H1429" s="1101"/>
      <c r="I1429" s="1101"/>
      <c r="J1429" s="1101"/>
      <c r="K1429" s="1101"/>
      <c r="L1429" s="1101"/>
      <c r="M1429" s="1102"/>
      <c r="N1429" s="313">
        <v>0</v>
      </c>
    </row>
    <row r="1430" spans="2:14">
      <c r="B1430" s="1103" t="s">
        <v>282</v>
      </c>
      <c r="C1430" s="1104"/>
      <c r="D1430" s="1104"/>
      <c r="E1430" s="1104"/>
      <c r="F1430" s="1104"/>
      <c r="G1430" s="1104"/>
      <c r="H1430" s="1104"/>
      <c r="I1430" s="1104"/>
      <c r="J1430" s="1104"/>
      <c r="K1430" s="1104"/>
      <c r="L1430" s="1104"/>
      <c r="M1430" s="1104"/>
      <c r="N1430" s="1105"/>
    </row>
    <row r="1431" spans="2:14">
      <c r="B1431" s="1106"/>
      <c r="C1431" s="1107"/>
      <c r="D1431" s="1107"/>
      <c r="E1431" s="1107"/>
      <c r="F1431" s="1107"/>
      <c r="G1431" s="1107"/>
      <c r="H1431" s="1107"/>
      <c r="I1431" s="1107"/>
      <c r="J1431" s="1107"/>
      <c r="K1431" s="1107"/>
      <c r="L1431" s="1107"/>
      <c r="M1431" s="1107"/>
      <c r="N1431" s="1108"/>
    </row>
    <row r="1432" spans="2:14" ht="13.5" thickBot="1">
      <c r="B1432" s="1109"/>
      <c r="C1432" s="1110"/>
      <c r="D1432" s="1110"/>
      <c r="E1432" s="1110"/>
      <c r="F1432" s="1110"/>
      <c r="G1432" s="1110"/>
      <c r="H1432" s="1110"/>
      <c r="I1432" s="1110"/>
      <c r="J1432" s="1110"/>
      <c r="K1432" s="1110"/>
      <c r="L1432" s="1110"/>
      <c r="M1432" s="1110"/>
      <c r="N1432" s="1111"/>
    </row>
    <row r="1433" spans="2:14">
      <c r="B1433" s="1130" t="s">
        <v>283</v>
      </c>
      <c r="C1433" s="1139"/>
      <c r="D1433" s="1139"/>
      <c r="E1433" s="1139"/>
      <c r="F1433" s="1139"/>
      <c r="G1433" s="1139"/>
      <c r="H1433" s="1139"/>
      <c r="I1433" s="288" t="s">
        <v>284</v>
      </c>
      <c r="J1433" s="314" t="s">
        <v>285</v>
      </c>
      <c r="K1433" s="315" t="s">
        <v>286</v>
      </c>
      <c r="L1433" s="1140" t="s">
        <v>264</v>
      </c>
      <c r="M1433" s="1141"/>
      <c r="N1433" s="316" t="s">
        <v>265</v>
      </c>
    </row>
    <row r="1434" spans="2:14">
      <c r="B1434" s="356" t="s">
        <v>322</v>
      </c>
      <c r="C1434" s="318"/>
      <c r="D1434" s="318"/>
      <c r="E1434" s="318"/>
      <c r="F1434" s="318"/>
      <c r="G1434" s="318"/>
      <c r="H1434" s="318"/>
      <c r="I1434" s="319">
        <v>153482</v>
      </c>
      <c r="J1434" s="321">
        <v>0</v>
      </c>
      <c r="K1434" s="321">
        <f>+I1434+J1434</f>
        <v>153482</v>
      </c>
      <c r="L1434" s="1157">
        <v>10</v>
      </c>
      <c r="M1434" s="1158"/>
      <c r="N1434" s="322">
        <f>+K1434/L1434</f>
        <v>15348.2</v>
      </c>
    </row>
    <row r="1435" spans="2:14" ht="13.5" thickBot="1">
      <c r="B1435" s="356"/>
      <c r="C1435" s="318"/>
      <c r="D1435" s="318"/>
      <c r="E1435" s="318"/>
      <c r="F1435" s="318"/>
      <c r="G1435" s="318"/>
      <c r="H1435" s="318"/>
      <c r="I1435" s="319"/>
      <c r="J1435" s="321"/>
      <c r="K1435" s="321"/>
      <c r="L1435" s="1157"/>
      <c r="M1435" s="1158"/>
      <c r="N1435" s="322"/>
    </row>
    <row r="1436" spans="2:14" ht="13.5" thickBot="1">
      <c r="B1436" s="1100" t="s">
        <v>269</v>
      </c>
      <c r="C1436" s="1101"/>
      <c r="D1436" s="1101"/>
      <c r="E1436" s="1101"/>
      <c r="F1436" s="1101"/>
      <c r="G1436" s="1101"/>
      <c r="H1436" s="1101"/>
      <c r="I1436" s="1101"/>
      <c r="J1436" s="1101"/>
      <c r="K1436" s="1101"/>
      <c r="L1436" s="1101"/>
      <c r="M1436" s="1102"/>
      <c r="N1436" s="323">
        <f>+N1434+N1435</f>
        <v>15348.2</v>
      </c>
    </row>
    <row r="1437" spans="2:14" ht="13.5" thickBot="1">
      <c r="B1437" s="324" t="s">
        <v>288</v>
      </c>
      <c r="C1437" s="325"/>
      <c r="D1437" s="325"/>
      <c r="E1437" s="325"/>
      <c r="F1437" s="325"/>
      <c r="G1437" s="325"/>
      <c r="H1437" s="325"/>
      <c r="I1437" s="326"/>
      <c r="J1437" s="327"/>
      <c r="K1437" s="328"/>
      <c r="L1437" s="329"/>
      <c r="M1437" s="329"/>
      <c r="N1437" s="330"/>
    </row>
    <row r="1438" spans="2:14">
      <c r="B1438" s="1130" t="s">
        <v>17</v>
      </c>
      <c r="C1438" s="1139"/>
      <c r="D1438" s="1139"/>
      <c r="E1438" s="1139"/>
      <c r="F1438" s="1139"/>
      <c r="G1438" s="1139"/>
      <c r="H1438" s="1139"/>
      <c r="I1438" s="1136"/>
      <c r="J1438" s="299" t="s">
        <v>259</v>
      </c>
      <c r="K1438" s="288" t="s">
        <v>133</v>
      </c>
      <c r="L1438" s="1133" t="s">
        <v>271</v>
      </c>
      <c r="M1438" s="1136"/>
      <c r="N1438" s="316" t="s">
        <v>265</v>
      </c>
    </row>
    <row r="1439" spans="2:14">
      <c r="B1439" s="331" t="s">
        <v>289</v>
      </c>
      <c r="C1439" s="332"/>
      <c r="D1439" s="332"/>
      <c r="E1439" s="332"/>
      <c r="F1439" s="332"/>
      <c r="G1439" s="332"/>
      <c r="H1439" s="332"/>
      <c r="I1439" s="333"/>
      <c r="J1439" s="334" t="s">
        <v>290</v>
      </c>
      <c r="K1439" s="335">
        <v>0.05</v>
      </c>
      <c r="L1439" s="1144">
        <f>+N1436</f>
        <v>15348.2</v>
      </c>
      <c r="M1439" s="1145"/>
      <c r="N1439" s="322">
        <f>+K1439*L1439</f>
        <v>767.41000000000008</v>
      </c>
    </row>
    <row r="1440" spans="2:14" ht="13.5" thickBot="1">
      <c r="B1440" s="356"/>
      <c r="C1440" s="325"/>
      <c r="D1440" s="325"/>
      <c r="E1440" s="325"/>
      <c r="F1440" s="325"/>
      <c r="G1440" s="325"/>
      <c r="H1440" s="325"/>
      <c r="I1440" s="369"/>
      <c r="J1440" s="327"/>
      <c r="K1440" s="370"/>
      <c r="L1440" s="371"/>
      <c r="M1440" s="372"/>
      <c r="N1440" s="373"/>
    </row>
    <row r="1441" spans="2:14" ht="13.5" thickBot="1">
      <c r="B1441" s="1100" t="s">
        <v>269</v>
      </c>
      <c r="C1441" s="1101"/>
      <c r="D1441" s="1101"/>
      <c r="E1441" s="1101"/>
      <c r="F1441" s="1101"/>
      <c r="G1441" s="1101"/>
      <c r="H1441" s="1101"/>
      <c r="I1441" s="1101"/>
      <c r="J1441" s="1101"/>
      <c r="K1441" s="1101"/>
      <c r="L1441" s="1101"/>
      <c r="M1441" s="1102"/>
      <c r="N1441" s="323">
        <f>+N1439</f>
        <v>767.41000000000008</v>
      </c>
    </row>
    <row r="1442" spans="2:14">
      <c r="B1442" s="280"/>
      <c r="C1442" s="281"/>
      <c r="D1442" s="281"/>
      <c r="E1442" s="281"/>
      <c r="F1442" s="281"/>
      <c r="G1442" s="281"/>
      <c r="H1442" s="281"/>
      <c r="I1442" s="281"/>
      <c r="J1442" s="281"/>
      <c r="K1442" s="281"/>
      <c r="L1442" s="281"/>
      <c r="M1442" s="281"/>
      <c r="N1442" s="282"/>
    </row>
    <row r="1443" spans="2:14" ht="13.5" thickBot="1">
      <c r="B1443" s="378"/>
      <c r="C1443" s="311"/>
      <c r="D1443" s="311"/>
      <c r="E1443" s="311"/>
      <c r="F1443" s="311"/>
      <c r="G1443" s="311"/>
      <c r="H1443" s="311"/>
      <c r="I1443" s="311"/>
      <c r="J1443" s="311"/>
      <c r="K1443" s="311"/>
      <c r="L1443" s="311"/>
      <c r="M1443" s="311"/>
      <c r="N1443" s="379"/>
    </row>
    <row r="1444" spans="2:14" ht="13.5" thickBot="1">
      <c r="B1444" s="1150" t="s">
        <v>291</v>
      </c>
      <c r="C1444" s="1151"/>
      <c r="D1444" s="1151"/>
      <c r="E1444" s="1151"/>
      <c r="F1444" s="1151"/>
      <c r="G1444" s="1151"/>
      <c r="H1444" s="1151"/>
      <c r="I1444" s="1151"/>
      <c r="J1444" s="1151"/>
      <c r="K1444" s="1151"/>
      <c r="L1444" s="1151"/>
      <c r="M1444" s="1152"/>
      <c r="N1444" s="336">
        <f>+N1414+N1422+N1429+N1436+N1441</f>
        <v>34226.61</v>
      </c>
    </row>
    <row r="1445" spans="2:14">
      <c r="B1445" s="1103" t="s">
        <v>292</v>
      </c>
      <c r="C1445" s="1104"/>
      <c r="D1445" s="1104"/>
      <c r="E1445" s="1104"/>
      <c r="F1445" s="1104"/>
      <c r="G1445" s="1104"/>
      <c r="H1445" s="1104"/>
      <c r="I1445" s="1104"/>
      <c r="J1445" s="1104"/>
      <c r="K1445" s="1104"/>
      <c r="L1445" s="1104"/>
      <c r="M1445" s="1104"/>
      <c r="N1445" s="1105"/>
    </row>
    <row r="1446" spans="2:14">
      <c r="B1446" s="1106"/>
      <c r="C1446" s="1107"/>
      <c r="D1446" s="1107"/>
      <c r="E1446" s="1107"/>
      <c r="F1446" s="1107"/>
      <c r="G1446" s="1107"/>
      <c r="H1446" s="1107"/>
      <c r="I1446" s="1107"/>
      <c r="J1446" s="1107"/>
      <c r="K1446" s="1107"/>
      <c r="L1446" s="1107"/>
      <c r="M1446" s="1107"/>
      <c r="N1446" s="1108"/>
    </row>
    <row r="1447" spans="2:14" ht="13.5" thickBot="1">
      <c r="B1447" s="1109"/>
      <c r="C1447" s="1110"/>
      <c r="D1447" s="1110"/>
      <c r="E1447" s="1110"/>
      <c r="F1447" s="1110"/>
      <c r="G1447" s="1110"/>
      <c r="H1447" s="1110"/>
      <c r="I1447" s="1110"/>
      <c r="J1447" s="1110"/>
      <c r="K1447" s="1110"/>
      <c r="L1447" s="1110"/>
      <c r="M1447" s="1110"/>
      <c r="N1447" s="1111"/>
    </row>
    <row r="1448" spans="2:14">
      <c r="B1448" s="1130" t="s">
        <v>17</v>
      </c>
      <c r="C1448" s="1139"/>
      <c r="D1448" s="1139"/>
      <c r="E1448" s="1139"/>
      <c r="F1448" s="1139"/>
      <c r="G1448" s="1139"/>
      <c r="H1448" s="1139"/>
      <c r="I1448" s="306"/>
      <c r="J1448" s="337"/>
      <c r="K1448" s="315" t="s">
        <v>79</v>
      </c>
      <c r="L1448" s="1140" t="s">
        <v>11</v>
      </c>
      <c r="M1448" s="1141"/>
      <c r="N1448" s="316"/>
    </row>
    <row r="1449" spans="2:14">
      <c r="B1449" s="1112" t="s">
        <v>232</v>
      </c>
      <c r="C1449" s="1113"/>
      <c r="D1449" s="1113"/>
      <c r="E1449" s="1113"/>
      <c r="F1449" s="1113"/>
      <c r="G1449" s="1113"/>
      <c r="H1449" s="1113"/>
      <c r="I1449" s="338"/>
      <c r="J1449" s="339"/>
      <c r="K1449" s="340">
        <f>'PRESUPUESTO OFICIAL'!$K$100</f>
        <v>0</v>
      </c>
      <c r="L1449" s="1146">
        <f>K1449*N1444</f>
        <v>0</v>
      </c>
      <c r="M1449" s="1147"/>
      <c r="N1449" s="341"/>
    </row>
    <row r="1450" spans="2:14">
      <c r="B1450" s="292" t="s">
        <v>293</v>
      </c>
      <c r="C1450" s="293"/>
      <c r="D1450" s="293"/>
      <c r="E1450" s="293"/>
      <c r="F1450" s="293"/>
      <c r="G1450" s="293"/>
      <c r="H1450" s="293"/>
      <c r="I1450" s="338"/>
      <c r="J1450" s="339"/>
      <c r="K1450" s="340">
        <f>'PRESUPUESTO OFICIAL'!$K$101</f>
        <v>0</v>
      </c>
      <c r="L1450" s="1146">
        <f>K1450*N1444</f>
        <v>0</v>
      </c>
      <c r="M1450" s="1147"/>
      <c r="N1450" s="341"/>
    </row>
    <row r="1451" spans="2:14" ht="13.5" thickBot="1">
      <c r="B1451" s="277" t="s">
        <v>294</v>
      </c>
      <c r="C1451" s="278"/>
      <c r="D1451" s="278"/>
      <c r="E1451" s="278"/>
      <c r="F1451" s="278"/>
      <c r="G1451" s="278"/>
      <c r="H1451" s="278"/>
      <c r="I1451" s="342"/>
      <c r="J1451" s="343"/>
      <c r="K1451" s="340">
        <f>'PRESUPUESTO OFICIAL'!$K$102</f>
        <v>0</v>
      </c>
      <c r="L1451" s="1148">
        <f>K1451*N1444</f>
        <v>0</v>
      </c>
      <c r="M1451" s="1149"/>
      <c r="N1451" s="341"/>
    </row>
    <row r="1452" spans="2:14" ht="13.5" thickBot="1">
      <c r="B1452" s="1100" t="s">
        <v>269</v>
      </c>
      <c r="C1452" s="1101"/>
      <c r="D1452" s="1101"/>
      <c r="E1452" s="1101"/>
      <c r="F1452" s="1101"/>
      <c r="G1452" s="1101"/>
      <c r="H1452" s="1101"/>
      <c r="I1452" s="1101"/>
      <c r="J1452" s="1101"/>
      <c r="K1452" s="1101"/>
      <c r="L1452" s="1101"/>
      <c r="M1452" s="1102"/>
      <c r="N1452" s="344">
        <f>SUM(L1449:M1451)</f>
        <v>0</v>
      </c>
    </row>
    <row r="1453" spans="2:14" ht="13.5" thickBot="1">
      <c r="B1453" s="283"/>
      <c r="N1453" s="284"/>
    </row>
    <row r="1454" spans="2:14" ht="13.5" thickBot="1">
      <c r="B1454" s="1150" t="s">
        <v>295</v>
      </c>
      <c r="C1454" s="1151"/>
      <c r="D1454" s="1151"/>
      <c r="E1454" s="1151"/>
      <c r="F1454" s="1151"/>
      <c r="G1454" s="1151"/>
      <c r="H1454" s="1151"/>
      <c r="I1454" s="1151"/>
      <c r="J1454" s="1151"/>
      <c r="K1454" s="1151"/>
      <c r="L1454" s="1151"/>
      <c r="M1454" s="1152"/>
      <c r="N1454" s="345">
        <f>ROUND(N1444+N1452,0)</f>
        <v>34227</v>
      </c>
    </row>
    <row r="1455" spans="2:14">
      <c r="B1455" s="280"/>
      <c r="C1455" s="281"/>
      <c r="D1455" s="281"/>
      <c r="E1455" s="281"/>
      <c r="F1455" s="281"/>
      <c r="G1455" s="281"/>
      <c r="H1455" s="281"/>
      <c r="I1455" s="281"/>
      <c r="J1455" s="281"/>
      <c r="K1455" s="281"/>
      <c r="L1455" s="281"/>
      <c r="M1455" s="281"/>
      <c r="N1455" s="282"/>
    </row>
    <row r="1456" spans="2:14">
      <c r="B1456" s="283"/>
      <c r="N1456" s="284"/>
    </row>
    <row r="1457" spans="2:14">
      <c r="B1457" s="283"/>
      <c r="N1457" s="284"/>
    </row>
    <row r="1458" spans="2:14">
      <c r="B1458" s="283"/>
      <c r="G1458" s="346" t="s">
        <v>296</v>
      </c>
      <c r="H1458" s="346"/>
      <c r="I1458" s="346"/>
      <c r="J1458" s="346"/>
      <c r="N1458" s="284"/>
    </row>
    <row r="1459" spans="2:14">
      <c r="B1459" s="347"/>
      <c r="C1459" s="348"/>
      <c r="D1459" s="348"/>
      <c r="E1459" s="348"/>
      <c r="F1459" s="348"/>
      <c r="G1459" s="346" t="s">
        <v>297</v>
      </c>
      <c r="H1459" s="348"/>
      <c r="I1459" s="348"/>
      <c r="J1459" s="348"/>
      <c r="K1459" s="348"/>
      <c r="L1459" s="348"/>
      <c r="M1459" s="348"/>
      <c r="N1459" s="349"/>
    </row>
    <row r="1460" spans="2:14">
      <c r="B1460" s="347"/>
      <c r="C1460" s="348"/>
      <c r="D1460" s="348"/>
      <c r="E1460" s="348"/>
      <c r="F1460" s="348"/>
      <c r="G1460" s="346" t="s">
        <v>298</v>
      </c>
      <c r="J1460" s="348"/>
      <c r="K1460" s="348"/>
      <c r="L1460" s="348"/>
      <c r="M1460" s="348"/>
      <c r="N1460" s="349"/>
    </row>
    <row r="1461" spans="2:14">
      <c r="B1461" s="268"/>
      <c r="C1461" s="350"/>
      <c r="D1461" s="350"/>
      <c r="E1461" s="350"/>
      <c r="F1461" s="350"/>
      <c r="G1461" s="346" t="s">
        <v>299</v>
      </c>
      <c r="H1461" s="350"/>
      <c r="I1461" s="350"/>
      <c r="J1461" s="350"/>
      <c r="K1461" s="350"/>
      <c r="L1461" s="350"/>
      <c r="M1461" s="350"/>
      <c r="N1461" s="351"/>
    </row>
    <row r="1462" spans="2:14">
      <c r="B1462" s="283"/>
      <c r="G1462" s="258" t="s">
        <v>300</v>
      </c>
      <c r="N1462" s="284"/>
    </row>
    <row r="1463" spans="2:14">
      <c r="B1463" s="352" t="s">
        <v>301</v>
      </c>
      <c r="C1463" s="353"/>
      <c r="D1463" s="353"/>
      <c r="E1463" s="353"/>
      <c r="F1463" s="353"/>
      <c r="G1463" s="353"/>
      <c r="H1463" s="353"/>
      <c r="I1463" s="353"/>
      <c r="J1463" s="353"/>
      <c r="K1463" s="353"/>
      <c r="L1463" s="353"/>
      <c r="M1463" s="353"/>
      <c r="N1463" s="354"/>
    </row>
    <row r="1464" spans="2:14">
      <c r="B1464" s="1153"/>
      <c r="C1464" s="1154"/>
      <c r="D1464" s="1154"/>
      <c r="E1464" s="1154"/>
      <c r="F1464" s="1154"/>
      <c r="G1464" s="1154"/>
      <c r="H1464" s="1154"/>
      <c r="I1464" s="1154"/>
      <c r="J1464" s="1154"/>
      <c r="K1464" s="1154"/>
      <c r="L1464" s="1154"/>
      <c r="M1464" s="1154"/>
      <c r="N1464" s="1155"/>
    </row>
    <row r="1465" spans="2:14">
      <c r="B1465" s="1153"/>
      <c r="C1465" s="1154"/>
      <c r="D1465" s="1154"/>
      <c r="E1465" s="1154"/>
      <c r="F1465" s="1154"/>
      <c r="G1465" s="1154"/>
      <c r="H1465" s="1154"/>
      <c r="I1465" s="1154"/>
      <c r="J1465" s="1154"/>
      <c r="K1465" s="1154"/>
      <c r="L1465" s="1154"/>
      <c r="M1465" s="1154"/>
      <c r="N1465" s="1155"/>
    </row>
    <row r="1466" spans="2:14">
      <c r="B1466" s="268"/>
      <c r="C1466" s="350"/>
      <c r="D1466" s="350"/>
      <c r="E1466" s="350"/>
      <c r="F1466" s="350"/>
      <c r="G1466" s="350"/>
      <c r="H1466" s="350"/>
      <c r="I1466" s="350"/>
      <c r="J1466" s="350"/>
      <c r="K1466" s="350"/>
      <c r="L1466" s="350"/>
      <c r="M1466" s="350"/>
      <c r="N1466" s="351"/>
    </row>
    <row r="1467" spans="2:14">
      <c r="B1467" s="355" t="s">
        <v>302</v>
      </c>
      <c r="C1467" s="350"/>
      <c r="D1467" s="350"/>
      <c r="E1467" s="350"/>
      <c r="F1467" s="350"/>
      <c r="G1467" s="350"/>
      <c r="H1467" s="350"/>
      <c r="I1467" s="350"/>
      <c r="J1467" s="350"/>
      <c r="K1467" s="350"/>
      <c r="L1467" s="350"/>
      <c r="M1467" s="350"/>
      <c r="N1467" s="351"/>
    </row>
    <row r="1468" spans="2:14">
      <c r="B1468" s="1159" t="s">
        <v>303</v>
      </c>
      <c r="C1468" s="1160"/>
      <c r="D1468" s="1160"/>
      <c r="E1468" s="1160"/>
      <c r="F1468" s="1160"/>
      <c r="G1468" s="1160"/>
      <c r="H1468" s="1160"/>
      <c r="I1468" s="1160"/>
      <c r="J1468" s="1160"/>
      <c r="K1468" s="1160"/>
      <c r="L1468" s="1160"/>
      <c r="M1468" s="1160"/>
      <c r="N1468" s="1161"/>
    </row>
    <row r="1469" spans="2:14">
      <c r="B1469" s="1159"/>
      <c r="C1469" s="1160"/>
      <c r="D1469" s="1160"/>
      <c r="E1469" s="1160"/>
      <c r="F1469" s="1160"/>
      <c r="G1469" s="1160"/>
      <c r="H1469" s="1160"/>
      <c r="I1469" s="1160"/>
      <c r="J1469" s="1160"/>
      <c r="K1469" s="1160"/>
      <c r="L1469" s="1160"/>
      <c r="M1469" s="1160"/>
      <c r="N1469" s="1161"/>
    </row>
    <row r="1470" spans="2:14">
      <c r="B1470" s="1159" t="s">
        <v>304</v>
      </c>
      <c r="C1470" s="1160"/>
      <c r="D1470" s="1160"/>
      <c r="E1470" s="1160"/>
      <c r="F1470" s="1160"/>
      <c r="G1470" s="1160"/>
      <c r="H1470" s="1160"/>
      <c r="I1470" s="1160"/>
      <c r="J1470" s="1160"/>
      <c r="K1470" s="1160"/>
      <c r="L1470" s="1160"/>
      <c r="M1470" s="1160"/>
      <c r="N1470" s="1161"/>
    </row>
    <row r="1471" spans="2:14">
      <c r="B1471" s="1159"/>
      <c r="C1471" s="1160"/>
      <c r="D1471" s="1160"/>
      <c r="E1471" s="1160"/>
      <c r="F1471" s="1160"/>
      <c r="G1471" s="1160"/>
      <c r="H1471" s="1160"/>
      <c r="I1471" s="1160"/>
      <c r="J1471" s="1160"/>
      <c r="K1471" s="1160"/>
      <c r="L1471" s="1160"/>
      <c r="M1471" s="1160"/>
      <c r="N1471" s="1161"/>
    </row>
    <row r="1472" spans="2:14">
      <c r="B1472" s="268"/>
      <c r="C1472" s="350"/>
      <c r="D1472" s="350"/>
      <c r="E1472" s="350"/>
      <c r="F1472" s="350"/>
      <c r="G1472" s="350"/>
      <c r="H1472" s="350"/>
      <c r="I1472" s="350"/>
      <c r="J1472" s="350"/>
      <c r="K1472" s="350"/>
      <c r="L1472" s="350"/>
      <c r="M1472" s="350"/>
      <c r="N1472" s="351"/>
    </row>
    <row r="1473" spans="2:14">
      <c r="B1473" s="283"/>
      <c r="G1473" s="346" t="s">
        <v>296</v>
      </c>
      <c r="N1473" s="284"/>
    </row>
    <row r="1474" spans="2:14">
      <c r="B1474" s="283"/>
      <c r="G1474" s="258" t="s">
        <v>305</v>
      </c>
      <c r="H1474" s="293"/>
      <c r="I1474" s="293"/>
      <c r="J1474" s="293"/>
      <c r="N1474" s="284"/>
    </row>
    <row r="1475" spans="2:14">
      <c r="B1475" s="283"/>
      <c r="G1475" s="258" t="s">
        <v>306</v>
      </c>
      <c r="H1475" s="325"/>
      <c r="I1475" s="325"/>
      <c r="J1475" s="325"/>
      <c r="N1475" s="284"/>
    </row>
    <row r="1476" spans="2:14">
      <c r="B1476" s="356"/>
      <c r="C1476" s="350"/>
      <c r="D1476" s="350"/>
      <c r="E1476" s="350"/>
      <c r="F1476" s="350"/>
      <c r="G1476" s="258" t="s">
        <v>299</v>
      </c>
      <c r="K1476" s="350"/>
      <c r="L1476" s="350"/>
      <c r="M1476" s="350"/>
      <c r="N1476" s="351"/>
    </row>
    <row r="1477" spans="2:14">
      <c r="B1477" s="357"/>
      <c r="C1477" s="358"/>
      <c r="D1477" s="358"/>
      <c r="J1477" s="1162"/>
      <c r="K1477" s="1162"/>
      <c r="L1477" s="1162"/>
      <c r="M1477" s="1162"/>
      <c r="N1477" s="1163"/>
    </row>
    <row r="1478" spans="2:14" ht="13.5" thickBot="1">
      <c r="B1478" s="1166"/>
      <c r="C1478" s="1167"/>
      <c r="D1478" s="1167"/>
      <c r="E1478" s="311"/>
      <c r="F1478" s="311"/>
      <c r="G1478" s="311"/>
      <c r="H1478" s="311"/>
      <c r="I1478" s="311"/>
      <c r="J1478" s="1164"/>
      <c r="K1478" s="1164"/>
      <c r="L1478" s="1164"/>
      <c r="M1478" s="1164"/>
      <c r="N1478" s="1165"/>
    </row>
    <row r="1479" spans="2:14" ht="13.5" thickBot="1"/>
    <row r="1480" spans="2:14">
      <c r="B1480" s="1070"/>
      <c r="C1480" s="1072"/>
      <c r="D1480" s="1073"/>
      <c r="E1480" s="1073"/>
      <c r="F1480" s="1073"/>
      <c r="G1480" s="1073"/>
      <c r="H1480" s="1073"/>
      <c r="I1480" s="1073"/>
      <c r="J1480" s="1074"/>
      <c r="K1480" s="1075"/>
      <c r="L1480" s="1076"/>
      <c r="M1480" s="1076"/>
      <c r="N1480" s="1077"/>
    </row>
    <row r="1481" spans="2:14">
      <c r="B1481" s="1071"/>
      <c r="C1481" s="1062" t="s">
        <v>244</v>
      </c>
      <c r="D1481" s="1063"/>
      <c r="E1481" s="1063"/>
      <c r="F1481" s="1063"/>
      <c r="G1481" s="1063"/>
      <c r="H1481" s="1063"/>
      <c r="I1481" s="1063"/>
      <c r="J1481" s="1064"/>
      <c r="K1481" s="1078"/>
      <c r="L1481" s="1079"/>
      <c r="M1481" s="1079"/>
      <c r="N1481" s="1080"/>
    </row>
    <row r="1482" spans="2:14">
      <c r="B1482" s="1071"/>
      <c r="C1482" s="1081"/>
      <c r="D1482" s="1082"/>
      <c r="E1482" s="1082"/>
      <c r="F1482" s="1082"/>
      <c r="G1482" s="1082"/>
      <c r="H1482" s="1082"/>
      <c r="I1482" s="1082"/>
      <c r="J1482" s="1083"/>
      <c r="K1482" s="1058" t="s">
        <v>245</v>
      </c>
      <c r="L1482" s="1085"/>
      <c r="M1482" s="1086"/>
      <c r="N1482" s="1087"/>
    </row>
    <row r="1483" spans="2:14">
      <c r="B1483" s="1071"/>
      <c r="C1483" s="1062" t="s">
        <v>246</v>
      </c>
      <c r="D1483" s="1063"/>
      <c r="E1483" s="1063"/>
      <c r="F1483" s="1063"/>
      <c r="G1483" s="1063"/>
      <c r="H1483" s="1063"/>
      <c r="I1483" s="1063"/>
      <c r="J1483" s="1064"/>
      <c r="K1483" s="1084"/>
      <c r="L1483" s="1088"/>
      <c r="M1483" s="1089"/>
      <c r="N1483" s="1090"/>
    </row>
    <row r="1484" spans="2:14">
      <c r="B1484" s="1071"/>
      <c r="C1484" s="1091"/>
      <c r="D1484" s="1092"/>
      <c r="E1484" s="1092"/>
      <c r="F1484" s="1092"/>
      <c r="G1484" s="1092"/>
      <c r="H1484" s="1092"/>
      <c r="I1484" s="1092"/>
      <c r="J1484" s="1093"/>
      <c r="K1484" s="1058" t="s">
        <v>247</v>
      </c>
      <c r="L1484" s="1058">
        <v>17</v>
      </c>
      <c r="M1484" s="1058" t="s">
        <v>248</v>
      </c>
      <c r="N1484" s="1060">
        <v>80</v>
      </c>
    </row>
    <row r="1485" spans="2:14">
      <c r="B1485" s="1071"/>
      <c r="C1485" s="1091"/>
      <c r="D1485" s="1092"/>
      <c r="E1485" s="1092"/>
      <c r="F1485" s="1092"/>
      <c r="G1485" s="1092"/>
      <c r="H1485" s="1092"/>
      <c r="I1485" s="1092"/>
      <c r="J1485" s="1093"/>
      <c r="K1485" s="1059"/>
      <c r="L1485" s="1059"/>
      <c r="M1485" s="1059"/>
      <c r="N1485" s="1061"/>
    </row>
    <row r="1486" spans="2:14">
      <c r="B1486" s="1071"/>
      <c r="C1486" s="1062" t="s">
        <v>249</v>
      </c>
      <c r="D1486" s="1063"/>
      <c r="E1486" s="1063"/>
      <c r="F1486" s="1063"/>
      <c r="G1486" s="1063"/>
      <c r="H1486" s="1063"/>
      <c r="I1486" s="1063"/>
      <c r="J1486" s="1064"/>
      <c r="K1486" s="1059"/>
      <c r="L1486" s="1059"/>
      <c r="M1486" s="1059"/>
      <c r="N1486" s="1061"/>
    </row>
    <row r="1487" spans="2:14" ht="13.5" thickBot="1">
      <c r="B1487" s="259"/>
      <c r="C1487" s="260"/>
      <c r="D1487" s="260"/>
      <c r="E1487" s="260"/>
      <c r="F1487" s="260"/>
      <c r="G1487" s="260"/>
      <c r="H1487" s="260"/>
      <c r="I1487" s="260"/>
      <c r="J1487" s="260"/>
      <c r="K1487" s="260"/>
      <c r="L1487" s="261"/>
      <c r="M1487" s="261"/>
      <c r="N1487" s="262"/>
    </row>
    <row r="1488" spans="2:14">
      <c r="B1488" s="263"/>
      <c r="C1488" s="264"/>
      <c r="D1488" s="264"/>
      <c r="E1488" s="264"/>
      <c r="F1488" s="264"/>
      <c r="G1488" s="264"/>
      <c r="H1488" s="264"/>
      <c r="I1488" s="264"/>
      <c r="J1488" s="264"/>
      <c r="K1488" s="265" t="s">
        <v>250</v>
      </c>
      <c r="L1488" s="266" t="s">
        <v>251</v>
      </c>
      <c r="M1488" s="266" t="s">
        <v>252</v>
      </c>
      <c r="N1488" s="267" t="s">
        <v>253</v>
      </c>
    </row>
    <row r="1489" spans="2:14">
      <c r="B1489" s="268"/>
      <c r="C1489" s="269"/>
      <c r="D1489" s="269"/>
      <c r="E1489" s="269"/>
      <c r="F1489" s="269"/>
      <c r="G1489" s="269"/>
      <c r="H1489" s="269"/>
      <c r="I1489" s="269"/>
      <c r="J1489" s="269"/>
      <c r="K1489" s="270"/>
      <c r="L1489" s="271"/>
      <c r="M1489" s="271"/>
      <c r="N1489" s="272"/>
    </row>
    <row r="1490" spans="2:14">
      <c r="B1490" s="1065" t="s">
        <v>254</v>
      </c>
      <c r="C1490" s="1066"/>
      <c r="D1490" s="1066"/>
      <c r="E1490" s="1066"/>
      <c r="F1490" s="269"/>
      <c r="G1490" s="269"/>
      <c r="H1490" s="269" t="s">
        <v>255</v>
      </c>
      <c r="J1490" s="269"/>
      <c r="K1490" s="270"/>
      <c r="N1490" s="273"/>
    </row>
    <row r="1491" spans="2:14">
      <c r="B1491" s="274"/>
      <c r="C1491" s="275"/>
      <c r="D1491" s="275"/>
      <c r="E1491" s="275"/>
      <c r="F1491" s="275"/>
      <c r="G1491" s="275"/>
      <c r="H1491" s="275"/>
      <c r="I1491" s="275"/>
      <c r="J1491" s="275"/>
      <c r="K1491" s="275"/>
      <c r="L1491" s="275"/>
      <c r="M1491" s="275"/>
      <c r="N1491" s="276"/>
    </row>
    <row r="1492" spans="2:14" ht="13.5" thickBot="1">
      <c r="B1492" s="277"/>
      <c r="C1492" s="278"/>
      <c r="D1492" s="278"/>
      <c r="E1492" s="278"/>
      <c r="F1492" s="278"/>
      <c r="G1492" s="278"/>
      <c r="H1492" s="278"/>
      <c r="I1492" s="278"/>
      <c r="J1492" s="278"/>
      <c r="K1492" s="278"/>
      <c r="L1492" s="278"/>
      <c r="M1492" s="278"/>
      <c r="N1492" s="279"/>
    </row>
    <row r="1493" spans="2:14" ht="13.5" thickBot="1">
      <c r="B1493" s="280"/>
      <c r="C1493" s="281"/>
      <c r="D1493" s="281"/>
      <c r="E1493" s="281"/>
      <c r="F1493" s="281"/>
      <c r="G1493" s="281"/>
      <c r="J1493" s="281"/>
      <c r="K1493" s="281"/>
      <c r="L1493" s="281"/>
      <c r="M1493" s="281"/>
      <c r="N1493" s="282"/>
    </row>
    <row r="1494" spans="2:14">
      <c r="B1494" s="1067" t="s">
        <v>256</v>
      </c>
      <c r="C1494" s="1068"/>
      <c r="D1494" s="1068"/>
      <c r="E1494" s="1068"/>
      <c r="F1494" s="1068"/>
      <c r="G1494" s="1068"/>
      <c r="H1494" s="1068"/>
      <c r="I1494" s="1068"/>
      <c r="J1494" s="1068"/>
      <c r="K1494" s="1068"/>
      <c r="L1494" s="1068"/>
      <c r="M1494" s="1068"/>
      <c r="N1494" s="1069"/>
    </row>
    <row r="1495" spans="2:14" ht="13.5" thickBot="1">
      <c r="B1495" s="283"/>
      <c r="N1495" s="284"/>
    </row>
    <row r="1496" spans="2:14">
      <c r="B1496" s="285" t="s">
        <v>257</v>
      </c>
      <c r="C1496" s="1120" t="s">
        <v>258</v>
      </c>
      <c r="D1496" s="1121"/>
      <c r="E1496" s="1121"/>
      <c r="F1496" s="1121"/>
      <c r="G1496" s="1121"/>
      <c r="H1496" s="1121"/>
      <c r="I1496" s="1121"/>
      <c r="J1496" s="1121"/>
      <c r="K1496" s="1122"/>
      <c r="L1496" s="1123" t="s">
        <v>259</v>
      </c>
      <c r="M1496" s="1124"/>
      <c r="N1496" s="285" t="s">
        <v>133</v>
      </c>
    </row>
    <row r="1497" spans="2:14" ht="27.75" customHeight="1" thickBot="1">
      <c r="B1497" s="286">
        <v>17</v>
      </c>
      <c r="C1497" s="1125" t="s">
        <v>158</v>
      </c>
      <c r="D1497" s="1126"/>
      <c r="E1497" s="1126"/>
      <c r="F1497" s="1126"/>
      <c r="G1497" s="1126"/>
      <c r="H1497" s="1126"/>
      <c r="I1497" s="1126"/>
      <c r="J1497" s="1126"/>
      <c r="K1497" s="1127"/>
      <c r="L1497" s="1128" t="s">
        <v>147</v>
      </c>
      <c r="M1497" s="1129"/>
      <c r="N1497" s="366">
        <v>700</v>
      </c>
    </row>
    <row r="1498" spans="2:14">
      <c r="B1498" s="1103" t="s">
        <v>260</v>
      </c>
      <c r="C1498" s="1104"/>
      <c r="D1498" s="1104"/>
      <c r="E1498" s="1104"/>
      <c r="F1498" s="1104"/>
      <c r="G1498" s="1104"/>
      <c r="H1498" s="1104"/>
      <c r="I1498" s="1104"/>
      <c r="J1498" s="1104"/>
      <c r="K1498" s="1104"/>
      <c r="L1498" s="1104"/>
      <c r="M1498" s="1104"/>
      <c r="N1498" s="1105"/>
    </row>
    <row r="1499" spans="2:14">
      <c r="B1499" s="1106"/>
      <c r="C1499" s="1107"/>
      <c r="D1499" s="1107"/>
      <c r="E1499" s="1107"/>
      <c r="F1499" s="1107"/>
      <c r="G1499" s="1107"/>
      <c r="H1499" s="1107"/>
      <c r="I1499" s="1107"/>
      <c r="J1499" s="1107"/>
      <c r="K1499" s="1107"/>
      <c r="L1499" s="1107"/>
      <c r="M1499" s="1107"/>
      <c r="N1499" s="1108"/>
    </row>
    <row r="1500" spans="2:14" ht="13.5" thickBot="1">
      <c r="B1500" s="1109"/>
      <c r="C1500" s="1110"/>
      <c r="D1500" s="1110"/>
      <c r="E1500" s="1110"/>
      <c r="F1500" s="1110"/>
      <c r="G1500" s="1110"/>
      <c r="H1500" s="1110"/>
      <c r="I1500" s="1110"/>
      <c r="J1500" s="1110"/>
      <c r="K1500" s="1110"/>
      <c r="L1500" s="1110"/>
      <c r="M1500" s="1110"/>
      <c r="N1500" s="1111"/>
    </row>
    <row r="1501" spans="2:14">
      <c r="B1501" s="1130" t="s">
        <v>258</v>
      </c>
      <c r="C1501" s="1131"/>
      <c r="D1501" s="1131"/>
      <c r="E1501" s="1131"/>
      <c r="F1501" s="1132"/>
      <c r="G1501" s="1133" t="s">
        <v>261</v>
      </c>
      <c r="H1501" s="1131"/>
      <c r="I1501" s="1134" t="s">
        <v>262</v>
      </c>
      <c r="J1501" s="1135"/>
      <c r="K1501" s="288" t="s">
        <v>263</v>
      </c>
      <c r="L1501" s="1133" t="s">
        <v>264</v>
      </c>
      <c r="M1501" s="1136"/>
      <c r="N1501" s="289" t="s">
        <v>265</v>
      </c>
    </row>
    <row r="1502" spans="2:14">
      <c r="B1502" s="1179" t="s">
        <v>333</v>
      </c>
      <c r="C1502" s="1180"/>
      <c r="D1502" s="1180"/>
      <c r="E1502" s="1180"/>
      <c r="F1502" s="1181"/>
      <c r="G1502" s="1115"/>
      <c r="H1502" s="1114"/>
      <c r="I1502" s="1182" t="s">
        <v>267</v>
      </c>
      <c r="J1502" s="1183"/>
      <c r="K1502" s="290">
        <v>45500</v>
      </c>
      <c r="L1502" s="1118">
        <v>10</v>
      </c>
      <c r="M1502" s="1119"/>
      <c r="N1502" s="290">
        <f>+K1502/L1502</f>
        <v>4550</v>
      </c>
    </row>
    <row r="1503" spans="2:14" ht="13.5" thickBot="1">
      <c r="B1503" s="1179"/>
      <c r="C1503" s="1180"/>
      <c r="D1503" s="1180"/>
      <c r="E1503" s="1180"/>
      <c r="F1503" s="1181"/>
      <c r="G1503" s="295"/>
      <c r="H1503" s="294"/>
      <c r="I1503" s="1182"/>
      <c r="J1503" s="1183"/>
      <c r="K1503" s="290"/>
      <c r="L1503" s="1118"/>
      <c r="M1503" s="1119"/>
      <c r="N1503" s="290"/>
    </row>
    <row r="1504" spans="2:14" ht="13.5" thickBot="1">
      <c r="B1504" s="1100" t="s">
        <v>269</v>
      </c>
      <c r="C1504" s="1101"/>
      <c r="D1504" s="1101"/>
      <c r="E1504" s="1101"/>
      <c r="F1504" s="1101"/>
      <c r="G1504" s="1101"/>
      <c r="H1504" s="1101"/>
      <c r="I1504" s="1101"/>
      <c r="J1504" s="1101"/>
      <c r="K1504" s="1101"/>
      <c r="L1504" s="1101"/>
      <c r="M1504" s="1102"/>
      <c r="N1504" s="323">
        <f>+N1502+N1503</f>
        <v>4550</v>
      </c>
    </row>
    <row r="1505" spans="2:14">
      <c r="B1505" s="1103" t="s">
        <v>270</v>
      </c>
      <c r="C1505" s="1104"/>
      <c r="D1505" s="1104"/>
      <c r="E1505" s="1104"/>
      <c r="F1505" s="1104"/>
      <c r="G1505" s="1104"/>
      <c r="H1505" s="1104"/>
      <c r="I1505" s="1104"/>
      <c r="J1505" s="1104"/>
      <c r="K1505" s="1104"/>
      <c r="L1505" s="1104"/>
      <c r="M1505" s="1104"/>
      <c r="N1505" s="1105"/>
    </row>
    <row r="1506" spans="2:14">
      <c r="B1506" s="1106"/>
      <c r="C1506" s="1107"/>
      <c r="D1506" s="1107"/>
      <c r="E1506" s="1107"/>
      <c r="F1506" s="1107"/>
      <c r="G1506" s="1107"/>
      <c r="H1506" s="1107"/>
      <c r="I1506" s="1107"/>
      <c r="J1506" s="1107"/>
      <c r="K1506" s="1107"/>
      <c r="L1506" s="1107"/>
      <c r="M1506" s="1107"/>
      <c r="N1506" s="1108"/>
    </row>
    <row r="1507" spans="2:14" ht="13.5" thickBot="1">
      <c r="B1507" s="1109"/>
      <c r="C1507" s="1110"/>
      <c r="D1507" s="1110"/>
      <c r="E1507" s="1110"/>
      <c r="F1507" s="1110"/>
      <c r="G1507" s="1110"/>
      <c r="H1507" s="1110"/>
      <c r="I1507" s="1110"/>
      <c r="J1507" s="1110"/>
      <c r="K1507" s="1110"/>
      <c r="L1507" s="1110"/>
      <c r="M1507" s="1110"/>
      <c r="N1507" s="1111"/>
    </row>
    <row r="1508" spans="2:14">
      <c r="B1508" s="1130" t="s">
        <v>258</v>
      </c>
      <c r="C1508" s="1139"/>
      <c r="D1508" s="1139"/>
      <c r="E1508" s="1139"/>
      <c r="F1508" s="1139"/>
      <c r="G1508" s="1139"/>
      <c r="H1508" s="1139"/>
      <c r="I1508" s="1136"/>
      <c r="J1508" s="299" t="s">
        <v>259</v>
      </c>
      <c r="K1508" s="288" t="s">
        <v>133</v>
      </c>
      <c r="L1508" s="1133" t="s">
        <v>271</v>
      </c>
      <c r="M1508" s="1136"/>
      <c r="N1508" s="289" t="s">
        <v>265</v>
      </c>
    </row>
    <row r="1509" spans="2:14">
      <c r="B1509" s="1112" t="s">
        <v>334</v>
      </c>
      <c r="C1509" s="1113"/>
      <c r="D1509" s="1113"/>
      <c r="E1509" s="1113"/>
      <c r="F1509" s="1113"/>
      <c r="G1509" s="1113"/>
      <c r="H1509" s="1113"/>
      <c r="I1509" s="1114"/>
      <c r="J1509" s="300" t="s">
        <v>147</v>
      </c>
      <c r="K1509" s="301">
        <v>1.3</v>
      </c>
      <c r="L1509" s="1144">
        <v>31083</v>
      </c>
      <c r="M1509" s="1145"/>
      <c r="N1509" s="363">
        <f>+K1509*L1509</f>
        <v>40407.9</v>
      </c>
    </row>
    <row r="1510" spans="2:14" ht="13.5" thickBot="1">
      <c r="B1510" s="1094"/>
      <c r="C1510" s="1095"/>
      <c r="D1510" s="1095"/>
      <c r="E1510" s="1095"/>
      <c r="F1510" s="1095"/>
      <c r="G1510" s="1095"/>
      <c r="H1510" s="1095"/>
      <c r="I1510" s="1096"/>
      <c r="J1510" s="303"/>
      <c r="K1510" s="304"/>
      <c r="L1510" s="1144"/>
      <c r="M1510" s="1145"/>
      <c r="N1510" s="363"/>
    </row>
    <row r="1511" spans="2:14" ht="13.5" thickBot="1">
      <c r="B1511" s="1100" t="s">
        <v>269</v>
      </c>
      <c r="C1511" s="1101"/>
      <c r="D1511" s="1101"/>
      <c r="E1511" s="1101"/>
      <c r="F1511" s="1101"/>
      <c r="G1511" s="1101"/>
      <c r="H1511" s="1101"/>
      <c r="I1511" s="1101"/>
      <c r="J1511" s="1101"/>
      <c r="K1511" s="1101"/>
      <c r="L1511" s="1101"/>
      <c r="M1511" s="1102"/>
      <c r="N1511" s="323">
        <f>+N1509</f>
        <v>40407.9</v>
      </c>
    </row>
    <row r="1512" spans="2:14">
      <c r="B1512" s="1103" t="s">
        <v>276</v>
      </c>
      <c r="C1512" s="1104"/>
      <c r="D1512" s="1104"/>
      <c r="E1512" s="1104"/>
      <c r="F1512" s="1104"/>
      <c r="G1512" s="1104"/>
      <c r="H1512" s="1104"/>
      <c r="I1512" s="1104"/>
      <c r="J1512" s="1104"/>
      <c r="K1512" s="1104"/>
      <c r="L1512" s="1104"/>
      <c r="M1512" s="1104"/>
      <c r="N1512" s="1105"/>
    </row>
    <row r="1513" spans="2:14">
      <c r="B1513" s="1106"/>
      <c r="C1513" s="1107"/>
      <c r="D1513" s="1107"/>
      <c r="E1513" s="1107"/>
      <c r="F1513" s="1107"/>
      <c r="G1513" s="1107"/>
      <c r="H1513" s="1107"/>
      <c r="I1513" s="1107"/>
      <c r="J1513" s="1107"/>
      <c r="K1513" s="1107"/>
      <c r="L1513" s="1107"/>
      <c r="M1513" s="1107"/>
      <c r="N1513" s="1108"/>
    </row>
    <row r="1514" spans="2:14" ht="13.5" thickBot="1">
      <c r="B1514" s="1109"/>
      <c r="C1514" s="1110"/>
      <c r="D1514" s="1110"/>
      <c r="E1514" s="1110"/>
      <c r="F1514" s="1110"/>
      <c r="G1514" s="1110"/>
      <c r="H1514" s="1110"/>
      <c r="I1514" s="1110"/>
      <c r="J1514" s="1110"/>
      <c r="K1514" s="1110"/>
      <c r="L1514" s="1110"/>
      <c r="M1514" s="1110"/>
      <c r="N1514" s="1111"/>
    </row>
    <row r="1515" spans="2:14">
      <c r="B1515" s="1130" t="s">
        <v>277</v>
      </c>
      <c r="C1515" s="1139"/>
      <c r="D1515" s="1139"/>
      <c r="E1515" s="1139"/>
      <c r="F1515" s="1139"/>
      <c r="G1515" s="1139"/>
      <c r="H1515" s="1139"/>
      <c r="I1515" s="288" t="s">
        <v>278</v>
      </c>
      <c r="J1515" s="306" t="s">
        <v>279</v>
      </c>
      <c r="K1515" s="307" t="s">
        <v>280</v>
      </c>
      <c r="L1515" s="1133" t="s">
        <v>281</v>
      </c>
      <c r="M1515" s="1136"/>
      <c r="N1515" s="289" t="s">
        <v>265</v>
      </c>
    </row>
    <row r="1516" spans="2:14" ht="13.5" thickBot="1">
      <c r="B1516" s="1112"/>
      <c r="C1516" s="1113"/>
      <c r="D1516" s="1113"/>
      <c r="E1516" s="1113"/>
      <c r="F1516" s="1113"/>
      <c r="G1516" s="1113"/>
      <c r="H1516" s="1113"/>
      <c r="I1516" s="308"/>
      <c r="J1516" s="309"/>
      <c r="K1516" s="308"/>
      <c r="L1516" s="1142"/>
      <c r="M1516" s="1143"/>
      <c r="N1516" s="297"/>
    </row>
    <row r="1517" spans="2:14" ht="13.5" thickBot="1">
      <c r="B1517" s="1100" t="s">
        <v>269</v>
      </c>
      <c r="C1517" s="1101"/>
      <c r="D1517" s="1101"/>
      <c r="E1517" s="1101"/>
      <c r="F1517" s="1101"/>
      <c r="G1517" s="1101"/>
      <c r="H1517" s="1101"/>
      <c r="I1517" s="1101"/>
      <c r="J1517" s="1101"/>
      <c r="K1517" s="1101"/>
      <c r="L1517" s="1101"/>
      <c r="M1517" s="1102"/>
      <c r="N1517" s="313">
        <v>0</v>
      </c>
    </row>
    <row r="1518" spans="2:14">
      <c r="B1518" s="1103" t="s">
        <v>282</v>
      </c>
      <c r="C1518" s="1104"/>
      <c r="D1518" s="1104"/>
      <c r="E1518" s="1104"/>
      <c r="F1518" s="1104"/>
      <c r="G1518" s="1104"/>
      <c r="H1518" s="1104"/>
      <c r="I1518" s="1104"/>
      <c r="J1518" s="1104"/>
      <c r="K1518" s="1104"/>
      <c r="L1518" s="1104"/>
      <c r="M1518" s="1104"/>
      <c r="N1518" s="1105"/>
    </row>
    <row r="1519" spans="2:14">
      <c r="B1519" s="1106"/>
      <c r="C1519" s="1107"/>
      <c r="D1519" s="1107"/>
      <c r="E1519" s="1107"/>
      <c r="F1519" s="1107"/>
      <c r="G1519" s="1107"/>
      <c r="H1519" s="1107"/>
      <c r="I1519" s="1107"/>
      <c r="J1519" s="1107"/>
      <c r="K1519" s="1107"/>
      <c r="L1519" s="1107"/>
      <c r="M1519" s="1107"/>
      <c r="N1519" s="1108"/>
    </row>
    <row r="1520" spans="2:14" ht="13.5" thickBot="1">
      <c r="B1520" s="1109"/>
      <c r="C1520" s="1110"/>
      <c r="D1520" s="1110"/>
      <c r="E1520" s="1110"/>
      <c r="F1520" s="1110"/>
      <c r="G1520" s="1110"/>
      <c r="H1520" s="1110"/>
      <c r="I1520" s="1110"/>
      <c r="J1520" s="1110"/>
      <c r="K1520" s="1110"/>
      <c r="L1520" s="1110"/>
      <c r="M1520" s="1110"/>
      <c r="N1520" s="1111"/>
    </row>
    <row r="1521" spans="2:14">
      <c r="B1521" s="1130" t="s">
        <v>283</v>
      </c>
      <c r="C1521" s="1139"/>
      <c r="D1521" s="1139"/>
      <c r="E1521" s="1139"/>
      <c r="F1521" s="1139"/>
      <c r="G1521" s="1139"/>
      <c r="H1521" s="1139"/>
      <c r="I1521" s="288" t="s">
        <v>284</v>
      </c>
      <c r="J1521" s="314" t="s">
        <v>285</v>
      </c>
      <c r="K1521" s="315" t="s">
        <v>286</v>
      </c>
      <c r="L1521" s="1140" t="s">
        <v>264</v>
      </c>
      <c r="M1521" s="1141"/>
      <c r="N1521" s="316" t="s">
        <v>265</v>
      </c>
    </row>
    <row r="1522" spans="2:14">
      <c r="B1522" s="317" t="s">
        <v>315</v>
      </c>
      <c r="C1522" s="318"/>
      <c r="D1522" s="318"/>
      <c r="E1522" s="318"/>
      <c r="F1522" s="318"/>
      <c r="G1522" s="318"/>
      <c r="H1522" s="318"/>
      <c r="I1522" s="319">
        <v>31851</v>
      </c>
      <c r="J1522" s="321">
        <v>23888</v>
      </c>
      <c r="K1522" s="321">
        <f>+I1522+J1522</f>
        <v>55739</v>
      </c>
      <c r="L1522" s="1157">
        <v>10</v>
      </c>
      <c r="M1522" s="1158"/>
      <c r="N1522" s="322">
        <f>+K1522/L1522</f>
        <v>5573.9</v>
      </c>
    </row>
    <row r="1523" spans="2:14" ht="13.5" thickBot="1">
      <c r="B1523" s="356"/>
      <c r="C1523" s="318"/>
      <c r="D1523" s="318"/>
      <c r="E1523" s="318"/>
      <c r="F1523" s="318"/>
      <c r="G1523" s="318"/>
      <c r="H1523" s="318"/>
      <c r="I1523" s="319"/>
      <c r="J1523" s="321"/>
      <c r="K1523" s="321"/>
      <c r="L1523" s="1157"/>
      <c r="M1523" s="1158"/>
      <c r="N1523" s="322"/>
    </row>
    <row r="1524" spans="2:14" ht="13.5" thickBot="1">
      <c r="B1524" s="1100" t="s">
        <v>269</v>
      </c>
      <c r="C1524" s="1101"/>
      <c r="D1524" s="1101"/>
      <c r="E1524" s="1101"/>
      <c r="F1524" s="1101"/>
      <c r="G1524" s="1101"/>
      <c r="H1524" s="1101"/>
      <c r="I1524" s="1101"/>
      <c r="J1524" s="1101"/>
      <c r="K1524" s="1101"/>
      <c r="L1524" s="1101"/>
      <c r="M1524" s="1102"/>
      <c r="N1524" s="323">
        <f>+N1522+N1523</f>
        <v>5573.9</v>
      </c>
    </row>
    <row r="1525" spans="2:14" ht="13.5" thickBot="1">
      <c r="B1525" s="324" t="s">
        <v>288</v>
      </c>
      <c r="C1525" s="325"/>
      <c r="D1525" s="325"/>
      <c r="E1525" s="325"/>
      <c r="F1525" s="325"/>
      <c r="G1525" s="325"/>
      <c r="H1525" s="325"/>
      <c r="I1525" s="326"/>
      <c r="J1525" s="327"/>
      <c r="K1525" s="328"/>
      <c r="L1525" s="329"/>
      <c r="M1525" s="329"/>
      <c r="N1525" s="330"/>
    </row>
    <row r="1526" spans="2:14">
      <c r="B1526" s="1130" t="s">
        <v>17</v>
      </c>
      <c r="C1526" s="1139"/>
      <c r="D1526" s="1139"/>
      <c r="E1526" s="1139"/>
      <c r="F1526" s="1139"/>
      <c r="G1526" s="1139"/>
      <c r="H1526" s="1139"/>
      <c r="I1526" s="1136"/>
      <c r="J1526" s="299" t="s">
        <v>259</v>
      </c>
      <c r="K1526" s="288" t="s">
        <v>133</v>
      </c>
      <c r="L1526" s="1133" t="s">
        <v>271</v>
      </c>
      <c r="M1526" s="1136"/>
      <c r="N1526" s="316" t="s">
        <v>265</v>
      </c>
    </row>
    <row r="1527" spans="2:14">
      <c r="B1527" s="331" t="s">
        <v>289</v>
      </c>
      <c r="C1527" s="332"/>
      <c r="D1527" s="332"/>
      <c r="E1527" s="332"/>
      <c r="F1527" s="332"/>
      <c r="G1527" s="332"/>
      <c r="H1527" s="332"/>
      <c r="I1527" s="333"/>
      <c r="J1527" s="334" t="s">
        <v>290</v>
      </c>
      <c r="K1527" s="335">
        <v>0.05</v>
      </c>
      <c r="L1527" s="1144">
        <f>+N1524</f>
        <v>5573.9</v>
      </c>
      <c r="M1527" s="1145"/>
      <c r="N1527" s="322">
        <f>+K1527*L1527</f>
        <v>278.69499999999999</v>
      </c>
    </row>
    <row r="1528" spans="2:14" ht="13.5" thickBot="1">
      <c r="B1528" s="356"/>
      <c r="C1528" s="325"/>
      <c r="D1528" s="325"/>
      <c r="E1528" s="325"/>
      <c r="F1528" s="325"/>
      <c r="G1528" s="325"/>
      <c r="H1528" s="325"/>
      <c r="I1528" s="369"/>
      <c r="J1528" s="327"/>
      <c r="K1528" s="370"/>
      <c r="L1528" s="371"/>
      <c r="M1528" s="372"/>
      <c r="N1528" s="373"/>
    </row>
    <row r="1529" spans="2:14" ht="13.5" thickBot="1">
      <c r="B1529" s="1100" t="s">
        <v>269</v>
      </c>
      <c r="C1529" s="1101"/>
      <c r="D1529" s="1101"/>
      <c r="E1529" s="1101"/>
      <c r="F1529" s="1101"/>
      <c r="G1529" s="1101"/>
      <c r="H1529" s="1101"/>
      <c r="I1529" s="1101"/>
      <c r="J1529" s="1101"/>
      <c r="K1529" s="1101"/>
      <c r="L1529" s="1101"/>
      <c r="M1529" s="1102"/>
      <c r="N1529" s="323">
        <f>+N1527</f>
        <v>278.69499999999999</v>
      </c>
    </row>
    <row r="1530" spans="2:14">
      <c r="B1530" s="280"/>
      <c r="C1530" s="281"/>
      <c r="D1530" s="281"/>
      <c r="E1530" s="281"/>
      <c r="F1530" s="281"/>
      <c r="G1530" s="281"/>
      <c r="H1530" s="281"/>
      <c r="I1530" s="281"/>
      <c r="J1530" s="281"/>
      <c r="K1530" s="281"/>
      <c r="L1530" s="281"/>
      <c r="M1530" s="281"/>
      <c r="N1530" s="282"/>
    </row>
    <row r="1531" spans="2:14" ht="13.5" thickBot="1">
      <c r="B1531" s="378"/>
      <c r="C1531" s="311"/>
      <c r="D1531" s="311"/>
      <c r="E1531" s="311"/>
      <c r="F1531" s="311"/>
      <c r="G1531" s="311"/>
      <c r="H1531" s="311"/>
      <c r="I1531" s="311"/>
      <c r="J1531" s="311"/>
      <c r="K1531" s="311"/>
      <c r="L1531" s="311"/>
      <c r="M1531" s="311"/>
      <c r="N1531" s="379"/>
    </row>
    <row r="1532" spans="2:14" ht="13.5" thickBot="1">
      <c r="B1532" s="1150" t="s">
        <v>291</v>
      </c>
      <c r="C1532" s="1151"/>
      <c r="D1532" s="1151"/>
      <c r="E1532" s="1151"/>
      <c r="F1532" s="1151"/>
      <c r="G1532" s="1151"/>
      <c r="H1532" s="1151"/>
      <c r="I1532" s="1151"/>
      <c r="J1532" s="1151"/>
      <c r="K1532" s="1151"/>
      <c r="L1532" s="1151"/>
      <c r="M1532" s="1152"/>
      <c r="N1532" s="336">
        <f>+N1504+N1511+N1517+N1524+N1529</f>
        <v>50810.495000000003</v>
      </c>
    </row>
    <row r="1533" spans="2:14">
      <c r="B1533" s="1103" t="s">
        <v>292</v>
      </c>
      <c r="C1533" s="1104"/>
      <c r="D1533" s="1104"/>
      <c r="E1533" s="1104"/>
      <c r="F1533" s="1104"/>
      <c r="G1533" s="1104"/>
      <c r="H1533" s="1104"/>
      <c r="I1533" s="1104"/>
      <c r="J1533" s="1104"/>
      <c r="K1533" s="1104"/>
      <c r="L1533" s="1104"/>
      <c r="M1533" s="1104"/>
      <c r="N1533" s="1105"/>
    </row>
    <row r="1534" spans="2:14">
      <c r="B1534" s="1106"/>
      <c r="C1534" s="1107"/>
      <c r="D1534" s="1107"/>
      <c r="E1534" s="1107"/>
      <c r="F1534" s="1107"/>
      <c r="G1534" s="1107"/>
      <c r="H1534" s="1107"/>
      <c r="I1534" s="1107"/>
      <c r="J1534" s="1107"/>
      <c r="K1534" s="1107"/>
      <c r="L1534" s="1107"/>
      <c r="M1534" s="1107"/>
      <c r="N1534" s="1108"/>
    </row>
    <row r="1535" spans="2:14" ht="13.5" thickBot="1">
      <c r="B1535" s="1109"/>
      <c r="C1535" s="1110"/>
      <c r="D1535" s="1110"/>
      <c r="E1535" s="1110"/>
      <c r="F1535" s="1110"/>
      <c r="G1535" s="1110"/>
      <c r="H1535" s="1110"/>
      <c r="I1535" s="1110"/>
      <c r="J1535" s="1110"/>
      <c r="K1535" s="1110"/>
      <c r="L1535" s="1110"/>
      <c r="M1535" s="1110"/>
      <c r="N1535" s="1111"/>
    </row>
    <row r="1536" spans="2:14">
      <c r="B1536" s="1130" t="s">
        <v>17</v>
      </c>
      <c r="C1536" s="1139"/>
      <c r="D1536" s="1139"/>
      <c r="E1536" s="1139"/>
      <c r="F1536" s="1139"/>
      <c r="G1536" s="1139"/>
      <c r="H1536" s="1139"/>
      <c r="I1536" s="306"/>
      <c r="J1536" s="337"/>
      <c r="K1536" s="315" t="s">
        <v>79</v>
      </c>
      <c r="L1536" s="1140" t="s">
        <v>11</v>
      </c>
      <c r="M1536" s="1141"/>
      <c r="N1536" s="316"/>
    </row>
    <row r="1537" spans="2:14">
      <c r="B1537" s="1112" t="s">
        <v>232</v>
      </c>
      <c r="C1537" s="1113"/>
      <c r="D1537" s="1113"/>
      <c r="E1537" s="1113"/>
      <c r="F1537" s="1113"/>
      <c r="G1537" s="1113"/>
      <c r="H1537" s="1113"/>
      <c r="I1537" s="338"/>
      <c r="J1537" s="339"/>
      <c r="K1537" s="340">
        <f>'PRESUPUESTO OFICIAL'!$K$100</f>
        <v>0</v>
      </c>
      <c r="L1537" s="1146">
        <f>K1537*N1532</f>
        <v>0</v>
      </c>
      <c r="M1537" s="1147"/>
      <c r="N1537" s="341"/>
    </row>
    <row r="1538" spans="2:14">
      <c r="B1538" s="292" t="s">
        <v>293</v>
      </c>
      <c r="C1538" s="293"/>
      <c r="D1538" s="293"/>
      <c r="E1538" s="293"/>
      <c r="F1538" s="293"/>
      <c r="G1538" s="293"/>
      <c r="H1538" s="293"/>
      <c r="I1538" s="338"/>
      <c r="J1538" s="339"/>
      <c r="K1538" s="340">
        <f>'PRESUPUESTO OFICIAL'!$K$101</f>
        <v>0</v>
      </c>
      <c r="L1538" s="1146">
        <f>K1538*N1532</f>
        <v>0</v>
      </c>
      <c r="M1538" s="1147"/>
      <c r="N1538" s="341"/>
    </row>
    <row r="1539" spans="2:14" ht="13.5" thickBot="1">
      <c r="B1539" s="277" t="s">
        <v>294</v>
      </c>
      <c r="C1539" s="278"/>
      <c r="D1539" s="278"/>
      <c r="E1539" s="278"/>
      <c r="F1539" s="278"/>
      <c r="G1539" s="278"/>
      <c r="H1539" s="278"/>
      <c r="I1539" s="342"/>
      <c r="J1539" s="343"/>
      <c r="K1539" s="340">
        <f>'PRESUPUESTO OFICIAL'!$K$102</f>
        <v>0</v>
      </c>
      <c r="L1539" s="1148">
        <f>K1539*N1532</f>
        <v>0</v>
      </c>
      <c r="M1539" s="1149"/>
      <c r="N1539" s="341"/>
    </row>
    <row r="1540" spans="2:14" ht="13.5" thickBot="1">
      <c r="B1540" s="1100" t="s">
        <v>269</v>
      </c>
      <c r="C1540" s="1101"/>
      <c r="D1540" s="1101"/>
      <c r="E1540" s="1101"/>
      <c r="F1540" s="1101"/>
      <c r="G1540" s="1101"/>
      <c r="H1540" s="1101"/>
      <c r="I1540" s="1101"/>
      <c r="J1540" s="1101"/>
      <c r="K1540" s="1101"/>
      <c r="L1540" s="1101"/>
      <c r="M1540" s="1102"/>
      <c r="N1540" s="344">
        <f>SUM(L1537:M1539)</f>
        <v>0</v>
      </c>
    </row>
    <row r="1541" spans="2:14" ht="13.5" thickBot="1">
      <c r="B1541" s="283"/>
      <c r="N1541" s="284"/>
    </row>
    <row r="1542" spans="2:14" ht="13.5" thickBot="1">
      <c r="B1542" s="1150" t="s">
        <v>295</v>
      </c>
      <c r="C1542" s="1151"/>
      <c r="D1542" s="1151"/>
      <c r="E1542" s="1151"/>
      <c r="F1542" s="1151"/>
      <c r="G1542" s="1151"/>
      <c r="H1542" s="1151"/>
      <c r="I1542" s="1151"/>
      <c r="J1542" s="1151"/>
      <c r="K1542" s="1151"/>
      <c r="L1542" s="1151"/>
      <c r="M1542" s="1152"/>
      <c r="N1542" s="345">
        <f>ROUND(N1532+N1540,0)</f>
        <v>50810</v>
      </c>
    </row>
    <row r="1543" spans="2:14">
      <c r="B1543" s="280"/>
      <c r="C1543" s="281"/>
      <c r="D1543" s="281"/>
      <c r="E1543" s="281"/>
      <c r="F1543" s="281"/>
      <c r="G1543" s="281"/>
      <c r="H1543" s="281"/>
      <c r="I1543" s="281"/>
      <c r="J1543" s="281"/>
      <c r="K1543" s="281"/>
      <c r="L1543" s="281"/>
      <c r="M1543" s="281"/>
      <c r="N1543" s="282"/>
    </row>
    <row r="1544" spans="2:14">
      <c r="B1544" s="283"/>
      <c r="N1544" s="284"/>
    </row>
    <row r="1545" spans="2:14">
      <c r="B1545" s="283"/>
      <c r="N1545" s="284"/>
    </row>
    <row r="1546" spans="2:14">
      <c r="B1546" s="283"/>
      <c r="G1546" s="346" t="s">
        <v>296</v>
      </c>
      <c r="H1546" s="346"/>
      <c r="I1546" s="346"/>
      <c r="J1546" s="346"/>
      <c r="N1546" s="284"/>
    </row>
    <row r="1547" spans="2:14">
      <c r="B1547" s="347"/>
      <c r="C1547" s="348"/>
      <c r="D1547" s="348"/>
      <c r="E1547" s="348"/>
      <c r="F1547" s="348"/>
      <c r="G1547" s="346" t="s">
        <v>297</v>
      </c>
      <c r="H1547" s="348"/>
      <c r="I1547" s="348"/>
      <c r="J1547" s="348"/>
      <c r="K1547" s="348"/>
      <c r="L1547" s="348"/>
      <c r="M1547" s="348"/>
      <c r="N1547" s="349"/>
    </row>
    <row r="1548" spans="2:14">
      <c r="B1548" s="347"/>
      <c r="C1548" s="348"/>
      <c r="D1548" s="348"/>
      <c r="E1548" s="348"/>
      <c r="F1548" s="348"/>
      <c r="G1548" s="346" t="s">
        <v>298</v>
      </c>
      <c r="J1548" s="348"/>
      <c r="K1548" s="348"/>
      <c r="L1548" s="348"/>
      <c r="M1548" s="348"/>
      <c r="N1548" s="349"/>
    </row>
    <row r="1549" spans="2:14">
      <c r="B1549" s="268"/>
      <c r="C1549" s="350"/>
      <c r="D1549" s="350"/>
      <c r="E1549" s="350"/>
      <c r="F1549" s="350"/>
      <c r="G1549" s="346" t="s">
        <v>299</v>
      </c>
      <c r="H1549" s="350"/>
      <c r="I1549" s="350"/>
      <c r="J1549" s="350"/>
      <c r="K1549" s="350"/>
      <c r="L1549" s="350"/>
      <c r="M1549" s="350"/>
      <c r="N1549" s="351"/>
    </row>
    <row r="1550" spans="2:14">
      <c r="B1550" s="283"/>
      <c r="G1550" s="258" t="s">
        <v>300</v>
      </c>
      <c r="N1550" s="284"/>
    </row>
    <row r="1551" spans="2:14">
      <c r="B1551" s="352" t="s">
        <v>301</v>
      </c>
      <c r="C1551" s="353"/>
      <c r="D1551" s="353"/>
      <c r="E1551" s="353"/>
      <c r="F1551" s="353"/>
      <c r="G1551" s="353"/>
      <c r="H1551" s="353"/>
      <c r="I1551" s="353"/>
      <c r="J1551" s="353"/>
      <c r="K1551" s="353"/>
      <c r="L1551" s="353"/>
      <c r="M1551" s="353"/>
      <c r="N1551" s="354"/>
    </row>
    <row r="1552" spans="2:14">
      <c r="B1552" s="1153"/>
      <c r="C1552" s="1154"/>
      <c r="D1552" s="1154"/>
      <c r="E1552" s="1154"/>
      <c r="F1552" s="1154"/>
      <c r="G1552" s="1154"/>
      <c r="H1552" s="1154"/>
      <c r="I1552" s="1154"/>
      <c r="J1552" s="1154"/>
      <c r="K1552" s="1154"/>
      <c r="L1552" s="1154"/>
      <c r="M1552" s="1154"/>
      <c r="N1552" s="1155"/>
    </row>
    <row r="1553" spans="2:14">
      <c r="B1553" s="1153"/>
      <c r="C1553" s="1154"/>
      <c r="D1553" s="1154"/>
      <c r="E1553" s="1154"/>
      <c r="F1553" s="1154"/>
      <c r="G1553" s="1154"/>
      <c r="H1553" s="1154"/>
      <c r="I1553" s="1154"/>
      <c r="J1553" s="1154"/>
      <c r="K1553" s="1154"/>
      <c r="L1553" s="1154"/>
      <c r="M1553" s="1154"/>
      <c r="N1553" s="1155"/>
    </row>
    <row r="1554" spans="2:14">
      <c r="B1554" s="268"/>
      <c r="C1554" s="350"/>
      <c r="D1554" s="350"/>
      <c r="E1554" s="350"/>
      <c r="F1554" s="350"/>
      <c r="G1554" s="350"/>
      <c r="H1554" s="350"/>
      <c r="I1554" s="350"/>
      <c r="J1554" s="350"/>
      <c r="K1554" s="350"/>
      <c r="L1554" s="350"/>
      <c r="M1554" s="350"/>
      <c r="N1554" s="351"/>
    </row>
    <row r="1555" spans="2:14">
      <c r="B1555" s="355" t="s">
        <v>302</v>
      </c>
      <c r="C1555" s="350"/>
      <c r="D1555" s="350"/>
      <c r="E1555" s="350"/>
      <c r="F1555" s="350"/>
      <c r="G1555" s="350"/>
      <c r="H1555" s="350"/>
      <c r="I1555" s="350"/>
      <c r="J1555" s="350"/>
      <c r="K1555" s="350"/>
      <c r="L1555" s="350"/>
      <c r="M1555" s="350"/>
      <c r="N1555" s="351"/>
    </row>
    <row r="1556" spans="2:14">
      <c r="B1556" s="1159" t="s">
        <v>303</v>
      </c>
      <c r="C1556" s="1160"/>
      <c r="D1556" s="1160"/>
      <c r="E1556" s="1160"/>
      <c r="F1556" s="1160"/>
      <c r="G1556" s="1160"/>
      <c r="H1556" s="1160"/>
      <c r="I1556" s="1160"/>
      <c r="J1556" s="1160"/>
      <c r="K1556" s="1160"/>
      <c r="L1556" s="1160"/>
      <c r="M1556" s="1160"/>
      <c r="N1556" s="1161"/>
    </row>
    <row r="1557" spans="2:14">
      <c r="B1557" s="1159"/>
      <c r="C1557" s="1160"/>
      <c r="D1557" s="1160"/>
      <c r="E1557" s="1160"/>
      <c r="F1557" s="1160"/>
      <c r="G1557" s="1160"/>
      <c r="H1557" s="1160"/>
      <c r="I1557" s="1160"/>
      <c r="J1557" s="1160"/>
      <c r="K1557" s="1160"/>
      <c r="L1557" s="1160"/>
      <c r="M1557" s="1160"/>
      <c r="N1557" s="1161"/>
    </row>
    <row r="1558" spans="2:14">
      <c r="B1558" s="1159" t="s">
        <v>304</v>
      </c>
      <c r="C1558" s="1160"/>
      <c r="D1558" s="1160"/>
      <c r="E1558" s="1160"/>
      <c r="F1558" s="1160"/>
      <c r="G1558" s="1160"/>
      <c r="H1558" s="1160"/>
      <c r="I1558" s="1160"/>
      <c r="J1558" s="1160"/>
      <c r="K1558" s="1160"/>
      <c r="L1558" s="1160"/>
      <c r="M1558" s="1160"/>
      <c r="N1558" s="1161"/>
    </row>
    <row r="1559" spans="2:14">
      <c r="B1559" s="1159"/>
      <c r="C1559" s="1160"/>
      <c r="D1559" s="1160"/>
      <c r="E1559" s="1160"/>
      <c r="F1559" s="1160"/>
      <c r="G1559" s="1160"/>
      <c r="H1559" s="1160"/>
      <c r="I1559" s="1160"/>
      <c r="J1559" s="1160"/>
      <c r="K1559" s="1160"/>
      <c r="L1559" s="1160"/>
      <c r="M1559" s="1160"/>
      <c r="N1559" s="1161"/>
    </row>
    <row r="1560" spans="2:14">
      <c r="B1560" s="268"/>
      <c r="C1560" s="350"/>
      <c r="D1560" s="350"/>
      <c r="E1560" s="350"/>
      <c r="F1560" s="350"/>
      <c r="G1560" s="350"/>
      <c r="H1560" s="350"/>
      <c r="I1560" s="350"/>
      <c r="J1560" s="350"/>
      <c r="K1560" s="350"/>
      <c r="L1560" s="350"/>
      <c r="M1560" s="350"/>
      <c r="N1560" s="351"/>
    </row>
    <row r="1561" spans="2:14">
      <c r="B1561" s="283"/>
      <c r="G1561" s="346" t="s">
        <v>296</v>
      </c>
      <c r="N1561" s="284"/>
    </row>
    <row r="1562" spans="2:14">
      <c r="B1562" s="283"/>
      <c r="G1562" s="258" t="s">
        <v>305</v>
      </c>
      <c r="H1562" s="293"/>
      <c r="I1562" s="293"/>
      <c r="J1562" s="293"/>
      <c r="N1562" s="284"/>
    </row>
    <row r="1563" spans="2:14">
      <c r="B1563" s="283"/>
      <c r="G1563" s="258" t="s">
        <v>306</v>
      </c>
      <c r="H1563" s="325"/>
      <c r="I1563" s="325"/>
      <c r="J1563" s="325"/>
      <c r="N1563" s="284"/>
    </row>
    <row r="1564" spans="2:14">
      <c r="B1564" s="356"/>
      <c r="C1564" s="350"/>
      <c r="D1564" s="350"/>
      <c r="E1564" s="350"/>
      <c r="F1564" s="350"/>
      <c r="G1564" s="258" t="s">
        <v>299</v>
      </c>
      <c r="K1564" s="350"/>
      <c r="L1564" s="350"/>
      <c r="M1564" s="350"/>
      <c r="N1564" s="351"/>
    </row>
    <row r="1565" spans="2:14">
      <c r="B1565" s="357"/>
      <c r="C1565" s="358"/>
      <c r="D1565" s="358"/>
      <c r="J1565" s="1162"/>
      <c r="K1565" s="1162"/>
      <c r="L1565" s="1162"/>
      <c r="M1565" s="1162"/>
      <c r="N1565" s="1163"/>
    </row>
    <row r="1566" spans="2:14" ht="13.5" thickBot="1">
      <c r="B1566" s="1166"/>
      <c r="C1566" s="1167"/>
      <c r="D1566" s="1167"/>
      <c r="E1566" s="311"/>
      <c r="F1566" s="311"/>
      <c r="G1566" s="311"/>
      <c r="H1566" s="311"/>
      <c r="I1566" s="311"/>
      <c r="J1566" s="1164"/>
      <c r="K1566" s="1164"/>
      <c r="L1566" s="1164"/>
      <c r="M1566" s="1164"/>
      <c r="N1566" s="1165"/>
    </row>
    <row r="1567" spans="2:14" ht="13.5" thickBot="1"/>
    <row r="1568" spans="2:14">
      <c r="B1568" s="1070"/>
      <c r="C1568" s="1072"/>
      <c r="D1568" s="1073"/>
      <c r="E1568" s="1073"/>
      <c r="F1568" s="1073"/>
      <c r="G1568" s="1073"/>
      <c r="H1568" s="1073"/>
      <c r="I1568" s="1073"/>
      <c r="J1568" s="1074"/>
      <c r="K1568" s="1075"/>
      <c r="L1568" s="1076"/>
      <c r="M1568" s="1076"/>
      <c r="N1568" s="1077"/>
    </row>
    <row r="1569" spans="2:14">
      <c r="B1569" s="1071"/>
      <c r="C1569" s="1062" t="s">
        <v>244</v>
      </c>
      <c r="D1569" s="1063"/>
      <c r="E1569" s="1063"/>
      <c r="F1569" s="1063"/>
      <c r="G1569" s="1063"/>
      <c r="H1569" s="1063"/>
      <c r="I1569" s="1063"/>
      <c r="J1569" s="1064"/>
      <c r="K1569" s="1078"/>
      <c r="L1569" s="1079"/>
      <c r="M1569" s="1079"/>
      <c r="N1569" s="1080"/>
    </row>
    <row r="1570" spans="2:14">
      <c r="B1570" s="1071"/>
      <c r="C1570" s="1081"/>
      <c r="D1570" s="1082"/>
      <c r="E1570" s="1082"/>
      <c r="F1570" s="1082"/>
      <c r="G1570" s="1082"/>
      <c r="H1570" s="1082"/>
      <c r="I1570" s="1082"/>
      <c r="J1570" s="1083"/>
      <c r="K1570" s="1058" t="s">
        <v>245</v>
      </c>
      <c r="L1570" s="1085"/>
      <c r="M1570" s="1086"/>
      <c r="N1570" s="1087"/>
    </row>
    <row r="1571" spans="2:14">
      <c r="B1571" s="1071"/>
      <c r="C1571" s="1062" t="s">
        <v>246</v>
      </c>
      <c r="D1571" s="1063"/>
      <c r="E1571" s="1063"/>
      <c r="F1571" s="1063"/>
      <c r="G1571" s="1063"/>
      <c r="H1571" s="1063"/>
      <c r="I1571" s="1063"/>
      <c r="J1571" s="1064"/>
      <c r="K1571" s="1084"/>
      <c r="L1571" s="1088"/>
      <c r="M1571" s="1089"/>
      <c r="N1571" s="1090"/>
    </row>
    <row r="1572" spans="2:14">
      <c r="B1572" s="1071"/>
      <c r="C1572" s="1091"/>
      <c r="D1572" s="1092"/>
      <c r="E1572" s="1092"/>
      <c r="F1572" s="1092"/>
      <c r="G1572" s="1092"/>
      <c r="H1572" s="1092"/>
      <c r="I1572" s="1092"/>
      <c r="J1572" s="1093"/>
      <c r="K1572" s="1058" t="s">
        <v>247</v>
      </c>
      <c r="L1572" s="1058">
        <v>18</v>
      </c>
      <c r="M1572" s="1058" t="s">
        <v>248</v>
      </c>
      <c r="N1572" s="1060">
        <v>80</v>
      </c>
    </row>
    <row r="1573" spans="2:14">
      <c r="B1573" s="1071"/>
      <c r="C1573" s="1091"/>
      <c r="D1573" s="1092"/>
      <c r="E1573" s="1092"/>
      <c r="F1573" s="1092"/>
      <c r="G1573" s="1092"/>
      <c r="H1573" s="1092"/>
      <c r="I1573" s="1092"/>
      <c r="J1573" s="1093"/>
      <c r="K1573" s="1059"/>
      <c r="L1573" s="1059"/>
      <c r="M1573" s="1059"/>
      <c r="N1573" s="1061"/>
    </row>
    <row r="1574" spans="2:14">
      <c r="B1574" s="1071"/>
      <c r="C1574" s="1062" t="s">
        <v>249</v>
      </c>
      <c r="D1574" s="1063"/>
      <c r="E1574" s="1063"/>
      <c r="F1574" s="1063"/>
      <c r="G1574" s="1063"/>
      <c r="H1574" s="1063"/>
      <c r="I1574" s="1063"/>
      <c r="J1574" s="1064"/>
      <c r="K1574" s="1059"/>
      <c r="L1574" s="1059"/>
      <c r="M1574" s="1059"/>
      <c r="N1574" s="1061"/>
    </row>
    <row r="1575" spans="2:14" ht="13.5" thickBot="1">
      <c r="B1575" s="259"/>
      <c r="C1575" s="260"/>
      <c r="D1575" s="260"/>
      <c r="E1575" s="260"/>
      <c r="F1575" s="260"/>
      <c r="G1575" s="260"/>
      <c r="H1575" s="260"/>
      <c r="I1575" s="260"/>
      <c r="J1575" s="260"/>
      <c r="K1575" s="260"/>
      <c r="L1575" s="261"/>
      <c r="M1575" s="261"/>
      <c r="N1575" s="262"/>
    </row>
    <row r="1576" spans="2:14">
      <c r="B1576" s="263"/>
      <c r="C1576" s="264"/>
      <c r="D1576" s="264"/>
      <c r="E1576" s="264"/>
      <c r="F1576" s="264"/>
      <c r="G1576" s="264"/>
      <c r="H1576" s="264"/>
      <c r="I1576" s="264"/>
      <c r="J1576" s="264"/>
      <c r="K1576" s="265" t="s">
        <v>250</v>
      </c>
      <c r="L1576" s="266" t="s">
        <v>251</v>
      </c>
      <c r="M1576" s="266" t="s">
        <v>252</v>
      </c>
      <c r="N1576" s="267" t="s">
        <v>253</v>
      </c>
    </row>
    <row r="1577" spans="2:14">
      <c r="B1577" s="268"/>
      <c r="C1577" s="269"/>
      <c r="D1577" s="269"/>
      <c r="E1577" s="269"/>
      <c r="F1577" s="269"/>
      <c r="G1577" s="269"/>
      <c r="H1577" s="269"/>
      <c r="I1577" s="269"/>
      <c r="J1577" s="269"/>
      <c r="K1577" s="270"/>
      <c r="L1577" s="271"/>
      <c r="M1577" s="271"/>
      <c r="N1577" s="272"/>
    </row>
    <row r="1578" spans="2:14">
      <c r="B1578" s="1065" t="s">
        <v>254</v>
      </c>
      <c r="C1578" s="1066"/>
      <c r="D1578" s="1066"/>
      <c r="E1578" s="1066"/>
      <c r="F1578" s="269"/>
      <c r="G1578" s="269"/>
      <c r="H1578" s="269" t="s">
        <v>255</v>
      </c>
      <c r="J1578" s="269"/>
      <c r="K1578" s="270"/>
      <c r="N1578" s="273"/>
    </row>
    <row r="1579" spans="2:14">
      <c r="B1579" s="274"/>
      <c r="C1579" s="275"/>
      <c r="D1579" s="275"/>
      <c r="E1579" s="275"/>
      <c r="F1579" s="275"/>
      <c r="G1579" s="275"/>
      <c r="H1579" s="275"/>
      <c r="I1579" s="275"/>
      <c r="J1579" s="275"/>
      <c r="K1579" s="275"/>
      <c r="L1579" s="275"/>
      <c r="M1579" s="275"/>
      <c r="N1579" s="276"/>
    </row>
    <row r="1580" spans="2:14" ht="13.5" thickBot="1">
      <c r="B1580" s="277"/>
      <c r="C1580" s="278"/>
      <c r="D1580" s="278"/>
      <c r="E1580" s="278"/>
      <c r="F1580" s="278"/>
      <c r="G1580" s="278"/>
      <c r="H1580" s="278"/>
      <c r="I1580" s="278"/>
      <c r="J1580" s="278"/>
      <c r="K1580" s="278"/>
      <c r="L1580" s="278"/>
      <c r="M1580" s="278"/>
      <c r="N1580" s="279"/>
    </row>
    <row r="1581" spans="2:14" ht="13.5" thickBot="1">
      <c r="B1581" s="280"/>
      <c r="C1581" s="281"/>
      <c r="D1581" s="281"/>
      <c r="E1581" s="281"/>
      <c r="F1581" s="281"/>
      <c r="G1581" s="281"/>
      <c r="J1581" s="281"/>
      <c r="K1581" s="281"/>
      <c r="L1581" s="281"/>
      <c r="M1581" s="281"/>
      <c r="N1581" s="282"/>
    </row>
    <row r="1582" spans="2:14">
      <c r="B1582" s="1067" t="s">
        <v>256</v>
      </c>
      <c r="C1582" s="1068"/>
      <c r="D1582" s="1068"/>
      <c r="E1582" s="1068"/>
      <c r="F1582" s="1068"/>
      <c r="G1582" s="1068"/>
      <c r="H1582" s="1068"/>
      <c r="I1582" s="1068"/>
      <c r="J1582" s="1068"/>
      <c r="K1582" s="1068"/>
      <c r="L1582" s="1068"/>
      <c r="M1582" s="1068"/>
      <c r="N1582" s="1069"/>
    </row>
    <row r="1583" spans="2:14" ht="13.5" thickBot="1">
      <c r="B1583" s="283"/>
      <c r="N1583" s="284"/>
    </row>
    <row r="1584" spans="2:14">
      <c r="B1584" s="285" t="s">
        <v>257</v>
      </c>
      <c r="C1584" s="1120" t="s">
        <v>258</v>
      </c>
      <c r="D1584" s="1121"/>
      <c r="E1584" s="1121"/>
      <c r="F1584" s="1121"/>
      <c r="G1584" s="1121"/>
      <c r="H1584" s="1121"/>
      <c r="I1584" s="1121"/>
      <c r="J1584" s="1121"/>
      <c r="K1584" s="1122"/>
      <c r="L1584" s="1123" t="s">
        <v>259</v>
      </c>
      <c r="M1584" s="1124"/>
      <c r="N1584" s="285" t="s">
        <v>133</v>
      </c>
    </row>
    <row r="1585" spans="2:14" ht="13.5" thickBot="1">
      <c r="B1585" s="286">
        <v>18</v>
      </c>
      <c r="C1585" s="1125" t="s">
        <v>159</v>
      </c>
      <c r="D1585" s="1126"/>
      <c r="E1585" s="1126"/>
      <c r="F1585" s="1126"/>
      <c r="G1585" s="1126"/>
      <c r="H1585" s="1126"/>
      <c r="I1585" s="1126"/>
      <c r="J1585" s="1126"/>
      <c r="K1585" s="1127"/>
      <c r="L1585" s="1128" t="s">
        <v>147</v>
      </c>
      <c r="M1585" s="1129"/>
      <c r="N1585" s="366">
        <v>190</v>
      </c>
    </row>
    <row r="1586" spans="2:14">
      <c r="B1586" s="1103" t="s">
        <v>260</v>
      </c>
      <c r="C1586" s="1104"/>
      <c r="D1586" s="1104"/>
      <c r="E1586" s="1104"/>
      <c r="F1586" s="1104"/>
      <c r="G1586" s="1104"/>
      <c r="H1586" s="1104"/>
      <c r="I1586" s="1104"/>
      <c r="J1586" s="1104"/>
      <c r="K1586" s="1104"/>
      <c r="L1586" s="1104"/>
      <c r="M1586" s="1104"/>
      <c r="N1586" s="1105"/>
    </row>
    <row r="1587" spans="2:14">
      <c r="B1587" s="1106"/>
      <c r="C1587" s="1107"/>
      <c r="D1587" s="1107"/>
      <c r="E1587" s="1107"/>
      <c r="F1587" s="1107"/>
      <c r="G1587" s="1107"/>
      <c r="H1587" s="1107"/>
      <c r="I1587" s="1107"/>
      <c r="J1587" s="1107"/>
      <c r="K1587" s="1107"/>
      <c r="L1587" s="1107"/>
      <c r="M1587" s="1107"/>
      <c r="N1587" s="1108"/>
    </row>
    <row r="1588" spans="2:14" ht="13.5" thickBot="1">
      <c r="B1588" s="1109"/>
      <c r="C1588" s="1110"/>
      <c r="D1588" s="1110"/>
      <c r="E1588" s="1110"/>
      <c r="F1588" s="1110"/>
      <c r="G1588" s="1110"/>
      <c r="H1588" s="1110"/>
      <c r="I1588" s="1110"/>
      <c r="J1588" s="1110"/>
      <c r="K1588" s="1110"/>
      <c r="L1588" s="1110"/>
      <c r="M1588" s="1110"/>
      <c r="N1588" s="1111"/>
    </row>
    <row r="1589" spans="2:14">
      <c r="B1589" s="1130" t="s">
        <v>258</v>
      </c>
      <c r="C1589" s="1131"/>
      <c r="D1589" s="1131"/>
      <c r="E1589" s="1131"/>
      <c r="F1589" s="1132"/>
      <c r="G1589" s="1133" t="s">
        <v>261</v>
      </c>
      <c r="H1589" s="1131"/>
      <c r="I1589" s="1134" t="s">
        <v>262</v>
      </c>
      <c r="J1589" s="1135"/>
      <c r="K1589" s="288" t="s">
        <v>263</v>
      </c>
      <c r="L1589" s="1133" t="s">
        <v>264</v>
      </c>
      <c r="M1589" s="1136"/>
      <c r="N1589" s="289" t="s">
        <v>265</v>
      </c>
    </row>
    <row r="1590" spans="2:14">
      <c r="B1590" s="1179"/>
      <c r="C1590" s="1180"/>
      <c r="D1590" s="1180"/>
      <c r="E1590" s="1180"/>
      <c r="F1590" s="1181"/>
      <c r="G1590" s="1115"/>
      <c r="H1590" s="1114"/>
      <c r="I1590" s="1182"/>
      <c r="J1590" s="1183"/>
      <c r="K1590" s="290"/>
      <c r="L1590" s="1118"/>
      <c r="M1590" s="1119"/>
      <c r="N1590" s="290"/>
    </row>
    <row r="1591" spans="2:14" ht="13.5" thickBot="1">
      <c r="B1591" s="1179"/>
      <c r="C1591" s="1180"/>
      <c r="D1591" s="1180"/>
      <c r="E1591" s="1180"/>
      <c r="F1591" s="1181"/>
      <c r="G1591" s="295"/>
      <c r="H1591" s="294"/>
      <c r="I1591" s="1182"/>
      <c r="J1591" s="1183"/>
      <c r="K1591" s="290"/>
      <c r="L1591" s="1118"/>
      <c r="M1591" s="1119"/>
      <c r="N1591" s="290"/>
    </row>
    <row r="1592" spans="2:14" ht="13.5" thickBot="1">
      <c r="B1592" s="1100" t="s">
        <v>269</v>
      </c>
      <c r="C1592" s="1101"/>
      <c r="D1592" s="1101"/>
      <c r="E1592" s="1101"/>
      <c r="F1592" s="1101"/>
      <c r="G1592" s="1101"/>
      <c r="H1592" s="1101"/>
      <c r="I1592" s="1101"/>
      <c r="J1592" s="1101"/>
      <c r="K1592" s="1101"/>
      <c r="L1592" s="1101"/>
      <c r="M1592" s="1102"/>
      <c r="N1592" s="323">
        <f>+N1590+N1591</f>
        <v>0</v>
      </c>
    </row>
    <row r="1593" spans="2:14">
      <c r="B1593" s="1103" t="s">
        <v>270</v>
      </c>
      <c r="C1593" s="1104"/>
      <c r="D1593" s="1104"/>
      <c r="E1593" s="1104"/>
      <c r="F1593" s="1104"/>
      <c r="G1593" s="1104"/>
      <c r="H1593" s="1104"/>
      <c r="I1593" s="1104"/>
      <c r="J1593" s="1104"/>
      <c r="K1593" s="1104"/>
      <c r="L1593" s="1104"/>
      <c r="M1593" s="1104"/>
      <c r="N1593" s="1105"/>
    </row>
    <row r="1594" spans="2:14">
      <c r="B1594" s="1106"/>
      <c r="C1594" s="1107"/>
      <c r="D1594" s="1107"/>
      <c r="E1594" s="1107"/>
      <c r="F1594" s="1107"/>
      <c r="G1594" s="1107"/>
      <c r="H1594" s="1107"/>
      <c r="I1594" s="1107"/>
      <c r="J1594" s="1107"/>
      <c r="K1594" s="1107"/>
      <c r="L1594" s="1107"/>
      <c r="M1594" s="1107"/>
      <c r="N1594" s="1108"/>
    </row>
    <row r="1595" spans="2:14" ht="13.5" thickBot="1">
      <c r="B1595" s="1109"/>
      <c r="C1595" s="1110"/>
      <c r="D1595" s="1110"/>
      <c r="E1595" s="1110"/>
      <c r="F1595" s="1110"/>
      <c r="G1595" s="1110"/>
      <c r="H1595" s="1110"/>
      <c r="I1595" s="1110"/>
      <c r="J1595" s="1110"/>
      <c r="K1595" s="1110"/>
      <c r="L1595" s="1110"/>
      <c r="M1595" s="1110"/>
      <c r="N1595" s="1111"/>
    </row>
    <row r="1596" spans="2:14">
      <c r="B1596" s="1130" t="s">
        <v>258</v>
      </c>
      <c r="C1596" s="1139"/>
      <c r="D1596" s="1139"/>
      <c r="E1596" s="1139"/>
      <c r="F1596" s="1139"/>
      <c r="G1596" s="1139"/>
      <c r="H1596" s="1139"/>
      <c r="I1596" s="1136"/>
      <c r="J1596" s="299" t="s">
        <v>259</v>
      </c>
      <c r="K1596" s="288" t="s">
        <v>133</v>
      </c>
      <c r="L1596" s="1133" t="s">
        <v>271</v>
      </c>
      <c r="M1596" s="1136"/>
      <c r="N1596" s="289" t="s">
        <v>265</v>
      </c>
    </row>
    <row r="1597" spans="2:14">
      <c r="B1597" s="1112" t="s">
        <v>335</v>
      </c>
      <c r="C1597" s="1113"/>
      <c r="D1597" s="1113"/>
      <c r="E1597" s="1113"/>
      <c r="F1597" s="1113"/>
      <c r="G1597" s="1113"/>
      <c r="H1597" s="1113"/>
      <c r="I1597" s="1114"/>
      <c r="J1597" s="300" t="s">
        <v>147</v>
      </c>
      <c r="K1597" s="301">
        <v>1.1000000000000001</v>
      </c>
      <c r="L1597" s="1144">
        <v>100470</v>
      </c>
      <c r="M1597" s="1145"/>
      <c r="N1597" s="363">
        <f>+K1597*L1597</f>
        <v>110517.00000000001</v>
      </c>
    </row>
    <row r="1598" spans="2:14" ht="13.5" thickBot="1">
      <c r="B1598" s="1094"/>
      <c r="C1598" s="1095"/>
      <c r="D1598" s="1095"/>
      <c r="E1598" s="1095"/>
      <c r="F1598" s="1095"/>
      <c r="G1598" s="1095"/>
      <c r="H1598" s="1095"/>
      <c r="I1598" s="1096"/>
      <c r="J1598" s="303"/>
      <c r="K1598" s="304"/>
      <c r="L1598" s="1144"/>
      <c r="M1598" s="1145"/>
      <c r="N1598" s="363"/>
    </row>
    <row r="1599" spans="2:14" ht="13.5" thickBot="1">
      <c r="B1599" s="1100" t="s">
        <v>269</v>
      </c>
      <c r="C1599" s="1101"/>
      <c r="D1599" s="1101"/>
      <c r="E1599" s="1101"/>
      <c r="F1599" s="1101"/>
      <c r="G1599" s="1101"/>
      <c r="H1599" s="1101"/>
      <c r="I1599" s="1101"/>
      <c r="J1599" s="1101"/>
      <c r="K1599" s="1101"/>
      <c r="L1599" s="1101"/>
      <c r="M1599" s="1102"/>
      <c r="N1599" s="323">
        <f>+N1597</f>
        <v>110517.00000000001</v>
      </c>
    </row>
    <row r="1600" spans="2:14">
      <c r="B1600" s="1103" t="s">
        <v>276</v>
      </c>
      <c r="C1600" s="1104"/>
      <c r="D1600" s="1104"/>
      <c r="E1600" s="1104"/>
      <c r="F1600" s="1104"/>
      <c r="G1600" s="1104"/>
      <c r="H1600" s="1104"/>
      <c r="I1600" s="1104"/>
      <c r="J1600" s="1104"/>
      <c r="K1600" s="1104"/>
      <c r="L1600" s="1104"/>
      <c r="M1600" s="1104"/>
      <c r="N1600" s="1105"/>
    </row>
    <row r="1601" spans="2:14">
      <c r="B1601" s="1106"/>
      <c r="C1601" s="1107"/>
      <c r="D1601" s="1107"/>
      <c r="E1601" s="1107"/>
      <c r="F1601" s="1107"/>
      <c r="G1601" s="1107"/>
      <c r="H1601" s="1107"/>
      <c r="I1601" s="1107"/>
      <c r="J1601" s="1107"/>
      <c r="K1601" s="1107"/>
      <c r="L1601" s="1107"/>
      <c r="M1601" s="1107"/>
      <c r="N1601" s="1108"/>
    </row>
    <row r="1602" spans="2:14" ht="13.5" thickBot="1">
      <c r="B1602" s="1109"/>
      <c r="C1602" s="1110"/>
      <c r="D1602" s="1110"/>
      <c r="E1602" s="1110"/>
      <c r="F1602" s="1110"/>
      <c r="G1602" s="1110"/>
      <c r="H1602" s="1110"/>
      <c r="I1602" s="1110"/>
      <c r="J1602" s="1110"/>
      <c r="K1602" s="1110"/>
      <c r="L1602" s="1110"/>
      <c r="M1602" s="1110"/>
      <c r="N1602" s="1111"/>
    </row>
    <row r="1603" spans="2:14">
      <c r="B1603" s="1130" t="s">
        <v>277</v>
      </c>
      <c r="C1603" s="1139"/>
      <c r="D1603" s="1139"/>
      <c r="E1603" s="1139"/>
      <c r="F1603" s="1139"/>
      <c r="G1603" s="1139"/>
      <c r="H1603" s="1139"/>
      <c r="I1603" s="288" t="s">
        <v>278</v>
      </c>
      <c r="J1603" s="306" t="s">
        <v>279</v>
      </c>
      <c r="K1603" s="307" t="s">
        <v>280</v>
      </c>
      <c r="L1603" s="1133" t="s">
        <v>281</v>
      </c>
      <c r="M1603" s="1136"/>
      <c r="N1603" s="289" t="s">
        <v>265</v>
      </c>
    </row>
    <row r="1604" spans="2:14" ht="13.5" thickBot="1">
      <c r="B1604" s="1112"/>
      <c r="C1604" s="1113"/>
      <c r="D1604" s="1113"/>
      <c r="E1604" s="1113"/>
      <c r="F1604" s="1113"/>
      <c r="G1604" s="1113"/>
      <c r="H1604" s="1113"/>
      <c r="I1604" s="308"/>
      <c r="J1604" s="309"/>
      <c r="K1604" s="308"/>
      <c r="L1604" s="1142"/>
      <c r="M1604" s="1143"/>
      <c r="N1604" s="297"/>
    </row>
    <row r="1605" spans="2:14" ht="13.5" thickBot="1">
      <c r="B1605" s="1100" t="s">
        <v>269</v>
      </c>
      <c r="C1605" s="1101"/>
      <c r="D1605" s="1101"/>
      <c r="E1605" s="1101"/>
      <c r="F1605" s="1101"/>
      <c r="G1605" s="1101"/>
      <c r="H1605" s="1101"/>
      <c r="I1605" s="1101"/>
      <c r="J1605" s="1101"/>
      <c r="K1605" s="1101"/>
      <c r="L1605" s="1101"/>
      <c r="M1605" s="1102"/>
      <c r="N1605" s="313">
        <v>0</v>
      </c>
    </row>
    <row r="1606" spans="2:14">
      <c r="B1606" s="1103" t="s">
        <v>282</v>
      </c>
      <c r="C1606" s="1104"/>
      <c r="D1606" s="1104"/>
      <c r="E1606" s="1104"/>
      <c r="F1606" s="1104"/>
      <c r="G1606" s="1104"/>
      <c r="H1606" s="1104"/>
      <c r="I1606" s="1104"/>
      <c r="J1606" s="1104"/>
      <c r="K1606" s="1104"/>
      <c r="L1606" s="1104"/>
      <c r="M1606" s="1104"/>
      <c r="N1606" s="1105"/>
    </row>
    <row r="1607" spans="2:14">
      <c r="B1607" s="1106"/>
      <c r="C1607" s="1107"/>
      <c r="D1607" s="1107"/>
      <c r="E1607" s="1107"/>
      <c r="F1607" s="1107"/>
      <c r="G1607" s="1107"/>
      <c r="H1607" s="1107"/>
      <c r="I1607" s="1107"/>
      <c r="J1607" s="1107"/>
      <c r="K1607" s="1107"/>
      <c r="L1607" s="1107"/>
      <c r="M1607" s="1107"/>
      <c r="N1607" s="1108"/>
    </row>
    <row r="1608" spans="2:14" ht="13.5" thickBot="1">
      <c r="B1608" s="1109"/>
      <c r="C1608" s="1110"/>
      <c r="D1608" s="1110"/>
      <c r="E1608" s="1110"/>
      <c r="F1608" s="1110"/>
      <c r="G1608" s="1110"/>
      <c r="H1608" s="1110"/>
      <c r="I1608" s="1110"/>
      <c r="J1608" s="1110"/>
      <c r="K1608" s="1110"/>
      <c r="L1608" s="1110"/>
      <c r="M1608" s="1110"/>
      <c r="N1608" s="1111"/>
    </row>
    <row r="1609" spans="2:14">
      <c r="B1609" s="1130" t="s">
        <v>283</v>
      </c>
      <c r="C1609" s="1139"/>
      <c r="D1609" s="1139"/>
      <c r="E1609" s="1139"/>
      <c r="F1609" s="1139"/>
      <c r="G1609" s="1139"/>
      <c r="H1609" s="1139"/>
      <c r="I1609" s="288" t="s">
        <v>284</v>
      </c>
      <c r="J1609" s="314" t="s">
        <v>285</v>
      </c>
      <c r="K1609" s="315" t="s">
        <v>286</v>
      </c>
      <c r="L1609" s="1140" t="s">
        <v>264</v>
      </c>
      <c r="M1609" s="1141"/>
      <c r="N1609" s="316" t="s">
        <v>265</v>
      </c>
    </row>
    <row r="1610" spans="2:14">
      <c r="B1610" s="317" t="s">
        <v>315</v>
      </c>
      <c r="C1610" s="318"/>
      <c r="D1610" s="318"/>
      <c r="E1610" s="318"/>
      <c r="F1610" s="318"/>
      <c r="G1610" s="318"/>
      <c r="H1610" s="318"/>
      <c r="I1610" s="319">
        <v>31851</v>
      </c>
      <c r="J1610" s="321">
        <v>23888</v>
      </c>
      <c r="K1610" s="321">
        <f>+I1610+J1610</f>
        <v>55739</v>
      </c>
      <c r="L1610" s="1157">
        <v>5.9999880000000001</v>
      </c>
      <c r="M1610" s="1158"/>
      <c r="N1610" s="322">
        <f>+K1610/L1610</f>
        <v>9289.8519130371587</v>
      </c>
    </row>
    <row r="1611" spans="2:14" ht="13.5" thickBot="1">
      <c r="B1611" s="356"/>
      <c r="C1611" s="318"/>
      <c r="D1611" s="318"/>
      <c r="E1611" s="318"/>
      <c r="F1611" s="318"/>
      <c r="G1611" s="318"/>
      <c r="H1611" s="318"/>
      <c r="I1611" s="319"/>
      <c r="J1611" s="321"/>
      <c r="K1611" s="321"/>
      <c r="L1611" s="1157"/>
      <c r="M1611" s="1158"/>
      <c r="N1611" s="322"/>
    </row>
    <row r="1612" spans="2:14" ht="13.5" thickBot="1">
      <c r="B1612" s="1100" t="s">
        <v>269</v>
      </c>
      <c r="C1612" s="1101"/>
      <c r="D1612" s="1101"/>
      <c r="E1612" s="1101"/>
      <c r="F1612" s="1101"/>
      <c r="G1612" s="1101"/>
      <c r="H1612" s="1101"/>
      <c r="I1612" s="1101"/>
      <c r="J1612" s="1101"/>
      <c r="K1612" s="1101"/>
      <c r="L1612" s="1101"/>
      <c r="M1612" s="1102"/>
      <c r="N1612" s="323">
        <f>+N1610+N1611</f>
        <v>9289.8519130371587</v>
      </c>
    </row>
    <row r="1613" spans="2:14" ht="13.5" thickBot="1">
      <c r="B1613" s="324" t="s">
        <v>288</v>
      </c>
      <c r="C1613" s="325"/>
      <c r="D1613" s="325"/>
      <c r="E1613" s="325"/>
      <c r="F1613" s="325"/>
      <c r="G1613" s="325"/>
      <c r="H1613" s="325"/>
      <c r="I1613" s="326"/>
      <c r="J1613" s="327"/>
      <c r="K1613" s="328"/>
      <c r="L1613" s="329"/>
      <c r="M1613" s="329"/>
      <c r="N1613" s="330"/>
    </row>
    <row r="1614" spans="2:14">
      <c r="B1614" s="1130" t="s">
        <v>17</v>
      </c>
      <c r="C1614" s="1139"/>
      <c r="D1614" s="1139"/>
      <c r="E1614" s="1139"/>
      <c r="F1614" s="1139"/>
      <c r="G1614" s="1139"/>
      <c r="H1614" s="1139"/>
      <c r="I1614" s="1136"/>
      <c r="J1614" s="299" t="s">
        <v>259</v>
      </c>
      <c r="K1614" s="288" t="s">
        <v>133</v>
      </c>
      <c r="L1614" s="1133" t="s">
        <v>271</v>
      </c>
      <c r="M1614" s="1136"/>
      <c r="N1614" s="316" t="s">
        <v>265</v>
      </c>
    </row>
    <row r="1615" spans="2:14">
      <c r="B1615" s="331" t="s">
        <v>289</v>
      </c>
      <c r="C1615" s="332"/>
      <c r="D1615" s="332"/>
      <c r="E1615" s="332"/>
      <c r="F1615" s="332"/>
      <c r="G1615" s="332"/>
      <c r="H1615" s="332"/>
      <c r="I1615" s="333"/>
      <c r="J1615" s="334" t="s">
        <v>290</v>
      </c>
      <c r="K1615" s="335">
        <v>0.05</v>
      </c>
      <c r="L1615" s="1144">
        <f>+N1612</f>
        <v>9289.8519130371587</v>
      </c>
      <c r="M1615" s="1145"/>
      <c r="N1615" s="322">
        <f>+K1615*L1615</f>
        <v>464.49259565185798</v>
      </c>
    </row>
    <row r="1616" spans="2:14" ht="13.5" thickBot="1">
      <c r="B1616" s="356"/>
      <c r="C1616" s="325"/>
      <c r="D1616" s="325"/>
      <c r="E1616" s="325"/>
      <c r="F1616" s="325"/>
      <c r="G1616" s="325"/>
      <c r="H1616" s="325"/>
      <c r="I1616" s="369"/>
      <c r="J1616" s="327"/>
      <c r="K1616" s="370"/>
      <c r="L1616" s="371"/>
      <c r="M1616" s="372"/>
      <c r="N1616" s="373"/>
    </row>
    <row r="1617" spans="2:14" ht="13.5" thickBot="1">
      <c r="B1617" s="1100" t="s">
        <v>269</v>
      </c>
      <c r="C1617" s="1101"/>
      <c r="D1617" s="1101"/>
      <c r="E1617" s="1101"/>
      <c r="F1617" s="1101"/>
      <c r="G1617" s="1101"/>
      <c r="H1617" s="1101"/>
      <c r="I1617" s="1101"/>
      <c r="J1617" s="1101"/>
      <c r="K1617" s="1101"/>
      <c r="L1617" s="1101"/>
      <c r="M1617" s="1102"/>
      <c r="N1617" s="323">
        <f>+N1615</f>
        <v>464.49259565185798</v>
      </c>
    </row>
    <row r="1618" spans="2:14">
      <c r="B1618" s="280"/>
      <c r="C1618" s="281"/>
      <c r="D1618" s="281"/>
      <c r="E1618" s="281"/>
      <c r="F1618" s="281"/>
      <c r="G1618" s="281"/>
      <c r="H1618" s="281"/>
      <c r="I1618" s="281"/>
      <c r="J1618" s="281"/>
      <c r="K1618" s="281"/>
      <c r="L1618" s="281"/>
      <c r="M1618" s="281"/>
      <c r="N1618" s="282"/>
    </row>
    <row r="1619" spans="2:14" ht="13.5" thickBot="1">
      <c r="B1619" s="378"/>
      <c r="C1619" s="311"/>
      <c r="D1619" s="311"/>
      <c r="E1619" s="311"/>
      <c r="F1619" s="311"/>
      <c r="G1619" s="311"/>
      <c r="H1619" s="311"/>
      <c r="I1619" s="311"/>
      <c r="J1619" s="311"/>
      <c r="K1619" s="311"/>
      <c r="L1619" s="311"/>
      <c r="M1619" s="311"/>
      <c r="N1619" s="379"/>
    </row>
    <row r="1620" spans="2:14" ht="13.5" thickBot="1">
      <c r="B1620" s="1150" t="s">
        <v>291</v>
      </c>
      <c r="C1620" s="1151"/>
      <c r="D1620" s="1151"/>
      <c r="E1620" s="1151"/>
      <c r="F1620" s="1151"/>
      <c r="G1620" s="1151"/>
      <c r="H1620" s="1151"/>
      <c r="I1620" s="1151"/>
      <c r="J1620" s="1151"/>
      <c r="K1620" s="1151"/>
      <c r="L1620" s="1151"/>
      <c r="M1620" s="1152"/>
      <c r="N1620" s="336">
        <f>+N1592+N1599+N1605+N1612+N1617</f>
        <v>120271.34450868903</v>
      </c>
    </row>
    <row r="1621" spans="2:14">
      <c r="B1621" s="1103" t="s">
        <v>292</v>
      </c>
      <c r="C1621" s="1104"/>
      <c r="D1621" s="1104"/>
      <c r="E1621" s="1104"/>
      <c r="F1621" s="1104"/>
      <c r="G1621" s="1104"/>
      <c r="H1621" s="1104"/>
      <c r="I1621" s="1104"/>
      <c r="J1621" s="1104"/>
      <c r="K1621" s="1104"/>
      <c r="L1621" s="1104"/>
      <c r="M1621" s="1104"/>
      <c r="N1621" s="1105"/>
    </row>
    <row r="1622" spans="2:14">
      <c r="B1622" s="1106"/>
      <c r="C1622" s="1107"/>
      <c r="D1622" s="1107"/>
      <c r="E1622" s="1107"/>
      <c r="F1622" s="1107"/>
      <c r="G1622" s="1107"/>
      <c r="H1622" s="1107"/>
      <c r="I1622" s="1107"/>
      <c r="J1622" s="1107"/>
      <c r="K1622" s="1107"/>
      <c r="L1622" s="1107"/>
      <c r="M1622" s="1107"/>
      <c r="N1622" s="1108"/>
    </row>
    <row r="1623" spans="2:14" ht="13.5" thickBot="1">
      <c r="B1623" s="1109"/>
      <c r="C1623" s="1110"/>
      <c r="D1623" s="1110"/>
      <c r="E1623" s="1110"/>
      <c r="F1623" s="1110"/>
      <c r="G1623" s="1110"/>
      <c r="H1623" s="1110"/>
      <c r="I1623" s="1110"/>
      <c r="J1623" s="1110"/>
      <c r="K1623" s="1110"/>
      <c r="L1623" s="1110"/>
      <c r="M1623" s="1110"/>
      <c r="N1623" s="1111"/>
    </row>
    <row r="1624" spans="2:14">
      <c r="B1624" s="1130" t="s">
        <v>17</v>
      </c>
      <c r="C1624" s="1139"/>
      <c r="D1624" s="1139"/>
      <c r="E1624" s="1139"/>
      <c r="F1624" s="1139"/>
      <c r="G1624" s="1139"/>
      <c r="H1624" s="1139"/>
      <c r="I1624" s="306"/>
      <c r="J1624" s="337"/>
      <c r="K1624" s="315" t="s">
        <v>79</v>
      </c>
      <c r="L1624" s="1140" t="s">
        <v>11</v>
      </c>
      <c r="M1624" s="1141"/>
      <c r="N1624" s="316"/>
    </row>
    <row r="1625" spans="2:14">
      <c r="B1625" s="1112" t="s">
        <v>232</v>
      </c>
      <c r="C1625" s="1113"/>
      <c r="D1625" s="1113"/>
      <c r="E1625" s="1113"/>
      <c r="F1625" s="1113"/>
      <c r="G1625" s="1113"/>
      <c r="H1625" s="1113"/>
      <c r="I1625" s="338"/>
      <c r="J1625" s="339"/>
      <c r="K1625" s="340">
        <f>'PRESUPUESTO OFICIAL'!$K$100</f>
        <v>0</v>
      </c>
      <c r="L1625" s="1146">
        <f>K1625*N1620</f>
        <v>0</v>
      </c>
      <c r="M1625" s="1147"/>
      <c r="N1625" s="341"/>
    </row>
    <row r="1626" spans="2:14">
      <c r="B1626" s="292" t="s">
        <v>293</v>
      </c>
      <c r="C1626" s="293"/>
      <c r="D1626" s="293"/>
      <c r="E1626" s="293"/>
      <c r="F1626" s="293"/>
      <c r="G1626" s="293"/>
      <c r="H1626" s="293"/>
      <c r="I1626" s="338"/>
      <c r="J1626" s="339"/>
      <c r="K1626" s="340">
        <f>'PRESUPUESTO OFICIAL'!$K$101</f>
        <v>0</v>
      </c>
      <c r="L1626" s="1146">
        <f>K1626*N1620</f>
        <v>0</v>
      </c>
      <c r="M1626" s="1147"/>
      <c r="N1626" s="341"/>
    </row>
    <row r="1627" spans="2:14" ht="13.5" thickBot="1">
      <c r="B1627" s="277" t="s">
        <v>294</v>
      </c>
      <c r="C1627" s="278"/>
      <c r="D1627" s="278"/>
      <c r="E1627" s="278"/>
      <c r="F1627" s="278"/>
      <c r="G1627" s="278"/>
      <c r="H1627" s="278"/>
      <c r="I1627" s="342"/>
      <c r="J1627" s="343"/>
      <c r="K1627" s="340">
        <f>'PRESUPUESTO OFICIAL'!$K$102</f>
        <v>0</v>
      </c>
      <c r="L1627" s="1148">
        <f>K1627*N1620</f>
        <v>0</v>
      </c>
      <c r="M1627" s="1149"/>
      <c r="N1627" s="341"/>
    </row>
    <row r="1628" spans="2:14" ht="13.5" thickBot="1">
      <c r="B1628" s="1100" t="s">
        <v>269</v>
      </c>
      <c r="C1628" s="1101"/>
      <c r="D1628" s="1101"/>
      <c r="E1628" s="1101"/>
      <c r="F1628" s="1101"/>
      <c r="G1628" s="1101"/>
      <c r="H1628" s="1101"/>
      <c r="I1628" s="1101"/>
      <c r="J1628" s="1101"/>
      <c r="K1628" s="1101"/>
      <c r="L1628" s="1101"/>
      <c r="M1628" s="1102"/>
      <c r="N1628" s="344">
        <f>SUM(L1625:M1627)</f>
        <v>0</v>
      </c>
    </row>
    <row r="1629" spans="2:14" ht="13.5" thickBot="1">
      <c r="B1629" s="283"/>
      <c r="N1629" s="284"/>
    </row>
    <row r="1630" spans="2:14" ht="13.5" thickBot="1">
      <c r="B1630" s="1150" t="s">
        <v>295</v>
      </c>
      <c r="C1630" s="1151"/>
      <c r="D1630" s="1151"/>
      <c r="E1630" s="1151"/>
      <c r="F1630" s="1151"/>
      <c r="G1630" s="1151"/>
      <c r="H1630" s="1151"/>
      <c r="I1630" s="1151"/>
      <c r="J1630" s="1151"/>
      <c r="K1630" s="1151"/>
      <c r="L1630" s="1151"/>
      <c r="M1630" s="1152"/>
      <c r="N1630" s="345">
        <f>ROUND(N1620+N1628,0)</f>
        <v>120271</v>
      </c>
    </row>
    <row r="1631" spans="2:14">
      <c r="B1631" s="280"/>
      <c r="C1631" s="281"/>
      <c r="D1631" s="281"/>
      <c r="E1631" s="281"/>
      <c r="F1631" s="281"/>
      <c r="G1631" s="281"/>
      <c r="H1631" s="281"/>
      <c r="I1631" s="281"/>
      <c r="J1631" s="281"/>
      <c r="K1631" s="281"/>
      <c r="L1631" s="281"/>
      <c r="M1631" s="281"/>
      <c r="N1631" s="282"/>
    </row>
    <row r="1632" spans="2:14">
      <c r="B1632" s="283"/>
      <c r="N1632" s="284"/>
    </row>
    <row r="1633" spans="2:14">
      <c r="B1633" s="283"/>
      <c r="N1633" s="284"/>
    </row>
    <row r="1634" spans="2:14">
      <c r="B1634" s="283"/>
      <c r="G1634" s="346" t="s">
        <v>296</v>
      </c>
      <c r="H1634" s="346"/>
      <c r="I1634" s="346"/>
      <c r="J1634" s="346"/>
      <c r="N1634" s="284"/>
    </row>
    <row r="1635" spans="2:14">
      <c r="B1635" s="347"/>
      <c r="C1635" s="348"/>
      <c r="D1635" s="348"/>
      <c r="E1635" s="348"/>
      <c r="F1635" s="348"/>
      <c r="G1635" s="346" t="s">
        <v>297</v>
      </c>
      <c r="H1635" s="348"/>
      <c r="I1635" s="348"/>
      <c r="J1635" s="348"/>
      <c r="K1635" s="348"/>
      <c r="L1635" s="348"/>
      <c r="M1635" s="348"/>
      <c r="N1635" s="349"/>
    </row>
    <row r="1636" spans="2:14">
      <c r="B1636" s="347"/>
      <c r="C1636" s="348"/>
      <c r="D1636" s="348"/>
      <c r="E1636" s="348"/>
      <c r="F1636" s="348"/>
      <c r="G1636" s="346" t="s">
        <v>298</v>
      </c>
      <c r="J1636" s="348"/>
      <c r="K1636" s="348"/>
      <c r="L1636" s="348"/>
      <c r="M1636" s="348"/>
      <c r="N1636" s="349"/>
    </row>
    <row r="1637" spans="2:14">
      <c r="B1637" s="268"/>
      <c r="C1637" s="350"/>
      <c r="D1637" s="350"/>
      <c r="E1637" s="350"/>
      <c r="F1637" s="350"/>
      <c r="G1637" s="346" t="s">
        <v>299</v>
      </c>
      <c r="H1637" s="350"/>
      <c r="I1637" s="350"/>
      <c r="J1637" s="350"/>
      <c r="K1637" s="350"/>
      <c r="L1637" s="350"/>
      <c r="M1637" s="350"/>
      <c r="N1637" s="351"/>
    </row>
    <row r="1638" spans="2:14">
      <c r="B1638" s="283"/>
      <c r="G1638" s="258" t="s">
        <v>300</v>
      </c>
      <c r="N1638" s="284"/>
    </row>
    <row r="1639" spans="2:14">
      <c r="B1639" s="352" t="s">
        <v>301</v>
      </c>
      <c r="C1639" s="353"/>
      <c r="D1639" s="353"/>
      <c r="E1639" s="353"/>
      <c r="F1639" s="353"/>
      <c r="G1639" s="353"/>
      <c r="H1639" s="353"/>
      <c r="I1639" s="353"/>
      <c r="J1639" s="353"/>
      <c r="K1639" s="353"/>
      <c r="L1639" s="353"/>
      <c r="M1639" s="353"/>
      <c r="N1639" s="354"/>
    </row>
    <row r="1640" spans="2:14">
      <c r="B1640" s="1153"/>
      <c r="C1640" s="1154"/>
      <c r="D1640" s="1154"/>
      <c r="E1640" s="1154"/>
      <c r="F1640" s="1154"/>
      <c r="G1640" s="1154"/>
      <c r="H1640" s="1154"/>
      <c r="I1640" s="1154"/>
      <c r="J1640" s="1154"/>
      <c r="K1640" s="1154"/>
      <c r="L1640" s="1154"/>
      <c r="M1640" s="1154"/>
      <c r="N1640" s="1155"/>
    </row>
    <row r="1641" spans="2:14">
      <c r="B1641" s="1153"/>
      <c r="C1641" s="1154"/>
      <c r="D1641" s="1154"/>
      <c r="E1641" s="1154"/>
      <c r="F1641" s="1154"/>
      <c r="G1641" s="1154"/>
      <c r="H1641" s="1154"/>
      <c r="I1641" s="1154"/>
      <c r="J1641" s="1154"/>
      <c r="K1641" s="1154"/>
      <c r="L1641" s="1154"/>
      <c r="M1641" s="1154"/>
      <c r="N1641" s="1155"/>
    </row>
    <row r="1642" spans="2:14">
      <c r="B1642" s="268"/>
      <c r="C1642" s="350"/>
      <c r="D1642" s="350"/>
      <c r="E1642" s="350"/>
      <c r="F1642" s="350"/>
      <c r="G1642" s="350"/>
      <c r="H1642" s="350"/>
      <c r="I1642" s="350"/>
      <c r="J1642" s="350"/>
      <c r="K1642" s="350"/>
      <c r="L1642" s="350"/>
      <c r="M1642" s="350"/>
      <c r="N1642" s="351"/>
    </row>
    <row r="1643" spans="2:14">
      <c r="B1643" s="355" t="s">
        <v>302</v>
      </c>
      <c r="C1643" s="350"/>
      <c r="D1643" s="350"/>
      <c r="E1643" s="350"/>
      <c r="F1643" s="350"/>
      <c r="G1643" s="350"/>
      <c r="H1643" s="350"/>
      <c r="I1643" s="350"/>
      <c r="J1643" s="350"/>
      <c r="K1643" s="350"/>
      <c r="L1643" s="350"/>
      <c r="M1643" s="350"/>
      <c r="N1643" s="351"/>
    </row>
    <row r="1644" spans="2:14">
      <c r="B1644" s="1159" t="s">
        <v>303</v>
      </c>
      <c r="C1644" s="1160"/>
      <c r="D1644" s="1160"/>
      <c r="E1644" s="1160"/>
      <c r="F1644" s="1160"/>
      <c r="G1644" s="1160"/>
      <c r="H1644" s="1160"/>
      <c r="I1644" s="1160"/>
      <c r="J1644" s="1160"/>
      <c r="K1644" s="1160"/>
      <c r="L1644" s="1160"/>
      <c r="M1644" s="1160"/>
      <c r="N1644" s="1161"/>
    </row>
    <row r="1645" spans="2:14">
      <c r="B1645" s="1159"/>
      <c r="C1645" s="1160"/>
      <c r="D1645" s="1160"/>
      <c r="E1645" s="1160"/>
      <c r="F1645" s="1160"/>
      <c r="G1645" s="1160"/>
      <c r="H1645" s="1160"/>
      <c r="I1645" s="1160"/>
      <c r="J1645" s="1160"/>
      <c r="K1645" s="1160"/>
      <c r="L1645" s="1160"/>
      <c r="M1645" s="1160"/>
      <c r="N1645" s="1161"/>
    </row>
    <row r="1646" spans="2:14">
      <c r="B1646" s="1159" t="s">
        <v>304</v>
      </c>
      <c r="C1646" s="1160"/>
      <c r="D1646" s="1160"/>
      <c r="E1646" s="1160"/>
      <c r="F1646" s="1160"/>
      <c r="G1646" s="1160"/>
      <c r="H1646" s="1160"/>
      <c r="I1646" s="1160"/>
      <c r="J1646" s="1160"/>
      <c r="K1646" s="1160"/>
      <c r="L1646" s="1160"/>
      <c r="M1646" s="1160"/>
      <c r="N1646" s="1161"/>
    </row>
    <row r="1647" spans="2:14">
      <c r="B1647" s="1159"/>
      <c r="C1647" s="1160"/>
      <c r="D1647" s="1160"/>
      <c r="E1647" s="1160"/>
      <c r="F1647" s="1160"/>
      <c r="G1647" s="1160"/>
      <c r="H1647" s="1160"/>
      <c r="I1647" s="1160"/>
      <c r="J1647" s="1160"/>
      <c r="K1647" s="1160"/>
      <c r="L1647" s="1160"/>
      <c r="M1647" s="1160"/>
      <c r="N1647" s="1161"/>
    </row>
    <row r="1648" spans="2:14">
      <c r="B1648" s="268"/>
      <c r="C1648" s="350"/>
      <c r="D1648" s="350"/>
      <c r="E1648" s="350"/>
      <c r="F1648" s="350"/>
      <c r="G1648" s="350"/>
      <c r="H1648" s="350"/>
      <c r="I1648" s="350"/>
      <c r="J1648" s="350"/>
      <c r="K1648" s="350"/>
      <c r="L1648" s="350"/>
      <c r="M1648" s="350"/>
      <c r="N1648" s="351"/>
    </row>
    <row r="1649" spans="2:14">
      <c r="B1649" s="283"/>
      <c r="G1649" s="346" t="s">
        <v>296</v>
      </c>
      <c r="N1649" s="284"/>
    </row>
    <row r="1650" spans="2:14">
      <c r="B1650" s="283"/>
      <c r="G1650" s="258" t="s">
        <v>305</v>
      </c>
      <c r="H1650" s="293"/>
      <c r="I1650" s="293"/>
      <c r="J1650" s="293"/>
      <c r="N1650" s="284"/>
    </row>
    <row r="1651" spans="2:14">
      <c r="B1651" s="283"/>
      <c r="G1651" s="258" t="s">
        <v>306</v>
      </c>
      <c r="H1651" s="325"/>
      <c r="I1651" s="325"/>
      <c r="J1651" s="325"/>
      <c r="N1651" s="284"/>
    </row>
    <row r="1652" spans="2:14">
      <c r="B1652" s="356"/>
      <c r="C1652" s="350"/>
      <c r="D1652" s="350"/>
      <c r="E1652" s="350"/>
      <c r="F1652" s="350"/>
      <c r="G1652" s="258" t="s">
        <v>299</v>
      </c>
      <c r="K1652" s="350"/>
      <c r="L1652" s="350"/>
      <c r="M1652" s="350"/>
      <c r="N1652" s="351"/>
    </row>
    <row r="1653" spans="2:14">
      <c r="B1653" s="357"/>
      <c r="C1653" s="358"/>
      <c r="D1653" s="358"/>
      <c r="J1653" s="1162"/>
      <c r="K1653" s="1162"/>
      <c r="L1653" s="1162"/>
      <c r="M1653" s="1162"/>
      <c r="N1653" s="1163"/>
    </row>
    <row r="1654" spans="2:14" ht="13.5" thickBot="1">
      <c r="B1654" s="1166"/>
      <c r="C1654" s="1167"/>
      <c r="D1654" s="1167"/>
      <c r="E1654" s="311"/>
      <c r="F1654" s="311"/>
      <c r="G1654" s="311"/>
      <c r="H1654" s="311"/>
      <c r="I1654" s="311"/>
      <c r="J1654" s="1164"/>
      <c r="K1654" s="1164"/>
      <c r="L1654" s="1164"/>
      <c r="M1654" s="1164"/>
      <c r="N1654" s="1165"/>
    </row>
    <row r="1655" spans="2:14" ht="13.5" thickBot="1"/>
    <row r="1656" spans="2:14">
      <c r="B1656" s="1070"/>
      <c r="C1656" s="1072"/>
      <c r="D1656" s="1073"/>
      <c r="E1656" s="1073"/>
      <c r="F1656" s="1073"/>
      <c r="G1656" s="1073"/>
      <c r="H1656" s="1073"/>
      <c r="I1656" s="1073"/>
      <c r="J1656" s="1074"/>
      <c r="K1656" s="1075"/>
      <c r="L1656" s="1076"/>
      <c r="M1656" s="1076"/>
      <c r="N1656" s="1077"/>
    </row>
    <row r="1657" spans="2:14">
      <c r="B1657" s="1071"/>
      <c r="C1657" s="1062" t="s">
        <v>244</v>
      </c>
      <c r="D1657" s="1063"/>
      <c r="E1657" s="1063"/>
      <c r="F1657" s="1063"/>
      <c r="G1657" s="1063"/>
      <c r="H1657" s="1063"/>
      <c r="I1657" s="1063"/>
      <c r="J1657" s="1064"/>
      <c r="K1657" s="1078"/>
      <c r="L1657" s="1079"/>
      <c r="M1657" s="1079"/>
      <c r="N1657" s="1080"/>
    </row>
    <row r="1658" spans="2:14">
      <c r="B1658" s="1071"/>
      <c r="C1658" s="1081"/>
      <c r="D1658" s="1082"/>
      <c r="E1658" s="1082"/>
      <c r="F1658" s="1082"/>
      <c r="G1658" s="1082"/>
      <c r="H1658" s="1082"/>
      <c r="I1658" s="1082"/>
      <c r="J1658" s="1083"/>
      <c r="K1658" s="1058" t="s">
        <v>245</v>
      </c>
      <c r="L1658" s="1085"/>
      <c r="M1658" s="1086"/>
      <c r="N1658" s="1087"/>
    </row>
    <row r="1659" spans="2:14">
      <c r="B1659" s="1071"/>
      <c r="C1659" s="1062" t="s">
        <v>246</v>
      </c>
      <c r="D1659" s="1063"/>
      <c r="E1659" s="1063"/>
      <c r="F1659" s="1063"/>
      <c r="G1659" s="1063"/>
      <c r="H1659" s="1063"/>
      <c r="I1659" s="1063"/>
      <c r="J1659" s="1064"/>
      <c r="K1659" s="1084"/>
      <c r="L1659" s="1088"/>
      <c r="M1659" s="1089"/>
      <c r="N1659" s="1090"/>
    </row>
    <row r="1660" spans="2:14">
      <c r="B1660" s="1071"/>
      <c r="C1660" s="1091"/>
      <c r="D1660" s="1092"/>
      <c r="E1660" s="1092"/>
      <c r="F1660" s="1092"/>
      <c r="G1660" s="1092"/>
      <c r="H1660" s="1092"/>
      <c r="I1660" s="1092"/>
      <c r="J1660" s="1093"/>
      <c r="K1660" s="1058" t="s">
        <v>247</v>
      </c>
      <c r="L1660" s="1058">
        <v>19</v>
      </c>
      <c r="M1660" s="1058" t="s">
        <v>248</v>
      </c>
      <c r="N1660" s="1060">
        <v>80</v>
      </c>
    </row>
    <row r="1661" spans="2:14">
      <c r="B1661" s="1071"/>
      <c r="C1661" s="1091"/>
      <c r="D1661" s="1092"/>
      <c r="E1661" s="1092"/>
      <c r="F1661" s="1092"/>
      <c r="G1661" s="1092"/>
      <c r="H1661" s="1092"/>
      <c r="I1661" s="1092"/>
      <c r="J1661" s="1093"/>
      <c r="K1661" s="1059"/>
      <c r="L1661" s="1059"/>
      <c r="M1661" s="1059"/>
      <c r="N1661" s="1061"/>
    </row>
    <row r="1662" spans="2:14">
      <c r="B1662" s="1071"/>
      <c r="C1662" s="1062" t="s">
        <v>249</v>
      </c>
      <c r="D1662" s="1063"/>
      <c r="E1662" s="1063"/>
      <c r="F1662" s="1063"/>
      <c r="G1662" s="1063"/>
      <c r="H1662" s="1063"/>
      <c r="I1662" s="1063"/>
      <c r="J1662" s="1064"/>
      <c r="K1662" s="1059"/>
      <c r="L1662" s="1059"/>
      <c r="M1662" s="1059"/>
      <c r="N1662" s="1061"/>
    </row>
    <row r="1663" spans="2:14" ht="13.5" thickBot="1">
      <c r="B1663" s="259"/>
      <c r="C1663" s="260"/>
      <c r="D1663" s="260"/>
      <c r="E1663" s="260"/>
      <c r="F1663" s="260"/>
      <c r="G1663" s="260"/>
      <c r="H1663" s="260"/>
      <c r="I1663" s="260"/>
      <c r="J1663" s="260"/>
      <c r="K1663" s="260"/>
      <c r="L1663" s="261"/>
      <c r="M1663" s="261"/>
      <c r="N1663" s="262"/>
    </row>
    <row r="1664" spans="2:14">
      <c r="B1664" s="263"/>
      <c r="C1664" s="264"/>
      <c r="D1664" s="264"/>
      <c r="E1664" s="264"/>
      <c r="F1664" s="264"/>
      <c r="G1664" s="264"/>
      <c r="H1664" s="264"/>
      <c r="I1664" s="264"/>
      <c r="J1664" s="264"/>
      <c r="K1664" s="265" t="s">
        <v>250</v>
      </c>
      <c r="L1664" s="266" t="s">
        <v>251</v>
      </c>
      <c r="M1664" s="266" t="s">
        <v>252</v>
      </c>
      <c r="N1664" s="267" t="s">
        <v>253</v>
      </c>
    </row>
    <row r="1665" spans="2:14">
      <c r="B1665" s="268"/>
      <c r="C1665" s="269"/>
      <c r="D1665" s="269"/>
      <c r="E1665" s="269"/>
      <c r="F1665" s="269"/>
      <c r="G1665" s="269"/>
      <c r="H1665" s="269"/>
      <c r="I1665" s="269"/>
      <c r="J1665" s="269"/>
      <c r="K1665" s="270"/>
      <c r="L1665" s="271"/>
      <c r="M1665" s="271"/>
      <c r="N1665" s="272"/>
    </row>
    <row r="1666" spans="2:14">
      <c r="B1666" s="1065" t="s">
        <v>254</v>
      </c>
      <c r="C1666" s="1066"/>
      <c r="D1666" s="1066"/>
      <c r="E1666" s="1066"/>
      <c r="F1666" s="269"/>
      <c r="G1666" s="269"/>
      <c r="H1666" s="269" t="s">
        <v>255</v>
      </c>
      <c r="J1666" s="269"/>
      <c r="K1666" s="270"/>
      <c r="N1666" s="273"/>
    </row>
    <row r="1667" spans="2:14">
      <c r="B1667" s="274"/>
      <c r="C1667" s="275"/>
      <c r="D1667" s="275"/>
      <c r="E1667" s="275"/>
      <c r="F1667" s="275"/>
      <c r="G1667" s="275"/>
      <c r="H1667" s="275"/>
      <c r="I1667" s="275"/>
      <c r="J1667" s="275"/>
      <c r="K1667" s="275"/>
      <c r="L1667" s="275"/>
      <c r="M1667" s="275"/>
      <c r="N1667" s="276"/>
    </row>
    <row r="1668" spans="2:14" ht="13.5" thickBot="1">
      <c r="B1668" s="277"/>
      <c r="C1668" s="278"/>
      <c r="D1668" s="278"/>
      <c r="E1668" s="278"/>
      <c r="F1668" s="278"/>
      <c r="G1668" s="278"/>
      <c r="H1668" s="278"/>
      <c r="I1668" s="278"/>
      <c r="J1668" s="278"/>
      <c r="K1668" s="278"/>
      <c r="L1668" s="278"/>
      <c r="M1668" s="278"/>
      <c r="N1668" s="279"/>
    </row>
    <row r="1669" spans="2:14" ht="13.5" thickBot="1">
      <c r="B1669" s="280"/>
      <c r="C1669" s="281"/>
      <c r="D1669" s="281"/>
      <c r="E1669" s="281"/>
      <c r="F1669" s="281"/>
      <c r="G1669" s="281"/>
      <c r="J1669" s="281"/>
      <c r="K1669" s="281"/>
      <c r="L1669" s="281"/>
      <c r="M1669" s="281"/>
      <c r="N1669" s="282"/>
    </row>
    <row r="1670" spans="2:14">
      <c r="B1670" s="1067" t="s">
        <v>256</v>
      </c>
      <c r="C1670" s="1068"/>
      <c r="D1670" s="1068"/>
      <c r="E1670" s="1068"/>
      <c r="F1670" s="1068"/>
      <c r="G1670" s="1068"/>
      <c r="H1670" s="1068"/>
      <c r="I1670" s="1068"/>
      <c r="J1670" s="1068"/>
      <c r="K1670" s="1068"/>
      <c r="L1670" s="1068"/>
      <c r="M1670" s="1068"/>
      <c r="N1670" s="1069"/>
    </row>
    <row r="1671" spans="2:14" ht="13.5" thickBot="1">
      <c r="B1671" s="283"/>
      <c r="N1671" s="284"/>
    </row>
    <row r="1672" spans="2:14">
      <c r="B1672" s="285" t="s">
        <v>257</v>
      </c>
      <c r="C1672" s="1120" t="s">
        <v>258</v>
      </c>
      <c r="D1672" s="1121"/>
      <c r="E1672" s="1121"/>
      <c r="F1672" s="1121"/>
      <c r="G1672" s="1121"/>
      <c r="H1672" s="1121"/>
      <c r="I1672" s="1121"/>
      <c r="J1672" s="1121"/>
      <c r="K1672" s="1122"/>
      <c r="L1672" s="1123" t="s">
        <v>259</v>
      </c>
      <c r="M1672" s="1124"/>
      <c r="N1672" s="285" t="s">
        <v>133</v>
      </c>
    </row>
    <row r="1673" spans="2:14" ht="28.5" customHeight="1" thickBot="1">
      <c r="B1673" s="286">
        <v>19</v>
      </c>
      <c r="C1673" s="1125" t="s">
        <v>160</v>
      </c>
      <c r="D1673" s="1126"/>
      <c r="E1673" s="1126"/>
      <c r="F1673" s="1126"/>
      <c r="G1673" s="1126"/>
      <c r="H1673" s="1126"/>
      <c r="I1673" s="1126"/>
      <c r="J1673" s="1126"/>
      <c r="K1673" s="1127"/>
      <c r="L1673" s="1128" t="s">
        <v>147</v>
      </c>
      <c r="M1673" s="1129"/>
      <c r="N1673" s="366">
        <v>181</v>
      </c>
    </row>
    <row r="1674" spans="2:14">
      <c r="B1674" s="1103" t="s">
        <v>260</v>
      </c>
      <c r="C1674" s="1104"/>
      <c r="D1674" s="1104"/>
      <c r="E1674" s="1104"/>
      <c r="F1674" s="1104"/>
      <c r="G1674" s="1104"/>
      <c r="H1674" s="1104"/>
      <c r="I1674" s="1104"/>
      <c r="J1674" s="1104"/>
      <c r="K1674" s="1104"/>
      <c r="L1674" s="1104"/>
      <c r="M1674" s="1104"/>
      <c r="N1674" s="1105"/>
    </row>
    <row r="1675" spans="2:14">
      <c r="B1675" s="1106"/>
      <c r="C1675" s="1107"/>
      <c r="D1675" s="1107"/>
      <c r="E1675" s="1107"/>
      <c r="F1675" s="1107"/>
      <c r="G1675" s="1107"/>
      <c r="H1675" s="1107"/>
      <c r="I1675" s="1107"/>
      <c r="J1675" s="1107"/>
      <c r="K1675" s="1107"/>
      <c r="L1675" s="1107"/>
      <c r="M1675" s="1107"/>
      <c r="N1675" s="1108"/>
    </row>
    <row r="1676" spans="2:14" ht="13.5" thickBot="1">
      <c r="B1676" s="1109"/>
      <c r="C1676" s="1110"/>
      <c r="D1676" s="1110"/>
      <c r="E1676" s="1110"/>
      <c r="F1676" s="1110"/>
      <c r="G1676" s="1110"/>
      <c r="H1676" s="1110"/>
      <c r="I1676" s="1110"/>
      <c r="J1676" s="1110"/>
      <c r="K1676" s="1110"/>
      <c r="L1676" s="1110"/>
      <c r="M1676" s="1110"/>
      <c r="N1676" s="1111"/>
    </row>
    <row r="1677" spans="2:14">
      <c r="B1677" s="1130" t="s">
        <v>258</v>
      </c>
      <c r="C1677" s="1131"/>
      <c r="D1677" s="1131"/>
      <c r="E1677" s="1131"/>
      <c r="F1677" s="1132"/>
      <c r="G1677" s="1133" t="s">
        <v>261</v>
      </c>
      <c r="H1677" s="1131"/>
      <c r="I1677" s="1134" t="s">
        <v>262</v>
      </c>
      <c r="J1677" s="1135"/>
      <c r="K1677" s="288" t="s">
        <v>263</v>
      </c>
      <c r="L1677" s="1133" t="s">
        <v>264</v>
      </c>
      <c r="M1677" s="1136"/>
      <c r="N1677" s="289" t="s">
        <v>265</v>
      </c>
    </row>
    <row r="1678" spans="2:14">
      <c r="B1678" s="1179"/>
      <c r="C1678" s="1180"/>
      <c r="D1678" s="1180"/>
      <c r="E1678" s="1180"/>
      <c r="F1678" s="1181"/>
      <c r="G1678" s="1115"/>
      <c r="H1678" s="1114"/>
      <c r="I1678" s="1182"/>
      <c r="J1678" s="1183"/>
      <c r="K1678" s="290"/>
      <c r="L1678" s="1118"/>
      <c r="M1678" s="1119"/>
      <c r="N1678" s="290"/>
    </row>
    <row r="1679" spans="2:14" ht="13.5" thickBot="1">
      <c r="B1679" s="1179"/>
      <c r="C1679" s="1180"/>
      <c r="D1679" s="1180"/>
      <c r="E1679" s="1180"/>
      <c r="F1679" s="1181"/>
      <c r="G1679" s="295"/>
      <c r="H1679" s="294"/>
      <c r="I1679" s="1182"/>
      <c r="J1679" s="1183"/>
      <c r="K1679" s="290"/>
      <c r="L1679" s="1118"/>
      <c r="M1679" s="1119"/>
      <c r="N1679" s="290"/>
    </row>
    <row r="1680" spans="2:14" ht="13.5" thickBot="1">
      <c r="B1680" s="1100" t="s">
        <v>269</v>
      </c>
      <c r="C1680" s="1101"/>
      <c r="D1680" s="1101"/>
      <c r="E1680" s="1101"/>
      <c r="F1680" s="1101"/>
      <c r="G1680" s="1101"/>
      <c r="H1680" s="1101"/>
      <c r="I1680" s="1101"/>
      <c r="J1680" s="1101"/>
      <c r="K1680" s="1101"/>
      <c r="L1680" s="1101"/>
      <c r="M1680" s="1102"/>
      <c r="N1680" s="323">
        <f>+N1678+N1679</f>
        <v>0</v>
      </c>
    </row>
    <row r="1681" spans="2:14">
      <c r="B1681" s="1103" t="s">
        <v>270</v>
      </c>
      <c r="C1681" s="1104"/>
      <c r="D1681" s="1104"/>
      <c r="E1681" s="1104"/>
      <c r="F1681" s="1104"/>
      <c r="G1681" s="1104"/>
      <c r="H1681" s="1104"/>
      <c r="I1681" s="1104"/>
      <c r="J1681" s="1104"/>
      <c r="K1681" s="1104"/>
      <c r="L1681" s="1104"/>
      <c r="M1681" s="1104"/>
      <c r="N1681" s="1105"/>
    </row>
    <row r="1682" spans="2:14">
      <c r="B1682" s="1106"/>
      <c r="C1682" s="1107"/>
      <c r="D1682" s="1107"/>
      <c r="E1682" s="1107"/>
      <c r="F1682" s="1107"/>
      <c r="G1682" s="1107"/>
      <c r="H1682" s="1107"/>
      <c r="I1682" s="1107"/>
      <c r="J1682" s="1107"/>
      <c r="K1682" s="1107"/>
      <c r="L1682" s="1107"/>
      <c r="M1682" s="1107"/>
      <c r="N1682" s="1108"/>
    </row>
    <row r="1683" spans="2:14" ht="13.5" thickBot="1">
      <c r="B1683" s="1109"/>
      <c r="C1683" s="1110"/>
      <c r="D1683" s="1110"/>
      <c r="E1683" s="1110"/>
      <c r="F1683" s="1110"/>
      <c r="G1683" s="1110"/>
      <c r="H1683" s="1110"/>
      <c r="I1683" s="1110"/>
      <c r="J1683" s="1110"/>
      <c r="K1683" s="1110"/>
      <c r="L1683" s="1110"/>
      <c r="M1683" s="1110"/>
      <c r="N1683" s="1111"/>
    </row>
    <row r="1684" spans="2:14">
      <c r="B1684" s="1130" t="s">
        <v>258</v>
      </c>
      <c r="C1684" s="1139"/>
      <c r="D1684" s="1139"/>
      <c r="E1684" s="1139"/>
      <c r="F1684" s="1139"/>
      <c r="G1684" s="1139"/>
      <c r="H1684" s="1139"/>
      <c r="I1684" s="1136"/>
      <c r="J1684" s="299" t="s">
        <v>259</v>
      </c>
      <c r="K1684" s="288" t="s">
        <v>133</v>
      </c>
      <c r="L1684" s="1133" t="s">
        <v>271</v>
      </c>
      <c r="M1684" s="1136"/>
      <c r="N1684" s="289" t="s">
        <v>265</v>
      </c>
    </row>
    <row r="1685" spans="2:14">
      <c r="B1685" s="1112"/>
      <c r="C1685" s="1113"/>
      <c r="D1685" s="1113"/>
      <c r="E1685" s="1113"/>
      <c r="F1685" s="1113"/>
      <c r="G1685" s="1113"/>
      <c r="H1685" s="1113"/>
      <c r="I1685" s="1114"/>
      <c r="J1685" s="300"/>
      <c r="K1685" s="301"/>
      <c r="L1685" s="1144"/>
      <c r="M1685" s="1145"/>
      <c r="N1685" s="363"/>
    </row>
    <row r="1686" spans="2:14" ht="13.5" thickBot="1">
      <c r="B1686" s="1094"/>
      <c r="C1686" s="1095"/>
      <c r="D1686" s="1095"/>
      <c r="E1686" s="1095"/>
      <c r="F1686" s="1095"/>
      <c r="G1686" s="1095"/>
      <c r="H1686" s="1095"/>
      <c r="I1686" s="1096"/>
      <c r="J1686" s="303"/>
      <c r="K1686" s="304"/>
      <c r="L1686" s="1144"/>
      <c r="M1686" s="1145"/>
      <c r="N1686" s="363"/>
    </row>
    <row r="1687" spans="2:14" ht="13.5" thickBot="1">
      <c r="B1687" s="1100" t="s">
        <v>269</v>
      </c>
      <c r="C1687" s="1101"/>
      <c r="D1687" s="1101"/>
      <c r="E1687" s="1101"/>
      <c r="F1687" s="1101"/>
      <c r="G1687" s="1101"/>
      <c r="H1687" s="1101"/>
      <c r="I1687" s="1101"/>
      <c r="J1687" s="1101"/>
      <c r="K1687" s="1101"/>
      <c r="L1687" s="1101"/>
      <c r="M1687" s="1102"/>
      <c r="N1687" s="323">
        <f>+N1685</f>
        <v>0</v>
      </c>
    </row>
    <row r="1688" spans="2:14">
      <c r="B1688" s="1103" t="s">
        <v>276</v>
      </c>
      <c r="C1688" s="1104"/>
      <c r="D1688" s="1104"/>
      <c r="E1688" s="1104"/>
      <c r="F1688" s="1104"/>
      <c r="G1688" s="1104"/>
      <c r="H1688" s="1104"/>
      <c r="I1688" s="1104"/>
      <c r="J1688" s="1104"/>
      <c r="K1688" s="1104"/>
      <c r="L1688" s="1104"/>
      <c r="M1688" s="1104"/>
      <c r="N1688" s="1105"/>
    </row>
    <row r="1689" spans="2:14">
      <c r="B1689" s="1106"/>
      <c r="C1689" s="1107"/>
      <c r="D1689" s="1107"/>
      <c r="E1689" s="1107"/>
      <c r="F1689" s="1107"/>
      <c r="G1689" s="1107"/>
      <c r="H1689" s="1107"/>
      <c r="I1689" s="1107"/>
      <c r="J1689" s="1107"/>
      <c r="K1689" s="1107"/>
      <c r="L1689" s="1107"/>
      <c r="M1689" s="1107"/>
      <c r="N1689" s="1108"/>
    </row>
    <row r="1690" spans="2:14" ht="13.5" thickBot="1">
      <c r="B1690" s="1109"/>
      <c r="C1690" s="1110"/>
      <c r="D1690" s="1110"/>
      <c r="E1690" s="1110"/>
      <c r="F1690" s="1110"/>
      <c r="G1690" s="1110"/>
      <c r="H1690" s="1110"/>
      <c r="I1690" s="1110"/>
      <c r="J1690" s="1110"/>
      <c r="K1690" s="1110"/>
      <c r="L1690" s="1110"/>
      <c r="M1690" s="1110"/>
      <c r="N1690" s="1111"/>
    </row>
    <row r="1691" spans="2:14">
      <c r="B1691" s="1130" t="s">
        <v>277</v>
      </c>
      <c r="C1691" s="1139"/>
      <c r="D1691" s="1139"/>
      <c r="E1691" s="1139"/>
      <c r="F1691" s="1139"/>
      <c r="G1691" s="1139"/>
      <c r="H1691" s="1139"/>
      <c r="I1691" s="288" t="s">
        <v>278</v>
      </c>
      <c r="J1691" s="306" t="s">
        <v>279</v>
      </c>
      <c r="K1691" s="307" t="s">
        <v>280</v>
      </c>
      <c r="L1691" s="1133" t="s">
        <v>281</v>
      </c>
      <c r="M1691" s="1136"/>
      <c r="N1691" s="289" t="s">
        <v>265</v>
      </c>
    </row>
    <row r="1692" spans="2:14" ht="13.5" thickBot="1">
      <c r="B1692" s="1112" t="s">
        <v>336</v>
      </c>
      <c r="C1692" s="1113"/>
      <c r="D1692" s="1113"/>
      <c r="E1692" s="1113"/>
      <c r="F1692" s="1113"/>
      <c r="G1692" s="1113"/>
      <c r="H1692" s="1113"/>
      <c r="I1692" s="393">
        <v>15</v>
      </c>
      <c r="J1692" s="309"/>
      <c r="K1692" s="308"/>
      <c r="L1692" s="1144">
        <v>1498</v>
      </c>
      <c r="M1692" s="1145"/>
      <c r="N1692" s="363">
        <f>+L1692*I1692</f>
        <v>22470</v>
      </c>
    </row>
    <row r="1693" spans="2:14" ht="13.5" thickBot="1">
      <c r="B1693" s="1100" t="s">
        <v>269</v>
      </c>
      <c r="C1693" s="1101"/>
      <c r="D1693" s="1101"/>
      <c r="E1693" s="1101"/>
      <c r="F1693" s="1101"/>
      <c r="G1693" s="1101"/>
      <c r="H1693" s="1101"/>
      <c r="I1693" s="1101"/>
      <c r="J1693" s="1101"/>
      <c r="K1693" s="1101"/>
      <c r="L1693" s="1101"/>
      <c r="M1693" s="1102"/>
      <c r="N1693" s="323">
        <f>+N1692</f>
        <v>22470</v>
      </c>
    </row>
    <row r="1694" spans="2:14">
      <c r="B1694" s="1103" t="s">
        <v>282</v>
      </c>
      <c r="C1694" s="1104"/>
      <c r="D1694" s="1104"/>
      <c r="E1694" s="1104"/>
      <c r="F1694" s="1104"/>
      <c r="G1694" s="1104"/>
      <c r="H1694" s="1104"/>
      <c r="I1694" s="1104"/>
      <c r="J1694" s="1104"/>
      <c r="K1694" s="1104"/>
      <c r="L1694" s="1104"/>
      <c r="M1694" s="1104"/>
      <c r="N1694" s="1105"/>
    </row>
    <row r="1695" spans="2:14">
      <c r="B1695" s="1106"/>
      <c r="C1695" s="1107"/>
      <c r="D1695" s="1107"/>
      <c r="E1695" s="1107"/>
      <c r="F1695" s="1107"/>
      <c r="G1695" s="1107"/>
      <c r="H1695" s="1107"/>
      <c r="I1695" s="1107"/>
      <c r="J1695" s="1107"/>
      <c r="K1695" s="1107"/>
      <c r="L1695" s="1107"/>
      <c r="M1695" s="1107"/>
      <c r="N1695" s="1108"/>
    </row>
    <row r="1696" spans="2:14" ht="13.5" thickBot="1">
      <c r="B1696" s="1109"/>
      <c r="C1696" s="1110"/>
      <c r="D1696" s="1110"/>
      <c r="E1696" s="1110"/>
      <c r="F1696" s="1110"/>
      <c r="G1696" s="1110"/>
      <c r="H1696" s="1110"/>
      <c r="I1696" s="1110"/>
      <c r="J1696" s="1110"/>
      <c r="K1696" s="1110"/>
      <c r="L1696" s="1110"/>
      <c r="M1696" s="1110"/>
      <c r="N1696" s="1111"/>
    </row>
    <row r="1697" spans="2:14">
      <c r="B1697" s="1130" t="s">
        <v>283</v>
      </c>
      <c r="C1697" s="1139"/>
      <c r="D1697" s="1139"/>
      <c r="E1697" s="1139"/>
      <c r="F1697" s="1139"/>
      <c r="G1697" s="1139"/>
      <c r="H1697" s="1139"/>
      <c r="I1697" s="288" t="s">
        <v>284</v>
      </c>
      <c r="J1697" s="314" t="s">
        <v>285</v>
      </c>
      <c r="K1697" s="315" t="s">
        <v>286</v>
      </c>
      <c r="L1697" s="1140" t="s">
        <v>264</v>
      </c>
      <c r="M1697" s="1141"/>
      <c r="N1697" s="316" t="s">
        <v>265</v>
      </c>
    </row>
    <row r="1698" spans="2:14">
      <c r="B1698" s="317" t="s">
        <v>337</v>
      </c>
      <c r="C1698" s="318"/>
      <c r="D1698" s="318"/>
      <c r="E1698" s="318"/>
      <c r="F1698" s="318"/>
      <c r="G1698" s="318"/>
      <c r="H1698" s="318"/>
      <c r="I1698" s="319">
        <v>153482</v>
      </c>
      <c r="J1698" s="321">
        <v>0</v>
      </c>
      <c r="K1698" s="321">
        <f>+I1698+J1698</f>
        <v>153482</v>
      </c>
      <c r="L1698" s="1157">
        <v>59.998800000000003</v>
      </c>
      <c r="M1698" s="1158"/>
      <c r="N1698" s="322">
        <f>+K1698/L1698</f>
        <v>2558.0844950232336</v>
      </c>
    </row>
    <row r="1699" spans="2:14" ht="13.5" thickBot="1">
      <c r="B1699" s="356"/>
      <c r="C1699" s="318"/>
      <c r="D1699" s="318"/>
      <c r="E1699" s="318"/>
      <c r="F1699" s="318"/>
      <c r="G1699" s="318"/>
      <c r="H1699" s="318"/>
      <c r="I1699" s="319"/>
      <c r="J1699" s="321"/>
      <c r="K1699" s="321"/>
      <c r="L1699" s="1157"/>
      <c r="M1699" s="1158"/>
      <c r="N1699" s="322"/>
    </row>
    <row r="1700" spans="2:14" ht="13.5" thickBot="1">
      <c r="B1700" s="1100" t="s">
        <v>269</v>
      </c>
      <c r="C1700" s="1101"/>
      <c r="D1700" s="1101"/>
      <c r="E1700" s="1101"/>
      <c r="F1700" s="1101"/>
      <c r="G1700" s="1101"/>
      <c r="H1700" s="1101"/>
      <c r="I1700" s="1101"/>
      <c r="J1700" s="1101"/>
      <c r="K1700" s="1101"/>
      <c r="L1700" s="1101"/>
      <c r="M1700" s="1102"/>
      <c r="N1700" s="323">
        <f>+N1698+N1699</f>
        <v>2558.0844950232336</v>
      </c>
    </row>
    <row r="1701" spans="2:14" ht="13.5" thickBot="1">
      <c r="B1701" s="324" t="s">
        <v>288</v>
      </c>
      <c r="C1701" s="325"/>
      <c r="D1701" s="325"/>
      <c r="E1701" s="325"/>
      <c r="F1701" s="325"/>
      <c r="G1701" s="325"/>
      <c r="H1701" s="325"/>
      <c r="I1701" s="326"/>
      <c r="J1701" s="327"/>
      <c r="K1701" s="328"/>
      <c r="L1701" s="329"/>
      <c r="M1701" s="329"/>
      <c r="N1701" s="330"/>
    </row>
    <row r="1702" spans="2:14">
      <c r="B1702" s="1130" t="s">
        <v>17</v>
      </c>
      <c r="C1702" s="1139"/>
      <c r="D1702" s="1139"/>
      <c r="E1702" s="1139"/>
      <c r="F1702" s="1139"/>
      <c r="G1702" s="1139"/>
      <c r="H1702" s="1139"/>
      <c r="I1702" s="1136"/>
      <c r="J1702" s="299" t="s">
        <v>259</v>
      </c>
      <c r="K1702" s="288" t="s">
        <v>133</v>
      </c>
      <c r="L1702" s="1133" t="s">
        <v>271</v>
      </c>
      <c r="M1702" s="1136"/>
      <c r="N1702" s="316" t="s">
        <v>265</v>
      </c>
    </row>
    <row r="1703" spans="2:14" ht="13.5" thickBot="1">
      <c r="B1703" s="331" t="s">
        <v>289</v>
      </c>
      <c r="C1703" s="332"/>
      <c r="D1703" s="332"/>
      <c r="E1703" s="332"/>
      <c r="F1703" s="332"/>
      <c r="G1703" s="332"/>
      <c r="H1703" s="332"/>
      <c r="I1703" s="333"/>
      <c r="J1703" s="334" t="s">
        <v>290</v>
      </c>
      <c r="K1703" s="335">
        <v>0.05</v>
      </c>
      <c r="L1703" s="1144">
        <f>+N1700</f>
        <v>2558.0844950232336</v>
      </c>
      <c r="M1703" s="1145"/>
      <c r="N1703" s="322">
        <f>+K1703*L1703</f>
        <v>127.90422475116168</v>
      </c>
    </row>
    <row r="1704" spans="2:14" ht="13.5" thickBot="1">
      <c r="B1704" s="1100" t="s">
        <v>269</v>
      </c>
      <c r="C1704" s="1101"/>
      <c r="D1704" s="1101"/>
      <c r="E1704" s="1101"/>
      <c r="F1704" s="1101"/>
      <c r="G1704" s="1101"/>
      <c r="H1704" s="1101"/>
      <c r="I1704" s="1101"/>
      <c r="J1704" s="1101"/>
      <c r="K1704" s="1101"/>
      <c r="L1704" s="1101"/>
      <c r="M1704" s="1102"/>
      <c r="N1704" s="323">
        <f>+N1703</f>
        <v>127.90422475116168</v>
      </c>
    </row>
    <row r="1705" spans="2:14" ht="13.5" thickBot="1">
      <c r="B1705" s="324" t="s">
        <v>338</v>
      </c>
      <c r="C1705" s="325"/>
      <c r="D1705" s="325"/>
      <c r="E1705" s="325"/>
      <c r="F1705" s="325"/>
      <c r="G1705" s="325"/>
      <c r="H1705" s="325"/>
      <c r="I1705" s="326"/>
      <c r="J1705" s="327"/>
      <c r="K1705" s="328"/>
      <c r="L1705" s="329"/>
      <c r="M1705" s="329"/>
      <c r="N1705" s="330"/>
    </row>
    <row r="1706" spans="2:14">
      <c r="B1706" s="1130" t="s">
        <v>17</v>
      </c>
      <c r="C1706" s="1139"/>
      <c r="D1706" s="1139"/>
      <c r="E1706" s="1139"/>
      <c r="F1706" s="1139"/>
      <c r="G1706" s="1139"/>
      <c r="H1706" s="1139"/>
      <c r="I1706" s="1136"/>
      <c r="J1706" s="299" t="s">
        <v>259</v>
      </c>
      <c r="K1706" s="288" t="s">
        <v>133</v>
      </c>
      <c r="L1706" s="1133" t="s">
        <v>271</v>
      </c>
      <c r="M1706" s="1136"/>
      <c r="N1706" s="316" t="s">
        <v>265</v>
      </c>
    </row>
    <row r="1707" spans="2:14" ht="13.5" thickBot="1">
      <c r="B1707" s="331" t="s">
        <v>339</v>
      </c>
      <c r="C1707" s="332"/>
      <c r="D1707" s="332"/>
      <c r="E1707" s="332"/>
      <c r="F1707" s="332"/>
      <c r="G1707" s="332"/>
      <c r="H1707" s="332"/>
      <c r="I1707" s="333"/>
      <c r="J1707" s="334" t="s">
        <v>147</v>
      </c>
      <c r="K1707" s="394">
        <v>1</v>
      </c>
      <c r="L1707" s="1144">
        <v>5800</v>
      </c>
      <c r="M1707" s="1145"/>
      <c r="N1707" s="395">
        <f>+L1707*K1707</f>
        <v>5800</v>
      </c>
    </row>
    <row r="1708" spans="2:14" ht="13.5" thickBot="1">
      <c r="B1708" s="1100" t="s">
        <v>269</v>
      </c>
      <c r="C1708" s="1101"/>
      <c r="D1708" s="1101"/>
      <c r="E1708" s="1101"/>
      <c r="F1708" s="1101"/>
      <c r="G1708" s="1101"/>
      <c r="H1708" s="1101"/>
      <c r="I1708" s="1101"/>
      <c r="J1708" s="1101"/>
      <c r="K1708" s="1101"/>
      <c r="L1708" s="1101"/>
      <c r="M1708" s="1102"/>
      <c r="N1708" s="323">
        <f>+N1707</f>
        <v>5800</v>
      </c>
    </row>
    <row r="1709" spans="2:14">
      <c r="B1709" s="280"/>
      <c r="C1709" s="281"/>
      <c r="D1709" s="281"/>
      <c r="E1709" s="281"/>
      <c r="F1709" s="281"/>
      <c r="G1709" s="281"/>
      <c r="H1709" s="281"/>
      <c r="I1709" s="281"/>
      <c r="J1709" s="281"/>
      <c r="K1709" s="281"/>
      <c r="L1709" s="281"/>
      <c r="M1709" s="281"/>
      <c r="N1709" s="282"/>
    </row>
    <row r="1710" spans="2:14" ht="13.5" thickBot="1">
      <c r="B1710" s="378"/>
      <c r="C1710" s="311"/>
      <c r="D1710" s="311"/>
      <c r="E1710" s="311"/>
      <c r="F1710" s="311"/>
      <c r="G1710" s="311"/>
      <c r="H1710" s="311"/>
      <c r="I1710" s="311"/>
      <c r="J1710" s="311"/>
      <c r="K1710" s="311"/>
      <c r="L1710" s="311"/>
      <c r="M1710" s="311"/>
      <c r="N1710" s="379"/>
    </row>
    <row r="1711" spans="2:14" ht="13.5" thickBot="1">
      <c r="B1711" s="1150" t="s">
        <v>291</v>
      </c>
      <c r="C1711" s="1151"/>
      <c r="D1711" s="1151"/>
      <c r="E1711" s="1151"/>
      <c r="F1711" s="1151"/>
      <c r="G1711" s="1151"/>
      <c r="H1711" s="1151"/>
      <c r="I1711" s="1151"/>
      <c r="J1711" s="1151"/>
      <c r="K1711" s="1151"/>
      <c r="L1711" s="1151"/>
      <c r="M1711" s="1152"/>
      <c r="N1711" s="336">
        <f>+N1680+N1687+N1693+N1700+N1708+N1704</f>
        <v>30955.988719774396</v>
      </c>
    </row>
    <row r="1712" spans="2:14">
      <c r="B1712" s="1103" t="s">
        <v>292</v>
      </c>
      <c r="C1712" s="1104"/>
      <c r="D1712" s="1104"/>
      <c r="E1712" s="1104"/>
      <c r="F1712" s="1104"/>
      <c r="G1712" s="1104"/>
      <c r="H1712" s="1104"/>
      <c r="I1712" s="1104"/>
      <c r="J1712" s="1104"/>
      <c r="K1712" s="1104"/>
      <c r="L1712" s="1104"/>
      <c r="M1712" s="1104"/>
      <c r="N1712" s="1105"/>
    </row>
    <row r="1713" spans="2:14">
      <c r="B1713" s="1106"/>
      <c r="C1713" s="1107"/>
      <c r="D1713" s="1107"/>
      <c r="E1713" s="1107"/>
      <c r="F1713" s="1107"/>
      <c r="G1713" s="1107"/>
      <c r="H1713" s="1107"/>
      <c r="I1713" s="1107"/>
      <c r="J1713" s="1107"/>
      <c r="K1713" s="1107"/>
      <c r="L1713" s="1107"/>
      <c r="M1713" s="1107"/>
      <c r="N1713" s="1108"/>
    </row>
    <row r="1714" spans="2:14" ht="13.5" thickBot="1">
      <c r="B1714" s="1109"/>
      <c r="C1714" s="1110"/>
      <c r="D1714" s="1110"/>
      <c r="E1714" s="1110"/>
      <c r="F1714" s="1110"/>
      <c r="G1714" s="1110"/>
      <c r="H1714" s="1110"/>
      <c r="I1714" s="1110"/>
      <c r="J1714" s="1110"/>
      <c r="K1714" s="1110"/>
      <c r="L1714" s="1110"/>
      <c r="M1714" s="1110"/>
      <c r="N1714" s="1111"/>
    </row>
    <row r="1715" spans="2:14">
      <c r="B1715" s="1130" t="s">
        <v>17</v>
      </c>
      <c r="C1715" s="1139"/>
      <c r="D1715" s="1139"/>
      <c r="E1715" s="1139"/>
      <c r="F1715" s="1139"/>
      <c r="G1715" s="1139"/>
      <c r="H1715" s="1139"/>
      <c r="I1715" s="306"/>
      <c r="J1715" s="337"/>
      <c r="K1715" s="315" t="s">
        <v>79</v>
      </c>
      <c r="L1715" s="1140" t="s">
        <v>11</v>
      </c>
      <c r="M1715" s="1141"/>
      <c r="N1715" s="316"/>
    </row>
    <row r="1716" spans="2:14">
      <c r="B1716" s="1112" t="s">
        <v>232</v>
      </c>
      <c r="C1716" s="1113"/>
      <c r="D1716" s="1113"/>
      <c r="E1716" s="1113"/>
      <c r="F1716" s="1113"/>
      <c r="G1716" s="1113"/>
      <c r="H1716" s="1113"/>
      <c r="I1716" s="338"/>
      <c r="J1716" s="339"/>
      <c r="K1716" s="340">
        <f>'PRESUPUESTO OFICIAL'!$K$100</f>
        <v>0</v>
      </c>
      <c r="L1716" s="1146">
        <f>K1716*N1711</f>
        <v>0</v>
      </c>
      <c r="M1716" s="1147"/>
      <c r="N1716" s="341"/>
    </row>
    <row r="1717" spans="2:14">
      <c r="B1717" s="292" t="s">
        <v>293</v>
      </c>
      <c r="C1717" s="293"/>
      <c r="D1717" s="293"/>
      <c r="E1717" s="293"/>
      <c r="F1717" s="293"/>
      <c r="G1717" s="293"/>
      <c r="H1717" s="293"/>
      <c r="I1717" s="338"/>
      <c r="J1717" s="339"/>
      <c r="K1717" s="340">
        <f>'PRESUPUESTO OFICIAL'!$K$101</f>
        <v>0</v>
      </c>
      <c r="L1717" s="1146">
        <f>K1717*N1711</f>
        <v>0</v>
      </c>
      <c r="M1717" s="1147"/>
      <c r="N1717" s="341"/>
    </row>
    <row r="1718" spans="2:14" ht="13.5" thickBot="1">
      <c r="B1718" s="277" t="s">
        <v>294</v>
      </c>
      <c r="C1718" s="278"/>
      <c r="D1718" s="278"/>
      <c r="E1718" s="278"/>
      <c r="F1718" s="278"/>
      <c r="G1718" s="278"/>
      <c r="H1718" s="278"/>
      <c r="I1718" s="342"/>
      <c r="J1718" s="343"/>
      <c r="K1718" s="340">
        <f>'PRESUPUESTO OFICIAL'!$K$102</f>
        <v>0</v>
      </c>
      <c r="L1718" s="1148">
        <f>K1718*N1711</f>
        <v>0</v>
      </c>
      <c r="M1718" s="1149"/>
      <c r="N1718" s="341"/>
    </row>
    <row r="1719" spans="2:14" ht="13.5" thickBot="1">
      <c r="B1719" s="1100" t="s">
        <v>269</v>
      </c>
      <c r="C1719" s="1101"/>
      <c r="D1719" s="1101"/>
      <c r="E1719" s="1101"/>
      <c r="F1719" s="1101"/>
      <c r="G1719" s="1101"/>
      <c r="H1719" s="1101"/>
      <c r="I1719" s="1101"/>
      <c r="J1719" s="1101"/>
      <c r="K1719" s="1101"/>
      <c r="L1719" s="1101"/>
      <c r="M1719" s="1102"/>
      <c r="N1719" s="344">
        <f>SUM(L1716:M1718)</f>
        <v>0</v>
      </c>
    </row>
    <row r="1720" spans="2:14" ht="13.5" thickBot="1">
      <c r="B1720" s="283"/>
      <c r="N1720" s="284"/>
    </row>
    <row r="1721" spans="2:14" ht="13.5" thickBot="1">
      <c r="B1721" s="1150" t="s">
        <v>295</v>
      </c>
      <c r="C1721" s="1151"/>
      <c r="D1721" s="1151"/>
      <c r="E1721" s="1151"/>
      <c r="F1721" s="1151"/>
      <c r="G1721" s="1151"/>
      <c r="H1721" s="1151"/>
      <c r="I1721" s="1151"/>
      <c r="J1721" s="1151"/>
      <c r="K1721" s="1151"/>
      <c r="L1721" s="1151"/>
      <c r="M1721" s="1152"/>
      <c r="N1721" s="345">
        <f>ROUND(N1711+N1719,0)</f>
        <v>30956</v>
      </c>
    </row>
    <row r="1722" spans="2:14">
      <c r="B1722" s="280"/>
      <c r="C1722" s="281"/>
      <c r="D1722" s="281"/>
      <c r="E1722" s="281"/>
      <c r="F1722" s="281"/>
      <c r="G1722" s="281"/>
      <c r="H1722" s="281"/>
      <c r="I1722" s="281"/>
      <c r="J1722" s="281"/>
      <c r="K1722" s="281"/>
      <c r="L1722" s="281"/>
      <c r="M1722" s="281"/>
      <c r="N1722" s="282"/>
    </row>
    <row r="1723" spans="2:14">
      <c r="B1723" s="283"/>
      <c r="N1723" s="284"/>
    </row>
    <row r="1724" spans="2:14">
      <c r="B1724" s="283"/>
      <c r="N1724" s="284"/>
    </row>
    <row r="1725" spans="2:14">
      <c r="B1725" s="283"/>
      <c r="G1725" s="346" t="s">
        <v>296</v>
      </c>
      <c r="H1725" s="346"/>
      <c r="I1725" s="346"/>
      <c r="J1725" s="346"/>
      <c r="N1725" s="284"/>
    </row>
    <row r="1726" spans="2:14">
      <c r="B1726" s="347"/>
      <c r="C1726" s="348"/>
      <c r="D1726" s="348"/>
      <c r="E1726" s="348"/>
      <c r="F1726" s="348"/>
      <c r="G1726" s="346" t="s">
        <v>297</v>
      </c>
      <c r="H1726" s="348"/>
      <c r="I1726" s="348"/>
      <c r="J1726" s="348"/>
      <c r="K1726" s="348"/>
      <c r="L1726" s="348"/>
      <c r="M1726" s="348"/>
      <c r="N1726" s="349"/>
    </row>
    <row r="1727" spans="2:14">
      <c r="B1727" s="347"/>
      <c r="C1727" s="348"/>
      <c r="D1727" s="348"/>
      <c r="E1727" s="348"/>
      <c r="F1727" s="348"/>
      <c r="G1727" s="346" t="s">
        <v>298</v>
      </c>
      <c r="J1727" s="348"/>
      <c r="K1727" s="348"/>
      <c r="L1727" s="348"/>
      <c r="M1727" s="348"/>
      <c r="N1727" s="349"/>
    </row>
    <row r="1728" spans="2:14">
      <c r="B1728" s="268"/>
      <c r="C1728" s="350"/>
      <c r="D1728" s="350"/>
      <c r="E1728" s="350"/>
      <c r="F1728" s="350"/>
      <c r="G1728" s="346" t="s">
        <v>299</v>
      </c>
      <c r="H1728" s="350"/>
      <c r="I1728" s="350"/>
      <c r="J1728" s="350"/>
      <c r="K1728" s="350"/>
      <c r="L1728" s="350"/>
      <c r="M1728" s="350"/>
      <c r="N1728" s="351"/>
    </row>
    <row r="1729" spans="2:14">
      <c r="B1729" s="283"/>
      <c r="G1729" s="258" t="s">
        <v>300</v>
      </c>
      <c r="N1729" s="284"/>
    </row>
    <row r="1730" spans="2:14">
      <c r="B1730" s="352" t="s">
        <v>301</v>
      </c>
      <c r="C1730" s="353"/>
      <c r="D1730" s="353"/>
      <c r="E1730" s="353"/>
      <c r="F1730" s="353"/>
      <c r="G1730" s="353"/>
      <c r="H1730" s="353"/>
      <c r="I1730" s="353"/>
      <c r="J1730" s="353"/>
      <c r="K1730" s="353"/>
      <c r="L1730" s="353"/>
      <c r="M1730" s="353"/>
      <c r="N1730" s="354"/>
    </row>
    <row r="1731" spans="2:14">
      <c r="B1731" s="1153"/>
      <c r="C1731" s="1154"/>
      <c r="D1731" s="1154"/>
      <c r="E1731" s="1154"/>
      <c r="F1731" s="1154"/>
      <c r="G1731" s="1154"/>
      <c r="H1731" s="1154"/>
      <c r="I1731" s="1154"/>
      <c r="J1731" s="1154"/>
      <c r="K1731" s="1154"/>
      <c r="L1731" s="1154"/>
      <c r="M1731" s="1154"/>
      <c r="N1731" s="1155"/>
    </row>
    <row r="1732" spans="2:14">
      <c r="B1732" s="1153"/>
      <c r="C1732" s="1154"/>
      <c r="D1732" s="1154"/>
      <c r="E1732" s="1154"/>
      <c r="F1732" s="1154"/>
      <c r="G1732" s="1154"/>
      <c r="H1732" s="1154"/>
      <c r="I1732" s="1154"/>
      <c r="J1732" s="1154"/>
      <c r="K1732" s="1154"/>
      <c r="L1732" s="1154"/>
      <c r="M1732" s="1154"/>
      <c r="N1732" s="1155"/>
    </row>
    <row r="1733" spans="2:14">
      <c r="B1733" s="268"/>
      <c r="C1733" s="350"/>
      <c r="D1733" s="350"/>
      <c r="E1733" s="350"/>
      <c r="F1733" s="350"/>
      <c r="G1733" s="350"/>
      <c r="H1733" s="350"/>
      <c r="I1733" s="350"/>
      <c r="J1733" s="350"/>
      <c r="K1733" s="350"/>
      <c r="L1733" s="350"/>
      <c r="M1733" s="350"/>
      <c r="N1733" s="351"/>
    </row>
    <row r="1734" spans="2:14">
      <c r="B1734" s="355" t="s">
        <v>302</v>
      </c>
      <c r="C1734" s="350"/>
      <c r="D1734" s="350"/>
      <c r="E1734" s="350"/>
      <c r="F1734" s="350"/>
      <c r="G1734" s="350"/>
      <c r="H1734" s="350"/>
      <c r="I1734" s="350"/>
      <c r="J1734" s="350"/>
      <c r="K1734" s="350"/>
      <c r="L1734" s="350"/>
      <c r="M1734" s="350"/>
      <c r="N1734" s="351"/>
    </row>
    <row r="1735" spans="2:14">
      <c r="B1735" s="1159" t="s">
        <v>303</v>
      </c>
      <c r="C1735" s="1160"/>
      <c r="D1735" s="1160"/>
      <c r="E1735" s="1160"/>
      <c r="F1735" s="1160"/>
      <c r="G1735" s="1160"/>
      <c r="H1735" s="1160"/>
      <c r="I1735" s="1160"/>
      <c r="J1735" s="1160"/>
      <c r="K1735" s="1160"/>
      <c r="L1735" s="1160"/>
      <c r="M1735" s="1160"/>
      <c r="N1735" s="1161"/>
    </row>
    <row r="1736" spans="2:14">
      <c r="B1736" s="1159"/>
      <c r="C1736" s="1160"/>
      <c r="D1736" s="1160"/>
      <c r="E1736" s="1160"/>
      <c r="F1736" s="1160"/>
      <c r="G1736" s="1160"/>
      <c r="H1736" s="1160"/>
      <c r="I1736" s="1160"/>
      <c r="J1736" s="1160"/>
      <c r="K1736" s="1160"/>
      <c r="L1736" s="1160"/>
      <c r="M1736" s="1160"/>
      <c r="N1736" s="1161"/>
    </row>
    <row r="1737" spans="2:14">
      <c r="B1737" s="1159" t="s">
        <v>304</v>
      </c>
      <c r="C1737" s="1160"/>
      <c r="D1737" s="1160"/>
      <c r="E1737" s="1160"/>
      <c r="F1737" s="1160"/>
      <c r="G1737" s="1160"/>
      <c r="H1737" s="1160"/>
      <c r="I1737" s="1160"/>
      <c r="J1737" s="1160"/>
      <c r="K1737" s="1160"/>
      <c r="L1737" s="1160"/>
      <c r="M1737" s="1160"/>
      <c r="N1737" s="1161"/>
    </row>
    <row r="1738" spans="2:14">
      <c r="B1738" s="1159"/>
      <c r="C1738" s="1160"/>
      <c r="D1738" s="1160"/>
      <c r="E1738" s="1160"/>
      <c r="F1738" s="1160"/>
      <c r="G1738" s="1160"/>
      <c r="H1738" s="1160"/>
      <c r="I1738" s="1160"/>
      <c r="J1738" s="1160"/>
      <c r="K1738" s="1160"/>
      <c r="L1738" s="1160"/>
      <c r="M1738" s="1160"/>
      <c r="N1738" s="1161"/>
    </row>
    <row r="1739" spans="2:14">
      <c r="B1739" s="268"/>
      <c r="C1739" s="350"/>
      <c r="D1739" s="350"/>
      <c r="E1739" s="350"/>
      <c r="F1739" s="350"/>
      <c r="G1739" s="350"/>
      <c r="H1739" s="350"/>
      <c r="I1739" s="350"/>
      <c r="J1739" s="350"/>
      <c r="K1739" s="350"/>
      <c r="L1739" s="350"/>
      <c r="M1739" s="350"/>
      <c r="N1739" s="351"/>
    </row>
    <row r="1740" spans="2:14">
      <c r="B1740" s="283"/>
      <c r="G1740" s="346" t="s">
        <v>296</v>
      </c>
      <c r="N1740" s="284"/>
    </row>
    <row r="1741" spans="2:14">
      <c r="B1741" s="283"/>
      <c r="G1741" s="258" t="s">
        <v>305</v>
      </c>
      <c r="H1741" s="293"/>
      <c r="I1741" s="293"/>
      <c r="J1741" s="293"/>
      <c r="N1741" s="284"/>
    </row>
    <row r="1742" spans="2:14">
      <c r="B1742" s="283"/>
      <c r="G1742" s="258" t="s">
        <v>306</v>
      </c>
      <c r="H1742" s="325"/>
      <c r="I1742" s="325"/>
      <c r="J1742" s="325"/>
      <c r="N1742" s="284"/>
    </row>
    <row r="1743" spans="2:14">
      <c r="B1743" s="356"/>
      <c r="C1743" s="350"/>
      <c r="D1743" s="350"/>
      <c r="E1743" s="350"/>
      <c r="F1743" s="350"/>
      <c r="G1743" s="258" t="s">
        <v>299</v>
      </c>
      <c r="K1743" s="350"/>
      <c r="L1743" s="350"/>
      <c r="M1743" s="350"/>
      <c r="N1743" s="351"/>
    </row>
    <row r="1744" spans="2:14">
      <c r="B1744" s="357"/>
      <c r="C1744" s="358"/>
      <c r="D1744" s="358"/>
      <c r="J1744" s="1162"/>
      <c r="K1744" s="1162"/>
      <c r="L1744" s="1162"/>
      <c r="M1744" s="1162"/>
      <c r="N1744" s="1163"/>
    </row>
    <row r="1745" spans="2:14" ht="13.5" thickBot="1">
      <c r="B1745" s="1166"/>
      <c r="C1745" s="1167"/>
      <c r="D1745" s="1167"/>
      <c r="E1745" s="311"/>
      <c r="F1745" s="311"/>
      <c r="G1745" s="311"/>
      <c r="H1745" s="311"/>
      <c r="I1745" s="311"/>
      <c r="J1745" s="1164"/>
      <c r="K1745" s="1164"/>
      <c r="L1745" s="1164"/>
      <c r="M1745" s="1164"/>
      <c r="N1745" s="1165"/>
    </row>
    <row r="1746" spans="2:14" ht="13.5" thickBot="1"/>
    <row r="1747" spans="2:14">
      <c r="B1747" s="1070"/>
      <c r="C1747" s="1072"/>
      <c r="D1747" s="1073"/>
      <c r="E1747" s="1073"/>
      <c r="F1747" s="1073"/>
      <c r="G1747" s="1073"/>
      <c r="H1747" s="1073"/>
      <c r="I1747" s="1073"/>
      <c r="J1747" s="1074"/>
      <c r="K1747" s="1075"/>
      <c r="L1747" s="1076"/>
      <c r="M1747" s="1076"/>
      <c r="N1747" s="1077"/>
    </row>
    <row r="1748" spans="2:14">
      <c r="B1748" s="1071"/>
      <c r="C1748" s="1062" t="s">
        <v>244</v>
      </c>
      <c r="D1748" s="1063"/>
      <c r="E1748" s="1063"/>
      <c r="F1748" s="1063"/>
      <c r="G1748" s="1063"/>
      <c r="H1748" s="1063"/>
      <c r="I1748" s="1063"/>
      <c r="J1748" s="1064"/>
      <c r="K1748" s="1078"/>
      <c r="L1748" s="1079"/>
      <c r="M1748" s="1079"/>
      <c r="N1748" s="1080"/>
    </row>
    <row r="1749" spans="2:14">
      <c r="B1749" s="1071"/>
      <c r="C1749" s="1081"/>
      <c r="D1749" s="1082"/>
      <c r="E1749" s="1082"/>
      <c r="F1749" s="1082"/>
      <c r="G1749" s="1082"/>
      <c r="H1749" s="1082"/>
      <c r="I1749" s="1082"/>
      <c r="J1749" s="1083"/>
      <c r="K1749" s="1058" t="s">
        <v>245</v>
      </c>
      <c r="L1749" s="1085"/>
      <c r="M1749" s="1086"/>
      <c r="N1749" s="1087"/>
    </row>
    <row r="1750" spans="2:14">
      <c r="B1750" s="1071"/>
      <c r="C1750" s="1062" t="s">
        <v>246</v>
      </c>
      <c r="D1750" s="1063"/>
      <c r="E1750" s="1063"/>
      <c r="F1750" s="1063"/>
      <c r="G1750" s="1063"/>
      <c r="H1750" s="1063"/>
      <c r="I1750" s="1063"/>
      <c r="J1750" s="1064"/>
      <c r="K1750" s="1084"/>
      <c r="L1750" s="1088"/>
      <c r="M1750" s="1089"/>
      <c r="N1750" s="1090"/>
    </row>
    <row r="1751" spans="2:14">
      <c r="B1751" s="1071"/>
      <c r="C1751" s="1091"/>
      <c r="D1751" s="1092"/>
      <c r="E1751" s="1092"/>
      <c r="F1751" s="1092"/>
      <c r="G1751" s="1092"/>
      <c r="H1751" s="1092"/>
      <c r="I1751" s="1092"/>
      <c r="J1751" s="1093"/>
      <c r="K1751" s="1058" t="s">
        <v>247</v>
      </c>
      <c r="L1751" s="1058">
        <v>20</v>
      </c>
      <c r="M1751" s="1058" t="s">
        <v>248</v>
      </c>
      <c r="N1751" s="1060">
        <v>80</v>
      </c>
    </row>
    <row r="1752" spans="2:14">
      <c r="B1752" s="1071"/>
      <c r="C1752" s="1091"/>
      <c r="D1752" s="1092"/>
      <c r="E1752" s="1092"/>
      <c r="F1752" s="1092"/>
      <c r="G1752" s="1092"/>
      <c r="H1752" s="1092"/>
      <c r="I1752" s="1092"/>
      <c r="J1752" s="1093"/>
      <c r="K1752" s="1059"/>
      <c r="L1752" s="1059"/>
      <c r="M1752" s="1059"/>
      <c r="N1752" s="1061"/>
    </row>
    <row r="1753" spans="2:14">
      <c r="B1753" s="1071"/>
      <c r="C1753" s="1062" t="s">
        <v>249</v>
      </c>
      <c r="D1753" s="1063"/>
      <c r="E1753" s="1063"/>
      <c r="F1753" s="1063"/>
      <c r="G1753" s="1063"/>
      <c r="H1753" s="1063"/>
      <c r="I1753" s="1063"/>
      <c r="J1753" s="1064"/>
      <c r="K1753" s="1059"/>
      <c r="L1753" s="1059"/>
      <c r="M1753" s="1059"/>
      <c r="N1753" s="1061"/>
    </row>
    <row r="1754" spans="2:14" ht="13.5" thickBot="1">
      <c r="B1754" s="259"/>
      <c r="C1754" s="260"/>
      <c r="D1754" s="260"/>
      <c r="E1754" s="260"/>
      <c r="F1754" s="260"/>
      <c r="G1754" s="260"/>
      <c r="H1754" s="260"/>
      <c r="I1754" s="260"/>
      <c r="J1754" s="260"/>
      <c r="K1754" s="260"/>
      <c r="L1754" s="261"/>
      <c r="M1754" s="261"/>
      <c r="N1754" s="262"/>
    </row>
    <row r="1755" spans="2:14">
      <c r="B1755" s="263"/>
      <c r="C1755" s="264"/>
      <c r="D1755" s="264"/>
      <c r="E1755" s="264"/>
      <c r="F1755" s="264"/>
      <c r="G1755" s="264"/>
      <c r="H1755" s="264"/>
      <c r="I1755" s="264"/>
      <c r="J1755" s="264"/>
      <c r="K1755" s="265" t="s">
        <v>250</v>
      </c>
      <c r="L1755" s="266" t="s">
        <v>251</v>
      </c>
      <c r="M1755" s="266" t="s">
        <v>252</v>
      </c>
      <c r="N1755" s="267" t="s">
        <v>253</v>
      </c>
    </row>
    <row r="1756" spans="2:14">
      <c r="B1756" s="268"/>
      <c r="C1756" s="269"/>
      <c r="D1756" s="269"/>
      <c r="E1756" s="269"/>
      <c r="F1756" s="269"/>
      <c r="G1756" s="269"/>
      <c r="H1756" s="269"/>
      <c r="I1756" s="269"/>
      <c r="J1756" s="269"/>
      <c r="K1756" s="270"/>
      <c r="L1756" s="271"/>
      <c r="M1756" s="271"/>
      <c r="N1756" s="272"/>
    </row>
    <row r="1757" spans="2:14">
      <c r="B1757" s="1065" t="s">
        <v>254</v>
      </c>
      <c r="C1757" s="1066"/>
      <c r="D1757" s="1066"/>
      <c r="E1757" s="1066"/>
      <c r="F1757" s="269"/>
      <c r="G1757" s="269"/>
      <c r="H1757" s="269" t="s">
        <v>255</v>
      </c>
      <c r="J1757" s="269"/>
      <c r="K1757" s="270"/>
      <c r="N1757" s="273"/>
    </row>
    <row r="1758" spans="2:14">
      <c r="B1758" s="274"/>
      <c r="C1758" s="275"/>
      <c r="D1758" s="275"/>
      <c r="E1758" s="275"/>
      <c r="F1758" s="275"/>
      <c r="G1758" s="275"/>
      <c r="H1758" s="275"/>
      <c r="I1758" s="275"/>
      <c r="J1758" s="275"/>
      <c r="K1758" s="275"/>
      <c r="L1758" s="275"/>
      <c r="M1758" s="275"/>
      <c r="N1758" s="276"/>
    </row>
    <row r="1759" spans="2:14" ht="13.5" thickBot="1">
      <c r="B1759" s="277"/>
      <c r="C1759" s="278"/>
      <c r="D1759" s="278"/>
      <c r="E1759" s="278"/>
      <c r="F1759" s="278"/>
      <c r="G1759" s="278"/>
      <c r="H1759" s="278"/>
      <c r="I1759" s="278"/>
      <c r="J1759" s="278"/>
      <c r="K1759" s="278"/>
      <c r="L1759" s="278"/>
      <c r="M1759" s="278"/>
      <c r="N1759" s="279"/>
    </row>
    <row r="1760" spans="2:14" ht="13.5" thickBot="1">
      <c r="B1760" s="280"/>
      <c r="C1760" s="281"/>
      <c r="D1760" s="281"/>
      <c r="E1760" s="281"/>
      <c r="F1760" s="281"/>
      <c r="G1760" s="281"/>
      <c r="J1760" s="281"/>
      <c r="K1760" s="281"/>
      <c r="L1760" s="281"/>
      <c r="M1760" s="281"/>
      <c r="N1760" s="282"/>
    </row>
    <row r="1761" spans="2:14">
      <c r="B1761" s="1067" t="s">
        <v>256</v>
      </c>
      <c r="C1761" s="1068"/>
      <c r="D1761" s="1068"/>
      <c r="E1761" s="1068"/>
      <c r="F1761" s="1068"/>
      <c r="G1761" s="1068"/>
      <c r="H1761" s="1068"/>
      <c r="I1761" s="1068"/>
      <c r="J1761" s="1068"/>
      <c r="K1761" s="1068"/>
      <c r="L1761" s="1068"/>
      <c r="M1761" s="1068"/>
      <c r="N1761" s="1069"/>
    </row>
    <row r="1762" spans="2:14" ht="13.5" thickBot="1">
      <c r="B1762" s="283"/>
      <c r="N1762" s="284"/>
    </row>
    <row r="1763" spans="2:14">
      <c r="B1763" s="285" t="s">
        <v>257</v>
      </c>
      <c r="C1763" s="1120" t="s">
        <v>258</v>
      </c>
      <c r="D1763" s="1121"/>
      <c r="E1763" s="1121"/>
      <c r="F1763" s="1121"/>
      <c r="G1763" s="1121"/>
      <c r="H1763" s="1121"/>
      <c r="I1763" s="1121"/>
      <c r="J1763" s="1121"/>
      <c r="K1763" s="1122"/>
      <c r="L1763" s="1123" t="s">
        <v>259</v>
      </c>
      <c r="M1763" s="1124"/>
      <c r="N1763" s="285" t="s">
        <v>133</v>
      </c>
    </row>
    <row r="1764" spans="2:14" ht="27" customHeight="1" thickBot="1">
      <c r="B1764" s="286">
        <v>20</v>
      </c>
      <c r="C1764" s="1125" t="s">
        <v>161</v>
      </c>
      <c r="D1764" s="1126"/>
      <c r="E1764" s="1126"/>
      <c r="F1764" s="1126"/>
      <c r="G1764" s="1126"/>
      <c r="H1764" s="1126"/>
      <c r="I1764" s="1126"/>
      <c r="J1764" s="1126"/>
      <c r="K1764" s="1127"/>
      <c r="L1764" s="1128" t="s">
        <v>147</v>
      </c>
      <c r="M1764" s="1129"/>
      <c r="N1764" s="366">
        <v>362</v>
      </c>
    </row>
    <row r="1765" spans="2:14">
      <c r="B1765" s="1103" t="s">
        <v>260</v>
      </c>
      <c r="C1765" s="1104"/>
      <c r="D1765" s="1104"/>
      <c r="E1765" s="1104"/>
      <c r="F1765" s="1104"/>
      <c r="G1765" s="1104"/>
      <c r="H1765" s="1104"/>
      <c r="I1765" s="1104"/>
      <c r="J1765" s="1104"/>
      <c r="K1765" s="1104"/>
      <c r="L1765" s="1104"/>
      <c r="M1765" s="1104"/>
      <c r="N1765" s="1105"/>
    </row>
    <row r="1766" spans="2:14">
      <c r="B1766" s="1106"/>
      <c r="C1766" s="1107"/>
      <c r="D1766" s="1107"/>
      <c r="E1766" s="1107"/>
      <c r="F1766" s="1107"/>
      <c r="G1766" s="1107"/>
      <c r="H1766" s="1107"/>
      <c r="I1766" s="1107"/>
      <c r="J1766" s="1107"/>
      <c r="K1766" s="1107"/>
      <c r="L1766" s="1107"/>
      <c r="M1766" s="1107"/>
      <c r="N1766" s="1108"/>
    </row>
    <row r="1767" spans="2:14" ht="13.5" thickBot="1">
      <c r="B1767" s="1109"/>
      <c r="C1767" s="1110"/>
      <c r="D1767" s="1110"/>
      <c r="E1767" s="1110"/>
      <c r="F1767" s="1110"/>
      <c r="G1767" s="1110"/>
      <c r="H1767" s="1110"/>
      <c r="I1767" s="1110"/>
      <c r="J1767" s="1110"/>
      <c r="K1767" s="1110"/>
      <c r="L1767" s="1110"/>
      <c r="M1767" s="1110"/>
      <c r="N1767" s="1111"/>
    </row>
    <row r="1768" spans="2:14">
      <c r="B1768" s="1130" t="s">
        <v>258</v>
      </c>
      <c r="C1768" s="1131"/>
      <c r="D1768" s="1131"/>
      <c r="E1768" s="1131"/>
      <c r="F1768" s="1132"/>
      <c r="G1768" s="1133" t="s">
        <v>261</v>
      </c>
      <c r="H1768" s="1131"/>
      <c r="I1768" s="1134" t="s">
        <v>262</v>
      </c>
      <c r="J1768" s="1135"/>
      <c r="K1768" s="288" t="s">
        <v>263</v>
      </c>
      <c r="L1768" s="1133" t="s">
        <v>264</v>
      </c>
      <c r="M1768" s="1136"/>
      <c r="N1768" s="289" t="s">
        <v>265</v>
      </c>
    </row>
    <row r="1769" spans="2:14">
      <c r="B1769" s="1179"/>
      <c r="C1769" s="1180"/>
      <c r="D1769" s="1180"/>
      <c r="E1769" s="1180"/>
      <c r="F1769" s="1181"/>
      <c r="G1769" s="1115"/>
      <c r="H1769" s="1114"/>
      <c r="I1769" s="1182"/>
      <c r="J1769" s="1183"/>
      <c r="K1769" s="290"/>
      <c r="L1769" s="1118"/>
      <c r="M1769" s="1119"/>
      <c r="N1769" s="290"/>
    </row>
    <row r="1770" spans="2:14" ht="13.5" thickBot="1">
      <c r="B1770" s="1179"/>
      <c r="C1770" s="1180"/>
      <c r="D1770" s="1180"/>
      <c r="E1770" s="1180"/>
      <c r="F1770" s="1181"/>
      <c r="G1770" s="295"/>
      <c r="H1770" s="294"/>
      <c r="I1770" s="1182"/>
      <c r="J1770" s="1183"/>
      <c r="K1770" s="290"/>
      <c r="L1770" s="1118"/>
      <c r="M1770" s="1119"/>
      <c r="N1770" s="290"/>
    </row>
    <row r="1771" spans="2:14" ht="13.5" thickBot="1">
      <c r="B1771" s="1100" t="s">
        <v>269</v>
      </c>
      <c r="C1771" s="1101"/>
      <c r="D1771" s="1101"/>
      <c r="E1771" s="1101"/>
      <c r="F1771" s="1101"/>
      <c r="G1771" s="1101"/>
      <c r="H1771" s="1101"/>
      <c r="I1771" s="1101"/>
      <c r="J1771" s="1101"/>
      <c r="K1771" s="1101"/>
      <c r="L1771" s="1101"/>
      <c r="M1771" s="1102"/>
      <c r="N1771" s="323">
        <f>+N1769+N1770</f>
        <v>0</v>
      </c>
    </row>
    <row r="1772" spans="2:14">
      <c r="B1772" s="1103" t="s">
        <v>270</v>
      </c>
      <c r="C1772" s="1104"/>
      <c r="D1772" s="1104"/>
      <c r="E1772" s="1104"/>
      <c r="F1772" s="1104"/>
      <c r="G1772" s="1104"/>
      <c r="H1772" s="1104"/>
      <c r="I1772" s="1104"/>
      <c r="J1772" s="1104"/>
      <c r="K1772" s="1104"/>
      <c r="L1772" s="1104"/>
      <c r="M1772" s="1104"/>
      <c r="N1772" s="1105"/>
    </row>
    <row r="1773" spans="2:14">
      <c r="B1773" s="1106"/>
      <c r="C1773" s="1107"/>
      <c r="D1773" s="1107"/>
      <c r="E1773" s="1107"/>
      <c r="F1773" s="1107"/>
      <c r="G1773" s="1107"/>
      <c r="H1773" s="1107"/>
      <c r="I1773" s="1107"/>
      <c r="J1773" s="1107"/>
      <c r="K1773" s="1107"/>
      <c r="L1773" s="1107"/>
      <c r="M1773" s="1107"/>
      <c r="N1773" s="1108"/>
    </row>
    <row r="1774" spans="2:14" ht="13.5" thickBot="1">
      <c r="B1774" s="1109"/>
      <c r="C1774" s="1110"/>
      <c r="D1774" s="1110"/>
      <c r="E1774" s="1110"/>
      <c r="F1774" s="1110"/>
      <c r="G1774" s="1110"/>
      <c r="H1774" s="1110"/>
      <c r="I1774" s="1110"/>
      <c r="J1774" s="1110"/>
      <c r="K1774" s="1110"/>
      <c r="L1774" s="1110"/>
      <c r="M1774" s="1110"/>
      <c r="N1774" s="1111"/>
    </row>
    <row r="1775" spans="2:14">
      <c r="B1775" s="1130" t="s">
        <v>258</v>
      </c>
      <c r="C1775" s="1139"/>
      <c r="D1775" s="1139"/>
      <c r="E1775" s="1139"/>
      <c r="F1775" s="1139"/>
      <c r="G1775" s="1139"/>
      <c r="H1775" s="1139"/>
      <c r="I1775" s="1136"/>
      <c r="J1775" s="299" t="s">
        <v>259</v>
      </c>
      <c r="K1775" s="288" t="s">
        <v>133</v>
      </c>
      <c r="L1775" s="1133" t="s">
        <v>271</v>
      </c>
      <c r="M1775" s="1136"/>
      <c r="N1775" s="289" t="s">
        <v>265</v>
      </c>
    </row>
    <row r="1776" spans="2:14">
      <c r="B1776" s="1112"/>
      <c r="C1776" s="1113"/>
      <c r="D1776" s="1113"/>
      <c r="E1776" s="1113"/>
      <c r="F1776" s="1113"/>
      <c r="G1776" s="1113"/>
      <c r="H1776" s="1113"/>
      <c r="I1776" s="1114"/>
      <c r="J1776" s="300"/>
      <c r="K1776" s="301"/>
      <c r="L1776" s="1144"/>
      <c r="M1776" s="1145"/>
      <c r="N1776" s="363"/>
    </row>
    <row r="1777" spans="2:14" ht="13.5" thickBot="1">
      <c r="B1777" s="1094"/>
      <c r="C1777" s="1095"/>
      <c r="D1777" s="1095"/>
      <c r="E1777" s="1095"/>
      <c r="F1777" s="1095"/>
      <c r="G1777" s="1095"/>
      <c r="H1777" s="1095"/>
      <c r="I1777" s="1096"/>
      <c r="J1777" s="303"/>
      <c r="K1777" s="304"/>
      <c r="L1777" s="1144"/>
      <c r="M1777" s="1145"/>
      <c r="N1777" s="363"/>
    </row>
    <row r="1778" spans="2:14" ht="13.5" thickBot="1">
      <c r="B1778" s="1100" t="s">
        <v>269</v>
      </c>
      <c r="C1778" s="1101"/>
      <c r="D1778" s="1101"/>
      <c r="E1778" s="1101"/>
      <c r="F1778" s="1101"/>
      <c r="G1778" s="1101"/>
      <c r="H1778" s="1101"/>
      <c r="I1778" s="1101"/>
      <c r="J1778" s="1101"/>
      <c r="K1778" s="1101"/>
      <c r="L1778" s="1101"/>
      <c r="M1778" s="1102"/>
      <c r="N1778" s="323">
        <f>+N1776</f>
        <v>0</v>
      </c>
    </row>
    <row r="1779" spans="2:14">
      <c r="B1779" s="1103" t="s">
        <v>276</v>
      </c>
      <c r="C1779" s="1104"/>
      <c r="D1779" s="1104"/>
      <c r="E1779" s="1104"/>
      <c r="F1779" s="1104"/>
      <c r="G1779" s="1104"/>
      <c r="H1779" s="1104"/>
      <c r="I1779" s="1104"/>
      <c r="J1779" s="1104"/>
      <c r="K1779" s="1104"/>
      <c r="L1779" s="1104"/>
      <c r="M1779" s="1104"/>
      <c r="N1779" s="1105"/>
    </row>
    <row r="1780" spans="2:14">
      <c r="B1780" s="1106"/>
      <c r="C1780" s="1107"/>
      <c r="D1780" s="1107"/>
      <c r="E1780" s="1107"/>
      <c r="F1780" s="1107"/>
      <c r="G1780" s="1107"/>
      <c r="H1780" s="1107"/>
      <c r="I1780" s="1107"/>
      <c r="J1780" s="1107"/>
      <c r="K1780" s="1107"/>
      <c r="L1780" s="1107"/>
      <c r="M1780" s="1107"/>
      <c r="N1780" s="1108"/>
    </row>
    <row r="1781" spans="2:14" ht="13.5" thickBot="1">
      <c r="B1781" s="1109"/>
      <c r="C1781" s="1110"/>
      <c r="D1781" s="1110"/>
      <c r="E1781" s="1110"/>
      <c r="F1781" s="1110"/>
      <c r="G1781" s="1110"/>
      <c r="H1781" s="1110"/>
      <c r="I1781" s="1110"/>
      <c r="J1781" s="1110"/>
      <c r="K1781" s="1110"/>
      <c r="L1781" s="1110"/>
      <c r="M1781" s="1110"/>
      <c r="N1781" s="1111"/>
    </row>
    <row r="1782" spans="2:14">
      <c r="B1782" s="1130" t="s">
        <v>277</v>
      </c>
      <c r="C1782" s="1139"/>
      <c r="D1782" s="1139"/>
      <c r="E1782" s="1139"/>
      <c r="F1782" s="1139"/>
      <c r="G1782" s="1139"/>
      <c r="H1782" s="1139"/>
      <c r="I1782" s="288" t="s">
        <v>278</v>
      </c>
      <c r="J1782" s="306" t="s">
        <v>279</v>
      </c>
      <c r="K1782" s="307" t="s">
        <v>280</v>
      </c>
      <c r="L1782" s="1133" t="s">
        <v>281</v>
      </c>
      <c r="M1782" s="1136"/>
      <c r="N1782" s="289" t="s">
        <v>265</v>
      </c>
    </row>
    <row r="1783" spans="2:14" ht="13.5" thickBot="1">
      <c r="B1783" s="1112" t="s">
        <v>336</v>
      </c>
      <c r="C1783" s="1113"/>
      <c r="D1783" s="1113"/>
      <c r="E1783" s="1113"/>
      <c r="F1783" s="1113"/>
      <c r="G1783" s="1113"/>
      <c r="H1783" s="1113"/>
      <c r="I1783" s="393">
        <v>20</v>
      </c>
      <c r="J1783" s="309"/>
      <c r="K1783" s="308"/>
      <c r="L1783" s="1144">
        <v>1498</v>
      </c>
      <c r="M1783" s="1145"/>
      <c r="N1783" s="363">
        <f>+L1783*I1783</f>
        <v>29960</v>
      </c>
    </row>
    <row r="1784" spans="2:14" ht="13.5" thickBot="1">
      <c r="B1784" s="1100" t="s">
        <v>269</v>
      </c>
      <c r="C1784" s="1101"/>
      <c r="D1784" s="1101"/>
      <c r="E1784" s="1101"/>
      <c r="F1784" s="1101"/>
      <c r="G1784" s="1101"/>
      <c r="H1784" s="1101"/>
      <c r="I1784" s="1101"/>
      <c r="J1784" s="1101"/>
      <c r="K1784" s="1101"/>
      <c r="L1784" s="1101"/>
      <c r="M1784" s="1102"/>
      <c r="N1784" s="323">
        <f>+N1783</f>
        <v>29960</v>
      </c>
    </row>
    <row r="1785" spans="2:14">
      <c r="B1785" s="1103" t="s">
        <v>282</v>
      </c>
      <c r="C1785" s="1104"/>
      <c r="D1785" s="1104"/>
      <c r="E1785" s="1104"/>
      <c r="F1785" s="1104"/>
      <c r="G1785" s="1104"/>
      <c r="H1785" s="1104"/>
      <c r="I1785" s="1104"/>
      <c r="J1785" s="1104"/>
      <c r="K1785" s="1104"/>
      <c r="L1785" s="1104"/>
      <c r="M1785" s="1104"/>
      <c r="N1785" s="1105"/>
    </row>
    <row r="1786" spans="2:14">
      <c r="B1786" s="1106"/>
      <c r="C1786" s="1107"/>
      <c r="D1786" s="1107"/>
      <c r="E1786" s="1107"/>
      <c r="F1786" s="1107"/>
      <c r="G1786" s="1107"/>
      <c r="H1786" s="1107"/>
      <c r="I1786" s="1107"/>
      <c r="J1786" s="1107"/>
      <c r="K1786" s="1107"/>
      <c r="L1786" s="1107"/>
      <c r="M1786" s="1107"/>
      <c r="N1786" s="1108"/>
    </row>
    <row r="1787" spans="2:14" ht="13.5" thickBot="1">
      <c r="B1787" s="1109"/>
      <c r="C1787" s="1110"/>
      <c r="D1787" s="1110"/>
      <c r="E1787" s="1110"/>
      <c r="F1787" s="1110"/>
      <c r="G1787" s="1110"/>
      <c r="H1787" s="1110"/>
      <c r="I1787" s="1110"/>
      <c r="J1787" s="1110"/>
      <c r="K1787" s="1110"/>
      <c r="L1787" s="1110"/>
      <c r="M1787" s="1110"/>
      <c r="N1787" s="1111"/>
    </row>
    <row r="1788" spans="2:14">
      <c r="B1788" s="1130" t="s">
        <v>283</v>
      </c>
      <c r="C1788" s="1139"/>
      <c r="D1788" s="1139"/>
      <c r="E1788" s="1139"/>
      <c r="F1788" s="1139"/>
      <c r="G1788" s="1139"/>
      <c r="H1788" s="1139"/>
      <c r="I1788" s="288" t="s">
        <v>284</v>
      </c>
      <c r="J1788" s="314" t="s">
        <v>285</v>
      </c>
      <c r="K1788" s="315" t="s">
        <v>286</v>
      </c>
      <c r="L1788" s="1140" t="s">
        <v>264</v>
      </c>
      <c r="M1788" s="1141"/>
      <c r="N1788" s="316" t="s">
        <v>265</v>
      </c>
    </row>
    <row r="1789" spans="2:14">
      <c r="B1789" s="317" t="s">
        <v>337</v>
      </c>
      <c r="C1789" s="318"/>
      <c r="D1789" s="318"/>
      <c r="E1789" s="318"/>
      <c r="F1789" s="318"/>
      <c r="G1789" s="318"/>
      <c r="H1789" s="318"/>
      <c r="I1789" s="319">
        <v>153482</v>
      </c>
      <c r="J1789" s="321">
        <v>0</v>
      </c>
      <c r="K1789" s="321">
        <f>+I1789+J1789</f>
        <v>153482</v>
      </c>
      <c r="L1789" s="1157">
        <v>59.998800000000003</v>
      </c>
      <c r="M1789" s="1158"/>
      <c r="N1789" s="322">
        <f>+K1789/L1789</f>
        <v>2558.0844950232336</v>
      </c>
    </row>
    <row r="1790" spans="2:14" ht="13.5" thickBot="1">
      <c r="B1790" s="356"/>
      <c r="C1790" s="318"/>
      <c r="D1790" s="318"/>
      <c r="E1790" s="318"/>
      <c r="F1790" s="318"/>
      <c r="G1790" s="318"/>
      <c r="H1790" s="318"/>
      <c r="I1790" s="319"/>
      <c r="J1790" s="321"/>
      <c r="K1790" s="321"/>
      <c r="L1790" s="1157"/>
      <c r="M1790" s="1158"/>
      <c r="N1790" s="322"/>
    </row>
    <row r="1791" spans="2:14" ht="13.5" thickBot="1">
      <c r="B1791" s="1100" t="s">
        <v>269</v>
      </c>
      <c r="C1791" s="1101"/>
      <c r="D1791" s="1101"/>
      <c r="E1791" s="1101"/>
      <c r="F1791" s="1101"/>
      <c r="G1791" s="1101"/>
      <c r="H1791" s="1101"/>
      <c r="I1791" s="1101"/>
      <c r="J1791" s="1101"/>
      <c r="K1791" s="1101"/>
      <c r="L1791" s="1101"/>
      <c r="M1791" s="1102"/>
      <c r="N1791" s="323">
        <f>+N1789+N1790</f>
        <v>2558.0844950232336</v>
      </c>
    </row>
    <row r="1792" spans="2:14" ht="13.5" thickBot="1">
      <c r="B1792" s="324" t="s">
        <v>288</v>
      </c>
      <c r="C1792" s="325"/>
      <c r="D1792" s="325"/>
      <c r="E1792" s="325"/>
      <c r="F1792" s="325"/>
      <c r="G1792" s="325"/>
      <c r="H1792" s="325"/>
      <c r="I1792" s="326"/>
      <c r="J1792" s="327"/>
      <c r="K1792" s="328"/>
      <c r="L1792" s="329"/>
      <c r="M1792" s="329"/>
      <c r="N1792" s="330"/>
    </row>
    <row r="1793" spans="2:14">
      <c r="B1793" s="1130" t="s">
        <v>17</v>
      </c>
      <c r="C1793" s="1139"/>
      <c r="D1793" s="1139"/>
      <c r="E1793" s="1139"/>
      <c r="F1793" s="1139"/>
      <c r="G1793" s="1139"/>
      <c r="H1793" s="1139"/>
      <c r="I1793" s="1136"/>
      <c r="J1793" s="299" t="s">
        <v>259</v>
      </c>
      <c r="K1793" s="288" t="s">
        <v>133</v>
      </c>
      <c r="L1793" s="1133" t="s">
        <v>271</v>
      </c>
      <c r="M1793" s="1136"/>
      <c r="N1793" s="316" t="s">
        <v>265</v>
      </c>
    </row>
    <row r="1794" spans="2:14" ht="13.5" thickBot="1">
      <c r="B1794" s="331" t="s">
        <v>289</v>
      </c>
      <c r="C1794" s="332"/>
      <c r="D1794" s="332"/>
      <c r="E1794" s="332"/>
      <c r="F1794" s="332"/>
      <c r="G1794" s="332"/>
      <c r="H1794" s="332"/>
      <c r="I1794" s="333"/>
      <c r="J1794" s="334" t="s">
        <v>290</v>
      </c>
      <c r="K1794" s="335">
        <v>0.05</v>
      </c>
      <c r="L1794" s="1144">
        <f>+N1791</f>
        <v>2558.0844950232336</v>
      </c>
      <c r="M1794" s="1145"/>
      <c r="N1794" s="322">
        <f>+K1794*L1794</f>
        <v>127.90422475116168</v>
      </c>
    </row>
    <row r="1795" spans="2:14" ht="13.5" thickBot="1">
      <c r="B1795" s="1100" t="s">
        <v>269</v>
      </c>
      <c r="C1795" s="1101"/>
      <c r="D1795" s="1101"/>
      <c r="E1795" s="1101"/>
      <c r="F1795" s="1101"/>
      <c r="G1795" s="1101"/>
      <c r="H1795" s="1101"/>
      <c r="I1795" s="1101"/>
      <c r="J1795" s="1101"/>
      <c r="K1795" s="1101"/>
      <c r="L1795" s="1101"/>
      <c r="M1795" s="1102"/>
      <c r="N1795" s="323">
        <f>+N1794</f>
        <v>127.90422475116168</v>
      </c>
    </row>
    <row r="1796" spans="2:14" ht="13.5" thickBot="1">
      <c r="B1796" s="324" t="s">
        <v>338</v>
      </c>
      <c r="C1796" s="325"/>
      <c r="D1796" s="325"/>
      <c r="E1796" s="325"/>
      <c r="F1796" s="325"/>
      <c r="G1796" s="325"/>
      <c r="H1796" s="325"/>
      <c r="I1796" s="326"/>
      <c r="J1796" s="327"/>
      <c r="K1796" s="328"/>
      <c r="L1796" s="329"/>
      <c r="M1796" s="329"/>
      <c r="N1796" s="330"/>
    </row>
    <row r="1797" spans="2:14">
      <c r="B1797" s="1130" t="s">
        <v>17</v>
      </c>
      <c r="C1797" s="1139"/>
      <c r="D1797" s="1139"/>
      <c r="E1797" s="1139"/>
      <c r="F1797" s="1139"/>
      <c r="G1797" s="1139"/>
      <c r="H1797" s="1139"/>
      <c r="I1797" s="1136"/>
      <c r="J1797" s="299" t="s">
        <v>259</v>
      </c>
      <c r="K1797" s="288" t="s">
        <v>133</v>
      </c>
      <c r="L1797" s="1133" t="s">
        <v>271</v>
      </c>
      <c r="M1797" s="1136"/>
      <c r="N1797" s="316" t="s">
        <v>265</v>
      </c>
    </row>
    <row r="1798" spans="2:14" ht="13.5" thickBot="1">
      <c r="B1798" s="331" t="s">
        <v>339</v>
      </c>
      <c r="C1798" s="332"/>
      <c r="D1798" s="332"/>
      <c r="E1798" s="332"/>
      <c r="F1798" s="332"/>
      <c r="G1798" s="332"/>
      <c r="H1798" s="332"/>
      <c r="I1798" s="333"/>
      <c r="J1798" s="334" t="s">
        <v>147</v>
      </c>
      <c r="K1798" s="394">
        <v>1</v>
      </c>
      <c r="L1798" s="1144">
        <v>5800</v>
      </c>
      <c r="M1798" s="1145"/>
      <c r="N1798" s="395">
        <f>+L1798*K1798</f>
        <v>5800</v>
      </c>
    </row>
    <row r="1799" spans="2:14" ht="13.5" thickBot="1">
      <c r="B1799" s="1100" t="s">
        <v>269</v>
      </c>
      <c r="C1799" s="1101"/>
      <c r="D1799" s="1101"/>
      <c r="E1799" s="1101"/>
      <c r="F1799" s="1101"/>
      <c r="G1799" s="1101"/>
      <c r="H1799" s="1101"/>
      <c r="I1799" s="1101"/>
      <c r="J1799" s="1101"/>
      <c r="K1799" s="1101"/>
      <c r="L1799" s="1101"/>
      <c r="M1799" s="1102"/>
      <c r="N1799" s="323">
        <f>+N1798</f>
        <v>5800</v>
      </c>
    </row>
    <row r="1800" spans="2:14">
      <c r="B1800" s="280"/>
      <c r="C1800" s="281"/>
      <c r="D1800" s="281"/>
      <c r="E1800" s="281"/>
      <c r="F1800" s="281"/>
      <c r="G1800" s="281"/>
      <c r="H1800" s="281"/>
      <c r="I1800" s="281"/>
      <c r="J1800" s="281"/>
      <c r="K1800" s="281"/>
      <c r="L1800" s="281"/>
      <c r="M1800" s="281"/>
      <c r="N1800" s="282"/>
    </row>
    <row r="1801" spans="2:14" ht="13.5" thickBot="1">
      <c r="B1801" s="378"/>
      <c r="C1801" s="311"/>
      <c r="D1801" s="311"/>
      <c r="E1801" s="311"/>
      <c r="F1801" s="311"/>
      <c r="G1801" s="311"/>
      <c r="H1801" s="311"/>
      <c r="I1801" s="311"/>
      <c r="J1801" s="311"/>
      <c r="K1801" s="311"/>
      <c r="L1801" s="311"/>
      <c r="M1801" s="311"/>
      <c r="N1801" s="379"/>
    </row>
    <row r="1802" spans="2:14" ht="13.5" thickBot="1">
      <c r="B1802" s="1150" t="s">
        <v>291</v>
      </c>
      <c r="C1802" s="1151"/>
      <c r="D1802" s="1151"/>
      <c r="E1802" s="1151"/>
      <c r="F1802" s="1151"/>
      <c r="G1802" s="1151"/>
      <c r="H1802" s="1151"/>
      <c r="I1802" s="1151"/>
      <c r="J1802" s="1151"/>
      <c r="K1802" s="1151"/>
      <c r="L1802" s="1151"/>
      <c r="M1802" s="1152"/>
      <c r="N1802" s="336">
        <f>+N1771+N1778+N1784+N1791+N1799+N1795</f>
        <v>38445.988719774396</v>
      </c>
    </row>
    <row r="1803" spans="2:14">
      <c r="B1803" s="1103" t="s">
        <v>292</v>
      </c>
      <c r="C1803" s="1104"/>
      <c r="D1803" s="1104"/>
      <c r="E1803" s="1104"/>
      <c r="F1803" s="1104"/>
      <c r="G1803" s="1104"/>
      <c r="H1803" s="1104"/>
      <c r="I1803" s="1104"/>
      <c r="J1803" s="1104"/>
      <c r="K1803" s="1104"/>
      <c r="L1803" s="1104"/>
      <c r="M1803" s="1104"/>
      <c r="N1803" s="1105"/>
    </row>
    <row r="1804" spans="2:14">
      <c r="B1804" s="1106"/>
      <c r="C1804" s="1107"/>
      <c r="D1804" s="1107"/>
      <c r="E1804" s="1107"/>
      <c r="F1804" s="1107"/>
      <c r="G1804" s="1107"/>
      <c r="H1804" s="1107"/>
      <c r="I1804" s="1107"/>
      <c r="J1804" s="1107"/>
      <c r="K1804" s="1107"/>
      <c r="L1804" s="1107"/>
      <c r="M1804" s="1107"/>
      <c r="N1804" s="1108"/>
    </row>
    <row r="1805" spans="2:14" ht="13.5" thickBot="1">
      <c r="B1805" s="1109"/>
      <c r="C1805" s="1110"/>
      <c r="D1805" s="1110"/>
      <c r="E1805" s="1110"/>
      <c r="F1805" s="1110"/>
      <c r="G1805" s="1110"/>
      <c r="H1805" s="1110"/>
      <c r="I1805" s="1110"/>
      <c r="J1805" s="1110"/>
      <c r="K1805" s="1110"/>
      <c r="L1805" s="1110"/>
      <c r="M1805" s="1110"/>
      <c r="N1805" s="1111"/>
    </row>
    <row r="1806" spans="2:14">
      <c r="B1806" s="1130" t="s">
        <v>17</v>
      </c>
      <c r="C1806" s="1139"/>
      <c r="D1806" s="1139"/>
      <c r="E1806" s="1139"/>
      <c r="F1806" s="1139"/>
      <c r="G1806" s="1139"/>
      <c r="H1806" s="1139"/>
      <c r="I1806" s="306"/>
      <c r="J1806" s="337"/>
      <c r="K1806" s="315" t="s">
        <v>79</v>
      </c>
      <c r="L1806" s="1140" t="s">
        <v>11</v>
      </c>
      <c r="M1806" s="1141"/>
      <c r="N1806" s="316"/>
    </row>
    <row r="1807" spans="2:14">
      <c r="B1807" s="1112" t="s">
        <v>232</v>
      </c>
      <c r="C1807" s="1113"/>
      <c r="D1807" s="1113"/>
      <c r="E1807" s="1113"/>
      <c r="F1807" s="1113"/>
      <c r="G1807" s="1113"/>
      <c r="H1807" s="1113"/>
      <c r="I1807" s="338"/>
      <c r="J1807" s="339"/>
      <c r="K1807" s="340">
        <f>'PRESUPUESTO OFICIAL'!$K$100</f>
        <v>0</v>
      </c>
      <c r="L1807" s="1146">
        <f>K1807*N1802</f>
        <v>0</v>
      </c>
      <c r="M1807" s="1147"/>
      <c r="N1807" s="341"/>
    </row>
    <row r="1808" spans="2:14">
      <c r="B1808" s="292" t="s">
        <v>293</v>
      </c>
      <c r="C1808" s="293"/>
      <c r="D1808" s="293"/>
      <c r="E1808" s="293"/>
      <c r="F1808" s="293"/>
      <c r="G1808" s="293"/>
      <c r="H1808" s="293"/>
      <c r="I1808" s="338"/>
      <c r="J1808" s="339"/>
      <c r="K1808" s="340">
        <f>'PRESUPUESTO OFICIAL'!$K$101</f>
        <v>0</v>
      </c>
      <c r="L1808" s="1146">
        <f>K1808*N1802</f>
        <v>0</v>
      </c>
      <c r="M1808" s="1147"/>
      <c r="N1808" s="341"/>
    </row>
    <row r="1809" spans="2:14" ht="13.5" thickBot="1">
      <c r="B1809" s="277" t="s">
        <v>294</v>
      </c>
      <c r="C1809" s="278"/>
      <c r="D1809" s="278"/>
      <c r="E1809" s="278"/>
      <c r="F1809" s="278"/>
      <c r="G1809" s="278"/>
      <c r="H1809" s="278"/>
      <c r="I1809" s="342"/>
      <c r="J1809" s="343"/>
      <c r="K1809" s="340">
        <f>'PRESUPUESTO OFICIAL'!$K$102</f>
        <v>0</v>
      </c>
      <c r="L1809" s="1148">
        <f>K1809*N1802</f>
        <v>0</v>
      </c>
      <c r="M1809" s="1149"/>
      <c r="N1809" s="341"/>
    </row>
    <row r="1810" spans="2:14" ht="13.5" thickBot="1">
      <c r="B1810" s="1100" t="s">
        <v>269</v>
      </c>
      <c r="C1810" s="1101"/>
      <c r="D1810" s="1101"/>
      <c r="E1810" s="1101"/>
      <c r="F1810" s="1101"/>
      <c r="G1810" s="1101"/>
      <c r="H1810" s="1101"/>
      <c r="I1810" s="1101"/>
      <c r="J1810" s="1101"/>
      <c r="K1810" s="1101"/>
      <c r="L1810" s="1101"/>
      <c r="M1810" s="1102"/>
      <c r="N1810" s="344">
        <f>SUM(L1807:M1809)</f>
        <v>0</v>
      </c>
    </row>
    <row r="1811" spans="2:14" ht="13.5" thickBot="1">
      <c r="B1811" s="283"/>
      <c r="N1811" s="284"/>
    </row>
    <row r="1812" spans="2:14" ht="13.5" thickBot="1">
      <c r="B1812" s="1150" t="s">
        <v>295</v>
      </c>
      <c r="C1812" s="1151"/>
      <c r="D1812" s="1151"/>
      <c r="E1812" s="1151"/>
      <c r="F1812" s="1151"/>
      <c r="G1812" s="1151"/>
      <c r="H1812" s="1151"/>
      <c r="I1812" s="1151"/>
      <c r="J1812" s="1151"/>
      <c r="K1812" s="1151"/>
      <c r="L1812" s="1151"/>
      <c r="M1812" s="1152"/>
      <c r="N1812" s="345">
        <f>ROUND(N1802+N1810,0)</f>
        <v>38446</v>
      </c>
    </row>
    <row r="1813" spans="2:14">
      <c r="B1813" s="280"/>
      <c r="C1813" s="281"/>
      <c r="D1813" s="281"/>
      <c r="E1813" s="281"/>
      <c r="F1813" s="281"/>
      <c r="G1813" s="281"/>
      <c r="H1813" s="281"/>
      <c r="I1813" s="281"/>
      <c r="J1813" s="281"/>
      <c r="K1813" s="281"/>
      <c r="L1813" s="281"/>
      <c r="M1813" s="281"/>
      <c r="N1813" s="282"/>
    </row>
    <row r="1814" spans="2:14">
      <c r="B1814" s="283"/>
      <c r="N1814" s="284"/>
    </row>
    <row r="1815" spans="2:14">
      <c r="B1815" s="283"/>
      <c r="N1815" s="284"/>
    </row>
    <row r="1816" spans="2:14">
      <c r="B1816" s="283"/>
      <c r="G1816" s="346" t="s">
        <v>296</v>
      </c>
      <c r="H1816" s="346"/>
      <c r="I1816" s="346"/>
      <c r="J1816" s="346"/>
      <c r="N1816" s="284"/>
    </row>
    <row r="1817" spans="2:14">
      <c r="B1817" s="347"/>
      <c r="C1817" s="348"/>
      <c r="D1817" s="348"/>
      <c r="E1817" s="348"/>
      <c r="F1817" s="348"/>
      <c r="G1817" s="346" t="s">
        <v>297</v>
      </c>
      <c r="H1817" s="348"/>
      <c r="I1817" s="348"/>
      <c r="J1817" s="348"/>
      <c r="K1817" s="348"/>
      <c r="L1817" s="348"/>
      <c r="M1817" s="348"/>
      <c r="N1817" s="349"/>
    </row>
    <row r="1818" spans="2:14">
      <c r="B1818" s="347"/>
      <c r="C1818" s="348"/>
      <c r="D1818" s="348"/>
      <c r="E1818" s="348"/>
      <c r="F1818" s="348"/>
      <c r="G1818" s="346" t="s">
        <v>298</v>
      </c>
      <c r="J1818" s="348"/>
      <c r="K1818" s="348"/>
      <c r="L1818" s="348"/>
      <c r="M1818" s="348"/>
      <c r="N1818" s="349"/>
    </row>
    <row r="1819" spans="2:14">
      <c r="B1819" s="268"/>
      <c r="C1819" s="350"/>
      <c r="D1819" s="350"/>
      <c r="E1819" s="350"/>
      <c r="F1819" s="350"/>
      <c r="G1819" s="346" t="s">
        <v>299</v>
      </c>
      <c r="H1819" s="350"/>
      <c r="I1819" s="350"/>
      <c r="J1819" s="350"/>
      <c r="K1819" s="350"/>
      <c r="L1819" s="350"/>
      <c r="M1819" s="350"/>
      <c r="N1819" s="351"/>
    </row>
    <row r="1820" spans="2:14">
      <c r="B1820" s="283"/>
      <c r="G1820" s="258" t="s">
        <v>300</v>
      </c>
      <c r="N1820" s="284"/>
    </row>
    <row r="1821" spans="2:14">
      <c r="B1821" s="352" t="s">
        <v>301</v>
      </c>
      <c r="C1821" s="353"/>
      <c r="D1821" s="353"/>
      <c r="E1821" s="353"/>
      <c r="F1821" s="353"/>
      <c r="G1821" s="353"/>
      <c r="H1821" s="353"/>
      <c r="I1821" s="353"/>
      <c r="J1821" s="353"/>
      <c r="K1821" s="353"/>
      <c r="L1821" s="353"/>
      <c r="M1821" s="353"/>
      <c r="N1821" s="354"/>
    </row>
    <row r="1822" spans="2:14">
      <c r="B1822" s="1153"/>
      <c r="C1822" s="1154"/>
      <c r="D1822" s="1154"/>
      <c r="E1822" s="1154"/>
      <c r="F1822" s="1154"/>
      <c r="G1822" s="1154"/>
      <c r="H1822" s="1154"/>
      <c r="I1822" s="1154"/>
      <c r="J1822" s="1154"/>
      <c r="K1822" s="1154"/>
      <c r="L1822" s="1154"/>
      <c r="M1822" s="1154"/>
      <c r="N1822" s="1155"/>
    </row>
    <row r="1823" spans="2:14">
      <c r="B1823" s="1153"/>
      <c r="C1823" s="1154"/>
      <c r="D1823" s="1154"/>
      <c r="E1823" s="1154"/>
      <c r="F1823" s="1154"/>
      <c r="G1823" s="1154"/>
      <c r="H1823" s="1154"/>
      <c r="I1823" s="1154"/>
      <c r="J1823" s="1154"/>
      <c r="K1823" s="1154"/>
      <c r="L1823" s="1154"/>
      <c r="M1823" s="1154"/>
      <c r="N1823" s="1155"/>
    </row>
    <row r="1824" spans="2:14">
      <c r="B1824" s="268"/>
      <c r="C1824" s="350"/>
      <c r="D1824" s="350"/>
      <c r="E1824" s="350"/>
      <c r="F1824" s="350"/>
      <c r="G1824" s="350"/>
      <c r="H1824" s="350"/>
      <c r="I1824" s="350"/>
      <c r="J1824" s="350"/>
      <c r="K1824" s="350"/>
      <c r="L1824" s="350"/>
      <c r="M1824" s="350"/>
      <c r="N1824" s="351"/>
    </row>
    <row r="1825" spans="2:14">
      <c r="B1825" s="355" t="s">
        <v>302</v>
      </c>
      <c r="C1825" s="350"/>
      <c r="D1825" s="350"/>
      <c r="E1825" s="350"/>
      <c r="F1825" s="350"/>
      <c r="G1825" s="350"/>
      <c r="H1825" s="350"/>
      <c r="I1825" s="350"/>
      <c r="J1825" s="350"/>
      <c r="K1825" s="350"/>
      <c r="L1825" s="350"/>
      <c r="M1825" s="350"/>
      <c r="N1825" s="351"/>
    </row>
    <row r="1826" spans="2:14">
      <c r="B1826" s="1159" t="s">
        <v>303</v>
      </c>
      <c r="C1826" s="1160"/>
      <c r="D1826" s="1160"/>
      <c r="E1826" s="1160"/>
      <c r="F1826" s="1160"/>
      <c r="G1826" s="1160"/>
      <c r="H1826" s="1160"/>
      <c r="I1826" s="1160"/>
      <c r="J1826" s="1160"/>
      <c r="K1826" s="1160"/>
      <c r="L1826" s="1160"/>
      <c r="M1826" s="1160"/>
      <c r="N1826" s="1161"/>
    </row>
    <row r="1827" spans="2:14">
      <c r="B1827" s="1159"/>
      <c r="C1827" s="1160"/>
      <c r="D1827" s="1160"/>
      <c r="E1827" s="1160"/>
      <c r="F1827" s="1160"/>
      <c r="G1827" s="1160"/>
      <c r="H1827" s="1160"/>
      <c r="I1827" s="1160"/>
      <c r="J1827" s="1160"/>
      <c r="K1827" s="1160"/>
      <c r="L1827" s="1160"/>
      <c r="M1827" s="1160"/>
      <c r="N1827" s="1161"/>
    </row>
    <row r="1828" spans="2:14">
      <c r="B1828" s="1159" t="s">
        <v>304</v>
      </c>
      <c r="C1828" s="1160"/>
      <c r="D1828" s="1160"/>
      <c r="E1828" s="1160"/>
      <c r="F1828" s="1160"/>
      <c r="G1828" s="1160"/>
      <c r="H1828" s="1160"/>
      <c r="I1828" s="1160"/>
      <c r="J1828" s="1160"/>
      <c r="K1828" s="1160"/>
      <c r="L1828" s="1160"/>
      <c r="M1828" s="1160"/>
      <c r="N1828" s="1161"/>
    </row>
    <row r="1829" spans="2:14">
      <c r="B1829" s="1159"/>
      <c r="C1829" s="1160"/>
      <c r="D1829" s="1160"/>
      <c r="E1829" s="1160"/>
      <c r="F1829" s="1160"/>
      <c r="G1829" s="1160"/>
      <c r="H1829" s="1160"/>
      <c r="I1829" s="1160"/>
      <c r="J1829" s="1160"/>
      <c r="K1829" s="1160"/>
      <c r="L1829" s="1160"/>
      <c r="M1829" s="1160"/>
      <c r="N1829" s="1161"/>
    </row>
    <row r="1830" spans="2:14">
      <c r="B1830" s="268"/>
      <c r="C1830" s="350"/>
      <c r="D1830" s="350"/>
      <c r="E1830" s="350"/>
      <c r="F1830" s="350"/>
      <c r="G1830" s="350"/>
      <c r="H1830" s="350"/>
      <c r="I1830" s="350"/>
      <c r="J1830" s="350"/>
      <c r="K1830" s="350"/>
      <c r="L1830" s="350"/>
      <c r="M1830" s="350"/>
      <c r="N1830" s="351"/>
    </row>
    <row r="1831" spans="2:14">
      <c r="B1831" s="283"/>
      <c r="G1831" s="346" t="s">
        <v>296</v>
      </c>
      <c r="N1831" s="284"/>
    </row>
    <row r="1832" spans="2:14">
      <c r="B1832" s="283"/>
      <c r="G1832" s="258" t="s">
        <v>305</v>
      </c>
      <c r="H1832" s="293"/>
      <c r="I1832" s="293"/>
      <c r="J1832" s="293"/>
      <c r="N1832" s="284"/>
    </row>
    <row r="1833" spans="2:14">
      <c r="B1833" s="283"/>
      <c r="G1833" s="258" t="s">
        <v>306</v>
      </c>
      <c r="H1833" s="325"/>
      <c r="I1833" s="325"/>
      <c r="J1833" s="325"/>
      <c r="N1833" s="284"/>
    </row>
    <row r="1834" spans="2:14">
      <c r="B1834" s="356"/>
      <c r="C1834" s="350"/>
      <c r="D1834" s="350"/>
      <c r="E1834" s="350"/>
      <c r="F1834" s="350"/>
      <c r="G1834" s="258" t="s">
        <v>299</v>
      </c>
      <c r="K1834" s="350"/>
      <c r="L1834" s="350"/>
      <c r="M1834" s="350"/>
      <c r="N1834" s="351"/>
    </row>
    <row r="1835" spans="2:14">
      <c r="B1835" s="357"/>
      <c r="C1835" s="358"/>
      <c r="D1835" s="358"/>
      <c r="J1835" s="1162"/>
      <c r="K1835" s="1162"/>
      <c r="L1835" s="1162"/>
      <c r="M1835" s="1162"/>
      <c r="N1835" s="1163"/>
    </row>
    <row r="1836" spans="2:14" ht="13.5" thickBot="1">
      <c r="B1836" s="1166"/>
      <c r="C1836" s="1167"/>
      <c r="D1836" s="1167"/>
      <c r="E1836" s="311"/>
      <c r="F1836" s="311"/>
      <c r="G1836" s="311"/>
      <c r="H1836" s="311"/>
      <c r="I1836" s="311"/>
      <c r="J1836" s="1164"/>
      <c r="K1836" s="1164"/>
      <c r="L1836" s="1164"/>
      <c r="M1836" s="1164"/>
      <c r="N1836" s="1165"/>
    </row>
    <row r="1837" spans="2:14" ht="13.5" thickBot="1"/>
    <row r="1838" spans="2:14">
      <c r="B1838" s="1070"/>
      <c r="C1838" s="1072"/>
      <c r="D1838" s="1073"/>
      <c r="E1838" s="1073"/>
      <c r="F1838" s="1073"/>
      <c r="G1838" s="1073"/>
      <c r="H1838" s="1073"/>
      <c r="I1838" s="1073"/>
      <c r="J1838" s="1074"/>
      <c r="K1838" s="1075"/>
      <c r="L1838" s="1076"/>
      <c r="M1838" s="1076"/>
      <c r="N1838" s="1077"/>
    </row>
    <row r="1839" spans="2:14">
      <c r="B1839" s="1071"/>
      <c r="C1839" s="1062" t="s">
        <v>244</v>
      </c>
      <c r="D1839" s="1063"/>
      <c r="E1839" s="1063"/>
      <c r="F1839" s="1063"/>
      <c r="G1839" s="1063"/>
      <c r="H1839" s="1063"/>
      <c r="I1839" s="1063"/>
      <c r="J1839" s="1064"/>
      <c r="K1839" s="1078"/>
      <c r="L1839" s="1079"/>
      <c r="M1839" s="1079"/>
      <c r="N1839" s="1080"/>
    </row>
    <row r="1840" spans="2:14">
      <c r="B1840" s="1071"/>
      <c r="C1840" s="1081"/>
      <c r="D1840" s="1082"/>
      <c r="E1840" s="1082"/>
      <c r="F1840" s="1082"/>
      <c r="G1840" s="1082"/>
      <c r="H1840" s="1082"/>
      <c r="I1840" s="1082"/>
      <c r="J1840" s="1083"/>
      <c r="K1840" s="1058" t="s">
        <v>245</v>
      </c>
      <c r="L1840" s="1085"/>
      <c r="M1840" s="1086"/>
      <c r="N1840" s="1087"/>
    </row>
    <row r="1841" spans="2:14">
      <c r="B1841" s="1071"/>
      <c r="C1841" s="1062" t="s">
        <v>246</v>
      </c>
      <c r="D1841" s="1063"/>
      <c r="E1841" s="1063"/>
      <c r="F1841" s="1063"/>
      <c r="G1841" s="1063"/>
      <c r="H1841" s="1063"/>
      <c r="I1841" s="1063"/>
      <c r="J1841" s="1064"/>
      <c r="K1841" s="1084"/>
      <c r="L1841" s="1088"/>
      <c r="M1841" s="1089"/>
      <c r="N1841" s="1090"/>
    </row>
    <row r="1842" spans="2:14">
      <c r="B1842" s="1071"/>
      <c r="C1842" s="1091"/>
      <c r="D1842" s="1092"/>
      <c r="E1842" s="1092"/>
      <c r="F1842" s="1092"/>
      <c r="G1842" s="1092"/>
      <c r="H1842" s="1092"/>
      <c r="I1842" s="1092"/>
      <c r="J1842" s="1093"/>
      <c r="K1842" s="1058" t="s">
        <v>247</v>
      </c>
      <c r="L1842" s="1058">
        <v>21</v>
      </c>
      <c r="M1842" s="1058" t="s">
        <v>248</v>
      </c>
      <c r="N1842" s="1060">
        <v>80</v>
      </c>
    </row>
    <row r="1843" spans="2:14">
      <c r="B1843" s="1071"/>
      <c r="C1843" s="1091"/>
      <c r="D1843" s="1092"/>
      <c r="E1843" s="1092"/>
      <c r="F1843" s="1092"/>
      <c r="G1843" s="1092"/>
      <c r="H1843" s="1092"/>
      <c r="I1843" s="1092"/>
      <c r="J1843" s="1093"/>
      <c r="K1843" s="1059"/>
      <c r="L1843" s="1059"/>
      <c r="M1843" s="1059"/>
      <c r="N1843" s="1061"/>
    </row>
    <row r="1844" spans="2:14">
      <c r="B1844" s="1071"/>
      <c r="C1844" s="1062" t="s">
        <v>249</v>
      </c>
      <c r="D1844" s="1063"/>
      <c r="E1844" s="1063"/>
      <c r="F1844" s="1063"/>
      <c r="G1844" s="1063"/>
      <c r="H1844" s="1063"/>
      <c r="I1844" s="1063"/>
      <c r="J1844" s="1064"/>
      <c r="K1844" s="1059"/>
      <c r="L1844" s="1059"/>
      <c r="M1844" s="1059"/>
      <c r="N1844" s="1061"/>
    </row>
    <row r="1845" spans="2:14" ht="13.5" thickBot="1">
      <c r="B1845" s="259"/>
      <c r="C1845" s="260"/>
      <c r="D1845" s="260"/>
      <c r="E1845" s="260"/>
      <c r="F1845" s="260"/>
      <c r="G1845" s="260"/>
      <c r="H1845" s="260"/>
      <c r="I1845" s="260"/>
      <c r="J1845" s="260"/>
      <c r="K1845" s="260"/>
      <c r="L1845" s="261"/>
      <c r="M1845" s="261"/>
      <c r="N1845" s="262"/>
    </row>
    <row r="1846" spans="2:14">
      <c r="B1846" s="263"/>
      <c r="C1846" s="264"/>
      <c r="D1846" s="264"/>
      <c r="E1846" s="264"/>
      <c r="F1846" s="264"/>
      <c r="G1846" s="264"/>
      <c r="H1846" s="264"/>
      <c r="I1846" s="264"/>
      <c r="J1846" s="264"/>
      <c r="K1846" s="265" t="s">
        <v>250</v>
      </c>
      <c r="L1846" s="266" t="s">
        <v>251</v>
      </c>
      <c r="M1846" s="266" t="s">
        <v>252</v>
      </c>
      <c r="N1846" s="267" t="s">
        <v>253</v>
      </c>
    </row>
    <row r="1847" spans="2:14">
      <c r="B1847" s="268"/>
      <c r="C1847" s="269"/>
      <c r="D1847" s="269"/>
      <c r="E1847" s="269"/>
      <c r="F1847" s="269"/>
      <c r="G1847" s="269"/>
      <c r="H1847" s="269"/>
      <c r="I1847" s="269"/>
      <c r="J1847" s="269"/>
      <c r="K1847" s="270"/>
      <c r="L1847" s="271"/>
      <c r="M1847" s="271"/>
      <c r="N1847" s="272"/>
    </row>
    <row r="1848" spans="2:14">
      <c r="B1848" s="1065" t="s">
        <v>254</v>
      </c>
      <c r="C1848" s="1066"/>
      <c r="D1848" s="1066"/>
      <c r="E1848" s="1066"/>
      <c r="F1848" s="269"/>
      <c r="G1848" s="269"/>
      <c r="H1848" s="269" t="s">
        <v>255</v>
      </c>
      <c r="J1848" s="269"/>
      <c r="K1848" s="270"/>
      <c r="N1848" s="273"/>
    </row>
    <row r="1849" spans="2:14">
      <c r="B1849" s="274"/>
      <c r="C1849" s="275"/>
      <c r="D1849" s="275"/>
      <c r="E1849" s="275"/>
      <c r="F1849" s="275"/>
      <c r="G1849" s="275"/>
      <c r="H1849" s="275"/>
      <c r="I1849" s="275"/>
      <c r="J1849" s="275"/>
      <c r="K1849" s="275"/>
      <c r="L1849" s="275"/>
      <c r="M1849" s="275"/>
      <c r="N1849" s="276"/>
    </row>
    <row r="1850" spans="2:14" ht="13.5" thickBot="1">
      <c r="B1850" s="277"/>
      <c r="C1850" s="278"/>
      <c r="D1850" s="278"/>
      <c r="E1850" s="278"/>
      <c r="F1850" s="278"/>
      <c r="G1850" s="278"/>
      <c r="H1850" s="278"/>
      <c r="I1850" s="278"/>
      <c r="J1850" s="278"/>
      <c r="K1850" s="278"/>
      <c r="L1850" s="278"/>
      <c r="M1850" s="278"/>
      <c r="N1850" s="279"/>
    </row>
    <row r="1851" spans="2:14" ht="13.5" thickBot="1">
      <c r="B1851" s="280"/>
      <c r="C1851" s="281"/>
      <c r="D1851" s="281"/>
      <c r="E1851" s="281"/>
      <c r="F1851" s="281"/>
      <c r="G1851" s="281"/>
      <c r="J1851" s="281"/>
      <c r="K1851" s="281"/>
      <c r="L1851" s="281"/>
      <c r="M1851" s="281"/>
      <c r="N1851" s="282"/>
    </row>
    <row r="1852" spans="2:14">
      <c r="B1852" s="1067" t="s">
        <v>256</v>
      </c>
      <c r="C1852" s="1068"/>
      <c r="D1852" s="1068"/>
      <c r="E1852" s="1068"/>
      <c r="F1852" s="1068"/>
      <c r="G1852" s="1068"/>
      <c r="H1852" s="1068"/>
      <c r="I1852" s="1068"/>
      <c r="J1852" s="1068"/>
      <c r="K1852" s="1068"/>
      <c r="L1852" s="1068"/>
      <c r="M1852" s="1068"/>
      <c r="N1852" s="1069"/>
    </row>
    <row r="1853" spans="2:14" ht="13.5" thickBot="1">
      <c r="B1853" s="283"/>
      <c r="N1853" s="284"/>
    </row>
    <row r="1854" spans="2:14">
      <c r="B1854" s="285" t="s">
        <v>257</v>
      </c>
      <c r="C1854" s="1120" t="s">
        <v>258</v>
      </c>
      <c r="D1854" s="1121"/>
      <c r="E1854" s="1121"/>
      <c r="F1854" s="1121"/>
      <c r="G1854" s="1121"/>
      <c r="H1854" s="1121"/>
      <c r="I1854" s="1121"/>
      <c r="J1854" s="1121"/>
      <c r="K1854" s="1122"/>
      <c r="L1854" s="1123" t="s">
        <v>259</v>
      </c>
      <c r="M1854" s="1124"/>
      <c r="N1854" s="285" t="s">
        <v>133</v>
      </c>
    </row>
    <row r="1855" spans="2:14" ht="27.75" customHeight="1" thickBot="1">
      <c r="B1855" s="286">
        <v>21</v>
      </c>
      <c r="C1855" s="1125" t="s">
        <v>162</v>
      </c>
      <c r="D1855" s="1126"/>
      <c r="E1855" s="1126"/>
      <c r="F1855" s="1126"/>
      <c r="G1855" s="1126"/>
      <c r="H1855" s="1126"/>
      <c r="I1855" s="1126"/>
      <c r="J1855" s="1126"/>
      <c r="K1855" s="1127"/>
      <c r="L1855" s="1128" t="s">
        <v>147</v>
      </c>
      <c r="M1855" s="1129"/>
      <c r="N1855" s="366">
        <v>10</v>
      </c>
    </row>
    <row r="1856" spans="2:14">
      <c r="B1856" s="1103" t="s">
        <v>260</v>
      </c>
      <c r="C1856" s="1104"/>
      <c r="D1856" s="1104"/>
      <c r="E1856" s="1104"/>
      <c r="F1856" s="1104"/>
      <c r="G1856" s="1104"/>
      <c r="H1856" s="1104"/>
      <c r="I1856" s="1104"/>
      <c r="J1856" s="1104"/>
      <c r="K1856" s="1104"/>
      <c r="L1856" s="1104"/>
      <c r="M1856" s="1104"/>
      <c r="N1856" s="1105"/>
    </row>
    <row r="1857" spans="2:14">
      <c r="B1857" s="1106"/>
      <c r="C1857" s="1107"/>
      <c r="D1857" s="1107"/>
      <c r="E1857" s="1107"/>
      <c r="F1857" s="1107"/>
      <c r="G1857" s="1107"/>
      <c r="H1857" s="1107"/>
      <c r="I1857" s="1107"/>
      <c r="J1857" s="1107"/>
      <c r="K1857" s="1107"/>
      <c r="L1857" s="1107"/>
      <c r="M1857" s="1107"/>
      <c r="N1857" s="1108"/>
    </row>
    <row r="1858" spans="2:14" ht="13.5" thickBot="1">
      <c r="B1858" s="1109"/>
      <c r="C1858" s="1110"/>
      <c r="D1858" s="1110"/>
      <c r="E1858" s="1110"/>
      <c r="F1858" s="1110"/>
      <c r="G1858" s="1110"/>
      <c r="H1858" s="1110"/>
      <c r="I1858" s="1110"/>
      <c r="J1858" s="1110"/>
      <c r="K1858" s="1110"/>
      <c r="L1858" s="1110"/>
      <c r="M1858" s="1110"/>
      <c r="N1858" s="1111"/>
    </row>
    <row r="1859" spans="2:14">
      <c r="B1859" s="1130" t="s">
        <v>258</v>
      </c>
      <c r="C1859" s="1131"/>
      <c r="D1859" s="1131"/>
      <c r="E1859" s="1131"/>
      <c r="F1859" s="1132"/>
      <c r="G1859" s="1133" t="s">
        <v>261</v>
      </c>
      <c r="H1859" s="1131"/>
      <c r="I1859" s="1134" t="s">
        <v>262</v>
      </c>
      <c r="J1859" s="1135"/>
      <c r="K1859" s="288" t="s">
        <v>263</v>
      </c>
      <c r="L1859" s="1133" t="s">
        <v>264</v>
      </c>
      <c r="M1859" s="1136"/>
      <c r="N1859" s="289" t="s">
        <v>265</v>
      </c>
    </row>
    <row r="1860" spans="2:14">
      <c r="B1860" s="1179"/>
      <c r="C1860" s="1180"/>
      <c r="D1860" s="1180"/>
      <c r="E1860" s="1180"/>
      <c r="F1860" s="1181"/>
      <c r="G1860" s="1115"/>
      <c r="H1860" s="1114"/>
      <c r="I1860" s="1182"/>
      <c r="J1860" s="1183"/>
      <c r="K1860" s="290"/>
      <c r="L1860" s="1118"/>
      <c r="M1860" s="1119"/>
      <c r="N1860" s="290"/>
    </row>
    <row r="1861" spans="2:14" ht="13.5" thickBot="1">
      <c r="B1861" s="1179"/>
      <c r="C1861" s="1180"/>
      <c r="D1861" s="1180"/>
      <c r="E1861" s="1180"/>
      <c r="F1861" s="1181"/>
      <c r="G1861" s="295"/>
      <c r="H1861" s="294"/>
      <c r="I1861" s="1182"/>
      <c r="J1861" s="1183"/>
      <c r="K1861" s="290"/>
      <c r="L1861" s="1118"/>
      <c r="M1861" s="1119"/>
      <c r="N1861" s="290"/>
    </row>
    <row r="1862" spans="2:14" ht="13.5" thickBot="1">
      <c r="B1862" s="1100" t="s">
        <v>269</v>
      </c>
      <c r="C1862" s="1101"/>
      <c r="D1862" s="1101"/>
      <c r="E1862" s="1101"/>
      <c r="F1862" s="1101"/>
      <c r="G1862" s="1101"/>
      <c r="H1862" s="1101"/>
      <c r="I1862" s="1101"/>
      <c r="J1862" s="1101"/>
      <c r="K1862" s="1101"/>
      <c r="L1862" s="1101"/>
      <c r="M1862" s="1102"/>
      <c r="N1862" s="323">
        <f>+N1860+N1861</f>
        <v>0</v>
      </c>
    </row>
    <row r="1863" spans="2:14">
      <c r="B1863" s="1103" t="s">
        <v>270</v>
      </c>
      <c r="C1863" s="1104"/>
      <c r="D1863" s="1104"/>
      <c r="E1863" s="1104"/>
      <c r="F1863" s="1104"/>
      <c r="G1863" s="1104"/>
      <c r="H1863" s="1104"/>
      <c r="I1863" s="1104"/>
      <c r="J1863" s="1104"/>
      <c r="K1863" s="1104"/>
      <c r="L1863" s="1104"/>
      <c r="M1863" s="1104"/>
      <c r="N1863" s="1105"/>
    </row>
    <row r="1864" spans="2:14">
      <c r="B1864" s="1106"/>
      <c r="C1864" s="1107"/>
      <c r="D1864" s="1107"/>
      <c r="E1864" s="1107"/>
      <c r="F1864" s="1107"/>
      <c r="G1864" s="1107"/>
      <c r="H1864" s="1107"/>
      <c r="I1864" s="1107"/>
      <c r="J1864" s="1107"/>
      <c r="K1864" s="1107"/>
      <c r="L1864" s="1107"/>
      <c r="M1864" s="1107"/>
      <c r="N1864" s="1108"/>
    </row>
    <row r="1865" spans="2:14" ht="13.5" thickBot="1">
      <c r="B1865" s="1109"/>
      <c r="C1865" s="1110"/>
      <c r="D1865" s="1110"/>
      <c r="E1865" s="1110"/>
      <c r="F1865" s="1110"/>
      <c r="G1865" s="1110"/>
      <c r="H1865" s="1110"/>
      <c r="I1865" s="1110"/>
      <c r="J1865" s="1110"/>
      <c r="K1865" s="1110"/>
      <c r="L1865" s="1110"/>
      <c r="M1865" s="1110"/>
      <c r="N1865" s="1111"/>
    </row>
    <row r="1866" spans="2:14">
      <c r="B1866" s="1130" t="s">
        <v>258</v>
      </c>
      <c r="C1866" s="1139"/>
      <c r="D1866" s="1139"/>
      <c r="E1866" s="1139"/>
      <c r="F1866" s="1139"/>
      <c r="G1866" s="1139"/>
      <c r="H1866" s="1139"/>
      <c r="I1866" s="1136"/>
      <c r="J1866" s="299" t="s">
        <v>259</v>
      </c>
      <c r="K1866" s="288" t="s">
        <v>133</v>
      </c>
      <c r="L1866" s="1133" t="s">
        <v>271</v>
      </c>
      <c r="M1866" s="1136"/>
      <c r="N1866" s="289" t="s">
        <v>265</v>
      </c>
    </row>
    <row r="1867" spans="2:14">
      <c r="B1867" s="1112"/>
      <c r="C1867" s="1113"/>
      <c r="D1867" s="1113"/>
      <c r="E1867" s="1113"/>
      <c r="F1867" s="1113"/>
      <c r="G1867" s="1113"/>
      <c r="H1867" s="1113"/>
      <c r="I1867" s="1114"/>
      <c r="J1867" s="300"/>
      <c r="K1867" s="301"/>
      <c r="L1867" s="1144"/>
      <c r="M1867" s="1145"/>
      <c r="N1867" s="363"/>
    </row>
    <row r="1868" spans="2:14" ht="13.5" thickBot="1">
      <c r="B1868" s="1094"/>
      <c r="C1868" s="1095"/>
      <c r="D1868" s="1095"/>
      <c r="E1868" s="1095"/>
      <c r="F1868" s="1095"/>
      <c r="G1868" s="1095"/>
      <c r="H1868" s="1095"/>
      <c r="I1868" s="1096"/>
      <c r="J1868" s="303"/>
      <c r="K1868" s="304"/>
      <c r="L1868" s="1144"/>
      <c r="M1868" s="1145"/>
      <c r="N1868" s="363"/>
    </row>
    <row r="1869" spans="2:14" ht="13.5" thickBot="1">
      <c r="B1869" s="1100" t="s">
        <v>269</v>
      </c>
      <c r="C1869" s="1101"/>
      <c r="D1869" s="1101"/>
      <c r="E1869" s="1101"/>
      <c r="F1869" s="1101"/>
      <c r="G1869" s="1101"/>
      <c r="H1869" s="1101"/>
      <c r="I1869" s="1101"/>
      <c r="J1869" s="1101"/>
      <c r="K1869" s="1101"/>
      <c r="L1869" s="1101"/>
      <c r="M1869" s="1102"/>
      <c r="N1869" s="323">
        <f>+N1867</f>
        <v>0</v>
      </c>
    </row>
    <row r="1870" spans="2:14">
      <c r="B1870" s="1103" t="s">
        <v>276</v>
      </c>
      <c r="C1870" s="1104"/>
      <c r="D1870" s="1104"/>
      <c r="E1870" s="1104"/>
      <c r="F1870" s="1104"/>
      <c r="G1870" s="1104"/>
      <c r="H1870" s="1104"/>
      <c r="I1870" s="1104"/>
      <c r="J1870" s="1104"/>
      <c r="K1870" s="1104"/>
      <c r="L1870" s="1104"/>
      <c r="M1870" s="1104"/>
      <c r="N1870" s="1105"/>
    </row>
    <row r="1871" spans="2:14">
      <c r="B1871" s="1106"/>
      <c r="C1871" s="1107"/>
      <c r="D1871" s="1107"/>
      <c r="E1871" s="1107"/>
      <c r="F1871" s="1107"/>
      <c r="G1871" s="1107"/>
      <c r="H1871" s="1107"/>
      <c r="I1871" s="1107"/>
      <c r="J1871" s="1107"/>
      <c r="K1871" s="1107"/>
      <c r="L1871" s="1107"/>
      <c r="M1871" s="1107"/>
      <c r="N1871" s="1108"/>
    </row>
    <row r="1872" spans="2:14" ht="13.5" thickBot="1">
      <c r="B1872" s="1109"/>
      <c r="C1872" s="1110"/>
      <c r="D1872" s="1110"/>
      <c r="E1872" s="1110"/>
      <c r="F1872" s="1110"/>
      <c r="G1872" s="1110"/>
      <c r="H1872" s="1110"/>
      <c r="I1872" s="1110"/>
      <c r="J1872" s="1110"/>
      <c r="K1872" s="1110"/>
      <c r="L1872" s="1110"/>
      <c r="M1872" s="1110"/>
      <c r="N1872" s="1111"/>
    </row>
    <row r="1873" spans="2:14">
      <c r="B1873" s="1130" t="s">
        <v>277</v>
      </c>
      <c r="C1873" s="1139"/>
      <c r="D1873" s="1139"/>
      <c r="E1873" s="1139"/>
      <c r="F1873" s="1139"/>
      <c r="G1873" s="1139"/>
      <c r="H1873" s="1139"/>
      <c r="I1873" s="288" t="s">
        <v>278</v>
      </c>
      <c r="J1873" s="306" t="s">
        <v>279</v>
      </c>
      <c r="K1873" s="307" t="s">
        <v>280</v>
      </c>
      <c r="L1873" s="1133" t="s">
        <v>281</v>
      </c>
      <c r="M1873" s="1136"/>
      <c r="N1873" s="289" t="s">
        <v>265</v>
      </c>
    </row>
    <row r="1874" spans="2:14" ht="13.5" thickBot="1">
      <c r="B1874" s="1112" t="s">
        <v>336</v>
      </c>
      <c r="C1874" s="1113"/>
      <c r="D1874" s="1113"/>
      <c r="E1874" s="1113"/>
      <c r="F1874" s="1113"/>
      <c r="G1874" s="1113"/>
      <c r="H1874" s="1113"/>
      <c r="I1874" s="393">
        <v>22</v>
      </c>
      <c r="J1874" s="309"/>
      <c r="K1874" s="308"/>
      <c r="L1874" s="1144">
        <v>1498</v>
      </c>
      <c r="M1874" s="1145"/>
      <c r="N1874" s="363">
        <f>+L1874*I1874</f>
        <v>32956</v>
      </c>
    </row>
    <row r="1875" spans="2:14" ht="13.5" thickBot="1">
      <c r="B1875" s="1100" t="s">
        <v>269</v>
      </c>
      <c r="C1875" s="1101"/>
      <c r="D1875" s="1101"/>
      <c r="E1875" s="1101"/>
      <c r="F1875" s="1101"/>
      <c r="G1875" s="1101"/>
      <c r="H1875" s="1101"/>
      <c r="I1875" s="1101"/>
      <c r="J1875" s="1101"/>
      <c r="K1875" s="1101"/>
      <c r="L1875" s="1101"/>
      <c r="M1875" s="1102"/>
      <c r="N1875" s="323">
        <f>+N1874</f>
        <v>32956</v>
      </c>
    </row>
    <row r="1876" spans="2:14">
      <c r="B1876" s="1103" t="s">
        <v>282</v>
      </c>
      <c r="C1876" s="1104"/>
      <c r="D1876" s="1104"/>
      <c r="E1876" s="1104"/>
      <c r="F1876" s="1104"/>
      <c r="G1876" s="1104"/>
      <c r="H1876" s="1104"/>
      <c r="I1876" s="1104"/>
      <c r="J1876" s="1104"/>
      <c r="K1876" s="1104"/>
      <c r="L1876" s="1104"/>
      <c r="M1876" s="1104"/>
      <c r="N1876" s="1105"/>
    </row>
    <row r="1877" spans="2:14">
      <c r="B1877" s="1106"/>
      <c r="C1877" s="1107"/>
      <c r="D1877" s="1107"/>
      <c r="E1877" s="1107"/>
      <c r="F1877" s="1107"/>
      <c r="G1877" s="1107"/>
      <c r="H1877" s="1107"/>
      <c r="I1877" s="1107"/>
      <c r="J1877" s="1107"/>
      <c r="K1877" s="1107"/>
      <c r="L1877" s="1107"/>
      <c r="M1877" s="1107"/>
      <c r="N1877" s="1108"/>
    </row>
    <row r="1878" spans="2:14" ht="13.5" thickBot="1">
      <c r="B1878" s="1109"/>
      <c r="C1878" s="1110"/>
      <c r="D1878" s="1110"/>
      <c r="E1878" s="1110"/>
      <c r="F1878" s="1110"/>
      <c r="G1878" s="1110"/>
      <c r="H1878" s="1110"/>
      <c r="I1878" s="1110"/>
      <c r="J1878" s="1110"/>
      <c r="K1878" s="1110"/>
      <c r="L1878" s="1110"/>
      <c r="M1878" s="1110"/>
      <c r="N1878" s="1111"/>
    </row>
    <row r="1879" spans="2:14">
      <c r="B1879" s="1130" t="s">
        <v>283</v>
      </c>
      <c r="C1879" s="1139"/>
      <c r="D1879" s="1139"/>
      <c r="E1879" s="1139"/>
      <c r="F1879" s="1139"/>
      <c r="G1879" s="1139"/>
      <c r="H1879" s="1139"/>
      <c r="I1879" s="288" t="s">
        <v>284</v>
      </c>
      <c r="J1879" s="314" t="s">
        <v>285</v>
      </c>
      <c r="K1879" s="315" t="s">
        <v>286</v>
      </c>
      <c r="L1879" s="1140" t="s">
        <v>264</v>
      </c>
      <c r="M1879" s="1141"/>
      <c r="N1879" s="316" t="s">
        <v>265</v>
      </c>
    </row>
    <row r="1880" spans="2:14">
      <c r="B1880" s="317" t="s">
        <v>337</v>
      </c>
      <c r="C1880" s="318"/>
      <c r="D1880" s="318"/>
      <c r="E1880" s="318"/>
      <c r="F1880" s="318"/>
      <c r="G1880" s="318"/>
      <c r="H1880" s="318"/>
      <c r="I1880" s="319">
        <v>153482</v>
      </c>
      <c r="J1880" s="321">
        <v>0</v>
      </c>
      <c r="K1880" s="321">
        <f>+I1880+J1880</f>
        <v>153482</v>
      </c>
      <c r="L1880" s="1157">
        <v>59.998800000000003</v>
      </c>
      <c r="M1880" s="1158"/>
      <c r="N1880" s="322">
        <f>+K1880/L1880</f>
        <v>2558.0844950232336</v>
      </c>
    </row>
    <row r="1881" spans="2:14" ht="13.5" thickBot="1">
      <c r="B1881" s="356"/>
      <c r="C1881" s="318"/>
      <c r="D1881" s="318"/>
      <c r="E1881" s="318"/>
      <c r="F1881" s="318"/>
      <c r="G1881" s="318"/>
      <c r="H1881" s="318"/>
      <c r="I1881" s="319"/>
      <c r="J1881" s="321"/>
      <c r="K1881" s="321"/>
      <c r="L1881" s="1157"/>
      <c r="M1881" s="1158"/>
      <c r="N1881" s="322"/>
    </row>
    <row r="1882" spans="2:14" ht="13.5" thickBot="1">
      <c r="B1882" s="1100" t="s">
        <v>269</v>
      </c>
      <c r="C1882" s="1101"/>
      <c r="D1882" s="1101"/>
      <c r="E1882" s="1101"/>
      <c r="F1882" s="1101"/>
      <c r="G1882" s="1101"/>
      <c r="H1882" s="1101"/>
      <c r="I1882" s="1101"/>
      <c r="J1882" s="1101"/>
      <c r="K1882" s="1101"/>
      <c r="L1882" s="1101"/>
      <c r="M1882" s="1102"/>
      <c r="N1882" s="323">
        <f>+N1880+N1881</f>
        <v>2558.0844950232336</v>
      </c>
    </row>
    <row r="1883" spans="2:14" ht="13.5" thickBot="1">
      <c r="B1883" s="324" t="s">
        <v>288</v>
      </c>
      <c r="C1883" s="325"/>
      <c r="D1883" s="325"/>
      <c r="E1883" s="325"/>
      <c r="F1883" s="325"/>
      <c r="G1883" s="325"/>
      <c r="H1883" s="325"/>
      <c r="I1883" s="326"/>
      <c r="J1883" s="327"/>
      <c r="K1883" s="328"/>
      <c r="L1883" s="329"/>
      <c r="M1883" s="329"/>
      <c r="N1883" s="330"/>
    </row>
    <row r="1884" spans="2:14">
      <c r="B1884" s="1130" t="s">
        <v>17</v>
      </c>
      <c r="C1884" s="1139"/>
      <c r="D1884" s="1139"/>
      <c r="E1884" s="1139"/>
      <c r="F1884" s="1139"/>
      <c r="G1884" s="1139"/>
      <c r="H1884" s="1139"/>
      <c r="I1884" s="1136"/>
      <c r="J1884" s="299" t="s">
        <v>259</v>
      </c>
      <c r="K1884" s="288" t="s">
        <v>133</v>
      </c>
      <c r="L1884" s="1133" t="s">
        <v>271</v>
      </c>
      <c r="M1884" s="1136"/>
      <c r="N1884" s="316" t="s">
        <v>265</v>
      </c>
    </row>
    <row r="1885" spans="2:14" ht="13.5" thickBot="1">
      <c r="B1885" s="331" t="s">
        <v>289</v>
      </c>
      <c r="C1885" s="332"/>
      <c r="D1885" s="332"/>
      <c r="E1885" s="332"/>
      <c r="F1885" s="332"/>
      <c r="G1885" s="332"/>
      <c r="H1885" s="332"/>
      <c r="I1885" s="333"/>
      <c r="J1885" s="334" t="s">
        <v>290</v>
      </c>
      <c r="K1885" s="335">
        <v>0.05</v>
      </c>
      <c r="L1885" s="1144">
        <f>+N1882</f>
        <v>2558.0844950232336</v>
      </c>
      <c r="M1885" s="1145"/>
      <c r="N1885" s="322">
        <f>+K1885*L1885</f>
        <v>127.90422475116168</v>
      </c>
    </row>
    <row r="1886" spans="2:14" ht="13.5" thickBot="1">
      <c r="B1886" s="1100" t="s">
        <v>269</v>
      </c>
      <c r="C1886" s="1101"/>
      <c r="D1886" s="1101"/>
      <c r="E1886" s="1101"/>
      <c r="F1886" s="1101"/>
      <c r="G1886" s="1101"/>
      <c r="H1886" s="1101"/>
      <c r="I1886" s="1101"/>
      <c r="J1886" s="1101"/>
      <c r="K1886" s="1101"/>
      <c r="L1886" s="1101"/>
      <c r="M1886" s="1102"/>
      <c r="N1886" s="323">
        <f>+N1885</f>
        <v>127.90422475116168</v>
      </c>
    </row>
    <row r="1887" spans="2:14" ht="13.5" thickBot="1">
      <c r="B1887" s="324" t="s">
        <v>338</v>
      </c>
      <c r="C1887" s="325"/>
      <c r="D1887" s="325"/>
      <c r="E1887" s="325"/>
      <c r="F1887" s="325"/>
      <c r="G1887" s="325"/>
      <c r="H1887" s="325"/>
      <c r="I1887" s="326"/>
      <c r="J1887" s="327"/>
      <c r="K1887" s="328"/>
      <c r="L1887" s="329"/>
      <c r="M1887" s="329"/>
      <c r="N1887" s="330"/>
    </row>
    <row r="1888" spans="2:14">
      <c r="B1888" s="1130" t="s">
        <v>17</v>
      </c>
      <c r="C1888" s="1139"/>
      <c r="D1888" s="1139"/>
      <c r="E1888" s="1139"/>
      <c r="F1888" s="1139"/>
      <c r="G1888" s="1139"/>
      <c r="H1888" s="1139"/>
      <c r="I1888" s="1136"/>
      <c r="J1888" s="299" t="s">
        <v>259</v>
      </c>
      <c r="K1888" s="288" t="s">
        <v>133</v>
      </c>
      <c r="L1888" s="1133" t="s">
        <v>271</v>
      </c>
      <c r="M1888" s="1136"/>
      <c r="N1888" s="316" t="s">
        <v>265</v>
      </c>
    </row>
    <row r="1889" spans="2:14" ht="13.5" thickBot="1">
      <c r="B1889" s="331" t="s">
        <v>339</v>
      </c>
      <c r="C1889" s="332"/>
      <c r="D1889" s="332"/>
      <c r="E1889" s="332"/>
      <c r="F1889" s="332"/>
      <c r="G1889" s="332"/>
      <c r="H1889" s="332"/>
      <c r="I1889" s="333"/>
      <c r="J1889" s="334" t="s">
        <v>147</v>
      </c>
      <c r="K1889" s="394">
        <v>1</v>
      </c>
      <c r="L1889" s="1144">
        <v>5800</v>
      </c>
      <c r="M1889" s="1145"/>
      <c r="N1889" s="395">
        <f>+L1889*K1889</f>
        <v>5800</v>
      </c>
    </row>
    <row r="1890" spans="2:14" ht="13.5" thickBot="1">
      <c r="B1890" s="1100" t="s">
        <v>269</v>
      </c>
      <c r="C1890" s="1101"/>
      <c r="D1890" s="1101"/>
      <c r="E1890" s="1101"/>
      <c r="F1890" s="1101"/>
      <c r="G1890" s="1101"/>
      <c r="H1890" s="1101"/>
      <c r="I1890" s="1101"/>
      <c r="J1890" s="1101"/>
      <c r="K1890" s="1101"/>
      <c r="L1890" s="1101"/>
      <c r="M1890" s="1102"/>
      <c r="N1890" s="323">
        <f>+N1889</f>
        <v>5800</v>
      </c>
    </row>
    <row r="1891" spans="2:14">
      <c r="B1891" s="280"/>
      <c r="C1891" s="281"/>
      <c r="D1891" s="281"/>
      <c r="E1891" s="281"/>
      <c r="F1891" s="281"/>
      <c r="G1891" s="281"/>
      <c r="H1891" s="281"/>
      <c r="I1891" s="281"/>
      <c r="J1891" s="281"/>
      <c r="K1891" s="281"/>
      <c r="L1891" s="281"/>
      <c r="M1891" s="281"/>
      <c r="N1891" s="282"/>
    </row>
    <row r="1892" spans="2:14" ht="13.5" thickBot="1">
      <c r="B1892" s="378"/>
      <c r="C1892" s="311"/>
      <c r="D1892" s="311"/>
      <c r="E1892" s="311"/>
      <c r="F1892" s="311"/>
      <c r="G1892" s="311"/>
      <c r="H1892" s="311"/>
      <c r="I1892" s="311"/>
      <c r="J1892" s="311"/>
      <c r="K1892" s="311"/>
      <c r="L1892" s="311"/>
      <c r="M1892" s="311"/>
      <c r="N1892" s="379"/>
    </row>
    <row r="1893" spans="2:14" ht="13.5" thickBot="1">
      <c r="B1893" s="1150" t="s">
        <v>291</v>
      </c>
      <c r="C1893" s="1151"/>
      <c r="D1893" s="1151"/>
      <c r="E1893" s="1151"/>
      <c r="F1893" s="1151"/>
      <c r="G1893" s="1151"/>
      <c r="H1893" s="1151"/>
      <c r="I1893" s="1151"/>
      <c r="J1893" s="1151"/>
      <c r="K1893" s="1151"/>
      <c r="L1893" s="1151"/>
      <c r="M1893" s="1152"/>
      <c r="N1893" s="336">
        <f>+N1862+N1869+N1875+N1882+N1890+N1886</f>
        <v>41441.988719774396</v>
      </c>
    </row>
    <row r="1894" spans="2:14">
      <c r="B1894" s="1103" t="s">
        <v>292</v>
      </c>
      <c r="C1894" s="1104"/>
      <c r="D1894" s="1104"/>
      <c r="E1894" s="1104"/>
      <c r="F1894" s="1104"/>
      <c r="G1894" s="1104"/>
      <c r="H1894" s="1104"/>
      <c r="I1894" s="1104"/>
      <c r="J1894" s="1104"/>
      <c r="K1894" s="1104"/>
      <c r="L1894" s="1104"/>
      <c r="M1894" s="1104"/>
      <c r="N1894" s="1105"/>
    </row>
    <row r="1895" spans="2:14">
      <c r="B1895" s="1106"/>
      <c r="C1895" s="1107"/>
      <c r="D1895" s="1107"/>
      <c r="E1895" s="1107"/>
      <c r="F1895" s="1107"/>
      <c r="G1895" s="1107"/>
      <c r="H1895" s="1107"/>
      <c r="I1895" s="1107"/>
      <c r="J1895" s="1107"/>
      <c r="K1895" s="1107"/>
      <c r="L1895" s="1107"/>
      <c r="M1895" s="1107"/>
      <c r="N1895" s="1108"/>
    </row>
    <row r="1896" spans="2:14" ht="13.5" thickBot="1">
      <c r="B1896" s="1109"/>
      <c r="C1896" s="1110"/>
      <c r="D1896" s="1110"/>
      <c r="E1896" s="1110"/>
      <c r="F1896" s="1110"/>
      <c r="G1896" s="1110"/>
      <c r="H1896" s="1110"/>
      <c r="I1896" s="1110"/>
      <c r="J1896" s="1110"/>
      <c r="K1896" s="1110"/>
      <c r="L1896" s="1110"/>
      <c r="M1896" s="1110"/>
      <c r="N1896" s="1111"/>
    </row>
    <row r="1897" spans="2:14">
      <c r="B1897" s="1130" t="s">
        <v>17</v>
      </c>
      <c r="C1897" s="1139"/>
      <c r="D1897" s="1139"/>
      <c r="E1897" s="1139"/>
      <c r="F1897" s="1139"/>
      <c r="G1897" s="1139"/>
      <c r="H1897" s="1139"/>
      <c r="I1897" s="306"/>
      <c r="J1897" s="337"/>
      <c r="K1897" s="315" t="s">
        <v>79</v>
      </c>
      <c r="L1897" s="1140" t="s">
        <v>11</v>
      </c>
      <c r="M1897" s="1141"/>
      <c r="N1897" s="316"/>
    </row>
    <row r="1898" spans="2:14">
      <c r="B1898" s="1112" t="s">
        <v>232</v>
      </c>
      <c r="C1898" s="1113"/>
      <c r="D1898" s="1113"/>
      <c r="E1898" s="1113"/>
      <c r="F1898" s="1113"/>
      <c r="G1898" s="1113"/>
      <c r="H1898" s="1113"/>
      <c r="I1898" s="338"/>
      <c r="J1898" s="339"/>
      <c r="K1898" s="340">
        <f>'PRESUPUESTO OFICIAL'!$K$100</f>
        <v>0</v>
      </c>
      <c r="L1898" s="1146">
        <f>K1898*N1893</f>
        <v>0</v>
      </c>
      <c r="M1898" s="1147"/>
      <c r="N1898" s="341"/>
    </row>
    <row r="1899" spans="2:14">
      <c r="B1899" s="292" t="s">
        <v>293</v>
      </c>
      <c r="C1899" s="293"/>
      <c r="D1899" s="293"/>
      <c r="E1899" s="293"/>
      <c r="F1899" s="293"/>
      <c r="G1899" s="293"/>
      <c r="H1899" s="293"/>
      <c r="I1899" s="338"/>
      <c r="J1899" s="339"/>
      <c r="K1899" s="340">
        <f>'PRESUPUESTO OFICIAL'!$K$101</f>
        <v>0</v>
      </c>
      <c r="L1899" s="1146">
        <f>K1899*N1893</f>
        <v>0</v>
      </c>
      <c r="M1899" s="1147"/>
      <c r="N1899" s="341"/>
    </row>
    <row r="1900" spans="2:14" ht="13.5" thickBot="1">
      <c r="B1900" s="277" t="s">
        <v>294</v>
      </c>
      <c r="C1900" s="278"/>
      <c r="D1900" s="278"/>
      <c r="E1900" s="278"/>
      <c r="F1900" s="278"/>
      <c r="G1900" s="278"/>
      <c r="H1900" s="278"/>
      <c r="I1900" s="342"/>
      <c r="J1900" s="343"/>
      <c r="K1900" s="340">
        <f>'PRESUPUESTO OFICIAL'!$K$102</f>
        <v>0</v>
      </c>
      <c r="L1900" s="1148">
        <f>K1900*N1893</f>
        <v>0</v>
      </c>
      <c r="M1900" s="1149"/>
      <c r="N1900" s="341"/>
    </row>
    <row r="1901" spans="2:14" ht="13.5" thickBot="1">
      <c r="B1901" s="1100" t="s">
        <v>269</v>
      </c>
      <c r="C1901" s="1101"/>
      <c r="D1901" s="1101"/>
      <c r="E1901" s="1101"/>
      <c r="F1901" s="1101"/>
      <c r="G1901" s="1101"/>
      <c r="H1901" s="1101"/>
      <c r="I1901" s="1101"/>
      <c r="J1901" s="1101"/>
      <c r="K1901" s="1101"/>
      <c r="L1901" s="1101"/>
      <c r="M1901" s="1102"/>
      <c r="N1901" s="344">
        <f>SUM(L1898:M1900)</f>
        <v>0</v>
      </c>
    </row>
    <row r="1902" spans="2:14" ht="13.5" thickBot="1">
      <c r="B1902" s="283"/>
      <c r="N1902" s="284"/>
    </row>
    <row r="1903" spans="2:14" ht="13.5" thickBot="1">
      <c r="B1903" s="1150" t="s">
        <v>295</v>
      </c>
      <c r="C1903" s="1151"/>
      <c r="D1903" s="1151"/>
      <c r="E1903" s="1151"/>
      <c r="F1903" s="1151"/>
      <c r="G1903" s="1151"/>
      <c r="H1903" s="1151"/>
      <c r="I1903" s="1151"/>
      <c r="J1903" s="1151"/>
      <c r="K1903" s="1151"/>
      <c r="L1903" s="1151"/>
      <c r="M1903" s="1152"/>
      <c r="N1903" s="345">
        <f>ROUND(N1893+N1901,0)</f>
        <v>41442</v>
      </c>
    </row>
    <row r="1904" spans="2:14">
      <c r="B1904" s="280"/>
      <c r="C1904" s="281"/>
      <c r="D1904" s="281"/>
      <c r="E1904" s="281"/>
      <c r="F1904" s="281"/>
      <c r="G1904" s="281"/>
      <c r="H1904" s="281"/>
      <c r="I1904" s="281"/>
      <c r="J1904" s="281"/>
      <c r="K1904" s="281"/>
      <c r="L1904" s="281"/>
      <c r="M1904" s="281"/>
      <c r="N1904" s="282"/>
    </row>
    <row r="1905" spans="2:14">
      <c r="B1905" s="283"/>
      <c r="N1905" s="284"/>
    </row>
    <row r="1906" spans="2:14">
      <c r="B1906" s="283"/>
      <c r="N1906" s="284"/>
    </row>
    <row r="1907" spans="2:14">
      <c r="B1907" s="283"/>
      <c r="G1907" s="346" t="s">
        <v>296</v>
      </c>
      <c r="H1907" s="346"/>
      <c r="I1907" s="346"/>
      <c r="J1907" s="346"/>
      <c r="N1907" s="284"/>
    </row>
    <row r="1908" spans="2:14">
      <c r="B1908" s="347"/>
      <c r="C1908" s="348"/>
      <c r="D1908" s="348"/>
      <c r="E1908" s="348"/>
      <c r="F1908" s="348"/>
      <c r="G1908" s="346" t="s">
        <v>297</v>
      </c>
      <c r="H1908" s="348"/>
      <c r="I1908" s="348"/>
      <c r="J1908" s="348"/>
      <c r="K1908" s="348"/>
      <c r="L1908" s="348"/>
      <c r="M1908" s="348"/>
      <c r="N1908" s="349"/>
    </row>
    <row r="1909" spans="2:14">
      <c r="B1909" s="347"/>
      <c r="C1909" s="348"/>
      <c r="D1909" s="348"/>
      <c r="E1909" s="348"/>
      <c r="F1909" s="348"/>
      <c r="G1909" s="346" t="s">
        <v>298</v>
      </c>
      <c r="J1909" s="348"/>
      <c r="K1909" s="348"/>
      <c r="L1909" s="348"/>
      <c r="M1909" s="348"/>
      <c r="N1909" s="349"/>
    </row>
    <row r="1910" spans="2:14">
      <c r="B1910" s="268"/>
      <c r="C1910" s="350"/>
      <c r="D1910" s="350"/>
      <c r="E1910" s="350"/>
      <c r="F1910" s="350"/>
      <c r="G1910" s="346" t="s">
        <v>299</v>
      </c>
      <c r="H1910" s="350"/>
      <c r="I1910" s="350"/>
      <c r="J1910" s="350"/>
      <c r="K1910" s="350"/>
      <c r="L1910" s="350"/>
      <c r="M1910" s="350"/>
      <c r="N1910" s="351"/>
    </row>
    <row r="1911" spans="2:14">
      <c r="B1911" s="283"/>
      <c r="G1911" s="258" t="s">
        <v>300</v>
      </c>
      <c r="N1911" s="284"/>
    </row>
    <row r="1912" spans="2:14">
      <c r="B1912" s="352" t="s">
        <v>301</v>
      </c>
      <c r="C1912" s="353"/>
      <c r="D1912" s="353"/>
      <c r="E1912" s="353"/>
      <c r="F1912" s="353"/>
      <c r="G1912" s="353"/>
      <c r="H1912" s="353"/>
      <c r="I1912" s="353"/>
      <c r="J1912" s="353"/>
      <c r="K1912" s="353"/>
      <c r="L1912" s="353"/>
      <c r="M1912" s="353"/>
      <c r="N1912" s="354"/>
    </row>
    <row r="1913" spans="2:14">
      <c r="B1913" s="1153"/>
      <c r="C1913" s="1154"/>
      <c r="D1913" s="1154"/>
      <c r="E1913" s="1154"/>
      <c r="F1913" s="1154"/>
      <c r="G1913" s="1154"/>
      <c r="H1913" s="1154"/>
      <c r="I1913" s="1154"/>
      <c r="J1913" s="1154"/>
      <c r="K1913" s="1154"/>
      <c r="L1913" s="1154"/>
      <c r="M1913" s="1154"/>
      <c r="N1913" s="1155"/>
    </row>
    <row r="1914" spans="2:14">
      <c r="B1914" s="1153"/>
      <c r="C1914" s="1154"/>
      <c r="D1914" s="1154"/>
      <c r="E1914" s="1154"/>
      <c r="F1914" s="1154"/>
      <c r="G1914" s="1154"/>
      <c r="H1914" s="1154"/>
      <c r="I1914" s="1154"/>
      <c r="J1914" s="1154"/>
      <c r="K1914" s="1154"/>
      <c r="L1914" s="1154"/>
      <c r="M1914" s="1154"/>
      <c r="N1914" s="1155"/>
    </row>
    <row r="1915" spans="2:14">
      <c r="B1915" s="268"/>
      <c r="C1915" s="350"/>
      <c r="D1915" s="350"/>
      <c r="E1915" s="350"/>
      <c r="F1915" s="350"/>
      <c r="G1915" s="350"/>
      <c r="H1915" s="350"/>
      <c r="I1915" s="350"/>
      <c r="J1915" s="350"/>
      <c r="K1915" s="350"/>
      <c r="L1915" s="350"/>
      <c r="M1915" s="350"/>
      <c r="N1915" s="351"/>
    </row>
    <row r="1916" spans="2:14">
      <c r="B1916" s="355" t="s">
        <v>302</v>
      </c>
      <c r="C1916" s="350"/>
      <c r="D1916" s="350"/>
      <c r="E1916" s="350"/>
      <c r="F1916" s="350"/>
      <c r="G1916" s="350"/>
      <c r="H1916" s="350"/>
      <c r="I1916" s="350"/>
      <c r="J1916" s="350"/>
      <c r="K1916" s="350"/>
      <c r="L1916" s="350"/>
      <c r="M1916" s="350"/>
      <c r="N1916" s="351"/>
    </row>
    <row r="1917" spans="2:14">
      <c r="B1917" s="1159" t="s">
        <v>303</v>
      </c>
      <c r="C1917" s="1160"/>
      <c r="D1917" s="1160"/>
      <c r="E1917" s="1160"/>
      <c r="F1917" s="1160"/>
      <c r="G1917" s="1160"/>
      <c r="H1917" s="1160"/>
      <c r="I1917" s="1160"/>
      <c r="J1917" s="1160"/>
      <c r="K1917" s="1160"/>
      <c r="L1917" s="1160"/>
      <c r="M1917" s="1160"/>
      <c r="N1917" s="1161"/>
    </row>
    <row r="1918" spans="2:14">
      <c r="B1918" s="1159"/>
      <c r="C1918" s="1160"/>
      <c r="D1918" s="1160"/>
      <c r="E1918" s="1160"/>
      <c r="F1918" s="1160"/>
      <c r="G1918" s="1160"/>
      <c r="H1918" s="1160"/>
      <c r="I1918" s="1160"/>
      <c r="J1918" s="1160"/>
      <c r="K1918" s="1160"/>
      <c r="L1918" s="1160"/>
      <c r="M1918" s="1160"/>
      <c r="N1918" s="1161"/>
    </row>
    <row r="1919" spans="2:14">
      <c r="B1919" s="1159" t="s">
        <v>304</v>
      </c>
      <c r="C1919" s="1160"/>
      <c r="D1919" s="1160"/>
      <c r="E1919" s="1160"/>
      <c r="F1919" s="1160"/>
      <c r="G1919" s="1160"/>
      <c r="H1919" s="1160"/>
      <c r="I1919" s="1160"/>
      <c r="J1919" s="1160"/>
      <c r="K1919" s="1160"/>
      <c r="L1919" s="1160"/>
      <c r="M1919" s="1160"/>
      <c r="N1919" s="1161"/>
    </row>
    <row r="1920" spans="2:14">
      <c r="B1920" s="1159"/>
      <c r="C1920" s="1160"/>
      <c r="D1920" s="1160"/>
      <c r="E1920" s="1160"/>
      <c r="F1920" s="1160"/>
      <c r="G1920" s="1160"/>
      <c r="H1920" s="1160"/>
      <c r="I1920" s="1160"/>
      <c r="J1920" s="1160"/>
      <c r="K1920" s="1160"/>
      <c r="L1920" s="1160"/>
      <c r="M1920" s="1160"/>
      <c r="N1920" s="1161"/>
    </row>
    <row r="1921" spans="2:14">
      <c r="B1921" s="268"/>
      <c r="C1921" s="350"/>
      <c r="D1921" s="350"/>
      <c r="E1921" s="350"/>
      <c r="F1921" s="350"/>
      <c r="G1921" s="350"/>
      <c r="H1921" s="350"/>
      <c r="I1921" s="350"/>
      <c r="J1921" s="350"/>
      <c r="K1921" s="350"/>
      <c r="L1921" s="350"/>
      <c r="M1921" s="350"/>
      <c r="N1921" s="351"/>
    </row>
    <row r="1922" spans="2:14">
      <c r="B1922" s="283"/>
      <c r="G1922" s="346" t="s">
        <v>296</v>
      </c>
      <c r="N1922" s="284"/>
    </row>
    <row r="1923" spans="2:14">
      <c r="B1923" s="283"/>
      <c r="G1923" s="258" t="s">
        <v>305</v>
      </c>
      <c r="H1923" s="293"/>
      <c r="I1923" s="293"/>
      <c r="J1923" s="293"/>
      <c r="N1923" s="284"/>
    </row>
    <row r="1924" spans="2:14">
      <c r="B1924" s="283"/>
      <c r="G1924" s="258" t="s">
        <v>306</v>
      </c>
      <c r="H1924" s="325"/>
      <c r="I1924" s="325"/>
      <c r="J1924" s="325"/>
      <c r="N1924" s="284"/>
    </row>
    <row r="1925" spans="2:14">
      <c r="B1925" s="356"/>
      <c r="C1925" s="350"/>
      <c r="D1925" s="350"/>
      <c r="E1925" s="350"/>
      <c r="F1925" s="350"/>
      <c r="G1925" s="258" t="s">
        <v>299</v>
      </c>
      <c r="K1925" s="350"/>
      <c r="L1925" s="350"/>
      <c r="M1925" s="350"/>
      <c r="N1925" s="351"/>
    </row>
    <row r="1926" spans="2:14">
      <c r="B1926" s="357"/>
      <c r="C1926" s="358"/>
      <c r="D1926" s="358"/>
      <c r="J1926" s="1162"/>
      <c r="K1926" s="1162"/>
      <c r="L1926" s="1162"/>
      <c r="M1926" s="1162"/>
      <c r="N1926" s="1163"/>
    </row>
    <row r="1927" spans="2:14" ht="13.5" thickBot="1">
      <c r="B1927" s="1166"/>
      <c r="C1927" s="1167"/>
      <c r="D1927" s="1167"/>
      <c r="E1927" s="311"/>
      <c r="F1927" s="311"/>
      <c r="G1927" s="311"/>
      <c r="H1927" s="311"/>
      <c r="I1927" s="311"/>
      <c r="J1927" s="1164"/>
      <c r="K1927" s="1164"/>
      <c r="L1927" s="1164"/>
      <c r="M1927" s="1164"/>
      <c r="N1927" s="1165"/>
    </row>
    <row r="1928" spans="2:14" ht="13.5" thickBot="1"/>
    <row r="1929" spans="2:14">
      <c r="B1929" s="1070"/>
      <c r="C1929" s="1072"/>
      <c r="D1929" s="1073"/>
      <c r="E1929" s="1073"/>
      <c r="F1929" s="1073"/>
      <c r="G1929" s="1073"/>
      <c r="H1929" s="1073"/>
      <c r="I1929" s="1073"/>
      <c r="J1929" s="1074"/>
      <c r="K1929" s="1075"/>
      <c r="L1929" s="1076"/>
      <c r="M1929" s="1076"/>
      <c r="N1929" s="1077"/>
    </row>
    <row r="1930" spans="2:14">
      <c r="B1930" s="1071"/>
      <c r="C1930" s="1062" t="s">
        <v>244</v>
      </c>
      <c r="D1930" s="1063"/>
      <c r="E1930" s="1063"/>
      <c r="F1930" s="1063"/>
      <c r="G1930" s="1063"/>
      <c r="H1930" s="1063"/>
      <c r="I1930" s="1063"/>
      <c r="J1930" s="1064"/>
      <c r="K1930" s="1078"/>
      <c r="L1930" s="1079"/>
      <c r="M1930" s="1079"/>
      <c r="N1930" s="1080"/>
    </row>
    <row r="1931" spans="2:14">
      <c r="B1931" s="1071"/>
      <c r="C1931" s="1081"/>
      <c r="D1931" s="1082"/>
      <c r="E1931" s="1082"/>
      <c r="F1931" s="1082"/>
      <c r="G1931" s="1082"/>
      <c r="H1931" s="1082"/>
      <c r="I1931" s="1082"/>
      <c r="J1931" s="1083"/>
      <c r="K1931" s="1058" t="s">
        <v>245</v>
      </c>
      <c r="L1931" s="1085"/>
      <c r="M1931" s="1086"/>
      <c r="N1931" s="1087"/>
    </row>
    <row r="1932" spans="2:14">
      <c r="B1932" s="1071"/>
      <c r="C1932" s="1062" t="s">
        <v>246</v>
      </c>
      <c r="D1932" s="1063"/>
      <c r="E1932" s="1063"/>
      <c r="F1932" s="1063"/>
      <c r="G1932" s="1063"/>
      <c r="H1932" s="1063"/>
      <c r="I1932" s="1063"/>
      <c r="J1932" s="1064"/>
      <c r="K1932" s="1084"/>
      <c r="L1932" s="1088"/>
      <c r="M1932" s="1089"/>
      <c r="N1932" s="1090"/>
    </row>
    <row r="1933" spans="2:14">
      <c r="B1933" s="1071"/>
      <c r="C1933" s="1091"/>
      <c r="D1933" s="1092"/>
      <c r="E1933" s="1092"/>
      <c r="F1933" s="1092"/>
      <c r="G1933" s="1092"/>
      <c r="H1933" s="1092"/>
      <c r="I1933" s="1092"/>
      <c r="J1933" s="1093"/>
      <c r="K1933" s="1058" t="s">
        <v>247</v>
      </c>
      <c r="L1933" s="1058">
        <v>22</v>
      </c>
      <c r="M1933" s="1058" t="s">
        <v>248</v>
      </c>
      <c r="N1933" s="1060">
        <v>80</v>
      </c>
    </row>
    <row r="1934" spans="2:14">
      <c r="B1934" s="1071"/>
      <c r="C1934" s="1091"/>
      <c r="D1934" s="1092"/>
      <c r="E1934" s="1092"/>
      <c r="F1934" s="1092"/>
      <c r="G1934" s="1092"/>
      <c r="H1934" s="1092"/>
      <c r="I1934" s="1092"/>
      <c r="J1934" s="1093"/>
      <c r="K1934" s="1059"/>
      <c r="L1934" s="1059"/>
      <c r="M1934" s="1059"/>
      <c r="N1934" s="1061"/>
    </row>
    <row r="1935" spans="2:14">
      <c r="B1935" s="1071"/>
      <c r="C1935" s="1062" t="s">
        <v>249</v>
      </c>
      <c r="D1935" s="1063"/>
      <c r="E1935" s="1063"/>
      <c r="F1935" s="1063"/>
      <c r="G1935" s="1063"/>
      <c r="H1935" s="1063"/>
      <c r="I1935" s="1063"/>
      <c r="J1935" s="1064"/>
      <c r="K1935" s="1059"/>
      <c r="L1935" s="1059"/>
      <c r="M1935" s="1059"/>
      <c r="N1935" s="1061"/>
    </row>
    <row r="1936" spans="2:14" ht="13.5" thickBot="1">
      <c r="B1936" s="259"/>
      <c r="C1936" s="260"/>
      <c r="D1936" s="260"/>
      <c r="E1936" s="260"/>
      <c r="F1936" s="260"/>
      <c r="G1936" s="260"/>
      <c r="H1936" s="260"/>
      <c r="I1936" s="260"/>
      <c r="J1936" s="260"/>
      <c r="K1936" s="260"/>
      <c r="L1936" s="261"/>
      <c r="M1936" s="261"/>
      <c r="N1936" s="262"/>
    </row>
    <row r="1937" spans="2:14">
      <c r="B1937" s="263"/>
      <c r="C1937" s="264"/>
      <c r="D1937" s="264"/>
      <c r="E1937" s="264"/>
      <c r="F1937" s="264"/>
      <c r="G1937" s="264"/>
      <c r="H1937" s="264"/>
      <c r="I1937" s="264"/>
      <c r="J1937" s="264"/>
      <c r="K1937" s="265" t="s">
        <v>250</v>
      </c>
      <c r="L1937" s="266" t="s">
        <v>251</v>
      </c>
      <c r="M1937" s="266" t="s">
        <v>252</v>
      </c>
      <c r="N1937" s="267" t="s">
        <v>253</v>
      </c>
    </row>
    <row r="1938" spans="2:14">
      <c r="B1938" s="268"/>
      <c r="C1938" s="269"/>
      <c r="D1938" s="269"/>
      <c r="E1938" s="269"/>
      <c r="F1938" s="269"/>
      <c r="G1938" s="269"/>
      <c r="H1938" s="269"/>
      <c r="I1938" s="269"/>
      <c r="J1938" s="269"/>
      <c r="K1938" s="270"/>
      <c r="L1938" s="271"/>
      <c r="M1938" s="271"/>
      <c r="N1938" s="272"/>
    </row>
    <row r="1939" spans="2:14">
      <c r="B1939" s="1065" t="s">
        <v>254</v>
      </c>
      <c r="C1939" s="1066"/>
      <c r="D1939" s="1066"/>
      <c r="E1939" s="1066"/>
      <c r="F1939" s="269"/>
      <c r="G1939" s="269"/>
      <c r="H1939" s="269" t="s">
        <v>255</v>
      </c>
      <c r="J1939" s="269"/>
      <c r="K1939" s="270"/>
      <c r="N1939" s="273"/>
    </row>
    <row r="1940" spans="2:14">
      <c r="B1940" s="274"/>
      <c r="C1940" s="275"/>
      <c r="D1940" s="275"/>
      <c r="E1940" s="275"/>
      <c r="F1940" s="275"/>
      <c r="G1940" s="275"/>
      <c r="H1940" s="275"/>
      <c r="I1940" s="275"/>
      <c r="J1940" s="275"/>
      <c r="K1940" s="275"/>
      <c r="L1940" s="275"/>
      <c r="M1940" s="275"/>
      <c r="N1940" s="276"/>
    </row>
    <row r="1941" spans="2:14" ht="13.5" thickBot="1">
      <c r="B1941" s="277"/>
      <c r="C1941" s="278"/>
      <c r="D1941" s="278"/>
      <c r="E1941" s="278"/>
      <c r="F1941" s="278"/>
      <c r="G1941" s="278"/>
      <c r="H1941" s="278"/>
      <c r="I1941" s="278"/>
      <c r="J1941" s="278"/>
      <c r="K1941" s="278"/>
      <c r="L1941" s="278"/>
      <c r="M1941" s="278"/>
      <c r="N1941" s="279"/>
    </row>
    <row r="1942" spans="2:14" ht="13.5" thickBot="1">
      <c r="B1942" s="280"/>
      <c r="C1942" s="281"/>
      <c r="D1942" s="281"/>
      <c r="E1942" s="281"/>
      <c r="F1942" s="281"/>
      <c r="G1942" s="281"/>
      <c r="J1942" s="281"/>
      <c r="K1942" s="281"/>
      <c r="L1942" s="281"/>
      <c r="M1942" s="281"/>
      <c r="N1942" s="282"/>
    </row>
    <row r="1943" spans="2:14">
      <c r="B1943" s="1067" t="s">
        <v>256</v>
      </c>
      <c r="C1943" s="1068"/>
      <c r="D1943" s="1068"/>
      <c r="E1943" s="1068"/>
      <c r="F1943" s="1068"/>
      <c r="G1943" s="1068"/>
      <c r="H1943" s="1068"/>
      <c r="I1943" s="1068"/>
      <c r="J1943" s="1068"/>
      <c r="K1943" s="1068"/>
      <c r="L1943" s="1068"/>
      <c r="M1943" s="1068"/>
      <c r="N1943" s="1069"/>
    </row>
    <row r="1944" spans="2:14" ht="13.5" thickBot="1">
      <c r="B1944" s="283"/>
      <c r="N1944" s="284"/>
    </row>
    <row r="1945" spans="2:14">
      <c r="B1945" s="285" t="s">
        <v>257</v>
      </c>
      <c r="C1945" s="1120" t="s">
        <v>258</v>
      </c>
      <c r="D1945" s="1121"/>
      <c r="E1945" s="1121"/>
      <c r="F1945" s="1121"/>
      <c r="G1945" s="1121"/>
      <c r="H1945" s="1121"/>
      <c r="I1945" s="1121"/>
      <c r="J1945" s="1121"/>
      <c r="K1945" s="1122"/>
      <c r="L1945" s="1123" t="s">
        <v>259</v>
      </c>
      <c r="M1945" s="1124"/>
      <c r="N1945" s="285" t="s">
        <v>133</v>
      </c>
    </row>
    <row r="1946" spans="2:14" ht="29.25" customHeight="1" thickBot="1">
      <c r="B1946" s="286">
        <v>22</v>
      </c>
      <c r="C1946" s="1125" t="s">
        <v>163</v>
      </c>
      <c r="D1946" s="1126"/>
      <c r="E1946" s="1126"/>
      <c r="F1946" s="1126"/>
      <c r="G1946" s="1126"/>
      <c r="H1946" s="1126"/>
      <c r="I1946" s="1126"/>
      <c r="J1946" s="1126"/>
      <c r="K1946" s="1127"/>
      <c r="L1946" s="1128" t="s">
        <v>147</v>
      </c>
      <c r="M1946" s="1129"/>
      <c r="N1946" s="366">
        <v>362</v>
      </c>
    </row>
    <row r="1947" spans="2:14">
      <c r="B1947" s="1103" t="s">
        <v>260</v>
      </c>
      <c r="C1947" s="1104"/>
      <c r="D1947" s="1104"/>
      <c r="E1947" s="1104"/>
      <c r="F1947" s="1104"/>
      <c r="G1947" s="1104"/>
      <c r="H1947" s="1104"/>
      <c r="I1947" s="1104"/>
      <c r="J1947" s="1104"/>
      <c r="K1947" s="1104"/>
      <c r="L1947" s="1104"/>
      <c r="M1947" s="1104"/>
      <c r="N1947" s="1105"/>
    </row>
    <row r="1948" spans="2:14">
      <c r="B1948" s="1106"/>
      <c r="C1948" s="1107"/>
      <c r="D1948" s="1107"/>
      <c r="E1948" s="1107"/>
      <c r="F1948" s="1107"/>
      <c r="G1948" s="1107"/>
      <c r="H1948" s="1107"/>
      <c r="I1948" s="1107"/>
      <c r="J1948" s="1107"/>
      <c r="K1948" s="1107"/>
      <c r="L1948" s="1107"/>
      <c r="M1948" s="1107"/>
      <c r="N1948" s="1108"/>
    </row>
    <row r="1949" spans="2:14" ht="13.5" thickBot="1">
      <c r="B1949" s="1109"/>
      <c r="C1949" s="1110"/>
      <c r="D1949" s="1110"/>
      <c r="E1949" s="1110"/>
      <c r="F1949" s="1110"/>
      <c r="G1949" s="1110"/>
      <c r="H1949" s="1110"/>
      <c r="I1949" s="1110"/>
      <c r="J1949" s="1110"/>
      <c r="K1949" s="1110"/>
      <c r="L1949" s="1110"/>
      <c r="M1949" s="1110"/>
      <c r="N1949" s="1111"/>
    </row>
    <row r="1950" spans="2:14">
      <c r="B1950" s="1130" t="s">
        <v>258</v>
      </c>
      <c r="C1950" s="1131"/>
      <c r="D1950" s="1131"/>
      <c r="E1950" s="1131"/>
      <c r="F1950" s="1132"/>
      <c r="G1950" s="1133" t="s">
        <v>261</v>
      </c>
      <c r="H1950" s="1131"/>
      <c r="I1950" s="1134" t="s">
        <v>262</v>
      </c>
      <c r="J1950" s="1135"/>
      <c r="K1950" s="288" t="s">
        <v>263</v>
      </c>
      <c r="L1950" s="1133" t="s">
        <v>264</v>
      </c>
      <c r="M1950" s="1136"/>
      <c r="N1950" s="289" t="s">
        <v>265</v>
      </c>
    </row>
    <row r="1951" spans="2:14">
      <c r="B1951" s="1179"/>
      <c r="C1951" s="1180"/>
      <c r="D1951" s="1180"/>
      <c r="E1951" s="1180"/>
      <c r="F1951" s="1181"/>
      <c r="G1951" s="1115"/>
      <c r="H1951" s="1114"/>
      <c r="I1951" s="1182"/>
      <c r="J1951" s="1183"/>
      <c r="K1951" s="290"/>
      <c r="L1951" s="1118"/>
      <c r="M1951" s="1119"/>
      <c r="N1951" s="290"/>
    </row>
    <row r="1952" spans="2:14" ht="13.5" thickBot="1">
      <c r="B1952" s="1179"/>
      <c r="C1952" s="1180"/>
      <c r="D1952" s="1180"/>
      <c r="E1952" s="1180"/>
      <c r="F1952" s="1181"/>
      <c r="G1952" s="295"/>
      <c r="H1952" s="294"/>
      <c r="I1952" s="1182"/>
      <c r="J1952" s="1183"/>
      <c r="K1952" s="290"/>
      <c r="L1952" s="1118"/>
      <c r="M1952" s="1119"/>
      <c r="N1952" s="290"/>
    </row>
    <row r="1953" spans="2:14" ht="13.5" thickBot="1">
      <c r="B1953" s="1100" t="s">
        <v>269</v>
      </c>
      <c r="C1953" s="1101"/>
      <c r="D1953" s="1101"/>
      <c r="E1953" s="1101"/>
      <c r="F1953" s="1101"/>
      <c r="G1953" s="1101"/>
      <c r="H1953" s="1101"/>
      <c r="I1953" s="1101"/>
      <c r="J1953" s="1101"/>
      <c r="K1953" s="1101"/>
      <c r="L1953" s="1101"/>
      <c r="M1953" s="1102"/>
      <c r="N1953" s="323">
        <f>+N1951+N1952</f>
        <v>0</v>
      </c>
    </row>
    <row r="1954" spans="2:14">
      <c r="B1954" s="1103" t="s">
        <v>270</v>
      </c>
      <c r="C1954" s="1104"/>
      <c r="D1954" s="1104"/>
      <c r="E1954" s="1104"/>
      <c r="F1954" s="1104"/>
      <c r="G1954" s="1104"/>
      <c r="H1954" s="1104"/>
      <c r="I1954" s="1104"/>
      <c r="J1954" s="1104"/>
      <c r="K1954" s="1104"/>
      <c r="L1954" s="1104"/>
      <c r="M1954" s="1104"/>
      <c r="N1954" s="1105"/>
    </row>
    <row r="1955" spans="2:14">
      <c r="B1955" s="1106"/>
      <c r="C1955" s="1107"/>
      <c r="D1955" s="1107"/>
      <c r="E1955" s="1107"/>
      <c r="F1955" s="1107"/>
      <c r="G1955" s="1107"/>
      <c r="H1955" s="1107"/>
      <c r="I1955" s="1107"/>
      <c r="J1955" s="1107"/>
      <c r="K1955" s="1107"/>
      <c r="L1955" s="1107"/>
      <c r="M1955" s="1107"/>
      <c r="N1955" s="1108"/>
    </row>
    <row r="1956" spans="2:14" ht="13.5" thickBot="1">
      <c r="B1956" s="1109"/>
      <c r="C1956" s="1110"/>
      <c r="D1956" s="1110"/>
      <c r="E1956" s="1110"/>
      <c r="F1956" s="1110"/>
      <c r="G1956" s="1110"/>
      <c r="H1956" s="1110"/>
      <c r="I1956" s="1110"/>
      <c r="J1956" s="1110"/>
      <c r="K1956" s="1110"/>
      <c r="L1956" s="1110"/>
      <c r="M1956" s="1110"/>
      <c r="N1956" s="1111"/>
    </row>
    <row r="1957" spans="2:14">
      <c r="B1957" s="1130" t="s">
        <v>258</v>
      </c>
      <c r="C1957" s="1139"/>
      <c r="D1957" s="1139"/>
      <c r="E1957" s="1139"/>
      <c r="F1957" s="1139"/>
      <c r="G1957" s="1139"/>
      <c r="H1957" s="1139"/>
      <c r="I1957" s="1136"/>
      <c r="J1957" s="299" t="s">
        <v>259</v>
      </c>
      <c r="K1957" s="288" t="s">
        <v>133</v>
      </c>
      <c r="L1957" s="1133" t="s">
        <v>271</v>
      </c>
      <c r="M1957" s="1136"/>
      <c r="N1957" s="289" t="s">
        <v>265</v>
      </c>
    </row>
    <row r="1958" spans="2:14">
      <c r="B1958" s="1112"/>
      <c r="C1958" s="1113"/>
      <c r="D1958" s="1113"/>
      <c r="E1958" s="1113"/>
      <c r="F1958" s="1113"/>
      <c r="G1958" s="1113"/>
      <c r="H1958" s="1113"/>
      <c r="I1958" s="1114"/>
      <c r="J1958" s="300"/>
      <c r="K1958" s="301"/>
      <c r="L1958" s="1144"/>
      <c r="M1958" s="1145"/>
      <c r="N1958" s="363"/>
    </row>
    <row r="1959" spans="2:14" ht="13.5" thickBot="1">
      <c r="B1959" s="1094"/>
      <c r="C1959" s="1095"/>
      <c r="D1959" s="1095"/>
      <c r="E1959" s="1095"/>
      <c r="F1959" s="1095"/>
      <c r="G1959" s="1095"/>
      <c r="H1959" s="1095"/>
      <c r="I1959" s="1096"/>
      <c r="J1959" s="303"/>
      <c r="K1959" s="304"/>
      <c r="L1959" s="1144"/>
      <c r="M1959" s="1145"/>
      <c r="N1959" s="363"/>
    </row>
    <row r="1960" spans="2:14" ht="13.5" thickBot="1">
      <c r="B1960" s="1100" t="s">
        <v>269</v>
      </c>
      <c r="C1960" s="1101"/>
      <c r="D1960" s="1101"/>
      <c r="E1960" s="1101"/>
      <c r="F1960" s="1101"/>
      <c r="G1960" s="1101"/>
      <c r="H1960" s="1101"/>
      <c r="I1960" s="1101"/>
      <c r="J1960" s="1101"/>
      <c r="K1960" s="1101"/>
      <c r="L1960" s="1101"/>
      <c r="M1960" s="1102"/>
      <c r="N1960" s="323">
        <f>+N1958</f>
        <v>0</v>
      </c>
    </row>
    <row r="1961" spans="2:14">
      <c r="B1961" s="1103" t="s">
        <v>276</v>
      </c>
      <c r="C1961" s="1104"/>
      <c r="D1961" s="1104"/>
      <c r="E1961" s="1104"/>
      <c r="F1961" s="1104"/>
      <c r="G1961" s="1104"/>
      <c r="H1961" s="1104"/>
      <c r="I1961" s="1104"/>
      <c r="J1961" s="1104"/>
      <c r="K1961" s="1104"/>
      <c r="L1961" s="1104"/>
      <c r="M1961" s="1104"/>
      <c r="N1961" s="1105"/>
    </row>
    <row r="1962" spans="2:14">
      <c r="B1962" s="1106"/>
      <c r="C1962" s="1107"/>
      <c r="D1962" s="1107"/>
      <c r="E1962" s="1107"/>
      <c r="F1962" s="1107"/>
      <c r="G1962" s="1107"/>
      <c r="H1962" s="1107"/>
      <c r="I1962" s="1107"/>
      <c r="J1962" s="1107"/>
      <c r="K1962" s="1107"/>
      <c r="L1962" s="1107"/>
      <c r="M1962" s="1107"/>
      <c r="N1962" s="1108"/>
    </row>
    <row r="1963" spans="2:14" ht="13.5" thickBot="1">
      <c r="B1963" s="1109"/>
      <c r="C1963" s="1110"/>
      <c r="D1963" s="1110"/>
      <c r="E1963" s="1110"/>
      <c r="F1963" s="1110"/>
      <c r="G1963" s="1110"/>
      <c r="H1963" s="1110"/>
      <c r="I1963" s="1110"/>
      <c r="J1963" s="1110"/>
      <c r="K1963" s="1110"/>
      <c r="L1963" s="1110"/>
      <c r="M1963" s="1110"/>
      <c r="N1963" s="1111"/>
    </row>
    <row r="1964" spans="2:14">
      <c r="B1964" s="1130" t="s">
        <v>277</v>
      </c>
      <c r="C1964" s="1139"/>
      <c r="D1964" s="1139"/>
      <c r="E1964" s="1139"/>
      <c r="F1964" s="1139"/>
      <c r="G1964" s="1139"/>
      <c r="H1964" s="1139"/>
      <c r="I1964" s="288" t="s">
        <v>278</v>
      </c>
      <c r="J1964" s="306" t="s">
        <v>279</v>
      </c>
      <c r="K1964" s="307" t="s">
        <v>280</v>
      </c>
      <c r="L1964" s="1133" t="s">
        <v>281</v>
      </c>
      <c r="M1964" s="1136"/>
      <c r="N1964" s="289" t="s">
        <v>265</v>
      </c>
    </row>
    <row r="1965" spans="2:14" ht="13.5" thickBot="1">
      <c r="B1965" s="1112" t="s">
        <v>336</v>
      </c>
      <c r="C1965" s="1113"/>
      <c r="D1965" s="1113"/>
      <c r="E1965" s="1113"/>
      <c r="F1965" s="1113"/>
      <c r="G1965" s="1113"/>
      <c r="H1965" s="1113"/>
      <c r="I1965" s="393">
        <v>25</v>
      </c>
      <c r="J1965" s="309"/>
      <c r="K1965" s="308"/>
      <c r="L1965" s="1144">
        <v>1498</v>
      </c>
      <c r="M1965" s="1145"/>
      <c r="N1965" s="363">
        <f>+L1965*I1965</f>
        <v>37450</v>
      </c>
    </row>
    <row r="1966" spans="2:14" ht="13.5" thickBot="1">
      <c r="B1966" s="1100" t="s">
        <v>269</v>
      </c>
      <c r="C1966" s="1101"/>
      <c r="D1966" s="1101"/>
      <c r="E1966" s="1101"/>
      <c r="F1966" s="1101"/>
      <c r="G1966" s="1101"/>
      <c r="H1966" s="1101"/>
      <c r="I1966" s="1101"/>
      <c r="J1966" s="1101"/>
      <c r="K1966" s="1101"/>
      <c r="L1966" s="1101"/>
      <c r="M1966" s="1102"/>
      <c r="N1966" s="323">
        <f>+N1965</f>
        <v>37450</v>
      </c>
    </row>
    <row r="1967" spans="2:14">
      <c r="B1967" s="1103" t="s">
        <v>282</v>
      </c>
      <c r="C1967" s="1104"/>
      <c r="D1967" s="1104"/>
      <c r="E1967" s="1104"/>
      <c r="F1967" s="1104"/>
      <c r="G1967" s="1104"/>
      <c r="H1967" s="1104"/>
      <c r="I1967" s="1104"/>
      <c r="J1967" s="1104"/>
      <c r="K1967" s="1104"/>
      <c r="L1967" s="1104"/>
      <c r="M1967" s="1104"/>
      <c r="N1967" s="1105"/>
    </row>
    <row r="1968" spans="2:14">
      <c r="B1968" s="1106"/>
      <c r="C1968" s="1107"/>
      <c r="D1968" s="1107"/>
      <c r="E1968" s="1107"/>
      <c r="F1968" s="1107"/>
      <c r="G1968" s="1107"/>
      <c r="H1968" s="1107"/>
      <c r="I1968" s="1107"/>
      <c r="J1968" s="1107"/>
      <c r="K1968" s="1107"/>
      <c r="L1968" s="1107"/>
      <c r="M1968" s="1107"/>
      <c r="N1968" s="1108"/>
    </row>
    <row r="1969" spans="2:14" ht="13.5" thickBot="1">
      <c r="B1969" s="1109"/>
      <c r="C1969" s="1110"/>
      <c r="D1969" s="1110"/>
      <c r="E1969" s="1110"/>
      <c r="F1969" s="1110"/>
      <c r="G1969" s="1110"/>
      <c r="H1969" s="1110"/>
      <c r="I1969" s="1110"/>
      <c r="J1969" s="1110"/>
      <c r="K1969" s="1110"/>
      <c r="L1969" s="1110"/>
      <c r="M1969" s="1110"/>
      <c r="N1969" s="1111"/>
    </row>
    <row r="1970" spans="2:14">
      <c r="B1970" s="1130" t="s">
        <v>283</v>
      </c>
      <c r="C1970" s="1139"/>
      <c r="D1970" s="1139"/>
      <c r="E1970" s="1139"/>
      <c r="F1970" s="1139"/>
      <c r="G1970" s="1139"/>
      <c r="H1970" s="1139"/>
      <c r="I1970" s="288" t="s">
        <v>284</v>
      </c>
      <c r="J1970" s="314" t="s">
        <v>285</v>
      </c>
      <c r="K1970" s="315" t="s">
        <v>286</v>
      </c>
      <c r="L1970" s="1140" t="s">
        <v>264</v>
      </c>
      <c r="M1970" s="1141"/>
      <c r="N1970" s="316" t="s">
        <v>265</v>
      </c>
    </row>
    <row r="1971" spans="2:14">
      <c r="B1971" s="317" t="s">
        <v>337</v>
      </c>
      <c r="C1971" s="318"/>
      <c r="D1971" s="318"/>
      <c r="E1971" s="318"/>
      <c r="F1971" s="318"/>
      <c r="G1971" s="318"/>
      <c r="H1971" s="318"/>
      <c r="I1971" s="319">
        <v>153482</v>
      </c>
      <c r="J1971" s="321">
        <v>0</v>
      </c>
      <c r="K1971" s="321">
        <f>+I1971+J1971</f>
        <v>153482</v>
      </c>
      <c r="L1971" s="1157">
        <v>59.880200000000002</v>
      </c>
      <c r="M1971" s="1158"/>
      <c r="N1971" s="322">
        <f>+K1971/L1971</f>
        <v>2563.1510916797206</v>
      </c>
    </row>
    <row r="1972" spans="2:14" ht="13.5" thickBot="1">
      <c r="B1972" s="356"/>
      <c r="C1972" s="318"/>
      <c r="D1972" s="318"/>
      <c r="E1972" s="318"/>
      <c r="F1972" s="318"/>
      <c r="G1972" s="318"/>
      <c r="H1972" s="318"/>
      <c r="I1972" s="319"/>
      <c r="J1972" s="321"/>
      <c r="K1972" s="321"/>
      <c r="L1972" s="1157"/>
      <c r="M1972" s="1158"/>
      <c r="N1972" s="322"/>
    </row>
    <row r="1973" spans="2:14" ht="13.5" thickBot="1">
      <c r="B1973" s="1100" t="s">
        <v>269</v>
      </c>
      <c r="C1973" s="1101"/>
      <c r="D1973" s="1101"/>
      <c r="E1973" s="1101"/>
      <c r="F1973" s="1101"/>
      <c r="G1973" s="1101"/>
      <c r="H1973" s="1101"/>
      <c r="I1973" s="1101"/>
      <c r="J1973" s="1101"/>
      <c r="K1973" s="1101"/>
      <c r="L1973" s="1101"/>
      <c r="M1973" s="1102"/>
      <c r="N1973" s="323">
        <f>+N1971+N1972</f>
        <v>2563.1510916797206</v>
      </c>
    </row>
    <row r="1974" spans="2:14" ht="13.5" thickBot="1">
      <c r="B1974" s="324" t="s">
        <v>288</v>
      </c>
      <c r="C1974" s="325"/>
      <c r="D1974" s="325"/>
      <c r="E1974" s="325"/>
      <c r="F1974" s="325"/>
      <c r="G1974" s="325"/>
      <c r="H1974" s="325"/>
      <c r="I1974" s="326"/>
      <c r="J1974" s="327"/>
      <c r="K1974" s="328"/>
      <c r="L1974" s="329"/>
      <c r="M1974" s="329"/>
      <c r="N1974" s="330"/>
    </row>
    <row r="1975" spans="2:14">
      <c r="B1975" s="1130" t="s">
        <v>17</v>
      </c>
      <c r="C1975" s="1139"/>
      <c r="D1975" s="1139"/>
      <c r="E1975" s="1139"/>
      <c r="F1975" s="1139"/>
      <c r="G1975" s="1139"/>
      <c r="H1975" s="1139"/>
      <c r="I1975" s="1136"/>
      <c r="J1975" s="299" t="s">
        <v>259</v>
      </c>
      <c r="K1975" s="288" t="s">
        <v>133</v>
      </c>
      <c r="L1975" s="1133" t="s">
        <v>271</v>
      </c>
      <c r="M1975" s="1136"/>
      <c r="N1975" s="316" t="s">
        <v>265</v>
      </c>
    </row>
    <row r="1976" spans="2:14" ht="13.5" thickBot="1">
      <c r="B1976" s="331" t="s">
        <v>289</v>
      </c>
      <c r="C1976" s="332"/>
      <c r="D1976" s="332"/>
      <c r="E1976" s="332"/>
      <c r="F1976" s="332"/>
      <c r="G1976" s="332"/>
      <c r="H1976" s="332"/>
      <c r="I1976" s="333"/>
      <c r="J1976" s="334" t="s">
        <v>290</v>
      </c>
      <c r="K1976" s="335">
        <v>0.05</v>
      </c>
      <c r="L1976" s="1144">
        <f>+N1973</f>
        <v>2563.1510916797206</v>
      </c>
      <c r="M1976" s="1145"/>
      <c r="N1976" s="322">
        <f>+K1976*L1976</f>
        <v>128.15755458398604</v>
      </c>
    </row>
    <row r="1977" spans="2:14" ht="13.5" thickBot="1">
      <c r="B1977" s="1100" t="s">
        <v>269</v>
      </c>
      <c r="C1977" s="1101"/>
      <c r="D1977" s="1101"/>
      <c r="E1977" s="1101"/>
      <c r="F1977" s="1101"/>
      <c r="G1977" s="1101"/>
      <c r="H1977" s="1101"/>
      <c r="I1977" s="1101"/>
      <c r="J1977" s="1101"/>
      <c r="K1977" s="1101"/>
      <c r="L1977" s="1101"/>
      <c r="M1977" s="1102"/>
      <c r="N1977" s="323">
        <f>+N1976</f>
        <v>128.15755458398604</v>
      </c>
    </row>
    <row r="1978" spans="2:14" ht="13.5" thickBot="1">
      <c r="B1978" s="324" t="s">
        <v>338</v>
      </c>
      <c r="C1978" s="325"/>
      <c r="D1978" s="325"/>
      <c r="E1978" s="325"/>
      <c r="F1978" s="325"/>
      <c r="G1978" s="325"/>
      <c r="H1978" s="325"/>
      <c r="I1978" s="326"/>
      <c r="J1978" s="327"/>
      <c r="K1978" s="328"/>
      <c r="L1978" s="329"/>
      <c r="M1978" s="329"/>
      <c r="N1978" s="330"/>
    </row>
    <row r="1979" spans="2:14">
      <c r="B1979" s="1130" t="s">
        <v>17</v>
      </c>
      <c r="C1979" s="1139"/>
      <c r="D1979" s="1139"/>
      <c r="E1979" s="1139"/>
      <c r="F1979" s="1139"/>
      <c r="G1979" s="1139"/>
      <c r="H1979" s="1139"/>
      <c r="I1979" s="1136"/>
      <c r="J1979" s="299" t="s">
        <v>259</v>
      </c>
      <c r="K1979" s="288" t="s">
        <v>133</v>
      </c>
      <c r="L1979" s="1133" t="s">
        <v>271</v>
      </c>
      <c r="M1979" s="1136"/>
      <c r="N1979" s="316" t="s">
        <v>265</v>
      </c>
    </row>
    <row r="1980" spans="2:14" ht="13.5" thickBot="1">
      <c r="B1980" s="331" t="s">
        <v>339</v>
      </c>
      <c r="C1980" s="332"/>
      <c r="D1980" s="332"/>
      <c r="E1980" s="332"/>
      <c r="F1980" s="332"/>
      <c r="G1980" s="332"/>
      <c r="H1980" s="332"/>
      <c r="I1980" s="333"/>
      <c r="J1980" s="334" t="s">
        <v>147</v>
      </c>
      <c r="K1980" s="394">
        <v>1</v>
      </c>
      <c r="L1980" s="1144">
        <v>5800</v>
      </c>
      <c r="M1980" s="1145"/>
      <c r="N1980" s="395">
        <f>+L1980*K1980</f>
        <v>5800</v>
      </c>
    </row>
    <row r="1981" spans="2:14" ht="13.5" thickBot="1">
      <c r="B1981" s="1100" t="s">
        <v>269</v>
      </c>
      <c r="C1981" s="1101"/>
      <c r="D1981" s="1101"/>
      <c r="E1981" s="1101"/>
      <c r="F1981" s="1101"/>
      <c r="G1981" s="1101"/>
      <c r="H1981" s="1101"/>
      <c r="I1981" s="1101"/>
      <c r="J1981" s="1101"/>
      <c r="K1981" s="1101"/>
      <c r="L1981" s="1101"/>
      <c r="M1981" s="1102"/>
      <c r="N1981" s="323">
        <f>+N1980</f>
        <v>5800</v>
      </c>
    </row>
    <row r="1982" spans="2:14">
      <c r="B1982" s="280"/>
      <c r="C1982" s="281"/>
      <c r="D1982" s="281"/>
      <c r="E1982" s="281"/>
      <c r="F1982" s="281"/>
      <c r="G1982" s="281"/>
      <c r="H1982" s="281"/>
      <c r="I1982" s="281"/>
      <c r="J1982" s="281"/>
      <c r="K1982" s="281"/>
      <c r="L1982" s="281"/>
      <c r="M1982" s="281"/>
      <c r="N1982" s="282"/>
    </row>
    <row r="1983" spans="2:14" ht="13.5" thickBot="1">
      <c r="B1983" s="378"/>
      <c r="C1983" s="311"/>
      <c r="D1983" s="311"/>
      <c r="E1983" s="311"/>
      <c r="F1983" s="311"/>
      <c r="G1983" s="311"/>
      <c r="H1983" s="311"/>
      <c r="I1983" s="311"/>
      <c r="J1983" s="311"/>
      <c r="K1983" s="311"/>
      <c r="L1983" s="311"/>
      <c r="M1983" s="311"/>
      <c r="N1983" s="379"/>
    </row>
    <row r="1984" spans="2:14" ht="13.5" thickBot="1">
      <c r="B1984" s="1150" t="s">
        <v>291</v>
      </c>
      <c r="C1984" s="1151"/>
      <c r="D1984" s="1151"/>
      <c r="E1984" s="1151"/>
      <c r="F1984" s="1151"/>
      <c r="G1984" s="1151"/>
      <c r="H1984" s="1151"/>
      <c r="I1984" s="1151"/>
      <c r="J1984" s="1151"/>
      <c r="K1984" s="1151"/>
      <c r="L1984" s="1151"/>
      <c r="M1984" s="1152"/>
      <c r="N1984" s="336">
        <f>+N1953+N1960+N1966+N1973+N1981+N1977</f>
        <v>45941.308646263707</v>
      </c>
    </row>
    <row r="1985" spans="2:14">
      <c r="B1985" s="1103" t="s">
        <v>292</v>
      </c>
      <c r="C1985" s="1104"/>
      <c r="D1985" s="1104"/>
      <c r="E1985" s="1104"/>
      <c r="F1985" s="1104"/>
      <c r="G1985" s="1104"/>
      <c r="H1985" s="1104"/>
      <c r="I1985" s="1104"/>
      <c r="J1985" s="1104"/>
      <c r="K1985" s="1104"/>
      <c r="L1985" s="1104"/>
      <c r="M1985" s="1104"/>
      <c r="N1985" s="1105"/>
    </row>
    <row r="1986" spans="2:14">
      <c r="B1986" s="1106"/>
      <c r="C1986" s="1107"/>
      <c r="D1986" s="1107"/>
      <c r="E1986" s="1107"/>
      <c r="F1986" s="1107"/>
      <c r="G1986" s="1107"/>
      <c r="H1986" s="1107"/>
      <c r="I1986" s="1107"/>
      <c r="J1986" s="1107"/>
      <c r="K1986" s="1107"/>
      <c r="L1986" s="1107"/>
      <c r="M1986" s="1107"/>
      <c r="N1986" s="1108"/>
    </row>
    <row r="1987" spans="2:14" ht="13.5" thickBot="1">
      <c r="B1987" s="1109"/>
      <c r="C1987" s="1110"/>
      <c r="D1987" s="1110"/>
      <c r="E1987" s="1110"/>
      <c r="F1987" s="1110"/>
      <c r="G1987" s="1110"/>
      <c r="H1987" s="1110"/>
      <c r="I1987" s="1110"/>
      <c r="J1987" s="1110"/>
      <c r="K1987" s="1110"/>
      <c r="L1987" s="1110"/>
      <c r="M1987" s="1110"/>
      <c r="N1987" s="1111"/>
    </row>
    <row r="1988" spans="2:14">
      <c r="B1988" s="1130" t="s">
        <v>17</v>
      </c>
      <c r="C1988" s="1139"/>
      <c r="D1988" s="1139"/>
      <c r="E1988" s="1139"/>
      <c r="F1988" s="1139"/>
      <c r="G1988" s="1139"/>
      <c r="H1988" s="1139"/>
      <c r="I1988" s="306"/>
      <c r="J1988" s="337"/>
      <c r="K1988" s="315" t="s">
        <v>79</v>
      </c>
      <c r="L1988" s="1140" t="s">
        <v>11</v>
      </c>
      <c r="M1988" s="1141"/>
      <c r="N1988" s="316"/>
    </row>
    <row r="1989" spans="2:14">
      <c r="B1989" s="1112" t="s">
        <v>232</v>
      </c>
      <c r="C1989" s="1113"/>
      <c r="D1989" s="1113"/>
      <c r="E1989" s="1113"/>
      <c r="F1989" s="1113"/>
      <c r="G1989" s="1113"/>
      <c r="H1989" s="1113"/>
      <c r="I1989" s="338"/>
      <c r="J1989" s="339"/>
      <c r="K1989" s="340">
        <f>'PRESUPUESTO OFICIAL'!$K$100</f>
        <v>0</v>
      </c>
      <c r="L1989" s="1146">
        <f>K1989*N1984</f>
        <v>0</v>
      </c>
      <c r="M1989" s="1147"/>
      <c r="N1989" s="341"/>
    </row>
    <row r="1990" spans="2:14">
      <c r="B1990" s="292" t="s">
        <v>293</v>
      </c>
      <c r="C1990" s="293"/>
      <c r="D1990" s="293"/>
      <c r="E1990" s="293"/>
      <c r="F1990" s="293"/>
      <c r="G1990" s="293"/>
      <c r="H1990" s="293"/>
      <c r="I1990" s="338"/>
      <c r="J1990" s="339"/>
      <c r="K1990" s="340">
        <f>'PRESUPUESTO OFICIAL'!$K$101</f>
        <v>0</v>
      </c>
      <c r="L1990" s="1146">
        <f>K1990*N1984</f>
        <v>0</v>
      </c>
      <c r="M1990" s="1147"/>
      <c r="N1990" s="341"/>
    </row>
    <row r="1991" spans="2:14" ht="13.5" thickBot="1">
      <c r="B1991" s="277" t="s">
        <v>294</v>
      </c>
      <c r="C1991" s="278"/>
      <c r="D1991" s="278"/>
      <c r="E1991" s="278"/>
      <c r="F1991" s="278"/>
      <c r="G1991" s="278"/>
      <c r="H1991" s="278"/>
      <c r="I1991" s="342"/>
      <c r="J1991" s="343"/>
      <c r="K1991" s="340">
        <f>'PRESUPUESTO OFICIAL'!$K$102</f>
        <v>0</v>
      </c>
      <c r="L1991" s="1148">
        <f>K1991*N1984</f>
        <v>0</v>
      </c>
      <c r="M1991" s="1149"/>
      <c r="N1991" s="341"/>
    </row>
    <row r="1992" spans="2:14" ht="13.5" thickBot="1">
      <c r="B1992" s="1100" t="s">
        <v>269</v>
      </c>
      <c r="C1992" s="1101"/>
      <c r="D1992" s="1101"/>
      <c r="E1992" s="1101"/>
      <c r="F1992" s="1101"/>
      <c r="G1992" s="1101"/>
      <c r="H1992" s="1101"/>
      <c r="I1992" s="1101"/>
      <c r="J1992" s="1101"/>
      <c r="K1992" s="1101"/>
      <c r="L1992" s="1101"/>
      <c r="M1992" s="1102"/>
      <c r="N1992" s="344">
        <f>SUM(L1989:M1991)</f>
        <v>0</v>
      </c>
    </row>
    <row r="1993" spans="2:14" ht="13.5" thickBot="1">
      <c r="B1993" s="283"/>
      <c r="N1993" s="284"/>
    </row>
    <row r="1994" spans="2:14" ht="13.5" thickBot="1">
      <c r="B1994" s="1150" t="s">
        <v>295</v>
      </c>
      <c r="C1994" s="1151"/>
      <c r="D1994" s="1151"/>
      <c r="E1994" s="1151"/>
      <c r="F1994" s="1151"/>
      <c r="G1994" s="1151"/>
      <c r="H1994" s="1151"/>
      <c r="I1994" s="1151"/>
      <c r="J1994" s="1151"/>
      <c r="K1994" s="1151"/>
      <c r="L1994" s="1151"/>
      <c r="M1994" s="1152"/>
      <c r="N1994" s="345">
        <f>ROUND(N1984+N1992,0)</f>
        <v>45941</v>
      </c>
    </row>
    <row r="1995" spans="2:14">
      <c r="B1995" s="280"/>
      <c r="C1995" s="281"/>
      <c r="D1995" s="281"/>
      <c r="E1995" s="281"/>
      <c r="F1995" s="281"/>
      <c r="G1995" s="281"/>
      <c r="H1995" s="281"/>
      <c r="I1995" s="281"/>
      <c r="J1995" s="281"/>
      <c r="K1995" s="281"/>
      <c r="L1995" s="281"/>
      <c r="M1995" s="281"/>
      <c r="N1995" s="282"/>
    </row>
    <row r="1996" spans="2:14">
      <c r="B1996" s="283"/>
      <c r="N1996" s="284"/>
    </row>
    <row r="1997" spans="2:14">
      <c r="B1997" s="283"/>
      <c r="N1997" s="284"/>
    </row>
    <row r="1998" spans="2:14">
      <c r="B1998" s="283"/>
      <c r="G1998" s="346" t="s">
        <v>296</v>
      </c>
      <c r="H1998" s="346"/>
      <c r="I1998" s="346"/>
      <c r="J1998" s="346"/>
      <c r="N1998" s="284"/>
    </row>
    <row r="1999" spans="2:14">
      <c r="B1999" s="347"/>
      <c r="C1999" s="348"/>
      <c r="D1999" s="348"/>
      <c r="E1999" s="348"/>
      <c r="F1999" s="348"/>
      <c r="G1999" s="346" t="s">
        <v>297</v>
      </c>
      <c r="H1999" s="348"/>
      <c r="I1999" s="348"/>
      <c r="J1999" s="348"/>
      <c r="K1999" s="348"/>
      <c r="L1999" s="348"/>
      <c r="M1999" s="348"/>
      <c r="N1999" s="349"/>
    </row>
    <row r="2000" spans="2:14">
      <c r="B2000" s="347"/>
      <c r="C2000" s="348"/>
      <c r="D2000" s="348"/>
      <c r="E2000" s="348"/>
      <c r="F2000" s="348"/>
      <c r="G2000" s="346" t="s">
        <v>298</v>
      </c>
      <c r="J2000" s="348"/>
      <c r="K2000" s="348"/>
      <c r="L2000" s="348"/>
      <c r="M2000" s="348"/>
      <c r="N2000" s="349"/>
    </row>
    <row r="2001" spans="2:14">
      <c r="B2001" s="268"/>
      <c r="C2001" s="350"/>
      <c r="D2001" s="350"/>
      <c r="E2001" s="350"/>
      <c r="F2001" s="350"/>
      <c r="G2001" s="346" t="s">
        <v>299</v>
      </c>
      <c r="H2001" s="350"/>
      <c r="I2001" s="350"/>
      <c r="J2001" s="350"/>
      <c r="K2001" s="350"/>
      <c r="L2001" s="350"/>
      <c r="M2001" s="350"/>
      <c r="N2001" s="351"/>
    </row>
    <row r="2002" spans="2:14">
      <c r="B2002" s="283"/>
      <c r="G2002" s="258" t="s">
        <v>300</v>
      </c>
      <c r="N2002" s="284"/>
    </row>
    <row r="2003" spans="2:14">
      <c r="B2003" s="352" t="s">
        <v>301</v>
      </c>
      <c r="C2003" s="353"/>
      <c r="D2003" s="353"/>
      <c r="E2003" s="353"/>
      <c r="F2003" s="353"/>
      <c r="G2003" s="353"/>
      <c r="H2003" s="353"/>
      <c r="I2003" s="353"/>
      <c r="J2003" s="353"/>
      <c r="K2003" s="353"/>
      <c r="L2003" s="353"/>
      <c r="M2003" s="353"/>
      <c r="N2003" s="354"/>
    </row>
    <row r="2004" spans="2:14">
      <c r="B2004" s="1153"/>
      <c r="C2004" s="1154"/>
      <c r="D2004" s="1154"/>
      <c r="E2004" s="1154"/>
      <c r="F2004" s="1154"/>
      <c r="G2004" s="1154"/>
      <c r="H2004" s="1154"/>
      <c r="I2004" s="1154"/>
      <c r="J2004" s="1154"/>
      <c r="K2004" s="1154"/>
      <c r="L2004" s="1154"/>
      <c r="M2004" s="1154"/>
      <c r="N2004" s="1155"/>
    </row>
    <row r="2005" spans="2:14">
      <c r="B2005" s="1153"/>
      <c r="C2005" s="1154"/>
      <c r="D2005" s="1154"/>
      <c r="E2005" s="1154"/>
      <c r="F2005" s="1154"/>
      <c r="G2005" s="1154"/>
      <c r="H2005" s="1154"/>
      <c r="I2005" s="1154"/>
      <c r="J2005" s="1154"/>
      <c r="K2005" s="1154"/>
      <c r="L2005" s="1154"/>
      <c r="M2005" s="1154"/>
      <c r="N2005" s="1155"/>
    </row>
    <row r="2006" spans="2:14">
      <c r="B2006" s="268"/>
      <c r="C2006" s="350"/>
      <c r="D2006" s="350"/>
      <c r="E2006" s="350"/>
      <c r="F2006" s="350"/>
      <c r="G2006" s="350"/>
      <c r="H2006" s="350"/>
      <c r="I2006" s="350"/>
      <c r="J2006" s="350"/>
      <c r="K2006" s="350"/>
      <c r="L2006" s="350"/>
      <c r="M2006" s="350"/>
      <c r="N2006" s="351"/>
    </row>
    <row r="2007" spans="2:14">
      <c r="B2007" s="355" t="s">
        <v>302</v>
      </c>
      <c r="C2007" s="350"/>
      <c r="D2007" s="350"/>
      <c r="E2007" s="350"/>
      <c r="F2007" s="350"/>
      <c r="G2007" s="350"/>
      <c r="H2007" s="350"/>
      <c r="I2007" s="350"/>
      <c r="J2007" s="350"/>
      <c r="K2007" s="350"/>
      <c r="L2007" s="350"/>
      <c r="M2007" s="350"/>
      <c r="N2007" s="351"/>
    </row>
    <row r="2008" spans="2:14">
      <c r="B2008" s="1159" t="s">
        <v>303</v>
      </c>
      <c r="C2008" s="1160"/>
      <c r="D2008" s="1160"/>
      <c r="E2008" s="1160"/>
      <c r="F2008" s="1160"/>
      <c r="G2008" s="1160"/>
      <c r="H2008" s="1160"/>
      <c r="I2008" s="1160"/>
      <c r="J2008" s="1160"/>
      <c r="K2008" s="1160"/>
      <c r="L2008" s="1160"/>
      <c r="M2008" s="1160"/>
      <c r="N2008" s="1161"/>
    </row>
    <row r="2009" spans="2:14">
      <c r="B2009" s="1159"/>
      <c r="C2009" s="1160"/>
      <c r="D2009" s="1160"/>
      <c r="E2009" s="1160"/>
      <c r="F2009" s="1160"/>
      <c r="G2009" s="1160"/>
      <c r="H2009" s="1160"/>
      <c r="I2009" s="1160"/>
      <c r="J2009" s="1160"/>
      <c r="K2009" s="1160"/>
      <c r="L2009" s="1160"/>
      <c r="M2009" s="1160"/>
      <c r="N2009" s="1161"/>
    </row>
    <row r="2010" spans="2:14">
      <c r="B2010" s="1159" t="s">
        <v>304</v>
      </c>
      <c r="C2010" s="1160"/>
      <c r="D2010" s="1160"/>
      <c r="E2010" s="1160"/>
      <c r="F2010" s="1160"/>
      <c r="G2010" s="1160"/>
      <c r="H2010" s="1160"/>
      <c r="I2010" s="1160"/>
      <c r="J2010" s="1160"/>
      <c r="K2010" s="1160"/>
      <c r="L2010" s="1160"/>
      <c r="M2010" s="1160"/>
      <c r="N2010" s="1161"/>
    </row>
    <row r="2011" spans="2:14">
      <c r="B2011" s="1159"/>
      <c r="C2011" s="1160"/>
      <c r="D2011" s="1160"/>
      <c r="E2011" s="1160"/>
      <c r="F2011" s="1160"/>
      <c r="G2011" s="1160"/>
      <c r="H2011" s="1160"/>
      <c r="I2011" s="1160"/>
      <c r="J2011" s="1160"/>
      <c r="K2011" s="1160"/>
      <c r="L2011" s="1160"/>
      <c r="M2011" s="1160"/>
      <c r="N2011" s="1161"/>
    </row>
    <row r="2012" spans="2:14">
      <c r="B2012" s="268"/>
      <c r="C2012" s="350"/>
      <c r="D2012" s="350"/>
      <c r="E2012" s="350"/>
      <c r="F2012" s="350"/>
      <c r="G2012" s="350"/>
      <c r="H2012" s="350"/>
      <c r="I2012" s="350"/>
      <c r="J2012" s="350"/>
      <c r="K2012" s="350"/>
      <c r="L2012" s="350"/>
      <c r="M2012" s="350"/>
      <c r="N2012" s="351"/>
    </row>
    <row r="2013" spans="2:14">
      <c r="B2013" s="283"/>
      <c r="G2013" s="346" t="s">
        <v>296</v>
      </c>
      <c r="N2013" s="284"/>
    </row>
    <row r="2014" spans="2:14">
      <c r="B2014" s="283"/>
      <c r="G2014" s="258" t="s">
        <v>305</v>
      </c>
      <c r="H2014" s="293"/>
      <c r="I2014" s="293"/>
      <c r="J2014" s="293"/>
      <c r="N2014" s="284"/>
    </row>
    <row r="2015" spans="2:14">
      <c r="B2015" s="283"/>
      <c r="G2015" s="258" t="s">
        <v>306</v>
      </c>
      <c r="H2015" s="325"/>
      <c r="I2015" s="325"/>
      <c r="J2015" s="325"/>
      <c r="N2015" s="284"/>
    </row>
    <row r="2016" spans="2:14">
      <c r="B2016" s="356"/>
      <c r="C2016" s="350"/>
      <c r="D2016" s="350"/>
      <c r="E2016" s="350"/>
      <c r="F2016" s="350"/>
      <c r="G2016" s="258" t="s">
        <v>299</v>
      </c>
      <c r="K2016" s="350"/>
      <c r="L2016" s="350"/>
      <c r="M2016" s="350"/>
      <c r="N2016" s="351"/>
    </row>
    <row r="2017" spans="2:14">
      <c r="B2017" s="357"/>
      <c r="C2017" s="358"/>
      <c r="D2017" s="358"/>
      <c r="J2017" s="1162"/>
      <c r="K2017" s="1162"/>
      <c r="L2017" s="1162"/>
      <c r="M2017" s="1162"/>
      <c r="N2017" s="1163"/>
    </row>
    <row r="2018" spans="2:14" ht="13.5" thickBot="1">
      <c r="B2018" s="1166"/>
      <c r="C2018" s="1167"/>
      <c r="D2018" s="1167"/>
      <c r="E2018" s="311"/>
      <c r="F2018" s="311"/>
      <c r="G2018" s="311"/>
      <c r="H2018" s="311"/>
      <c r="I2018" s="311"/>
      <c r="J2018" s="1164"/>
      <c r="K2018" s="1164"/>
      <c r="L2018" s="1164"/>
      <c r="M2018" s="1164"/>
      <c r="N2018" s="1165"/>
    </row>
    <row r="2019" spans="2:14" ht="13.5" thickBot="1"/>
    <row r="2020" spans="2:14">
      <c r="B2020" s="1070"/>
      <c r="C2020" s="1072"/>
      <c r="D2020" s="1073"/>
      <c r="E2020" s="1073"/>
      <c r="F2020" s="1073"/>
      <c r="G2020" s="1073"/>
      <c r="H2020" s="1073"/>
      <c r="I2020" s="1073"/>
      <c r="J2020" s="1074"/>
      <c r="K2020" s="1075"/>
      <c r="L2020" s="1076"/>
      <c r="M2020" s="1076"/>
      <c r="N2020" s="1077"/>
    </row>
    <row r="2021" spans="2:14">
      <c r="B2021" s="1071"/>
      <c r="C2021" s="1062" t="s">
        <v>244</v>
      </c>
      <c r="D2021" s="1063"/>
      <c r="E2021" s="1063"/>
      <c r="F2021" s="1063"/>
      <c r="G2021" s="1063"/>
      <c r="H2021" s="1063"/>
      <c r="I2021" s="1063"/>
      <c r="J2021" s="1064"/>
      <c r="K2021" s="1078"/>
      <c r="L2021" s="1079"/>
      <c r="M2021" s="1079"/>
      <c r="N2021" s="1080"/>
    </row>
    <row r="2022" spans="2:14">
      <c r="B2022" s="1071"/>
      <c r="C2022" s="1081"/>
      <c r="D2022" s="1082"/>
      <c r="E2022" s="1082"/>
      <c r="F2022" s="1082"/>
      <c r="G2022" s="1082"/>
      <c r="H2022" s="1082"/>
      <c r="I2022" s="1082"/>
      <c r="J2022" s="1083"/>
      <c r="K2022" s="1058" t="s">
        <v>245</v>
      </c>
      <c r="L2022" s="1085"/>
      <c r="M2022" s="1086"/>
      <c r="N2022" s="1087"/>
    </row>
    <row r="2023" spans="2:14">
      <c r="B2023" s="1071"/>
      <c r="C2023" s="1062" t="s">
        <v>246</v>
      </c>
      <c r="D2023" s="1063"/>
      <c r="E2023" s="1063"/>
      <c r="F2023" s="1063"/>
      <c r="G2023" s="1063"/>
      <c r="H2023" s="1063"/>
      <c r="I2023" s="1063"/>
      <c r="J2023" s="1064"/>
      <c r="K2023" s="1084"/>
      <c r="L2023" s="1088"/>
      <c r="M2023" s="1089"/>
      <c r="N2023" s="1090"/>
    </row>
    <row r="2024" spans="2:14">
      <c r="B2024" s="1071"/>
      <c r="C2024" s="1091"/>
      <c r="D2024" s="1092"/>
      <c r="E2024" s="1092"/>
      <c r="F2024" s="1092"/>
      <c r="G2024" s="1092"/>
      <c r="H2024" s="1092"/>
      <c r="I2024" s="1092"/>
      <c r="J2024" s="1093"/>
      <c r="K2024" s="1058" t="s">
        <v>247</v>
      </c>
      <c r="L2024" s="1058">
        <v>23</v>
      </c>
      <c r="M2024" s="1058" t="s">
        <v>248</v>
      </c>
      <c r="N2024" s="1060">
        <v>80</v>
      </c>
    </row>
    <row r="2025" spans="2:14">
      <c r="B2025" s="1071"/>
      <c r="C2025" s="1091"/>
      <c r="D2025" s="1092"/>
      <c r="E2025" s="1092"/>
      <c r="F2025" s="1092"/>
      <c r="G2025" s="1092"/>
      <c r="H2025" s="1092"/>
      <c r="I2025" s="1092"/>
      <c r="J2025" s="1093"/>
      <c r="K2025" s="1059"/>
      <c r="L2025" s="1059"/>
      <c r="M2025" s="1059"/>
      <c r="N2025" s="1061"/>
    </row>
    <row r="2026" spans="2:14">
      <c r="B2026" s="1071"/>
      <c r="C2026" s="1062" t="s">
        <v>249</v>
      </c>
      <c r="D2026" s="1063"/>
      <c r="E2026" s="1063"/>
      <c r="F2026" s="1063"/>
      <c r="G2026" s="1063"/>
      <c r="H2026" s="1063"/>
      <c r="I2026" s="1063"/>
      <c r="J2026" s="1064"/>
      <c r="K2026" s="1059"/>
      <c r="L2026" s="1059"/>
      <c r="M2026" s="1059"/>
      <c r="N2026" s="1061"/>
    </row>
    <row r="2027" spans="2:14" ht="13.5" thickBot="1">
      <c r="B2027" s="259"/>
      <c r="C2027" s="260"/>
      <c r="D2027" s="260"/>
      <c r="E2027" s="260"/>
      <c r="F2027" s="260"/>
      <c r="G2027" s="260"/>
      <c r="H2027" s="260"/>
      <c r="I2027" s="260"/>
      <c r="J2027" s="260"/>
      <c r="K2027" s="260"/>
      <c r="L2027" s="261"/>
      <c r="M2027" s="261"/>
      <c r="N2027" s="262"/>
    </row>
    <row r="2028" spans="2:14">
      <c r="B2028" s="263"/>
      <c r="C2028" s="264"/>
      <c r="D2028" s="264"/>
      <c r="E2028" s="264"/>
      <c r="F2028" s="264"/>
      <c r="G2028" s="264"/>
      <c r="H2028" s="264"/>
      <c r="I2028" s="264"/>
      <c r="J2028" s="264"/>
      <c r="K2028" s="265" t="s">
        <v>250</v>
      </c>
      <c r="L2028" s="266" t="s">
        <v>251</v>
      </c>
      <c r="M2028" s="266" t="s">
        <v>252</v>
      </c>
      <c r="N2028" s="267" t="s">
        <v>253</v>
      </c>
    </row>
    <row r="2029" spans="2:14">
      <c r="B2029" s="268"/>
      <c r="C2029" s="269"/>
      <c r="D2029" s="269"/>
      <c r="E2029" s="269"/>
      <c r="F2029" s="269"/>
      <c r="G2029" s="269"/>
      <c r="H2029" s="269"/>
      <c r="I2029" s="269"/>
      <c r="J2029" s="269"/>
      <c r="K2029" s="270"/>
      <c r="L2029" s="271"/>
      <c r="M2029" s="271"/>
      <c r="N2029" s="272"/>
    </row>
    <row r="2030" spans="2:14">
      <c r="B2030" s="1065" t="s">
        <v>254</v>
      </c>
      <c r="C2030" s="1066"/>
      <c r="D2030" s="1066"/>
      <c r="E2030" s="1066"/>
      <c r="F2030" s="269"/>
      <c r="G2030" s="269"/>
      <c r="H2030" s="269" t="s">
        <v>255</v>
      </c>
      <c r="J2030" s="269"/>
      <c r="K2030" s="270"/>
      <c r="N2030" s="273"/>
    </row>
    <row r="2031" spans="2:14">
      <c r="B2031" s="274"/>
      <c r="C2031" s="275"/>
      <c r="D2031" s="275"/>
      <c r="E2031" s="275"/>
      <c r="F2031" s="275"/>
      <c r="G2031" s="275"/>
      <c r="H2031" s="275"/>
      <c r="I2031" s="275"/>
      <c r="J2031" s="275"/>
      <c r="K2031" s="275"/>
      <c r="L2031" s="275"/>
      <c r="M2031" s="275"/>
      <c r="N2031" s="276"/>
    </row>
    <row r="2032" spans="2:14" ht="13.5" thickBot="1">
      <c r="B2032" s="277"/>
      <c r="C2032" s="278"/>
      <c r="D2032" s="278"/>
      <c r="E2032" s="278"/>
      <c r="F2032" s="278"/>
      <c r="G2032" s="278"/>
      <c r="H2032" s="278"/>
      <c r="I2032" s="278"/>
      <c r="J2032" s="278"/>
      <c r="K2032" s="278"/>
      <c r="L2032" s="278"/>
      <c r="M2032" s="278"/>
      <c r="N2032" s="279"/>
    </row>
    <row r="2033" spans="2:14" ht="13.5" thickBot="1">
      <c r="B2033" s="280"/>
      <c r="C2033" s="281"/>
      <c r="D2033" s="281"/>
      <c r="E2033" s="281"/>
      <c r="F2033" s="281"/>
      <c r="G2033" s="281"/>
      <c r="J2033" s="281"/>
      <c r="K2033" s="281"/>
      <c r="L2033" s="281"/>
      <c r="M2033" s="281"/>
      <c r="N2033" s="282"/>
    </row>
    <row r="2034" spans="2:14">
      <c r="B2034" s="1067" t="s">
        <v>256</v>
      </c>
      <c r="C2034" s="1068"/>
      <c r="D2034" s="1068"/>
      <c r="E2034" s="1068"/>
      <c r="F2034" s="1068"/>
      <c r="G2034" s="1068"/>
      <c r="H2034" s="1068"/>
      <c r="I2034" s="1068"/>
      <c r="J2034" s="1068"/>
      <c r="K2034" s="1068"/>
      <c r="L2034" s="1068"/>
      <c r="M2034" s="1068"/>
      <c r="N2034" s="1069"/>
    </row>
    <row r="2035" spans="2:14" ht="13.5" thickBot="1">
      <c r="B2035" s="283"/>
      <c r="N2035" s="284"/>
    </row>
    <row r="2036" spans="2:14">
      <c r="B2036" s="285" t="s">
        <v>257</v>
      </c>
      <c r="C2036" s="1120" t="s">
        <v>258</v>
      </c>
      <c r="D2036" s="1121"/>
      <c r="E2036" s="1121"/>
      <c r="F2036" s="1121"/>
      <c r="G2036" s="1121"/>
      <c r="H2036" s="1121"/>
      <c r="I2036" s="1121"/>
      <c r="J2036" s="1121"/>
      <c r="K2036" s="1122"/>
      <c r="L2036" s="1123" t="s">
        <v>259</v>
      </c>
      <c r="M2036" s="1124"/>
      <c r="N2036" s="285" t="s">
        <v>133</v>
      </c>
    </row>
    <row r="2037" spans="2:14" ht="26.25" customHeight="1" thickBot="1">
      <c r="B2037" s="286">
        <v>23</v>
      </c>
      <c r="C2037" s="1125" t="s">
        <v>164</v>
      </c>
      <c r="D2037" s="1126"/>
      <c r="E2037" s="1126"/>
      <c r="F2037" s="1126"/>
      <c r="G2037" s="1126"/>
      <c r="H2037" s="1126"/>
      <c r="I2037" s="1126"/>
      <c r="J2037" s="1126"/>
      <c r="K2037" s="1127"/>
      <c r="L2037" s="1128" t="s">
        <v>147</v>
      </c>
      <c r="M2037" s="1129"/>
      <c r="N2037" s="366">
        <v>10</v>
      </c>
    </row>
    <row r="2038" spans="2:14">
      <c r="B2038" s="1103" t="s">
        <v>260</v>
      </c>
      <c r="C2038" s="1104"/>
      <c r="D2038" s="1104"/>
      <c r="E2038" s="1104"/>
      <c r="F2038" s="1104"/>
      <c r="G2038" s="1104"/>
      <c r="H2038" s="1104"/>
      <c r="I2038" s="1104"/>
      <c r="J2038" s="1104"/>
      <c r="K2038" s="1104"/>
      <c r="L2038" s="1104"/>
      <c r="M2038" s="1104"/>
      <c r="N2038" s="1105"/>
    </row>
    <row r="2039" spans="2:14">
      <c r="B2039" s="1106"/>
      <c r="C2039" s="1107"/>
      <c r="D2039" s="1107"/>
      <c r="E2039" s="1107"/>
      <c r="F2039" s="1107"/>
      <c r="G2039" s="1107"/>
      <c r="H2039" s="1107"/>
      <c r="I2039" s="1107"/>
      <c r="J2039" s="1107"/>
      <c r="K2039" s="1107"/>
      <c r="L2039" s="1107"/>
      <c r="M2039" s="1107"/>
      <c r="N2039" s="1108"/>
    </row>
    <row r="2040" spans="2:14" ht="13.5" thickBot="1">
      <c r="B2040" s="1109"/>
      <c r="C2040" s="1110"/>
      <c r="D2040" s="1110"/>
      <c r="E2040" s="1110"/>
      <c r="F2040" s="1110"/>
      <c r="G2040" s="1110"/>
      <c r="H2040" s="1110"/>
      <c r="I2040" s="1110"/>
      <c r="J2040" s="1110"/>
      <c r="K2040" s="1110"/>
      <c r="L2040" s="1110"/>
      <c r="M2040" s="1110"/>
      <c r="N2040" s="1111"/>
    </row>
    <row r="2041" spans="2:14">
      <c r="B2041" s="1130" t="s">
        <v>258</v>
      </c>
      <c r="C2041" s="1131"/>
      <c r="D2041" s="1131"/>
      <c r="E2041" s="1131"/>
      <c r="F2041" s="1132"/>
      <c r="G2041" s="1133" t="s">
        <v>261</v>
      </c>
      <c r="H2041" s="1131"/>
      <c r="I2041" s="1134" t="s">
        <v>262</v>
      </c>
      <c r="J2041" s="1135"/>
      <c r="K2041" s="288" t="s">
        <v>263</v>
      </c>
      <c r="L2041" s="1133" t="s">
        <v>264</v>
      </c>
      <c r="M2041" s="1136"/>
      <c r="N2041" s="289" t="s">
        <v>265</v>
      </c>
    </row>
    <row r="2042" spans="2:14">
      <c r="B2042" s="1179"/>
      <c r="C2042" s="1180"/>
      <c r="D2042" s="1180"/>
      <c r="E2042" s="1180"/>
      <c r="F2042" s="1181"/>
      <c r="G2042" s="1115"/>
      <c r="H2042" s="1114"/>
      <c r="I2042" s="1182"/>
      <c r="J2042" s="1183"/>
      <c r="K2042" s="290"/>
      <c r="L2042" s="1118"/>
      <c r="M2042" s="1119"/>
      <c r="N2042" s="290"/>
    </row>
    <row r="2043" spans="2:14" ht="13.5" thickBot="1">
      <c r="B2043" s="1179"/>
      <c r="C2043" s="1180"/>
      <c r="D2043" s="1180"/>
      <c r="E2043" s="1180"/>
      <c r="F2043" s="1181"/>
      <c r="G2043" s="295"/>
      <c r="H2043" s="294"/>
      <c r="I2043" s="1182"/>
      <c r="J2043" s="1183"/>
      <c r="K2043" s="290"/>
      <c r="L2043" s="1118"/>
      <c r="M2043" s="1119"/>
      <c r="N2043" s="290"/>
    </row>
    <row r="2044" spans="2:14" ht="13.5" thickBot="1">
      <c r="B2044" s="1100" t="s">
        <v>269</v>
      </c>
      <c r="C2044" s="1101"/>
      <c r="D2044" s="1101"/>
      <c r="E2044" s="1101"/>
      <c r="F2044" s="1101"/>
      <c r="G2044" s="1101"/>
      <c r="H2044" s="1101"/>
      <c r="I2044" s="1101"/>
      <c r="J2044" s="1101"/>
      <c r="K2044" s="1101"/>
      <c r="L2044" s="1101"/>
      <c r="M2044" s="1102"/>
      <c r="N2044" s="323">
        <f>+N2042+N2043</f>
        <v>0</v>
      </c>
    </row>
    <row r="2045" spans="2:14">
      <c r="B2045" s="1103" t="s">
        <v>270</v>
      </c>
      <c r="C2045" s="1104"/>
      <c r="D2045" s="1104"/>
      <c r="E2045" s="1104"/>
      <c r="F2045" s="1104"/>
      <c r="G2045" s="1104"/>
      <c r="H2045" s="1104"/>
      <c r="I2045" s="1104"/>
      <c r="J2045" s="1104"/>
      <c r="K2045" s="1104"/>
      <c r="L2045" s="1104"/>
      <c r="M2045" s="1104"/>
      <c r="N2045" s="1105"/>
    </row>
    <row r="2046" spans="2:14">
      <c r="B2046" s="1106"/>
      <c r="C2046" s="1107"/>
      <c r="D2046" s="1107"/>
      <c r="E2046" s="1107"/>
      <c r="F2046" s="1107"/>
      <c r="G2046" s="1107"/>
      <c r="H2046" s="1107"/>
      <c r="I2046" s="1107"/>
      <c r="J2046" s="1107"/>
      <c r="K2046" s="1107"/>
      <c r="L2046" s="1107"/>
      <c r="M2046" s="1107"/>
      <c r="N2046" s="1108"/>
    </row>
    <row r="2047" spans="2:14" ht="13.5" thickBot="1">
      <c r="B2047" s="1109"/>
      <c r="C2047" s="1110"/>
      <c r="D2047" s="1110"/>
      <c r="E2047" s="1110"/>
      <c r="F2047" s="1110"/>
      <c r="G2047" s="1110"/>
      <c r="H2047" s="1110"/>
      <c r="I2047" s="1110"/>
      <c r="J2047" s="1110"/>
      <c r="K2047" s="1110"/>
      <c r="L2047" s="1110"/>
      <c r="M2047" s="1110"/>
      <c r="N2047" s="1111"/>
    </row>
    <row r="2048" spans="2:14">
      <c r="B2048" s="1130" t="s">
        <v>258</v>
      </c>
      <c r="C2048" s="1139"/>
      <c r="D2048" s="1139"/>
      <c r="E2048" s="1139"/>
      <c r="F2048" s="1139"/>
      <c r="G2048" s="1139"/>
      <c r="H2048" s="1139"/>
      <c r="I2048" s="1136"/>
      <c r="J2048" s="299" t="s">
        <v>259</v>
      </c>
      <c r="K2048" s="288" t="s">
        <v>133</v>
      </c>
      <c r="L2048" s="1133" t="s">
        <v>271</v>
      </c>
      <c r="M2048" s="1136"/>
      <c r="N2048" s="289" t="s">
        <v>265</v>
      </c>
    </row>
    <row r="2049" spans="2:14">
      <c r="B2049" s="1112"/>
      <c r="C2049" s="1113"/>
      <c r="D2049" s="1113"/>
      <c r="E2049" s="1113"/>
      <c r="F2049" s="1113"/>
      <c r="G2049" s="1113"/>
      <c r="H2049" s="1113"/>
      <c r="I2049" s="1114"/>
      <c r="J2049" s="300"/>
      <c r="K2049" s="301"/>
      <c r="L2049" s="1144"/>
      <c r="M2049" s="1145"/>
      <c r="N2049" s="363"/>
    </row>
    <row r="2050" spans="2:14" ht="13.5" thickBot="1">
      <c r="B2050" s="1094"/>
      <c r="C2050" s="1095"/>
      <c r="D2050" s="1095"/>
      <c r="E2050" s="1095"/>
      <c r="F2050" s="1095"/>
      <c r="G2050" s="1095"/>
      <c r="H2050" s="1095"/>
      <c r="I2050" s="1096"/>
      <c r="J2050" s="303"/>
      <c r="K2050" s="304"/>
      <c r="L2050" s="1144"/>
      <c r="M2050" s="1145"/>
      <c r="N2050" s="363"/>
    </row>
    <row r="2051" spans="2:14" ht="13.5" thickBot="1">
      <c r="B2051" s="1100" t="s">
        <v>269</v>
      </c>
      <c r="C2051" s="1101"/>
      <c r="D2051" s="1101"/>
      <c r="E2051" s="1101"/>
      <c r="F2051" s="1101"/>
      <c r="G2051" s="1101"/>
      <c r="H2051" s="1101"/>
      <c r="I2051" s="1101"/>
      <c r="J2051" s="1101"/>
      <c r="K2051" s="1101"/>
      <c r="L2051" s="1101"/>
      <c r="M2051" s="1102"/>
      <c r="N2051" s="323">
        <f>+N2049</f>
        <v>0</v>
      </c>
    </row>
    <row r="2052" spans="2:14">
      <c r="B2052" s="1103" t="s">
        <v>276</v>
      </c>
      <c r="C2052" s="1104"/>
      <c r="D2052" s="1104"/>
      <c r="E2052" s="1104"/>
      <c r="F2052" s="1104"/>
      <c r="G2052" s="1104"/>
      <c r="H2052" s="1104"/>
      <c r="I2052" s="1104"/>
      <c r="J2052" s="1104"/>
      <c r="K2052" s="1104"/>
      <c r="L2052" s="1104"/>
      <c r="M2052" s="1104"/>
      <c r="N2052" s="1105"/>
    </row>
    <row r="2053" spans="2:14">
      <c r="B2053" s="1106"/>
      <c r="C2053" s="1107"/>
      <c r="D2053" s="1107"/>
      <c r="E2053" s="1107"/>
      <c r="F2053" s="1107"/>
      <c r="G2053" s="1107"/>
      <c r="H2053" s="1107"/>
      <c r="I2053" s="1107"/>
      <c r="J2053" s="1107"/>
      <c r="K2053" s="1107"/>
      <c r="L2053" s="1107"/>
      <c r="M2053" s="1107"/>
      <c r="N2053" s="1108"/>
    </row>
    <row r="2054" spans="2:14" ht="13.5" thickBot="1">
      <c r="B2054" s="1109"/>
      <c r="C2054" s="1110"/>
      <c r="D2054" s="1110"/>
      <c r="E2054" s="1110"/>
      <c r="F2054" s="1110"/>
      <c r="G2054" s="1110"/>
      <c r="H2054" s="1110"/>
      <c r="I2054" s="1110"/>
      <c r="J2054" s="1110"/>
      <c r="K2054" s="1110"/>
      <c r="L2054" s="1110"/>
      <c r="M2054" s="1110"/>
      <c r="N2054" s="1111"/>
    </row>
    <row r="2055" spans="2:14">
      <c r="B2055" s="1130" t="s">
        <v>277</v>
      </c>
      <c r="C2055" s="1139"/>
      <c r="D2055" s="1139"/>
      <c r="E2055" s="1139"/>
      <c r="F2055" s="1139"/>
      <c r="G2055" s="1139"/>
      <c r="H2055" s="1139"/>
      <c r="I2055" s="288" t="s">
        <v>278</v>
      </c>
      <c r="J2055" s="306" t="s">
        <v>279</v>
      </c>
      <c r="K2055" s="307" t="s">
        <v>280</v>
      </c>
      <c r="L2055" s="1133" t="s">
        <v>281</v>
      </c>
      <c r="M2055" s="1136"/>
      <c r="N2055" s="289" t="s">
        <v>265</v>
      </c>
    </row>
    <row r="2056" spans="2:14" ht="13.5" thickBot="1">
      <c r="B2056" s="1112" t="s">
        <v>336</v>
      </c>
      <c r="C2056" s="1113"/>
      <c r="D2056" s="1113"/>
      <c r="E2056" s="1113"/>
      <c r="F2056" s="1113"/>
      <c r="G2056" s="1113"/>
      <c r="H2056" s="1113"/>
      <c r="I2056" s="393">
        <v>24</v>
      </c>
      <c r="J2056" s="309"/>
      <c r="K2056" s="308"/>
      <c r="L2056" s="1144">
        <v>1498</v>
      </c>
      <c r="M2056" s="1145"/>
      <c r="N2056" s="363">
        <f>+L2056*I2056</f>
        <v>35952</v>
      </c>
    </row>
    <row r="2057" spans="2:14" ht="13.5" thickBot="1">
      <c r="B2057" s="1100" t="s">
        <v>269</v>
      </c>
      <c r="C2057" s="1101"/>
      <c r="D2057" s="1101"/>
      <c r="E2057" s="1101"/>
      <c r="F2057" s="1101"/>
      <c r="G2057" s="1101"/>
      <c r="H2057" s="1101"/>
      <c r="I2057" s="1101"/>
      <c r="J2057" s="1101"/>
      <c r="K2057" s="1101"/>
      <c r="L2057" s="1101"/>
      <c r="M2057" s="1102"/>
      <c r="N2057" s="323">
        <f>+N2056</f>
        <v>35952</v>
      </c>
    </row>
    <row r="2058" spans="2:14">
      <c r="B2058" s="1103" t="s">
        <v>282</v>
      </c>
      <c r="C2058" s="1104"/>
      <c r="D2058" s="1104"/>
      <c r="E2058" s="1104"/>
      <c r="F2058" s="1104"/>
      <c r="G2058" s="1104"/>
      <c r="H2058" s="1104"/>
      <c r="I2058" s="1104"/>
      <c r="J2058" s="1104"/>
      <c r="K2058" s="1104"/>
      <c r="L2058" s="1104"/>
      <c r="M2058" s="1104"/>
      <c r="N2058" s="1105"/>
    </row>
    <row r="2059" spans="2:14">
      <c r="B2059" s="1106"/>
      <c r="C2059" s="1107"/>
      <c r="D2059" s="1107"/>
      <c r="E2059" s="1107"/>
      <c r="F2059" s="1107"/>
      <c r="G2059" s="1107"/>
      <c r="H2059" s="1107"/>
      <c r="I2059" s="1107"/>
      <c r="J2059" s="1107"/>
      <c r="K2059" s="1107"/>
      <c r="L2059" s="1107"/>
      <c r="M2059" s="1107"/>
      <c r="N2059" s="1108"/>
    </row>
    <row r="2060" spans="2:14" ht="13.5" thickBot="1">
      <c r="B2060" s="1109"/>
      <c r="C2060" s="1110"/>
      <c r="D2060" s="1110"/>
      <c r="E2060" s="1110"/>
      <c r="F2060" s="1110"/>
      <c r="G2060" s="1110"/>
      <c r="H2060" s="1110"/>
      <c r="I2060" s="1110"/>
      <c r="J2060" s="1110"/>
      <c r="K2060" s="1110"/>
      <c r="L2060" s="1110"/>
      <c r="M2060" s="1110"/>
      <c r="N2060" s="1111"/>
    </row>
    <row r="2061" spans="2:14">
      <c r="B2061" s="1130" t="s">
        <v>283</v>
      </c>
      <c r="C2061" s="1139"/>
      <c r="D2061" s="1139"/>
      <c r="E2061" s="1139"/>
      <c r="F2061" s="1139"/>
      <c r="G2061" s="1139"/>
      <c r="H2061" s="1139"/>
      <c r="I2061" s="288" t="s">
        <v>284</v>
      </c>
      <c r="J2061" s="314" t="s">
        <v>285</v>
      </c>
      <c r="K2061" s="315" t="s">
        <v>286</v>
      </c>
      <c r="L2061" s="1140" t="s">
        <v>264</v>
      </c>
      <c r="M2061" s="1141"/>
      <c r="N2061" s="316" t="s">
        <v>265</v>
      </c>
    </row>
    <row r="2062" spans="2:14">
      <c r="B2062" s="317" t="s">
        <v>337</v>
      </c>
      <c r="C2062" s="318"/>
      <c r="D2062" s="318"/>
      <c r="E2062" s="318"/>
      <c r="F2062" s="318"/>
      <c r="G2062" s="318"/>
      <c r="H2062" s="318"/>
      <c r="I2062" s="319">
        <v>153482</v>
      </c>
      <c r="J2062" s="321">
        <v>0</v>
      </c>
      <c r="K2062" s="321">
        <f>+I2062+J2062</f>
        <v>153482</v>
      </c>
      <c r="L2062" s="1157">
        <v>59.998800000000003</v>
      </c>
      <c r="M2062" s="1158"/>
      <c r="N2062" s="322">
        <f>+K2062/L2062</f>
        <v>2558.0844950232336</v>
      </c>
    </row>
    <row r="2063" spans="2:14" ht="13.5" thickBot="1">
      <c r="B2063" s="356"/>
      <c r="C2063" s="318"/>
      <c r="D2063" s="318"/>
      <c r="E2063" s="318"/>
      <c r="F2063" s="318"/>
      <c r="G2063" s="318"/>
      <c r="H2063" s="318"/>
      <c r="I2063" s="319"/>
      <c r="J2063" s="321"/>
      <c r="K2063" s="321"/>
      <c r="L2063" s="1157"/>
      <c r="M2063" s="1158"/>
      <c r="N2063" s="322"/>
    </row>
    <row r="2064" spans="2:14" ht="13.5" thickBot="1">
      <c r="B2064" s="1100" t="s">
        <v>269</v>
      </c>
      <c r="C2064" s="1101"/>
      <c r="D2064" s="1101"/>
      <c r="E2064" s="1101"/>
      <c r="F2064" s="1101"/>
      <c r="G2064" s="1101"/>
      <c r="H2064" s="1101"/>
      <c r="I2064" s="1101"/>
      <c r="J2064" s="1101"/>
      <c r="K2064" s="1101"/>
      <c r="L2064" s="1101"/>
      <c r="M2064" s="1102"/>
      <c r="N2064" s="323">
        <f>+N2062+N2063</f>
        <v>2558.0844950232336</v>
      </c>
    </row>
    <row r="2065" spans="2:14" ht="13.5" thickBot="1">
      <c r="B2065" s="324" t="s">
        <v>288</v>
      </c>
      <c r="C2065" s="325"/>
      <c r="D2065" s="325"/>
      <c r="E2065" s="325"/>
      <c r="F2065" s="325"/>
      <c r="G2065" s="325"/>
      <c r="H2065" s="325"/>
      <c r="I2065" s="326"/>
      <c r="J2065" s="327"/>
      <c r="K2065" s="328"/>
      <c r="L2065" s="329"/>
      <c r="M2065" s="329"/>
      <c r="N2065" s="330"/>
    </row>
    <row r="2066" spans="2:14">
      <c r="B2066" s="1130" t="s">
        <v>17</v>
      </c>
      <c r="C2066" s="1139"/>
      <c r="D2066" s="1139"/>
      <c r="E2066" s="1139"/>
      <c r="F2066" s="1139"/>
      <c r="G2066" s="1139"/>
      <c r="H2066" s="1139"/>
      <c r="I2066" s="1136"/>
      <c r="J2066" s="299" t="s">
        <v>259</v>
      </c>
      <c r="K2066" s="288" t="s">
        <v>133</v>
      </c>
      <c r="L2066" s="1133" t="s">
        <v>271</v>
      </c>
      <c r="M2066" s="1136"/>
      <c r="N2066" s="316" t="s">
        <v>265</v>
      </c>
    </row>
    <row r="2067" spans="2:14" ht="13.5" thickBot="1">
      <c r="B2067" s="331" t="s">
        <v>289</v>
      </c>
      <c r="C2067" s="332"/>
      <c r="D2067" s="332"/>
      <c r="E2067" s="332"/>
      <c r="F2067" s="332"/>
      <c r="G2067" s="332"/>
      <c r="H2067" s="332"/>
      <c r="I2067" s="333"/>
      <c r="J2067" s="334" t="s">
        <v>290</v>
      </c>
      <c r="K2067" s="335">
        <v>0.05</v>
      </c>
      <c r="L2067" s="1144">
        <f>+N2064</f>
        <v>2558.0844950232336</v>
      </c>
      <c r="M2067" s="1145"/>
      <c r="N2067" s="322">
        <f>+K2067*L2067</f>
        <v>127.90422475116168</v>
      </c>
    </row>
    <row r="2068" spans="2:14" ht="13.5" thickBot="1">
      <c r="B2068" s="1100" t="s">
        <v>269</v>
      </c>
      <c r="C2068" s="1101"/>
      <c r="D2068" s="1101"/>
      <c r="E2068" s="1101"/>
      <c r="F2068" s="1101"/>
      <c r="G2068" s="1101"/>
      <c r="H2068" s="1101"/>
      <c r="I2068" s="1101"/>
      <c r="J2068" s="1101"/>
      <c r="K2068" s="1101"/>
      <c r="L2068" s="1101"/>
      <c r="M2068" s="1102"/>
      <c r="N2068" s="323">
        <f>+N2067</f>
        <v>127.90422475116168</v>
      </c>
    </row>
    <row r="2069" spans="2:14" ht="13.5" thickBot="1">
      <c r="B2069" s="324" t="s">
        <v>338</v>
      </c>
      <c r="C2069" s="325"/>
      <c r="D2069" s="325"/>
      <c r="E2069" s="325"/>
      <c r="F2069" s="325"/>
      <c r="G2069" s="325"/>
      <c r="H2069" s="325"/>
      <c r="I2069" s="326"/>
      <c r="J2069" s="327"/>
      <c r="K2069" s="328"/>
      <c r="L2069" s="329"/>
      <c r="M2069" s="329"/>
      <c r="N2069" s="330"/>
    </row>
    <row r="2070" spans="2:14">
      <c r="B2070" s="1130" t="s">
        <v>17</v>
      </c>
      <c r="C2070" s="1139"/>
      <c r="D2070" s="1139"/>
      <c r="E2070" s="1139"/>
      <c r="F2070" s="1139"/>
      <c r="G2070" s="1139"/>
      <c r="H2070" s="1139"/>
      <c r="I2070" s="1136"/>
      <c r="J2070" s="299" t="s">
        <v>259</v>
      </c>
      <c r="K2070" s="288" t="s">
        <v>133</v>
      </c>
      <c r="L2070" s="1133" t="s">
        <v>271</v>
      </c>
      <c r="M2070" s="1136"/>
      <c r="N2070" s="316" t="s">
        <v>265</v>
      </c>
    </row>
    <row r="2071" spans="2:14" ht="13.5" thickBot="1">
      <c r="B2071" s="331" t="s">
        <v>339</v>
      </c>
      <c r="C2071" s="332"/>
      <c r="D2071" s="332"/>
      <c r="E2071" s="332"/>
      <c r="F2071" s="332"/>
      <c r="G2071" s="332"/>
      <c r="H2071" s="332"/>
      <c r="I2071" s="333"/>
      <c r="J2071" s="334" t="s">
        <v>147</v>
      </c>
      <c r="K2071" s="394">
        <v>1</v>
      </c>
      <c r="L2071" s="1144">
        <v>5800</v>
      </c>
      <c r="M2071" s="1145"/>
      <c r="N2071" s="395">
        <f>+L2071*K2071</f>
        <v>5800</v>
      </c>
    </row>
    <row r="2072" spans="2:14" ht="13.5" thickBot="1">
      <c r="B2072" s="1100" t="s">
        <v>269</v>
      </c>
      <c r="C2072" s="1101"/>
      <c r="D2072" s="1101"/>
      <c r="E2072" s="1101"/>
      <c r="F2072" s="1101"/>
      <c r="G2072" s="1101"/>
      <c r="H2072" s="1101"/>
      <c r="I2072" s="1101"/>
      <c r="J2072" s="1101"/>
      <c r="K2072" s="1101"/>
      <c r="L2072" s="1101"/>
      <c r="M2072" s="1102"/>
      <c r="N2072" s="323">
        <f>+N2071</f>
        <v>5800</v>
      </c>
    </row>
    <row r="2073" spans="2:14">
      <c r="B2073" s="280"/>
      <c r="C2073" s="281"/>
      <c r="D2073" s="281"/>
      <c r="E2073" s="281"/>
      <c r="F2073" s="281"/>
      <c r="G2073" s="281"/>
      <c r="H2073" s="281"/>
      <c r="I2073" s="281"/>
      <c r="J2073" s="281"/>
      <c r="K2073" s="281"/>
      <c r="L2073" s="281"/>
      <c r="M2073" s="281"/>
      <c r="N2073" s="282"/>
    </row>
    <row r="2074" spans="2:14" ht="13.5" thickBot="1">
      <c r="B2074" s="378"/>
      <c r="C2074" s="311"/>
      <c r="D2074" s="311"/>
      <c r="E2074" s="311"/>
      <c r="F2074" s="311"/>
      <c r="G2074" s="311"/>
      <c r="H2074" s="311"/>
      <c r="I2074" s="311"/>
      <c r="J2074" s="311"/>
      <c r="K2074" s="311"/>
      <c r="L2074" s="311"/>
      <c r="M2074" s="311"/>
      <c r="N2074" s="379"/>
    </row>
    <row r="2075" spans="2:14" ht="13.5" thickBot="1">
      <c r="B2075" s="1150" t="s">
        <v>291</v>
      </c>
      <c r="C2075" s="1151"/>
      <c r="D2075" s="1151"/>
      <c r="E2075" s="1151"/>
      <c r="F2075" s="1151"/>
      <c r="G2075" s="1151"/>
      <c r="H2075" s="1151"/>
      <c r="I2075" s="1151"/>
      <c r="J2075" s="1151"/>
      <c r="K2075" s="1151"/>
      <c r="L2075" s="1151"/>
      <c r="M2075" s="1152"/>
      <c r="N2075" s="336">
        <f>+N2044+N2051+N2057+N2064+N2072+N2068</f>
        <v>44437.988719774396</v>
      </c>
    </row>
    <row r="2076" spans="2:14">
      <c r="B2076" s="1103" t="s">
        <v>292</v>
      </c>
      <c r="C2076" s="1104"/>
      <c r="D2076" s="1104"/>
      <c r="E2076" s="1104"/>
      <c r="F2076" s="1104"/>
      <c r="G2076" s="1104"/>
      <c r="H2076" s="1104"/>
      <c r="I2076" s="1104"/>
      <c r="J2076" s="1104"/>
      <c r="K2076" s="1104"/>
      <c r="L2076" s="1104"/>
      <c r="M2076" s="1104"/>
      <c r="N2076" s="1105"/>
    </row>
    <row r="2077" spans="2:14">
      <c r="B2077" s="1106"/>
      <c r="C2077" s="1107"/>
      <c r="D2077" s="1107"/>
      <c r="E2077" s="1107"/>
      <c r="F2077" s="1107"/>
      <c r="G2077" s="1107"/>
      <c r="H2077" s="1107"/>
      <c r="I2077" s="1107"/>
      <c r="J2077" s="1107"/>
      <c r="K2077" s="1107"/>
      <c r="L2077" s="1107"/>
      <c r="M2077" s="1107"/>
      <c r="N2077" s="1108"/>
    </row>
    <row r="2078" spans="2:14" ht="13.5" thickBot="1">
      <c r="B2078" s="1109"/>
      <c r="C2078" s="1110"/>
      <c r="D2078" s="1110"/>
      <c r="E2078" s="1110"/>
      <c r="F2078" s="1110"/>
      <c r="G2078" s="1110"/>
      <c r="H2078" s="1110"/>
      <c r="I2078" s="1110"/>
      <c r="J2078" s="1110"/>
      <c r="K2078" s="1110"/>
      <c r="L2078" s="1110"/>
      <c r="M2078" s="1110"/>
      <c r="N2078" s="1111"/>
    </row>
    <row r="2079" spans="2:14">
      <c r="B2079" s="1130" t="s">
        <v>17</v>
      </c>
      <c r="C2079" s="1139"/>
      <c r="D2079" s="1139"/>
      <c r="E2079" s="1139"/>
      <c r="F2079" s="1139"/>
      <c r="G2079" s="1139"/>
      <c r="H2079" s="1139"/>
      <c r="I2079" s="306"/>
      <c r="J2079" s="337"/>
      <c r="K2079" s="315" t="s">
        <v>79</v>
      </c>
      <c r="L2079" s="1140" t="s">
        <v>11</v>
      </c>
      <c r="M2079" s="1141"/>
      <c r="N2079" s="316"/>
    </row>
    <row r="2080" spans="2:14">
      <c r="B2080" s="1112" t="s">
        <v>232</v>
      </c>
      <c r="C2080" s="1113"/>
      <c r="D2080" s="1113"/>
      <c r="E2080" s="1113"/>
      <c r="F2080" s="1113"/>
      <c r="G2080" s="1113"/>
      <c r="H2080" s="1113"/>
      <c r="I2080" s="338"/>
      <c r="J2080" s="339"/>
      <c r="K2080" s="340">
        <f>'PRESUPUESTO OFICIAL'!$K$100</f>
        <v>0</v>
      </c>
      <c r="L2080" s="1146">
        <f>K2080*N2075</f>
        <v>0</v>
      </c>
      <c r="M2080" s="1147"/>
      <c r="N2080" s="341"/>
    </row>
    <row r="2081" spans="2:14">
      <c r="B2081" s="292" t="s">
        <v>293</v>
      </c>
      <c r="C2081" s="293"/>
      <c r="D2081" s="293"/>
      <c r="E2081" s="293"/>
      <c r="F2081" s="293"/>
      <c r="G2081" s="293"/>
      <c r="H2081" s="293"/>
      <c r="I2081" s="338"/>
      <c r="J2081" s="339"/>
      <c r="K2081" s="340">
        <f>'PRESUPUESTO OFICIAL'!$K$101</f>
        <v>0</v>
      </c>
      <c r="L2081" s="1146">
        <f>K2081*N2075</f>
        <v>0</v>
      </c>
      <c r="M2081" s="1147"/>
      <c r="N2081" s="341"/>
    </row>
    <row r="2082" spans="2:14" ht="13.5" thickBot="1">
      <c r="B2082" s="277" t="s">
        <v>294</v>
      </c>
      <c r="C2082" s="278"/>
      <c r="D2082" s="278"/>
      <c r="E2082" s="278"/>
      <c r="F2082" s="278"/>
      <c r="G2082" s="278"/>
      <c r="H2082" s="278"/>
      <c r="I2082" s="342"/>
      <c r="J2082" s="343"/>
      <c r="K2082" s="340">
        <f>'PRESUPUESTO OFICIAL'!$K$102</f>
        <v>0</v>
      </c>
      <c r="L2082" s="1148">
        <f>K2082*N2075</f>
        <v>0</v>
      </c>
      <c r="M2082" s="1149"/>
      <c r="N2082" s="341"/>
    </row>
    <row r="2083" spans="2:14" ht="13.5" thickBot="1">
      <c r="B2083" s="1100" t="s">
        <v>269</v>
      </c>
      <c r="C2083" s="1101"/>
      <c r="D2083" s="1101"/>
      <c r="E2083" s="1101"/>
      <c r="F2083" s="1101"/>
      <c r="G2083" s="1101"/>
      <c r="H2083" s="1101"/>
      <c r="I2083" s="1101"/>
      <c r="J2083" s="1101"/>
      <c r="K2083" s="1101"/>
      <c r="L2083" s="1101"/>
      <c r="M2083" s="1102"/>
      <c r="N2083" s="344">
        <f>SUM(L2080:M2082)</f>
        <v>0</v>
      </c>
    </row>
    <row r="2084" spans="2:14" ht="13.5" thickBot="1">
      <c r="B2084" s="283"/>
      <c r="N2084" s="284"/>
    </row>
    <row r="2085" spans="2:14" ht="13.5" thickBot="1">
      <c r="B2085" s="1150" t="s">
        <v>295</v>
      </c>
      <c r="C2085" s="1151"/>
      <c r="D2085" s="1151"/>
      <c r="E2085" s="1151"/>
      <c r="F2085" s="1151"/>
      <c r="G2085" s="1151"/>
      <c r="H2085" s="1151"/>
      <c r="I2085" s="1151"/>
      <c r="J2085" s="1151"/>
      <c r="K2085" s="1151"/>
      <c r="L2085" s="1151"/>
      <c r="M2085" s="1152"/>
      <c r="N2085" s="345">
        <f>ROUND(N2075+N2083,0)</f>
        <v>44438</v>
      </c>
    </row>
    <row r="2086" spans="2:14">
      <c r="B2086" s="280"/>
      <c r="C2086" s="281"/>
      <c r="D2086" s="281"/>
      <c r="E2086" s="281"/>
      <c r="F2086" s="281"/>
      <c r="G2086" s="281"/>
      <c r="H2086" s="281"/>
      <c r="I2086" s="281"/>
      <c r="J2086" s="281"/>
      <c r="K2086" s="281"/>
      <c r="L2086" s="281"/>
      <c r="M2086" s="281"/>
      <c r="N2086" s="282"/>
    </row>
    <row r="2087" spans="2:14">
      <c r="B2087" s="283"/>
      <c r="N2087" s="284"/>
    </row>
    <row r="2088" spans="2:14">
      <c r="B2088" s="283"/>
      <c r="N2088" s="284"/>
    </row>
    <row r="2089" spans="2:14">
      <c r="B2089" s="283"/>
      <c r="G2089" s="346" t="s">
        <v>296</v>
      </c>
      <c r="H2089" s="346"/>
      <c r="I2089" s="346"/>
      <c r="J2089" s="346"/>
      <c r="N2089" s="284"/>
    </row>
    <row r="2090" spans="2:14">
      <c r="B2090" s="347"/>
      <c r="C2090" s="348"/>
      <c r="D2090" s="348"/>
      <c r="E2090" s="348"/>
      <c r="F2090" s="348"/>
      <c r="G2090" s="346" t="s">
        <v>297</v>
      </c>
      <c r="H2090" s="348"/>
      <c r="I2090" s="348"/>
      <c r="J2090" s="348"/>
      <c r="K2090" s="348"/>
      <c r="L2090" s="348"/>
      <c r="M2090" s="348"/>
      <c r="N2090" s="349"/>
    </row>
    <row r="2091" spans="2:14">
      <c r="B2091" s="347"/>
      <c r="C2091" s="348"/>
      <c r="D2091" s="348"/>
      <c r="E2091" s="348"/>
      <c r="F2091" s="348"/>
      <c r="G2091" s="346" t="s">
        <v>298</v>
      </c>
      <c r="J2091" s="348"/>
      <c r="K2091" s="348"/>
      <c r="L2091" s="348"/>
      <c r="M2091" s="348"/>
      <c r="N2091" s="349"/>
    </row>
    <row r="2092" spans="2:14">
      <c r="B2092" s="268"/>
      <c r="C2092" s="350"/>
      <c r="D2092" s="350"/>
      <c r="E2092" s="350"/>
      <c r="F2092" s="350"/>
      <c r="G2092" s="346" t="s">
        <v>299</v>
      </c>
      <c r="H2092" s="350"/>
      <c r="I2092" s="350"/>
      <c r="J2092" s="350"/>
      <c r="K2092" s="350"/>
      <c r="L2092" s="350"/>
      <c r="M2092" s="350"/>
      <c r="N2092" s="351"/>
    </row>
    <row r="2093" spans="2:14">
      <c r="B2093" s="283"/>
      <c r="G2093" s="258" t="s">
        <v>300</v>
      </c>
      <c r="N2093" s="284"/>
    </row>
    <row r="2094" spans="2:14">
      <c r="B2094" s="352" t="s">
        <v>301</v>
      </c>
      <c r="C2094" s="353"/>
      <c r="D2094" s="353"/>
      <c r="E2094" s="353"/>
      <c r="F2094" s="353"/>
      <c r="G2094" s="353"/>
      <c r="H2094" s="353"/>
      <c r="I2094" s="353"/>
      <c r="J2094" s="353"/>
      <c r="K2094" s="353"/>
      <c r="L2094" s="353"/>
      <c r="M2094" s="353"/>
      <c r="N2094" s="354"/>
    </row>
    <row r="2095" spans="2:14">
      <c r="B2095" s="1153"/>
      <c r="C2095" s="1154"/>
      <c r="D2095" s="1154"/>
      <c r="E2095" s="1154"/>
      <c r="F2095" s="1154"/>
      <c r="G2095" s="1154"/>
      <c r="H2095" s="1154"/>
      <c r="I2095" s="1154"/>
      <c r="J2095" s="1154"/>
      <c r="K2095" s="1154"/>
      <c r="L2095" s="1154"/>
      <c r="M2095" s="1154"/>
      <c r="N2095" s="1155"/>
    </row>
    <row r="2096" spans="2:14">
      <c r="B2096" s="1153"/>
      <c r="C2096" s="1154"/>
      <c r="D2096" s="1154"/>
      <c r="E2096" s="1154"/>
      <c r="F2096" s="1154"/>
      <c r="G2096" s="1154"/>
      <c r="H2096" s="1154"/>
      <c r="I2096" s="1154"/>
      <c r="J2096" s="1154"/>
      <c r="K2096" s="1154"/>
      <c r="L2096" s="1154"/>
      <c r="M2096" s="1154"/>
      <c r="N2096" s="1155"/>
    </row>
    <row r="2097" spans="2:14">
      <c r="B2097" s="268"/>
      <c r="C2097" s="350"/>
      <c r="D2097" s="350"/>
      <c r="E2097" s="350"/>
      <c r="F2097" s="350"/>
      <c r="G2097" s="350"/>
      <c r="H2097" s="350"/>
      <c r="I2097" s="350"/>
      <c r="J2097" s="350"/>
      <c r="K2097" s="350"/>
      <c r="L2097" s="350"/>
      <c r="M2097" s="350"/>
      <c r="N2097" s="351"/>
    </row>
    <row r="2098" spans="2:14">
      <c r="B2098" s="355" t="s">
        <v>302</v>
      </c>
      <c r="C2098" s="350"/>
      <c r="D2098" s="350"/>
      <c r="E2098" s="350"/>
      <c r="F2098" s="350"/>
      <c r="G2098" s="350"/>
      <c r="H2098" s="350"/>
      <c r="I2098" s="350"/>
      <c r="J2098" s="350"/>
      <c r="K2098" s="350"/>
      <c r="L2098" s="350"/>
      <c r="M2098" s="350"/>
      <c r="N2098" s="351"/>
    </row>
    <row r="2099" spans="2:14">
      <c r="B2099" s="1159" t="s">
        <v>303</v>
      </c>
      <c r="C2099" s="1160"/>
      <c r="D2099" s="1160"/>
      <c r="E2099" s="1160"/>
      <c r="F2099" s="1160"/>
      <c r="G2099" s="1160"/>
      <c r="H2099" s="1160"/>
      <c r="I2099" s="1160"/>
      <c r="J2099" s="1160"/>
      <c r="K2099" s="1160"/>
      <c r="L2099" s="1160"/>
      <c r="M2099" s="1160"/>
      <c r="N2099" s="1161"/>
    </row>
    <row r="2100" spans="2:14">
      <c r="B2100" s="1159"/>
      <c r="C2100" s="1160"/>
      <c r="D2100" s="1160"/>
      <c r="E2100" s="1160"/>
      <c r="F2100" s="1160"/>
      <c r="G2100" s="1160"/>
      <c r="H2100" s="1160"/>
      <c r="I2100" s="1160"/>
      <c r="J2100" s="1160"/>
      <c r="K2100" s="1160"/>
      <c r="L2100" s="1160"/>
      <c r="M2100" s="1160"/>
      <c r="N2100" s="1161"/>
    </row>
    <row r="2101" spans="2:14">
      <c r="B2101" s="1159" t="s">
        <v>304</v>
      </c>
      <c r="C2101" s="1160"/>
      <c r="D2101" s="1160"/>
      <c r="E2101" s="1160"/>
      <c r="F2101" s="1160"/>
      <c r="G2101" s="1160"/>
      <c r="H2101" s="1160"/>
      <c r="I2101" s="1160"/>
      <c r="J2101" s="1160"/>
      <c r="K2101" s="1160"/>
      <c r="L2101" s="1160"/>
      <c r="M2101" s="1160"/>
      <c r="N2101" s="1161"/>
    </row>
    <row r="2102" spans="2:14">
      <c r="B2102" s="1159"/>
      <c r="C2102" s="1160"/>
      <c r="D2102" s="1160"/>
      <c r="E2102" s="1160"/>
      <c r="F2102" s="1160"/>
      <c r="G2102" s="1160"/>
      <c r="H2102" s="1160"/>
      <c r="I2102" s="1160"/>
      <c r="J2102" s="1160"/>
      <c r="K2102" s="1160"/>
      <c r="L2102" s="1160"/>
      <c r="M2102" s="1160"/>
      <c r="N2102" s="1161"/>
    </row>
    <row r="2103" spans="2:14">
      <c r="B2103" s="268"/>
      <c r="C2103" s="350"/>
      <c r="D2103" s="350"/>
      <c r="E2103" s="350"/>
      <c r="F2103" s="350"/>
      <c r="G2103" s="350"/>
      <c r="H2103" s="350"/>
      <c r="I2103" s="350"/>
      <c r="J2103" s="350"/>
      <c r="K2103" s="350"/>
      <c r="L2103" s="350"/>
      <c r="M2103" s="350"/>
      <c r="N2103" s="351"/>
    </row>
    <row r="2104" spans="2:14">
      <c r="B2104" s="283"/>
      <c r="G2104" s="346" t="s">
        <v>296</v>
      </c>
      <c r="N2104" s="284"/>
    </row>
    <row r="2105" spans="2:14">
      <c r="B2105" s="283"/>
      <c r="G2105" s="258" t="s">
        <v>305</v>
      </c>
      <c r="H2105" s="293"/>
      <c r="I2105" s="293"/>
      <c r="J2105" s="293"/>
      <c r="N2105" s="284"/>
    </row>
    <row r="2106" spans="2:14">
      <c r="B2106" s="283"/>
      <c r="G2106" s="258" t="s">
        <v>306</v>
      </c>
      <c r="H2106" s="325"/>
      <c r="I2106" s="325"/>
      <c r="J2106" s="325"/>
      <c r="N2106" s="284"/>
    </row>
    <row r="2107" spans="2:14">
      <c r="B2107" s="356"/>
      <c r="C2107" s="350"/>
      <c r="D2107" s="350"/>
      <c r="E2107" s="350"/>
      <c r="F2107" s="350"/>
      <c r="G2107" s="258" t="s">
        <v>299</v>
      </c>
      <c r="K2107" s="350"/>
      <c r="L2107" s="350"/>
      <c r="M2107" s="350"/>
      <c r="N2107" s="351"/>
    </row>
    <row r="2108" spans="2:14">
      <c r="B2108" s="357"/>
      <c r="C2108" s="358"/>
      <c r="D2108" s="358"/>
      <c r="J2108" s="1162"/>
      <c r="K2108" s="1162"/>
      <c r="L2108" s="1162"/>
      <c r="M2108" s="1162"/>
      <c r="N2108" s="1163"/>
    </row>
    <row r="2109" spans="2:14" ht="13.5" thickBot="1">
      <c r="B2109" s="1166"/>
      <c r="C2109" s="1167"/>
      <c r="D2109" s="1167"/>
      <c r="E2109" s="311"/>
      <c r="F2109" s="311"/>
      <c r="G2109" s="311"/>
      <c r="H2109" s="311"/>
      <c r="I2109" s="311"/>
      <c r="J2109" s="1164"/>
      <c r="K2109" s="1164"/>
      <c r="L2109" s="1164"/>
      <c r="M2109" s="1164"/>
      <c r="N2109" s="1165"/>
    </row>
    <row r="2110" spans="2:14" ht="13.5" thickBot="1"/>
    <row r="2111" spans="2:14">
      <c r="B2111" s="1070"/>
      <c r="C2111" s="1072"/>
      <c r="D2111" s="1073"/>
      <c r="E2111" s="1073"/>
      <c r="F2111" s="1073"/>
      <c r="G2111" s="1073"/>
      <c r="H2111" s="1073"/>
      <c r="I2111" s="1073"/>
      <c r="J2111" s="1074"/>
      <c r="K2111" s="1075"/>
      <c r="L2111" s="1076"/>
      <c r="M2111" s="1076"/>
      <c r="N2111" s="1077"/>
    </row>
    <row r="2112" spans="2:14">
      <c r="B2112" s="1071"/>
      <c r="C2112" s="1062" t="s">
        <v>244</v>
      </c>
      <c r="D2112" s="1063"/>
      <c r="E2112" s="1063"/>
      <c r="F2112" s="1063"/>
      <c r="G2112" s="1063"/>
      <c r="H2112" s="1063"/>
      <c r="I2112" s="1063"/>
      <c r="J2112" s="1064"/>
      <c r="K2112" s="1078"/>
      <c r="L2112" s="1079"/>
      <c r="M2112" s="1079"/>
      <c r="N2112" s="1080"/>
    </row>
    <row r="2113" spans="2:14">
      <c r="B2113" s="1071"/>
      <c r="C2113" s="1081"/>
      <c r="D2113" s="1082"/>
      <c r="E2113" s="1082"/>
      <c r="F2113" s="1082"/>
      <c r="G2113" s="1082"/>
      <c r="H2113" s="1082"/>
      <c r="I2113" s="1082"/>
      <c r="J2113" s="1083"/>
      <c r="K2113" s="1058" t="s">
        <v>245</v>
      </c>
      <c r="L2113" s="1085"/>
      <c r="M2113" s="1086"/>
      <c r="N2113" s="1087"/>
    </row>
    <row r="2114" spans="2:14">
      <c r="B2114" s="1071"/>
      <c r="C2114" s="1062" t="s">
        <v>246</v>
      </c>
      <c r="D2114" s="1063"/>
      <c r="E2114" s="1063"/>
      <c r="F2114" s="1063"/>
      <c r="G2114" s="1063"/>
      <c r="H2114" s="1063"/>
      <c r="I2114" s="1063"/>
      <c r="J2114" s="1064"/>
      <c r="K2114" s="1084"/>
      <c r="L2114" s="1088"/>
      <c r="M2114" s="1089"/>
      <c r="N2114" s="1090"/>
    </row>
    <row r="2115" spans="2:14">
      <c r="B2115" s="1071"/>
      <c r="C2115" s="1091"/>
      <c r="D2115" s="1092"/>
      <c r="E2115" s="1092"/>
      <c r="F2115" s="1092"/>
      <c r="G2115" s="1092"/>
      <c r="H2115" s="1092"/>
      <c r="I2115" s="1092"/>
      <c r="J2115" s="1093"/>
      <c r="K2115" s="1058" t="s">
        <v>247</v>
      </c>
      <c r="L2115" s="1058">
        <v>24</v>
      </c>
      <c r="M2115" s="1058" t="s">
        <v>248</v>
      </c>
      <c r="N2115" s="1060">
        <v>80</v>
      </c>
    </row>
    <row r="2116" spans="2:14">
      <c r="B2116" s="1071"/>
      <c r="C2116" s="1091"/>
      <c r="D2116" s="1092"/>
      <c r="E2116" s="1092"/>
      <c r="F2116" s="1092"/>
      <c r="G2116" s="1092"/>
      <c r="H2116" s="1092"/>
      <c r="I2116" s="1092"/>
      <c r="J2116" s="1093"/>
      <c r="K2116" s="1059"/>
      <c r="L2116" s="1059"/>
      <c r="M2116" s="1059"/>
      <c r="N2116" s="1061"/>
    </row>
    <row r="2117" spans="2:14">
      <c r="B2117" s="1071"/>
      <c r="C2117" s="1062" t="s">
        <v>249</v>
      </c>
      <c r="D2117" s="1063"/>
      <c r="E2117" s="1063"/>
      <c r="F2117" s="1063"/>
      <c r="G2117" s="1063"/>
      <c r="H2117" s="1063"/>
      <c r="I2117" s="1063"/>
      <c r="J2117" s="1064"/>
      <c r="K2117" s="1059"/>
      <c r="L2117" s="1059"/>
      <c r="M2117" s="1059"/>
      <c r="N2117" s="1061"/>
    </row>
    <row r="2118" spans="2:14" ht="13.5" thickBot="1">
      <c r="B2118" s="259"/>
      <c r="C2118" s="260"/>
      <c r="D2118" s="260"/>
      <c r="E2118" s="260"/>
      <c r="F2118" s="260"/>
      <c r="G2118" s="260"/>
      <c r="H2118" s="260"/>
      <c r="I2118" s="260"/>
      <c r="J2118" s="260"/>
      <c r="K2118" s="260"/>
      <c r="L2118" s="261"/>
      <c r="M2118" s="261"/>
      <c r="N2118" s="262"/>
    </row>
    <row r="2119" spans="2:14">
      <c r="B2119" s="263"/>
      <c r="C2119" s="264"/>
      <c r="D2119" s="264"/>
      <c r="E2119" s="264"/>
      <c r="F2119" s="264"/>
      <c r="G2119" s="264"/>
      <c r="H2119" s="264"/>
      <c r="I2119" s="264"/>
      <c r="J2119" s="264"/>
      <c r="K2119" s="265" t="s">
        <v>250</v>
      </c>
      <c r="L2119" s="266" t="s">
        <v>251</v>
      </c>
      <c r="M2119" s="266" t="s">
        <v>252</v>
      </c>
      <c r="N2119" s="267" t="s">
        <v>253</v>
      </c>
    </row>
    <row r="2120" spans="2:14">
      <c r="B2120" s="268"/>
      <c r="C2120" s="269"/>
      <c r="D2120" s="269"/>
      <c r="E2120" s="269"/>
      <c r="F2120" s="269"/>
      <c r="G2120" s="269"/>
      <c r="H2120" s="269"/>
      <c r="I2120" s="269"/>
      <c r="J2120" s="269"/>
      <c r="K2120" s="270"/>
      <c r="L2120" s="271"/>
      <c r="M2120" s="271"/>
      <c r="N2120" s="272"/>
    </row>
    <row r="2121" spans="2:14">
      <c r="B2121" s="1065" t="s">
        <v>254</v>
      </c>
      <c r="C2121" s="1066"/>
      <c r="D2121" s="1066"/>
      <c r="E2121" s="1066"/>
      <c r="F2121" s="269"/>
      <c r="G2121" s="269"/>
      <c r="H2121" s="269" t="s">
        <v>255</v>
      </c>
      <c r="J2121" s="269"/>
      <c r="K2121" s="270"/>
      <c r="N2121" s="273"/>
    </row>
    <row r="2122" spans="2:14">
      <c r="B2122" s="274"/>
      <c r="C2122" s="275"/>
      <c r="D2122" s="275"/>
      <c r="E2122" s="275"/>
      <c r="F2122" s="275"/>
      <c r="G2122" s="275"/>
      <c r="H2122" s="275"/>
      <c r="I2122" s="275"/>
      <c r="J2122" s="275"/>
      <c r="K2122" s="275"/>
      <c r="L2122" s="275"/>
      <c r="M2122" s="275"/>
      <c r="N2122" s="276"/>
    </row>
    <row r="2123" spans="2:14" ht="13.5" thickBot="1">
      <c r="B2123" s="277"/>
      <c r="C2123" s="278"/>
      <c r="D2123" s="278"/>
      <c r="E2123" s="278"/>
      <c r="F2123" s="278"/>
      <c r="G2123" s="278"/>
      <c r="H2123" s="278"/>
      <c r="I2123" s="278"/>
      <c r="J2123" s="278"/>
      <c r="K2123" s="278"/>
      <c r="L2123" s="278"/>
      <c r="M2123" s="278"/>
      <c r="N2123" s="279"/>
    </row>
    <row r="2124" spans="2:14" ht="13.5" thickBot="1">
      <c r="B2124" s="280"/>
      <c r="C2124" s="281"/>
      <c r="D2124" s="281"/>
      <c r="E2124" s="281"/>
      <c r="F2124" s="281"/>
      <c r="G2124" s="281"/>
      <c r="J2124" s="281"/>
      <c r="K2124" s="281"/>
      <c r="L2124" s="281"/>
      <c r="M2124" s="281"/>
      <c r="N2124" s="282"/>
    </row>
    <row r="2125" spans="2:14">
      <c r="B2125" s="1067" t="s">
        <v>256</v>
      </c>
      <c r="C2125" s="1068"/>
      <c r="D2125" s="1068"/>
      <c r="E2125" s="1068"/>
      <c r="F2125" s="1068"/>
      <c r="G2125" s="1068"/>
      <c r="H2125" s="1068"/>
      <c r="I2125" s="1068"/>
      <c r="J2125" s="1068"/>
      <c r="K2125" s="1068"/>
      <c r="L2125" s="1068"/>
      <c r="M2125" s="1068"/>
      <c r="N2125" s="1069"/>
    </row>
    <row r="2126" spans="2:14" ht="13.5" thickBot="1">
      <c r="B2126" s="283"/>
      <c r="N2126" s="284"/>
    </row>
    <row r="2127" spans="2:14">
      <c r="B2127" s="285" t="s">
        <v>257</v>
      </c>
      <c r="C2127" s="1120" t="s">
        <v>258</v>
      </c>
      <c r="D2127" s="1121"/>
      <c r="E2127" s="1121"/>
      <c r="F2127" s="1121"/>
      <c r="G2127" s="1121"/>
      <c r="H2127" s="1121"/>
      <c r="I2127" s="1121"/>
      <c r="J2127" s="1121"/>
      <c r="K2127" s="1122"/>
      <c r="L2127" s="1123" t="s">
        <v>259</v>
      </c>
      <c r="M2127" s="1124"/>
      <c r="N2127" s="285" t="s">
        <v>133</v>
      </c>
    </row>
    <row r="2128" spans="2:14" ht="26.25" customHeight="1" thickBot="1">
      <c r="B2128" s="286">
        <v>24</v>
      </c>
      <c r="C2128" s="1125" t="s">
        <v>165</v>
      </c>
      <c r="D2128" s="1126"/>
      <c r="E2128" s="1126"/>
      <c r="F2128" s="1126"/>
      <c r="G2128" s="1126"/>
      <c r="H2128" s="1126"/>
      <c r="I2128" s="1126"/>
      <c r="J2128" s="1126"/>
      <c r="K2128" s="1127"/>
      <c r="L2128" s="1128" t="s">
        <v>147</v>
      </c>
      <c r="M2128" s="1129"/>
      <c r="N2128" s="366">
        <v>20</v>
      </c>
    </row>
    <row r="2129" spans="2:14">
      <c r="B2129" s="1103" t="s">
        <v>260</v>
      </c>
      <c r="C2129" s="1104"/>
      <c r="D2129" s="1104"/>
      <c r="E2129" s="1104"/>
      <c r="F2129" s="1104"/>
      <c r="G2129" s="1104"/>
      <c r="H2129" s="1104"/>
      <c r="I2129" s="1104"/>
      <c r="J2129" s="1104"/>
      <c r="K2129" s="1104"/>
      <c r="L2129" s="1104"/>
      <c r="M2129" s="1104"/>
      <c r="N2129" s="1105"/>
    </row>
    <row r="2130" spans="2:14">
      <c r="B2130" s="1106"/>
      <c r="C2130" s="1107"/>
      <c r="D2130" s="1107"/>
      <c r="E2130" s="1107"/>
      <c r="F2130" s="1107"/>
      <c r="G2130" s="1107"/>
      <c r="H2130" s="1107"/>
      <c r="I2130" s="1107"/>
      <c r="J2130" s="1107"/>
      <c r="K2130" s="1107"/>
      <c r="L2130" s="1107"/>
      <c r="M2130" s="1107"/>
      <c r="N2130" s="1108"/>
    </row>
    <row r="2131" spans="2:14" ht="13.5" thickBot="1">
      <c r="B2131" s="1109"/>
      <c r="C2131" s="1110"/>
      <c r="D2131" s="1110"/>
      <c r="E2131" s="1110"/>
      <c r="F2131" s="1110"/>
      <c r="G2131" s="1110"/>
      <c r="H2131" s="1110"/>
      <c r="I2131" s="1110"/>
      <c r="J2131" s="1110"/>
      <c r="K2131" s="1110"/>
      <c r="L2131" s="1110"/>
      <c r="M2131" s="1110"/>
      <c r="N2131" s="1111"/>
    </row>
    <row r="2132" spans="2:14">
      <c r="B2132" s="1130" t="s">
        <v>258</v>
      </c>
      <c r="C2132" s="1131"/>
      <c r="D2132" s="1131"/>
      <c r="E2132" s="1131"/>
      <c r="F2132" s="1132"/>
      <c r="G2132" s="1133" t="s">
        <v>261</v>
      </c>
      <c r="H2132" s="1131"/>
      <c r="I2132" s="1134" t="s">
        <v>262</v>
      </c>
      <c r="J2132" s="1135"/>
      <c r="K2132" s="288" t="s">
        <v>263</v>
      </c>
      <c r="L2132" s="1133" t="s">
        <v>264</v>
      </c>
      <c r="M2132" s="1136"/>
      <c r="N2132" s="289" t="s">
        <v>265</v>
      </c>
    </row>
    <row r="2133" spans="2:14">
      <c r="B2133" s="1179"/>
      <c r="C2133" s="1180"/>
      <c r="D2133" s="1180"/>
      <c r="E2133" s="1180"/>
      <c r="F2133" s="1181"/>
      <c r="G2133" s="1115"/>
      <c r="H2133" s="1114"/>
      <c r="I2133" s="1182"/>
      <c r="J2133" s="1183"/>
      <c r="K2133" s="290"/>
      <c r="L2133" s="1118"/>
      <c r="M2133" s="1119"/>
      <c r="N2133" s="290"/>
    </row>
    <row r="2134" spans="2:14" ht="13.5" thickBot="1">
      <c r="B2134" s="1179"/>
      <c r="C2134" s="1180"/>
      <c r="D2134" s="1180"/>
      <c r="E2134" s="1180"/>
      <c r="F2134" s="1181"/>
      <c r="G2134" s="295"/>
      <c r="H2134" s="294"/>
      <c r="I2134" s="1182"/>
      <c r="J2134" s="1183"/>
      <c r="K2134" s="290"/>
      <c r="L2134" s="1118"/>
      <c r="M2134" s="1119"/>
      <c r="N2134" s="290"/>
    </row>
    <row r="2135" spans="2:14" ht="13.5" thickBot="1">
      <c r="B2135" s="1100" t="s">
        <v>269</v>
      </c>
      <c r="C2135" s="1101"/>
      <c r="D2135" s="1101"/>
      <c r="E2135" s="1101"/>
      <c r="F2135" s="1101"/>
      <c r="G2135" s="1101"/>
      <c r="H2135" s="1101"/>
      <c r="I2135" s="1101"/>
      <c r="J2135" s="1101"/>
      <c r="K2135" s="1101"/>
      <c r="L2135" s="1101"/>
      <c r="M2135" s="1102"/>
      <c r="N2135" s="323">
        <f>+N2133+N2134</f>
        <v>0</v>
      </c>
    </row>
    <row r="2136" spans="2:14">
      <c r="B2136" s="1103" t="s">
        <v>270</v>
      </c>
      <c r="C2136" s="1104"/>
      <c r="D2136" s="1104"/>
      <c r="E2136" s="1104"/>
      <c r="F2136" s="1104"/>
      <c r="G2136" s="1104"/>
      <c r="H2136" s="1104"/>
      <c r="I2136" s="1104"/>
      <c r="J2136" s="1104"/>
      <c r="K2136" s="1104"/>
      <c r="L2136" s="1104"/>
      <c r="M2136" s="1104"/>
      <c r="N2136" s="1105"/>
    </row>
    <row r="2137" spans="2:14">
      <c r="B2137" s="1106"/>
      <c r="C2137" s="1107"/>
      <c r="D2137" s="1107"/>
      <c r="E2137" s="1107"/>
      <c r="F2137" s="1107"/>
      <c r="G2137" s="1107"/>
      <c r="H2137" s="1107"/>
      <c r="I2137" s="1107"/>
      <c r="J2137" s="1107"/>
      <c r="K2137" s="1107"/>
      <c r="L2137" s="1107"/>
      <c r="M2137" s="1107"/>
      <c r="N2137" s="1108"/>
    </row>
    <row r="2138" spans="2:14" ht="13.5" thickBot="1">
      <c r="B2138" s="1109"/>
      <c r="C2138" s="1110"/>
      <c r="D2138" s="1110"/>
      <c r="E2138" s="1110"/>
      <c r="F2138" s="1110"/>
      <c r="G2138" s="1110"/>
      <c r="H2138" s="1110"/>
      <c r="I2138" s="1110"/>
      <c r="J2138" s="1110"/>
      <c r="K2138" s="1110"/>
      <c r="L2138" s="1110"/>
      <c r="M2138" s="1110"/>
      <c r="N2138" s="1111"/>
    </row>
    <row r="2139" spans="2:14">
      <c r="B2139" s="1130" t="s">
        <v>258</v>
      </c>
      <c r="C2139" s="1139"/>
      <c r="D2139" s="1139"/>
      <c r="E2139" s="1139"/>
      <c r="F2139" s="1139"/>
      <c r="G2139" s="1139"/>
      <c r="H2139" s="1139"/>
      <c r="I2139" s="1136"/>
      <c r="J2139" s="299" t="s">
        <v>259</v>
      </c>
      <c r="K2139" s="288" t="s">
        <v>133</v>
      </c>
      <c r="L2139" s="1133" t="s">
        <v>271</v>
      </c>
      <c r="M2139" s="1136"/>
      <c r="N2139" s="289" t="s">
        <v>265</v>
      </c>
    </row>
    <row r="2140" spans="2:14">
      <c r="B2140" s="1112"/>
      <c r="C2140" s="1113"/>
      <c r="D2140" s="1113"/>
      <c r="E2140" s="1113"/>
      <c r="F2140" s="1113"/>
      <c r="G2140" s="1113"/>
      <c r="H2140" s="1113"/>
      <c r="I2140" s="1114"/>
      <c r="J2140" s="300"/>
      <c r="K2140" s="301"/>
      <c r="L2140" s="1144"/>
      <c r="M2140" s="1145"/>
      <c r="N2140" s="363"/>
    </row>
    <row r="2141" spans="2:14" ht="13.5" thickBot="1">
      <c r="B2141" s="1094"/>
      <c r="C2141" s="1095"/>
      <c r="D2141" s="1095"/>
      <c r="E2141" s="1095"/>
      <c r="F2141" s="1095"/>
      <c r="G2141" s="1095"/>
      <c r="H2141" s="1095"/>
      <c r="I2141" s="1096"/>
      <c r="J2141" s="303"/>
      <c r="K2141" s="304"/>
      <c r="L2141" s="1144"/>
      <c r="M2141" s="1145"/>
      <c r="N2141" s="363"/>
    </row>
    <row r="2142" spans="2:14" ht="13.5" thickBot="1">
      <c r="B2142" s="1100" t="s">
        <v>269</v>
      </c>
      <c r="C2142" s="1101"/>
      <c r="D2142" s="1101"/>
      <c r="E2142" s="1101"/>
      <c r="F2142" s="1101"/>
      <c r="G2142" s="1101"/>
      <c r="H2142" s="1101"/>
      <c r="I2142" s="1101"/>
      <c r="J2142" s="1101"/>
      <c r="K2142" s="1101"/>
      <c r="L2142" s="1101"/>
      <c r="M2142" s="1102"/>
      <c r="N2142" s="323">
        <f>+N2140</f>
        <v>0</v>
      </c>
    </row>
    <row r="2143" spans="2:14">
      <c r="B2143" s="1103" t="s">
        <v>276</v>
      </c>
      <c r="C2143" s="1104"/>
      <c r="D2143" s="1104"/>
      <c r="E2143" s="1104"/>
      <c r="F2143" s="1104"/>
      <c r="G2143" s="1104"/>
      <c r="H2143" s="1104"/>
      <c r="I2143" s="1104"/>
      <c r="J2143" s="1104"/>
      <c r="K2143" s="1104"/>
      <c r="L2143" s="1104"/>
      <c r="M2143" s="1104"/>
      <c r="N2143" s="1105"/>
    </row>
    <row r="2144" spans="2:14">
      <c r="B2144" s="1106"/>
      <c r="C2144" s="1107"/>
      <c r="D2144" s="1107"/>
      <c r="E2144" s="1107"/>
      <c r="F2144" s="1107"/>
      <c r="G2144" s="1107"/>
      <c r="H2144" s="1107"/>
      <c r="I2144" s="1107"/>
      <c r="J2144" s="1107"/>
      <c r="K2144" s="1107"/>
      <c r="L2144" s="1107"/>
      <c r="M2144" s="1107"/>
      <c r="N2144" s="1108"/>
    </row>
    <row r="2145" spans="2:14" ht="13.5" thickBot="1">
      <c r="B2145" s="1109"/>
      <c r="C2145" s="1110"/>
      <c r="D2145" s="1110"/>
      <c r="E2145" s="1110"/>
      <c r="F2145" s="1110"/>
      <c r="G2145" s="1110"/>
      <c r="H2145" s="1110"/>
      <c r="I2145" s="1110"/>
      <c r="J2145" s="1110"/>
      <c r="K2145" s="1110"/>
      <c r="L2145" s="1110"/>
      <c r="M2145" s="1110"/>
      <c r="N2145" s="1111"/>
    </row>
    <row r="2146" spans="2:14">
      <c r="B2146" s="1130" t="s">
        <v>277</v>
      </c>
      <c r="C2146" s="1139"/>
      <c r="D2146" s="1139"/>
      <c r="E2146" s="1139"/>
      <c r="F2146" s="1139"/>
      <c r="G2146" s="1139"/>
      <c r="H2146" s="1139"/>
      <c r="I2146" s="288" t="s">
        <v>278</v>
      </c>
      <c r="J2146" s="306" t="s">
        <v>279</v>
      </c>
      <c r="K2146" s="307" t="s">
        <v>280</v>
      </c>
      <c r="L2146" s="1133" t="s">
        <v>281</v>
      </c>
      <c r="M2146" s="1136"/>
      <c r="N2146" s="289" t="s">
        <v>265</v>
      </c>
    </row>
    <row r="2147" spans="2:14" ht="13.5" thickBot="1">
      <c r="B2147" s="1112" t="s">
        <v>336</v>
      </c>
      <c r="C2147" s="1113"/>
      <c r="D2147" s="1113"/>
      <c r="E2147" s="1113"/>
      <c r="F2147" s="1113"/>
      <c r="G2147" s="1113"/>
      <c r="H2147" s="1113"/>
      <c r="I2147" s="393">
        <v>28</v>
      </c>
      <c r="J2147" s="309"/>
      <c r="K2147" s="308"/>
      <c r="L2147" s="1144">
        <v>1498</v>
      </c>
      <c r="M2147" s="1145"/>
      <c r="N2147" s="363">
        <f>+L2147*I2147</f>
        <v>41944</v>
      </c>
    </row>
    <row r="2148" spans="2:14" ht="13.5" thickBot="1">
      <c r="B2148" s="1100" t="s">
        <v>269</v>
      </c>
      <c r="C2148" s="1101"/>
      <c r="D2148" s="1101"/>
      <c r="E2148" s="1101"/>
      <c r="F2148" s="1101"/>
      <c r="G2148" s="1101"/>
      <c r="H2148" s="1101"/>
      <c r="I2148" s="1101"/>
      <c r="J2148" s="1101"/>
      <c r="K2148" s="1101"/>
      <c r="L2148" s="1101"/>
      <c r="M2148" s="1102"/>
      <c r="N2148" s="323">
        <f>+N2147</f>
        <v>41944</v>
      </c>
    </row>
    <row r="2149" spans="2:14">
      <c r="B2149" s="1103" t="s">
        <v>282</v>
      </c>
      <c r="C2149" s="1104"/>
      <c r="D2149" s="1104"/>
      <c r="E2149" s="1104"/>
      <c r="F2149" s="1104"/>
      <c r="G2149" s="1104"/>
      <c r="H2149" s="1104"/>
      <c r="I2149" s="1104"/>
      <c r="J2149" s="1104"/>
      <c r="K2149" s="1104"/>
      <c r="L2149" s="1104"/>
      <c r="M2149" s="1104"/>
      <c r="N2149" s="1105"/>
    </row>
    <row r="2150" spans="2:14">
      <c r="B2150" s="1106"/>
      <c r="C2150" s="1107"/>
      <c r="D2150" s="1107"/>
      <c r="E2150" s="1107"/>
      <c r="F2150" s="1107"/>
      <c r="G2150" s="1107"/>
      <c r="H2150" s="1107"/>
      <c r="I2150" s="1107"/>
      <c r="J2150" s="1107"/>
      <c r="K2150" s="1107"/>
      <c r="L2150" s="1107"/>
      <c r="M2150" s="1107"/>
      <c r="N2150" s="1108"/>
    </row>
    <row r="2151" spans="2:14" ht="13.5" thickBot="1">
      <c r="B2151" s="1109"/>
      <c r="C2151" s="1110"/>
      <c r="D2151" s="1110"/>
      <c r="E2151" s="1110"/>
      <c r="F2151" s="1110"/>
      <c r="G2151" s="1110"/>
      <c r="H2151" s="1110"/>
      <c r="I2151" s="1110"/>
      <c r="J2151" s="1110"/>
      <c r="K2151" s="1110"/>
      <c r="L2151" s="1110"/>
      <c r="M2151" s="1110"/>
      <c r="N2151" s="1111"/>
    </row>
    <row r="2152" spans="2:14">
      <c r="B2152" s="1130" t="s">
        <v>283</v>
      </c>
      <c r="C2152" s="1139"/>
      <c r="D2152" s="1139"/>
      <c r="E2152" s="1139"/>
      <c r="F2152" s="1139"/>
      <c r="G2152" s="1139"/>
      <c r="H2152" s="1139"/>
      <c r="I2152" s="288" t="s">
        <v>284</v>
      </c>
      <c r="J2152" s="314" t="s">
        <v>285</v>
      </c>
      <c r="K2152" s="315" t="s">
        <v>286</v>
      </c>
      <c r="L2152" s="1140" t="s">
        <v>264</v>
      </c>
      <c r="M2152" s="1141"/>
      <c r="N2152" s="316" t="s">
        <v>265</v>
      </c>
    </row>
    <row r="2153" spans="2:14">
      <c r="B2153" s="317" t="s">
        <v>337</v>
      </c>
      <c r="C2153" s="318"/>
      <c r="D2153" s="318"/>
      <c r="E2153" s="318"/>
      <c r="F2153" s="318"/>
      <c r="G2153" s="318"/>
      <c r="H2153" s="318"/>
      <c r="I2153" s="319">
        <v>153482</v>
      </c>
      <c r="J2153" s="321">
        <v>0</v>
      </c>
      <c r="K2153" s="321">
        <f>+I2153+J2153</f>
        <v>153482</v>
      </c>
      <c r="L2153" s="1157">
        <v>59.998800000000003</v>
      </c>
      <c r="M2153" s="1158"/>
      <c r="N2153" s="322">
        <f>+K2153/L2153</f>
        <v>2558.0844950232336</v>
      </c>
    </row>
    <row r="2154" spans="2:14" ht="13.5" thickBot="1">
      <c r="B2154" s="356"/>
      <c r="C2154" s="318"/>
      <c r="D2154" s="318"/>
      <c r="E2154" s="318"/>
      <c r="F2154" s="318"/>
      <c r="G2154" s="318"/>
      <c r="H2154" s="318"/>
      <c r="I2154" s="319"/>
      <c r="J2154" s="321"/>
      <c r="K2154" s="321"/>
      <c r="L2154" s="1157"/>
      <c r="M2154" s="1158"/>
      <c r="N2154" s="322"/>
    </row>
    <row r="2155" spans="2:14" ht="13.5" thickBot="1">
      <c r="B2155" s="1100" t="s">
        <v>269</v>
      </c>
      <c r="C2155" s="1101"/>
      <c r="D2155" s="1101"/>
      <c r="E2155" s="1101"/>
      <c r="F2155" s="1101"/>
      <c r="G2155" s="1101"/>
      <c r="H2155" s="1101"/>
      <c r="I2155" s="1101"/>
      <c r="J2155" s="1101"/>
      <c r="K2155" s="1101"/>
      <c r="L2155" s="1101"/>
      <c r="M2155" s="1102"/>
      <c r="N2155" s="323">
        <f>+N2153+N2154</f>
        <v>2558.0844950232336</v>
      </c>
    </row>
    <row r="2156" spans="2:14" ht="13.5" thickBot="1">
      <c r="B2156" s="324" t="s">
        <v>288</v>
      </c>
      <c r="C2156" s="325"/>
      <c r="D2156" s="325"/>
      <c r="E2156" s="325"/>
      <c r="F2156" s="325"/>
      <c r="G2156" s="325"/>
      <c r="H2156" s="325"/>
      <c r="I2156" s="326"/>
      <c r="J2156" s="327"/>
      <c r="K2156" s="328"/>
      <c r="L2156" s="329"/>
      <c r="M2156" s="329"/>
      <c r="N2156" s="330"/>
    </row>
    <row r="2157" spans="2:14">
      <c r="B2157" s="1130" t="s">
        <v>17</v>
      </c>
      <c r="C2157" s="1139"/>
      <c r="D2157" s="1139"/>
      <c r="E2157" s="1139"/>
      <c r="F2157" s="1139"/>
      <c r="G2157" s="1139"/>
      <c r="H2157" s="1139"/>
      <c r="I2157" s="1136"/>
      <c r="J2157" s="299" t="s">
        <v>259</v>
      </c>
      <c r="K2157" s="288" t="s">
        <v>133</v>
      </c>
      <c r="L2157" s="1133" t="s">
        <v>271</v>
      </c>
      <c r="M2157" s="1136"/>
      <c r="N2157" s="316" t="s">
        <v>265</v>
      </c>
    </row>
    <row r="2158" spans="2:14" ht="13.5" thickBot="1">
      <c r="B2158" s="331" t="s">
        <v>289</v>
      </c>
      <c r="C2158" s="332"/>
      <c r="D2158" s="332"/>
      <c r="E2158" s="332"/>
      <c r="F2158" s="332"/>
      <c r="G2158" s="332"/>
      <c r="H2158" s="332"/>
      <c r="I2158" s="333"/>
      <c r="J2158" s="334" t="s">
        <v>290</v>
      </c>
      <c r="K2158" s="335">
        <v>0.05</v>
      </c>
      <c r="L2158" s="1144">
        <f>+N2155</f>
        <v>2558.0844950232336</v>
      </c>
      <c r="M2158" s="1145"/>
      <c r="N2158" s="322">
        <f>+K2158*L2158</f>
        <v>127.90422475116168</v>
      </c>
    </row>
    <row r="2159" spans="2:14" ht="13.5" thickBot="1">
      <c r="B2159" s="1100" t="s">
        <v>269</v>
      </c>
      <c r="C2159" s="1101"/>
      <c r="D2159" s="1101"/>
      <c r="E2159" s="1101"/>
      <c r="F2159" s="1101"/>
      <c r="G2159" s="1101"/>
      <c r="H2159" s="1101"/>
      <c r="I2159" s="1101"/>
      <c r="J2159" s="1101"/>
      <c r="K2159" s="1101"/>
      <c r="L2159" s="1101"/>
      <c r="M2159" s="1102"/>
      <c r="N2159" s="323">
        <f>+N2158</f>
        <v>127.90422475116168</v>
      </c>
    </row>
    <row r="2160" spans="2:14" ht="13.5" thickBot="1">
      <c r="B2160" s="324" t="s">
        <v>338</v>
      </c>
      <c r="C2160" s="325"/>
      <c r="D2160" s="325"/>
      <c r="E2160" s="325"/>
      <c r="F2160" s="325"/>
      <c r="G2160" s="325"/>
      <c r="H2160" s="325"/>
      <c r="I2160" s="326"/>
      <c r="J2160" s="327"/>
      <c r="K2160" s="328"/>
      <c r="L2160" s="329"/>
      <c r="M2160" s="329"/>
      <c r="N2160" s="330"/>
    </row>
    <row r="2161" spans="2:14">
      <c r="B2161" s="1130" t="s">
        <v>17</v>
      </c>
      <c r="C2161" s="1139"/>
      <c r="D2161" s="1139"/>
      <c r="E2161" s="1139"/>
      <c r="F2161" s="1139"/>
      <c r="G2161" s="1139"/>
      <c r="H2161" s="1139"/>
      <c r="I2161" s="1136"/>
      <c r="J2161" s="299" t="s">
        <v>259</v>
      </c>
      <c r="K2161" s="288" t="s">
        <v>133</v>
      </c>
      <c r="L2161" s="1133" t="s">
        <v>271</v>
      </c>
      <c r="M2161" s="1136"/>
      <c r="N2161" s="316" t="s">
        <v>265</v>
      </c>
    </row>
    <row r="2162" spans="2:14" ht="13.5" thickBot="1">
      <c r="B2162" s="331" t="s">
        <v>339</v>
      </c>
      <c r="C2162" s="332"/>
      <c r="D2162" s="332"/>
      <c r="E2162" s="332"/>
      <c r="F2162" s="332"/>
      <c r="G2162" s="332"/>
      <c r="H2162" s="332"/>
      <c r="I2162" s="333"/>
      <c r="J2162" s="334" t="s">
        <v>147</v>
      </c>
      <c r="K2162" s="394">
        <v>1</v>
      </c>
      <c r="L2162" s="1144">
        <v>5800</v>
      </c>
      <c r="M2162" s="1145"/>
      <c r="N2162" s="395">
        <f>+L2162*K2162</f>
        <v>5800</v>
      </c>
    </row>
    <row r="2163" spans="2:14" ht="13.5" thickBot="1">
      <c r="B2163" s="1100" t="s">
        <v>269</v>
      </c>
      <c r="C2163" s="1101"/>
      <c r="D2163" s="1101"/>
      <c r="E2163" s="1101"/>
      <c r="F2163" s="1101"/>
      <c r="G2163" s="1101"/>
      <c r="H2163" s="1101"/>
      <c r="I2163" s="1101"/>
      <c r="J2163" s="1101"/>
      <c r="K2163" s="1101"/>
      <c r="L2163" s="1101"/>
      <c r="M2163" s="1102"/>
      <c r="N2163" s="323">
        <f>+N2162</f>
        <v>5800</v>
      </c>
    </row>
    <row r="2164" spans="2:14">
      <c r="B2164" s="280"/>
      <c r="C2164" s="281"/>
      <c r="D2164" s="281"/>
      <c r="E2164" s="281"/>
      <c r="F2164" s="281"/>
      <c r="G2164" s="281"/>
      <c r="H2164" s="281"/>
      <c r="I2164" s="281"/>
      <c r="J2164" s="281"/>
      <c r="K2164" s="281"/>
      <c r="L2164" s="281"/>
      <c r="M2164" s="281"/>
      <c r="N2164" s="282"/>
    </row>
    <row r="2165" spans="2:14" ht="13.5" thickBot="1">
      <c r="B2165" s="378"/>
      <c r="C2165" s="311"/>
      <c r="D2165" s="311"/>
      <c r="E2165" s="311"/>
      <c r="F2165" s="311"/>
      <c r="G2165" s="311"/>
      <c r="H2165" s="311"/>
      <c r="I2165" s="311"/>
      <c r="J2165" s="311"/>
      <c r="K2165" s="311"/>
      <c r="L2165" s="311"/>
      <c r="M2165" s="311"/>
      <c r="N2165" s="379"/>
    </row>
    <row r="2166" spans="2:14" ht="13.5" thickBot="1">
      <c r="B2166" s="1150" t="s">
        <v>291</v>
      </c>
      <c r="C2166" s="1151"/>
      <c r="D2166" s="1151"/>
      <c r="E2166" s="1151"/>
      <c r="F2166" s="1151"/>
      <c r="G2166" s="1151"/>
      <c r="H2166" s="1151"/>
      <c r="I2166" s="1151"/>
      <c r="J2166" s="1151"/>
      <c r="K2166" s="1151"/>
      <c r="L2166" s="1151"/>
      <c r="M2166" s="1152"/>
      <c r="N2166" s="336">
        <f>+N2135+N2142+N2148+N2155+N2163+N2159</f>
        <v>50429.988719774396</v>
      </c>
    </row>
    <row r="2167" spans="2:14">
      <c r="B2167" s="1103" t="s">
        <v>292</v>
      </c>
      <c r="C2167" s="1104"/>
      <c r="D2167" s="1104"/>
      <c r="E2167" s="1104"/>
      <c r="F2167" s="1104"/>
      <c r="G2167" s="1104"/>
      <c r="H2167" s="1104"/>
      <c r="I2167" s="1104"/>
      <c r="J2167" s="1104"/>
      <c r="K2167" s="1104"/>
      <c r="L2167" s="1104"/>
      <c r="M2167" s="1104"/>
      <c r="N2167" s="1105"/>
    </row>
    <row r="2168" spans="2:14">
      <c r="B2168" s="1106"/>
      <c r="C2168" s="1107"/>
      <c r="D2168" s="1107"/>
      <c r="E2168" s="1107"/>
      <c r="F2168" s="1107"/>
      <c r="G2168" s="1107"/>
      <c r="H2168" s="1107"/>
      <c r="I2168" s="1107"/>
      <c r="J2168" s="1107"/>
      <c r="K2168" s="1107"/>
      <c r="L2168" s="1107"/>
      <c r="M2168" s="1107"/>
      <c r="N2168" s="1108"/>
    </row>
    <row r="2169" spans="2:14" ht="13.5" thickBot="1">
      <c r="B2169" s="1109"/>
      <c r="C2169" s="1110"/>
      <c r="D2169" s="1110"/>
      <c r="E2169" s="1110"/>
      <c r="F2169" s="1110"/>
      <c r="G2169" s="1110"/>
      <c r="H2169" s="1110"/>
      <c r="I2169" s="1110"/>
      <c r="J2169" s="1110"/>
      <c r="K2169" s="1110"/>
      <c r="L2169" s="1110"/>
      <c r="M2169" s="1110"/>
      <c r="N2169" s="1111"/>
    </row>
    <row r="2170" spans="2:14">
      <c r="B2170" s="1130" t="s">
        <v>17</v>
      </c>
      <c r="C2170" s="1139"/>
      <c r="D2170" s="1139"/>
      <c r="E2170" s="1139"/>
      <c r="F2170" s="1139"/>
      <c r="G2170" s="1139"/>
      <c r="H2170" s="1139"/>
      <c r="I2170" s="306"/>
      <c r="J2170" s="337"/>
      <c r="K2170" s="315" t="s">
        <v>79</v>
      </c>
      <c r="L2170" s="1140" t="s">
        <v>11</v>
      </c>
      <c r="M2170" s="1141"/>
      <c r="N2170" s="316"/>
    </row>
    <row r="2171" spans="2:14">
      <c r="B2171" s="1112" t="s">
        <v>232</v>
      </c>
      <c r="C2171" s="1113"/>
      <c r="D2171" s="1113"/>
      <c r="E2171" s="1113"/>
      <c r="F2171" s="1113"/>
      <c r="G2171" s="1113"/>
      <c r="H2171" s="1113"/>
      <c r="I2171" s="338"/>
      <c r="J2171" s="339"/>
      <c r="K2171" s="340">
        <f>'PRESUPUESTO OFICIAL'!$K$100</f>
        <v>0</v>
      </c>
      <c r="L2171" s="1146">
        <f>K2171*N2166</f>
        <v>0</v>
      </c>
      <c r="M2171" s="1147"/>
      <c r="N2171" s="341"/>
    </row>
    <row r="2172" spans="2:14">
      <c r="B2172" s="292" t="s">
        <v>293</v>
      </c>
      <c r="C2172" s="293"/>
      <c r="D2172" s="293"/>
      <c r="E2172" s="293"/>
      <c r="F2172" s="293"/>
      <c r="G2172" s="293"/>
      <c r="H2172" s="293"/>
      <c r="I2172" s="338"/>
      <c r="J2172" s="339"/>
      <c r="K2172" s="340">
        <f>'PRESUPUESTO OFICIAL'!$K$101</f>
        <v>0</v>
      </c>
      <c r="L2172" s="1146">
        <f>K2172*N2166</f>
        <v>0</v>
      </c>
      <c r="M2172" s="1147"/>
      <c r="N2172" s="341"/>
    </row>
    <row r="2173" spans="2:14" ht="13.5" thickBot="1">
      <c r="B2173" s="277" t="s">
        <v>294</v>
      </c>
      <c r="C2173" s="278"/>
      <c r="D2173" s="278"/>
      <c r="E2173" s="278"/>
      <c r="F2173" s="278"/>
      <c r="G2173" s="278"/>
      <c r="H2173" s="278"/>
      <c r="I2173" s="342"/>
      <c r="J2173" s="343"/>
      <c r="K2173" s="340">
        <f>'PRESUPUESTO OFICIAL'!$K$102</f>
        <v>0</v>
      </c>
      <c r="L2173" s="1148">
        <f>K2173*N2166</f>
        <v>0</v>
      </c>
      <c r="M2173" s="1149"/>
      <c r="N2173" s="341"/>
    </row>
    <row r="2174" spans="2:14" ht="13.5" thickBot="1">
      <c r="B2174" s="1100" t="s">
        <v>269</v>
      </c>
      <c r="C2174" s="1101"/>
      <c r="D2174" s="1101"/>
      <c r="E2174" s="1101"/>
      <c r="F2174" s="1101"/>
      <c r="G2174" s="1101"/>
      <c r="H2174" s="1101"/>
      <c r="I2174" s="1101"/>
      <c r="J2174" s="1101"/>
      <c r="K2174" s="1101"/>
      <c r="L2174" s="1101"/>
      <c r="M2174" s="1102"/>
      <c r="N2174" s="344">
        <f>SUM(L2171:M2173)</f>
        <v>0</v>
      </c>
    </row>
    <row r="2175" spans="2:14" ht="13.5" thickBot="1">
      <c r="B2175" s="283"/>
      <c r="N2175" s="284"/>
    </row>
    <row r="2176" spans="2:14" ht="13.5" thickBot="1">
      <c r="B2176" s="1150" t="s">
        <v>295</v>
      </c>
      <c r="C2176" s="1151"/>
      <c r="D2176" s="1151"/>
      <c r="E2176" s="1151"/>
      <c r="F2176" s="1151"/>
      <c r="G2176" s="1151"/>
      <c r="H2176" s="1151"/>
      <c r="I2176" s="1151"/>
      <c r="J2176" s="1151"/>
      <c r="K2176" s="1151"/>
      <c r="L2176" s="1151"/>
      <c r="M2176" s="1152"/>
      <c r="N2176" s="345">
        <f>ROUND(N2166+N2174,0)</f>
        <v>50430</v>
      </c>
    </row>
    <row r="2177" spans="2:14">
      <c r="B2177" s="280"/>
      <c r="C2177" s="281"/>
      <c r="D2177" s="281"/>
      <c r="E2177" s="281"/>
      <c r="F2177" s="281"/>
      <c r="G2177" s="281"/>
      <c r="H2177" s="281"/>
      <c r="I2177" s="281"/>
      <c r="J2177" s="281"/>
      <c r="K2177" s="281"/>
      <c r="L2177" s="281"/>
      <c r="M2177" s="281"/>
      <c r="N2177" s="282"/>
    </row>
    <row r="2178" spans="2:14">
      <c r="B2178" s="283"/>
      <c r="N2178" s="284"/>
    </row>
    <row r="2179" spans="2:14">
      <c r="B2179" s="283"/>
      <c r="N2179" s="284"/>
    </row>
    <row r="2180" spans="2:14">
      <c r="B2180" s="283"/>
      <c r="G2180" s="346" t="s">
        <v>296</v>
      </c>
      <c r="H2180" s="346"/>
      <c r="I2180" s="346"/>
      <c r="J2180" s="346"/>
      <c r="N2180" s="284"/>
    </row>
    <row r="2181" spans="2:14">
      <c r="B2181" s="347"/>
      <c r="C2181" s="348"/>
      <c r="D2181" s="348"/>
      <c r="E2181" s="348"/>
      <c r="F2181" s="348"/>
      <c r="G2181" s="346" t="s">
        <v>297</v>
      </c>
      <c r="H2181" s="348"/>
      <c r="I2181" s="348"/>
      <c r="J2181" s="348"/>
      <c r="K2181" s="348"/>
      <c r="L2181" s="348"/>
      <c r="M2181" s="348"/>
      <c r="N2181" s="349"/>
    </row>
    <row r="2182" spans="2:14">
      <c r="B2182" s="347"/>
      <c r="C2182" s="348"/>
      <c r="D2182" s="348"/>
      <c r="E2182" s="348"/>
      <c r="F2182" s="348"/>
      <c r="G2182" s="346" t="s">
        <v>298</v>
      </c>
      <c r="J2182" s="348"/>
      <c r="K2182" s="348"/>
      <c r="L2182" s="348"/>
      <c r="M2182" s="348"/>
      <c r="N2182" s="349"/>
    </row>
    <row r="2183" spans="2:14">
      <c r="B2183" s="268"/>
      <c r="C2183" s="350"/>
      <c r="D2183" s="350"/>
      <c r="E2183" s="350"/>
      <c r="F2183" s="350"/>
      <c r="G2183" s="346" t="s">
        <v>299</v>
      </c>
      <c r="H2183" s="350"/>
      <c r="I2183" s="350"/>
      <c r="J2183" s="350"/>
      <c r="K2183" s="350"/>
      <c r="L2183" s="350"/>
      <c r="M2183" s="350"/>
      <c r="N2183" s="351"/>
    </row>
    <row r="2184" spans="2:14">
      <c r="B2184" s="283"/>
      <c r="G2184" s="258" t="s">
        <v>300</v>
      </c>
      <c r="N2184" s="284"/>
    </row>
    <row r="2185" spans="2:14">
      <c r="B2185" s="352" t="s">
        <v>301</v>
      </c>
      <c r="C2185" s="353"/>
      <c r="D2185" s="353"/>
      <c r="E2185" s="353"/>
      <c r="F2185" s="353"/>
      <c r="G2185" s="353"/>
      <c r="H2185" s="353"/>
      <c r="I2185" s="353"/>
      <c r="J2185" s="353"/>
      <c r="K2185" s="353"/>
      <c r="L2185" s="353"/>
      <c r="M2185" s="353"/>
      <c r="N2185" s="354"/>
    </row>
    <row r="2186" spans="2:14">
      <c r="B2186" s="1153"/>
      <c r="C2186" s="1154"/>
      <c r="D2186" s="1154"/>
      <c r="E2186" s="1154"/>
      <c r="F2186" s="1154"/>
      <c r="G2186" s="1154"/>
      <c r="H2186" s="1154"/>
      <c r="I2186" s="1154"/>
      <c r="J2186" s="1154"/>
      <c r="K2186" s="1154"/>
      <c r="L2186" s="1154"/>
      <c r="M2186" s="1154"/>
      <c r="N2186" s="1155"/>
    </row>
    <row r="2187" spans="2:14">
      <c r="B2187" s="1153"/>
      <c r="C2187" s="1154"/>
      <c r="D2187" s="1154"/>
      <c r="E2187" s="1154"/>
      <c r="F2187" s="1154"/>
      <c r="G2187" s="1154"/>
      <c r="H2187" s="1154"/>
      <c r="I2187" s="1154"/>
      <c r="J2187" s="1154"/>
      <c r="K2187" s="1154"/>
      <c r="L2187" s="1154"/>
      <c r="M2187" s="1154"/>
      <c r="N2187" s="1155"/>
    </row>
    <row r="2188" spans="2:14">
      <c r="B2188" s="268"/>
      <c r="C2188" s="350"/>
      <c r="D2188" s="350"/>
      <c r="E2188" s="350"/>
      <c r="F2188" s="350"/>
      <c r="G2188" s="350"/>
      <c r="H2188" s="350"/>
      <c r="I2188" s="350"/>
      <c r="J2188" s="350"/>
      <c r="K2188" s="350"/>
      <c r="L2188" s="350"/>
      <c r="M2188" s="350"/>
      <c r="N2188" s="351"/>
    </row>
    <row r="2189" spans="2:14">
      <c r="B2189" s="355" t="s">
        <v>302</v>
      </c>
      <c r="C2189" s="350"/>
      <c r="D2189" s="350"/>
      <c r="E2189" s="350"/>
      <c r="F2189" s="350"/>
      <c r="G2189" s="350"/>
      <c r="H2189" s="350"/>
      <c r="I2189" s="350"/>
      <c r="J2189" s="350"/>
      <c r="K2189" s="350"/>
      <c r="L2189" s="350"/>
      <c r="M2189" s="350"/>
      <c r="N2189" s="351"/>
    </row>
    <row r="2190" spans="2:14">
      <c r="B2190" s="1159" t="s">
        <v>303</v>
      </c>
      <c r="C2190" s="1160"/>
      <c r="D2190" s="1160"/>
      <c r="E2190" s="1160"/>
      <c r="F2190" s="1160"/>
      <c r="G2190" s="1160"/>
      <c r="H2190" s="1160"/>
      <c r="I2190" s="1160"/>
      <c r="J2190" s="1160"/>
      <c r="K2190" s="1160"/>
      <c r="L2190" s="1160"/>
      <c r="M2190" s="1160"/>
      <c r="N2190" s="1161"/>
    </row>
    <row r="2191" spans="2:14">
      <c r="B2191" s="1159"/>
      <c r="C2191" s="1160"/>
      <c r="D2191" s="1160"/>
      <c r="E2191" s="1160"/>
      <c r="F2191" s="1160"/>
      <c r="G2191" s="1160"/>
      <c r="H2191" s="1160"/>
      <c r="I2191" s="1160"/>
      <c r="J2191" s="1160"/>
      <c r="K2191" s="1160"/>
      <c r="L2191" s="1160"/>
      <c r="M2191" s="1160"/>
      <c r="N2191" s="1161"/>
    </row>
    <row r="2192" spans="2:14">
      <c r="B2192" s="1159" t="s">
        <v>304</v>
      </c>
      <c r="C2192" s="1160"/>
      <c r="D2192" s="1160"/>
      <c r="E2192" s="1160"/>
      <c r="F2192" s="1160"/>
      <c r="G2192" s="1160"/>
      <c r="H2192" s="1160"/>
      <c r="I2192" s="1160"/>
      <c r="J2192" s="1160"/>
      <c r="K2192" s="1160"/>
      <c r="L2192" s="1160"/>
      <c r="M2192" s="1160"/>
      <c r="N2192" s="1161"/>
    </row>
    <row r="2193" spans="2:14">
      <c r="B2193" s="1159"/>
      <c r="C2193" s="1160"/>
      <c r="D2193" s="1160"/>
      <c r="E2193" s="1160"/>
      <c r="F2193" s="1160"/>
      <c r="G2193" s="1160"/>
      <c r="H2193" s="1160"/>
      <c r="I2193" s="1160"/>
      <c r="J2193" s="1160"/>
      <c r="K2193" s="1160"/>
      <c r="L2193" s="1160"/>
      <c r="M2193" s="1160"/>
      <c r="N2193" s="1161"/>
    </row>
    <row r="2194" spans="2:14">
      <c r="B2194" s="268"/>
      <c r="C2194" s="350"/>
      <c r="D2194" s="350"/>
      <c r="E2194" s="350"/>
      <c r="F2194" s="350"/>
      <c r="G2194" s="350"/>
      <c r="H2194" s="350"/>
      <c r="I2194" s="350"/>
      <c r="J2194" s="350"/>
      <c r="K2194" s="350"/>
      <c r="L2194" s="350"/>
      <c r="M2194" s="350"/>
      <c r="N2194" s="351"/>
    </row>
    <row r="2195" spans="2:14">
      <c r="B2195" s="283"/>
      <c r="G2195" s="346" t="s">
        <v>296</v>
      </c>
      <c r="N2195" s="284"/>
    </row>
    <row r="2196" spans="2:14">
      <c r="B2196" s="283"/>
      <c r="G2196" s="258" t="s">
        <v>305</v>
      </c>
      <c r="H2196" s="293"/>
      <c r="I2196" s="293"/>
      <c r="J2196" s="293"/>
      <c r="N2196" s="284"/>
    </row>
    <row r="2197" spans="2:14">
      <c r="B2197" s="283"/>
      <c r="G2197" s="258" t="s">
        <v>306</v>
      </c>
      <c r="H2197" s="325"/>
      <c r="I2197" s="325"/>
      <c r="J2197" s="325"/>
      <c r="N2197" s="284"/>
    </row>
    <row r="2198" spans="2:14">
      <c r="B2198" s="356"/>
      <c r="C2198" s="350"/>
      <c r="D2198" s="350"/>
      <c r="E2198" s="350"/>
      <c r="F2198" s="350"/>
      <c r="G2198" s="258" t="s">
        <v>299</v>
      </c>
      <c r="K2198" s="350"/>
      <c r="L2198" s="350"/>
      <c r="M2198" s="350"/>
      <c r="N2198" s="351"/>
    </row>
    <row r="2199" spans="2:14">
      <c r="B2199" s="357"/>
      <c r="C2199" s="358"/>
      <c r="D2199" s="358"/>
      <c r="J2199" s="1162"/>
      <c r="K2199" s="1162"/>
      <c r="L2199" s="1162"/>
      <c r="M2199" s="1162"/>
      <c r="N2199" s="1163"/>
    </row>
    <row r="2200" spans="2:14" ht="13.5" thickBot="1">
      <c r="B2200" s="1166"/>
      <c r="C2200" s="1167"/>
      <c r="D2200" s="1167"/>
      <c r="E2200" s="311"/>
      <c r="F2200" s="311"/>
      <c r="G2200" s="311"/>
      <c r="H2200" s="311"/>
      <c r="I2200" s="311"/>
      <c r="J2200" s="1164"/>
      <c r="K2200" s="1164"/>
      <c r="L2200" s="1164"/>
      <c r="M2200" s="1164"/>
      <c r="N2200" s="1165"/>
    </row>
    <row r="2201" spans="2:14" ht="13.5" thickBot="1"/>
    <row r="2202" spans="2:14">
      <c r="B2202" s="1070"/>
      <c r="C2202" s="1072"/>
      <c r="D2202" s="1073"/>
      <c r="E2202" s="1073"/>
      <c r="F2202" s="1073"/>
      <c r="G2202" s="1073"/>
      <c r="H2202" s="1073"/>
      <c r="I2202" s="1073"/>
      <c r="J2202" s="1074"/>
      <c r="K2202" s="1075"/>
      <c r="L2202" s="1076"/>
      <c r="M2202" s="1076"/>
      <c r="N2202" s="1077"/>
    </row>
    <row r="2203" spans="2:14">
      <c r="B2203" s="1071"/>
      <c r="C2203" s="1062" t="s">
        <v>244</v>
      </c>
      <c r="D2203" s="1063"/>
      <c r="E2203" s="1063"/>
      <c r="F2203" s="1063"/>
      <c r="G2203" s="1063"/>
      <c r="H2203" s="1063"/>
      <c r="I2203" s="1063"/>
      <c r="J2203" s="1064"/>
      <c r="K2203" s="1078"/>
      <c r="L2203" s="1079"/>
      <c r="M2203" s="1079"/>
      <c r="N2203" s="1080"/>
    </row>
    <row r="2204" spans="2:14">
      <c r="B2204" s="1071"/>
      <c r="C2204" s="1081"/>
      <c r="D2204" s="1082"/>
      <c r="E2204" s="1082"/>
      <c r="F2204" s="1082"/>
      <c r="G2204" s="1082"/>
      <c r="H2204" s="1082"/>
      <c r="I2204" s="1082"/>
      <c r="J2204" s="1083"/>
      <c r="K2204" s="1058" t="s">
        <v>245</v>
      </c>
      <c r="L2204" s="1085"/>
      <c r="M2204" s="1086"/>
      <c r="N2204" s="1087"/>
    </row>
    <row r="2205" spans="2:14">
      <c r="B2205" s="1071"/>
      <c r="C2205" s="1062" t="s">
        <v>246</v>
      </c>
      <c r="D2205" s="1063"/>
      <c r="E2205" s="1063"/>
      <c r="F2205" s="1063"/>
      <c r="G2205" s="1063"/>
      <c r="H2205" s="1063"/>
      <c r="I2205" s="1063"/>
      <c r="J2205" s="1064"/>
      <c r="K2205" s="1084"/>
      <c r="L2205" s="1088"/>
      <c r="M2205" s="1089"/>
      <c r="N2205" s="1090"/>
    </row>
    <row r="2206" spans="2:14">
      <c r="B2206" s="1071"/>
      <c r="C2206" s="1091"/>
      <c r="D2206" s="1092"/>
      <c r="E2206" s="1092"/>
      <c r="F2206" s="1092"/>
      <c r="G2206" s="1092"/>
      <c r="H2206" s="1092"/>
      <c r="I2206" s="1092"/>
      <c r="J2206" s="1093"/>
      <c r="K2206" s="1058" t="s">
        <v>247</v>
      </c>
      <c r="L2206" s="1058">
        <v>25</v>
      </c>
      <c r="M2206" s="1058" t="s">
        <v>248</v>
      </c>
      <c r="N2206" s="1060">
        <v>80</v>
      </c>
    </row>
    <row r="2207" spans="2:14">
      <c r="B2207" s="1071"/>
      <c r="C2207" s="1091"/>
      <c r="D2207" s="1092"/>
      <c r="E2207" s="1092"/>
      <c r="F2207" s="1092"/>
      <c r="G2207" s="1092"/>
      <c r="H2207" s="1092"/>
      <c r="I2207" s="1092"/>
      <c r="J2207" s="1093"/>
      <c r="K2207" s="1059"/>
      <c r="L2207" s="1059"/>
      <c r="M2207" s="1059"/>
      <c r="N2207" s="1061"/>
    </row>
    <row r="2208" spans="2:14">
      <c r="B2208" s="1071"/>
      <c r="C2208" s="1062" t="s">
        <v>249</v>
      </c>
      <c r="D2208" s="1063"/>
      <c r="E2208" s="1063"/>
      <c r="F2208" s="1063"/>
      <c r="G2208" s="1063"/>
      <c r="H2208" s="1063"/>
      <c r="I2208" s="1063"/>
      <c r="J2208" s="1064"/>
      <c r="K2208" s="1059"/>
      <c r="L2208" s="1059"/>
      <c r="M2208" s="1059"/>
      <c r="N2208" s="1061"/>
    </row>
    <row r="2209" spans="2:14" ht="13.5" thickBot="1">
      <c r="B2209" s="259"/>
      <c r="C2209" s="260"/>
      <c r="D2209" s="260"/>
      <c r="E2209" s="260"/>
      <c r="F2209" s="260"/>
      <c r="G2209" s="260"/>
      <c r="H2209" s="260"/>
      <c r="I2209" s="260"/>
      <c r="J2209" s="260"/>
      <c r="K2209" s="260"/>
      <c r="L2209" s="261"/>
      <c r="M2209" s="261"/>
      <c r="N2209" s="262"/>
    </row>
    <row r="2210" spans="2:14">
      <c r="B2210" s="263"/>
      <c r="C2210" s="264"/>
      <c r="D2210" s="264"/>
      <c r="E2210" s="264"/>
      <c r="F2210" s="264"/>
      <c r="G2210" s="264"/>
      <c r="H2210" s="264"/>
      <c r="I2210" s="264"/>
      <c r="J2210" s="264"/>
      <c r="K2210" s="265" t="s">
        <v>250</v>
      </c>
      <c r="L2210" s="266" t="s">
        <v>251</v>
      </c>
      <c r="M2210" s="266" t="s">
        <v>252</v>
      </c>
      <c r="N2210" s="267" t="s">
        <v>253</v>
      </c>
    </row>
    <row r="2211" spans="2:14">
      <c r="B2211" s="268"/>
      <c r="C2211" s="269"/>
      <c r="D2211" s="269"/>
      <c r="E2211" s="269"/>
      <c r="F2211" s="269"/>
      <c r="G2211" s="269"/>
      <c r="H2211" s="269"/>
      <c r="I2211" s="269"/>
      <c r="J2211" s="269"/>
      <c r="K2211" s="270"/>
      <c r="L2211" s="271"/>
      <c r="M2211" s="271"/>
      <c r="N2211" s="272"/>
    </row>
    <row r="2212" spans="2:14">
      <c r="B2212" s="1065" t="s">
        <v>254</v>
      </c>
      <c r="C2212" s="1066"/>
      <c r="D2212" s="1066"/>
      <c r="E2212" s="1066"/>
      <c r="F2212" s="269"/>
      <c r="G2212" s="269"/>
      <c r="H2212" s="269" t="s">
        <v>255</v>
      </c>
      <c r="J2212" s="269"/>
      <c r="K2212" s="270"/>
      <c r="N2212" s="273"/>
    </row>
    <row r="2213" spans="2:14">
      <c r="B2213" s="274"/>
      <c r="C2213" s="275"/>
      <c r="D2213" s="275"/>
      <c r="E2213" s="275"/>
      <c r="F2213" s="275"/>
      <c r="G2213" s="275"/>
      <c r="H2213" s="275"/>
      <c r="I2213" s="275"/>
      <c r="J2213" s="275"/>
      <c r="K2213" s="275"/>
      <c r="L2213" s="275"/>
      <c r="M2213" s="275"/>
      <c r="N2213" s="276"/>
    </row>
    <row r="2214" spans="2:14" ht="13.5" thickBot="1">
      <c r="B2214" s="277"/>
      <c r="C2214" s="278"/>
      <c r="D2214" s="278"/>
      <c r="E2214" s="278"/>
      <c r="F2214" s="278"/>
      <c r="G2214" s="278"/>
      <c r="H2214" s="278"/>
      <c r="I2214" s="278"/>
      <c r="J2214" s="278"/>
      <c r="K2214" s="278"/>
      <c r="L2214" s="278"/>
      <c r="M2214" s="278"/>
      <c r="N2214" s="279"/>
    </row>
    <row r="2215" spans="2:14" ht="13.5" thickBot="1">
      <c r="B2215" s="280"/>
      <c r="C2215" s="281"/>
      <c r="D2215" s="281"/>
      <c r="E2215" s="281"/>
      <c r="F2215" s="281"/>
      <c r="G2215" s="281"/>
      <c r="J2215" s="281"/>
      <c r="K2215" s="281"/>
      <c r="L2215" s="281"/>
      <c r="M2215" s="281"/>
      <c r="N2215" s="282"/>
    </row>
    <row r="2216" spans="2:14">
      <c r="B2216" s="1067" t="s">
        <v>256</v>
      </c>
      <c r="C2216" s="1068"/>
      <c r="D2216" s="1068"/>
      <c r="E2216" s="1068"/>
      <c r="F2216" s="1068"/>
      <c r="G2216" s="1068"/>
      <c r="H2216" s="1068"/>
      <c r="I2216" s="1068"/>
      <c r="J2216" s="1068"/>
      <c r="K2216" s="1068"/>
      <c r="L2216" s="1068"/>
      <c r="M2216" s="1068"/>
      <c r="N2216" s="1069"/>
    </row>
    <row r="2217" spans="2:14" ht="13.5" thickBot="1">
      <c r="B2217" s="283"/>
      <c r="N2217" s="284"/>
    </row>
    <row r="2218" spans="2:14">
      <c r="B2218" s="285" t="s">
        <v>257</v>
      </c>
      <c r="C2218" s="1120" t="s">
        <v>258</v>
      </c>
      <c r="D2218" s="1121"/>
      <c r="E2218" s="1121"/>
      <c r="F2218" s="1121"/>
      <c r="G2218" s="1121"/>
      <c r="H2218" s="1121"/>
      <c r="I2218" s="1121"/>
      <c r="J2218" s="1121"/>
      <c r="K2218" s="1122"/>
      <c r="L2218" s="1123" t="s">
        <v>259</v>
      </c>
      <c r="M2218" s="1124"/>
      <c r="N2218" s="285" t="s">
        <v>133</v>
      </c>
    </row>
    <row r="2219" spans="2:14" ht="25.5" customHeight="1" thickBot="1">
      <c r="B2219" s="286">
        <v>25</v>
      </c>
      <c r="C2219" s="1125" t="s">
        <v>166</v>
      </c>
      <c r="D2219" s="1126"/>
      <c r="E2219" s="1126"/>
      <c r="F2219" s="1126"/>
      <c r="G2219" s="1126"/>
      <c r="H2219" s="1126"/>
      <c r="I2219" s="1126"/>
      <c r="J2219" s="1126"/>
      <c r="K2219" s="1127"/>
      <c r="L2219" s="1128" t="s">
        <v>143</v>
      </c>
      <c r="M2219" s="1129"/>
      <c r="N2219" s="366">
        <v>68</v>
      </c>
    </row>
    <row r="2220" spans="2:14">
      <c r="B2220" s="1103" t="s">
        <v>260</v>
      </c>
      <c r="C2220" s="1104"/>
      <c r="D2220" s="1104"/>
      <c r="E2220" s="1104"/>
      <c r="F2220" s="1104"/>
      <c r="G2220" s="1104"/>
      <c r="H2220" s="1104"/>
      <c r="I2220" s="1104"/>
      <c r="J2220" s="1104"/>
      <c r="K2220" s="1104"/>
      <c r="L2220" s="1104"/>
      <c r="M2220" s="1104"/>
      <c r="N2220" s="1105"/>
    </row>
    <row r="2221" spans="2:14">
      <c r="B2221" s="1106"/>
      <c r="C2221" s="1107"/>
      <c r="D2221" s="1107"/>
      <c r="E2221" s="1107"/>
      <c r="F2221" s="1107"/>
      <c r="G2221" s="1107"/>
      <c r="H2221" s="1107"/>
      <c r="I2221" s="1107"/>
      <c r="J2221" s="1107"/>
      <c r="K2221" s="1107"/>
      <c r="L2221" s="1107"/>
      <c r="M2221" s="1107"/>
      <c r="N2221" s="1108"/>
    </row>
    <row r="2222" spans="2:14" ht="13.5" thickBot="1">
      <c r="B2222" s="1109"/>
      <c r="C2222" s="1110"/>
      <c r="D2222" s="1110"/>
      <c r="E2222" s="1110"/>
      <c r="F2222" s="1110"/>
      <c r="G2222" s="1110"/>
      <c r="H2222" s="1110"/>
      <c r="I2222" s="1110"/>
      <c r="J2222" s="1110"/>
      <c r="K2222" s="1110"/>
      <c r="L2222" s="1110"/>
      <c r="M2222" s="1110"/>
      <c r="N2222" s="1111"/>
    </row>
    <row r="2223" spans="2:14">
      <c r="B2223" s="1130" t="s">
        <v>258</v>
      </c>
      <c r="C2223" s="1131"/>
      <c r="D2223" s="1131"/>
      <c r="E2223" s="1131"/>
      <c r="F2223" s="1132"/>
      <c r="G2223" s="1133" t="s">
        <v>261</v>
      </c>
      <c r="H2223" s="1131"/>
      <c r="I2223" s="1134" t="s">
        <v>262</v>
      </c>
      <c r="J2223" s="1135"/>
      <c r="K2223" s="288" t="s">
        <v>263</v>
      </c>
      <c r="L2223" s="1133" t="s">
        <v>264</v>
      </c>
      <c r="M2223" s="1136"/>
      <c r="N2223" s="289" t="s">
        <v>265</v>
      </c>
    </row>
    <row r="2224" spans="2:14">
      <c r="B2224" s="1179" t="s">
        <v>326</v>
      </c>
      <c r="C2224" s="1180"/>
      <c r="D2224" s="1180"/>
      <c r="E2224" s="1180"/>
      <c r="F2224" s="1181"/>
      <c r="G2224" s="1115"/>
      <c r="H2224" s="1114"/>
      <c r="I2224" s="1182" t="s">
        <v>267</v>
      </c>
      <c r="J2224" s="1183"/>
      <c r="K2224" s="290">
        <v>3451</v>
      </c>
      <c r="L2224" s="1118">
        <v>0.5</v>
      </c>
      <c r="M2224" s="1119"/>
      <c r="N2224" s="290">
        <f>+K2224/L2224</f>
        <v>6902</v>
      </c>
    </row>
    <row r="2225" spans="2:14">
      <c r="B2225" s="1179" t="s">
        <v>319</v>
      </c>
      <c r="C2225" s="1180"/>
      <c r="D2225" s="1180"/>
      <c r="E2225" s="1180"/>
      <c r="F2225" s="1181"/>
      <c r="G2225" s="295"/>
      <c r="H2225" s="294"/>
      <c r="I2225" s="1182" t="s">
        <v>267</v>
      </c>
      <c r="J2225" s="1183"/>
      <c r="K2225" s="290">
        <v>464</v>
      </c>
      <c r="L2225" s="1118">
        <v>5</v>
      </c>
      <c r="M2225" s="1119"/>
      <c r="N2225" s="290">
        <f>+K2225/L2225</f>
        <v>92.8</v>
      </c>
    </row>
    <row r="2226" spans="2:14">
      <c r="B2226" s="1179" t="s">
        <v>340</v>
      </c>
      <c r="C2226" s="1180"/>
      <c r="D2226" s="1180"/>
      <c r="E2226" s="1180"/>
      <c r="F2226" s="1181"/>
      <c r="G2226" s="295"/>
      <c r="H2226" s="294"/>
      <c r="I2226" s="1182" t="s">
        <v>267</v>
      </c>
      <c r="J2226" s="1183"/>
      <c r="K2226" s="290">
        <v>45220</v>
      </c>
      <c r="L2226" s="1118">
        <v>10</v>
      </c>
      <c r="M2226" s="1119"/>
      <c r="N2226" s="290">
        <f>+K2226/L2226</f>
        <v>4522</v>
      </c>
    </row>
    <row r="2227" spans="2:14">
      <c r="B2227" s="1179" t="s">
        <v>341</v>
      </c>
      <c r="C2227" s="1180"/>
      <c r="D2227" s="1180"/>
      <c r="E2227" s="1180"/>
      <c r="F2227" s="1181"/>
      <c r="G2227" s="295"/>
      <c r="H2227" s="294"/>
      <c r="I2227" s="1182" t="s">
        <v>267</v>
      </c>
      <c r="J2227" s="1183"/>
      <c r="K2227" s="290">
        <v>53907</v>
      </c>
      <c r="L2227" s="1118">
        <v>8</v>
      </c>
      <c r="M2227" s="1119"/>
      <c r="N2227" s="290">
        <f>+K2227/L2227</f>
        <v>6738.375</v>
      </c>
    </row>
    <row r="2228" spans="2:14" ht="13.5" thickBot="1">
      <c r="B2228" s="1179"/>
      <c r="C2228" s="1180"/>
      <c r="D2228" s="1180"/>
      <c r="E2228" s="1180"/>
      <c r="F2228" s="1181"/>
      <c r="G2228" s="295"/>
      <c r="H2228" s="294"/>
      <c r="I2228" s="1182"/>
      <c r="J2228" s="1183"/>
      <c r="K2228" s="290"/>
      <c r="L2228" s="1118"/>
      <c r="M2228" s="1119"/>
      <c r="N2228" s="290"/>
    </row>
    <row r="2229" spans="2:14" ht="13.5" thickBot="1">
      <c r="B2229" s="1100" t="s">
        <v>269</v>
      </c>
      <c r="C2229" s="1101"/>
      <c r="D2229" s="1101"/>
      <c r="E2229" s="1101"/>
      <c r="F2229" s="1101"/>
      <c r="G2229" s="1101"/>
      <c r="H2229" s="1101"/>
      <c r="I2229" s="1101"/>
      <c r="J2229" s="1101"/>
      <c r="K2229" s="1101"/>
      <c r="L2229" s="1101"/>
      <c r="M2229" s="1102"/>
      <c r="N2229" s="323">
        <f>+N2224+N2225+N2226+N2227</f>
        <v>18255.174999999999</v>
      </c>
    </row>
    <row r="2230" spans="2:14">
      <c r="B2230" s="1103" t="s">
        <v>270</v>
      </c>
      <c r="C2230" s="1104"/>
      <c r="D2230" s="1104"/>
      <c r="E2230" s="1104"/>
      <c r="F2230" s="1104"/>
      <c r="G2230" s="1104"/>
      <c r="H2230" s="1104"/>
      <c r="I2230" s="1104"/>
      <c r="J2230" s="1104"/>
      <c r="K2230" s="1104"/>
      <c r="L2230" s="1104"/>
      <c r="M2230" s="1104"/>
      <c r="N2230" s="1105"/>
    </row>
    <row r="2231" spans="2:14">
      <c r="B2231" s="1106"/>
      <c r="C2231" s="1107"/>
      <c r="D2231" s="1107"/>
      <c r="E2231" s="1107"/>
      <c r="F2231" s="1107"/>
      <c r="G2231" s="1107"/>
      <c r="H2231" s="1107"/>
      <c r="I2231" s="1107"/>
      <c r="J2231" s="1107"/>
      <c r="K2231" s="1107"/>
      <c r="L2231" s="1107"/>
      <c r="M2231" s="1107"/>
      <c r="N2231" s="1108"/>
    </row>
    <row r="2232" spans="2:14" ht="13.5" thickBot="1">
      <c r="B2232" s="1109"/>
      <c r="C2232" s="1110"/>
      <c r="D2232" s="1110"/>
      <c r="E2232" s="1110"/>
      <c r="F2232" s="1110"/>
      <c r="G2232" s="1110"/>
      <c r="H2232" s="1110"/>
      <c r="I2232" s="1110"/>
      <c r="J2232" s="1110"/>
      <c r="K2232" s="1110"/>
      <c r="L2232" s="1110"/>
      <c r="M2232" s="1110"/>
      <c r="N2232" s="1111"/>
    </row>
    <row r="2233" spans="2:14">
      <c r="B2233" s="1130" t="s">
        <v>258</v>
      </c>
      <c r="C2233" s="1139"/>
      <c r="D2233" s="1139"/>
      <c r="E2233" s="1139"/>
      <c r="F2233" s="1139"/>
      <c r="G2233" s="1139"/>
      <c r="H2233" s="1139"/>
      <c r="I2233" s="1136"/>
      <c r="J2233" s="299" t="s">
        <v>259</v>
      </c>
      <c r="K2233" s="288" t="s">
        <v>133</v>
      </c>
      <c r="L2233" s="1133" t="s">
        <v>271</v>
      </c>
      <c r="M2233" s="1136"/>
      <c r="N2233" s="289" t="s">
        <v>265</v>
      </c>
    </row>
    <row r="2234" spans="2:14">
      <c r="B2234" s="1112" t="s">
        <v>342</v>
      </c>
      <c r="C2234" s="1113"/>
      <c r="D2234" s="1113"/>
      <c r="E2234" s="1113"/>
      <c r="F2234" s="1113"/>
      <c r="G2234" s="1113"/>
      <c r="H2234" s="1113"/>
      <c r="I2234" s="1114"/>
      <c r="J2234" s="300" t="s">
        <v>147</v>
      </c>
      <c r="K2234" s="301">
        <v>0.38</v>
      </c>
      <c r="L2234" s="1144">
        <v>337058</v>
      </c>
      <c r="M2234" s="1145"/>
      <c r="N2234" s="363">
        <f>+K2234*L2234</f>
        <v>128082.04000000001</v>
      </c>
    </row>
    <row r="2235" spans="2:14" ht="13.5" thickBot="1">
      <c r="B2235" s="1094" t="s">
        <v>343</v>
      </c>
      <c r="C2235" s="1095"/>
      <c r="D2235" s="1095"/>
      <c r="E2235" s="1095"/>
      <c r="F2235" s="1095"/>
      <c r="G2235" s="1095"/>
      <c r="H2235" s="1095"/>
      <c r="I2235" s="1096"/>
      <c r="J2235" s="303" t="s">
        <v>196</v>
      </c>
      <c r="K2235" s="304">
        <v>1.1499999999999999</v>
      </c>
      <c r="L2235" s="1144">
        <v>14042</v>
      </c>
      <c r="M2235" s="1145"/>
      <c r="N2235" s="363">
        <f>+K2235*L2235</f>
        <v>16148.3</v>
      </c>
    </row>
    <row r="2236" spans="2:14" ht="13.5" thickBot="1">
      <c r="B2236" s="1100" t="s">
        <v>269</v>
      </c>
      <c r="C2236" s="1101"/>
      <c r="D2236" s="1101"/>
      <c r="E2236" s="1101"/>
      <c r="F2236" s="1101"/>
      <c r="G2236" s="1101"/>
      <c r="H2236" s="1101"/>
      <c r="I2236" s="1101"/>
      <c r="J2236" s="1101"/>
      <c r="K2236" s="1101"/>
      <c r="L2236" s="1101"/>
      <c r="M2236" s="1102"/>
      <c r="N2236" s="323">
        <f>+N2234+N2235</f>
        <v>144230.34</v>
      </c>
    </row>
    <row r="2237" spans="2:14">
      <c r="B2237" s="1103" t="s">
        <v>276</v>
      </c>
      <c r="C2237" s="1104"/>
      <c r="D2237" s="1104"/>
      <c r="E2237" s="1104"/>
      <c r="F2237" s="1104"/>
      <c r="G2237" s="1104"/>
      <c r="H2237" s="1104"/>
      <c r="I2237" s="1104"/>
      <c r="J2237" s="1104"/>
      <c r="K2237" s="1104"/>
      <c r="L2237" s="1104"/>
      <c r="M2237" s="1104"/>
      <c r="N2237" s="1105"/>
    </row>
    <row r="2238" spans="2:14">
      <c r="B2238" s="1106"/>
      <c r="C2238" s="1107"/>
      <c r="D2238" s="1107"/>
      <c r="E2238" s="1107"/>
      <c r="F2238" s="1107"/>
      <c r="G2238" s="1107"/>
      <c r="H2238" s="1107"/>
      <c r="I2238" s="1107"/>
      <c r="J2238" s="1107"/>
      <c r="K2238" s="1107"/>
      <c r="L2238" s="1107"/>
      <c r="M2238" s="1107"/>
      <c r="N2238" s="1108"/>
    </row>
    <row r="2239" spans="2:14" ht="13.5" thickBot="1">
      <c r="B2239" s="1109"/>
      <c r="C2239" s="1110"/>
      <c r="D2239" s="1110"/>
      <c r="E2239" s="1110"/>
      <c r="F2239" s="1110"/>
      <c r="G2239" s="1110"/>
      <c r="H2239" s="1110"/>
      <c r="I2239" s="1110"/>
      <c r="J2239" s="1110"/>
      <c r="K2239" s="1110"/>
      <c r="L2239" s="1110"/>
      <c r="M2239" s="1110"/>
      <c r="N2239" s="1111"/>
    </row>
    <row r="2240" spans="2:14">
      <c r="B2240" s="1130" t="s">
        <v>277</v>
      </c>
      <c r="C2240" s="1139"/>
      <c r="D2240" s="1139"/>
      <c r="E2240" s="1139"/>
      <c r="F2240" s="1139"/>
      <c r="G2240" s="1139"/>
      <c r="H2240" s="1139"/>
      <c r="I2240" s="288" t="s">
        <v>278</v>
      </c>
      <c r="J2240" s="306" t="s">
        <v>279</v>
      </c>
      <c r="K2240" s="307" t="s">
        <v>280</v>
      </c>
      <c r="L2240" s="1133" t="s">
        <v>281</v>
      </c>
      <c r="M2240" s="1136"/>
      <c r="N2240" s="289" t="s">
        <v>265</v>
      </c>
    </row>
    <row r="2241" spans="2:14" ht="13.5" thickBot="1">
      <c r="B2241" s="1112"/>
      <c r="C2241" s="1113"/>
      <c r="D2241" s="1113"/>
      <c r="E2241" s="1113"/>
      <c r="F2241" s="1113"/>
      <c r="G2241" s="1113"/>
      <c r="H2241" s="1113"/>
      <c r="I2241" s="393"/>
      <c r="J2241" s="309"/>
      <c r="K2241" s="308"/>
      <c r="L2241" s="1144"/>
      <c r="M2241" s="1145"/>
      <c r="N2241" s="363"/>
    </row>
    <row r="2242" spans="2:14" ht="13.5" thickBot="1">
      <c r="B2242" s="1100" t="s">
        <v>269</v>
      </c>
      <c r="C2242" s="1101"/>
      <c r="D2242" s="1101"/>
      <c r="E2242" s="1101"/>
      <c r="F2242" s="1101"/>
      <c r="G2242" s="1101"/>
      <c r="H2242" s="1101"/>
      <c r="I2242" s="1101"/>
      <c r="J2242" s="1101"/>
      <c r="K2242" s="1101"/>
      <c r="L2242" s="1101"/>
      <c r="M2242" s="1102"/>
      <c r="N2242" s="323">
        <f>+N2241</f>
        <v>0</v>
      </c>
    </row>
    <row r="2243" spans="2:14">
      <c r="B2243" s="1103" t="s">
        <v>282</v>
      </c>
      <c r="C2243" s="1104"/>
      <c r="D2243" s="1104"/>
      <c r="E2243" s="1104"/>
      <c r="F2243" s="1104"/>
      <c r="G2243" s="1104"/>
      <c r="H2243" s="1104"/>
      <c r="I2243" s="1104"/>
      <c r="J2243" s="1104"/>
      <c r="K2243" s="1104"/>
      <c r="L2243" s="1104"/>
      <c r="M2243" s="1104"/>
      <c r="N2243" s="1105"/>
    </row>
    <row r="2244" spans="2:14">
      <c r="B2244" s="1106"/>
      <c r="C2244" s="1107"/>
      <c r="D2244" s="1107"/>
      <c r="E2244" s="1107"/>
      <c r="F2244" s="1107"/>
      <c r="G2244" s="1107"/>
      <c r="H2244" s="1107"/>
      <c r="I2244" s="1107"/>
      <c r="J2244" s="1107"/>
      <c r="K2244" s="1107"/>
      <c r="L2244" s="1107"/>
      <c r="M2244" s="1107"/>
      <c r="N2244" s="1108"/>
    </row>
    <row r="2245" spans="2:14" ht="13.5" thickBot="1">
      <c r="B2245" s="1109"/>
      <c r="C2245" s="1110"/>
      <c r="D2245" s="1110"/>
      <c r="E2245" s="1110"/>
      <c r="F2245" s="1110"/>
      <c r="G2245" s="1110"/>
      <c r="H2245" s="1110"/>
      <c r="I2245" s="1110"/>
      <c r="J2245" s="1110"/>
      <c r="K2245" s="1110"/>
      <c r="L2245" s="1110"/>
      <c r="M2245" s="1110"/>
      <c r="N2245" s="1111"/>
    </row>
    <row r="2246" spans="2:14">
      <c r="B2246" s="1130" t="s">
        <v>283</v>
      </c>
      <c r="C2246" s="1139"/>
      <c r="D2246" s="1139"/>
      <c r="E2246" s="1139"/>
      <c r="F2246" s="1139"/>
      <c r="G2246" s="1139"/>
      <c r="H2246" s="1139"/>
      <c r="I2246" s="288" t="s">
        <v>284</v>
      </c>
      <c r="J2246" s="314" t="s">
        <v>285</v>
      </c>
      <c r="K2246" s="315" t="s">
        <v>286</v>
      </c>
      <c r="L2246" s="1140" t="s">
        <v>264</v>
      </c>
      <c r="M2246" s="1141"/>
      <c r="N2246" s="316" t="s">
        <v>265</v>
      </c>
    </row>
    <row r="2247" spans="2:14">
      <c r="B2247" s="317" t="s">
        <v>344</v>
      </c>
      <c r="C2247" s="318"/>
      <c r="D2247" s="318"/>
      <c r="E2247" s="318"/>
      <c r="F2247" s="318"/>
      <c r="G2247" s="318"/>
      <c r="H2247" s="318"/>
      <c r="I2247" s="319">
        <v>153482</v>
      </c>
      <c r="J2247" s="321">
        <v>0</v>
      </c>
      <c r="K2247" s="321">
        <f>+I2247+J2247</f>
        <v>153482</v>
      </c>
      <c r="L2247" s="1157">
        <v>3.000003</v>
      </c>
      <c r="M2247" s="1158"/>
      <c r="N2247" s="322">
        <f>+K2247/L2247</f>
        <v>51160.615506051159</v>
      </c>
    </row>
    <row r="2248" spans="2:14" ht="13.5" thickBot="1">
      <c r="B2248" s="356" t="s">
        <v>345</v>
      </c>
      <c r="C2248" s="318"/>
      <c r="D2248" s="318"/>
      <c r="E2248" s="318"/>
      <c r="F2248" s="318"/>
      <c r="G2248" s="318"/>
      <c r="H2248" s="318"/>
      <c r="I2248" s="319">
        <v>264960</v>
      </c>
      <c r="J2248" s="321">
        <v>0</v>
      </c>
      <c r="K2248" s="321">
        <f>+I2248+J2248</f>
        <v>264960</v>
      </c>
      <c r="L2248" s="1157">
        <v>8</v>
      </c>
      <c r="M2248" s="1158"/>
      <c r="N2248" s="322">
        <f>+K2248/L2248</f>
        <v>33120</v>
      </c>
    </row>
    <row r="2249" spans="2:14" ht="13.5" thickBot="1">
      <c r="B2249" s="1100" t="s">
        <v>269</v>
      </c>
      <c r="C2249" s="1101"/>
      <c r="D2249" s="1101"/>
      <c r="E2249" s="1101"/>
      <c r="F2249" s="1101"/>
      <c r="G2249" s="1101"/>
      <c r="H2249" s="1101"/>
      <c r="I2249" s="1101"/>
      <c r="J2249" s="1101"/>
      <c r="K2249" s="1101"/>
      <c r="L2249" s="1101"/>
      <c r="M2249" s="1102"/>
      <c r="N2249" s="323">
        <f>+N2247+N2248</f>
        <v>84280.615506051166</v>
      </c>
    </row>
    <row r="2250" spans="2:14" ht="13.5" thickBot="1">
      <c r="B2250" s="324" t="s">
        <v>288</v>
      </c>
      <c r="C2250" s="325"/>
      <c r="D2250" s="325"/>
      <c r="E2250" s="325"/>
      <c r="F2250" s="325"/>
      <c r="G2250" s="325"/>
      <c r="H2250" s="325"/>
      <c r="I2250" s="326"/>
      <c r="J2250" s="327"/>
      <c r="K2250" s="328"/>
      <c r="L2250" s="329"/>
      <c r="M2250" s="329"/>
      <c r="N2250" s="330"/>
    </row>
    <row r="2251" spans="2:14">
      <c r="B2251" s="1130" t="s">
        <v>17</v>
      </c>
      <c r="C2251" s="1139"/>
      <c r="D2251" s="1139"/>
      <c r="E2251" s="1139"/>
      <c r="F2251" s="1139"/>
      <c r="G2251" s="1139"/>
      <c r="H2251" s="1139"/>
      <c r="I2251" s="1136"/>
      <c r="J2251" s="299" t="s">
        <v>259</v>
      </c>
      <c r="K2251" s="288" t="s">
        <v>133</v>
      </c>
      <c r="L2251" s="1133" t="s">
        <v>271</v>
      </c>
      <c r="M2251" s="1136"/>
      <c r="N2251" s="316" t="s">
        <v>265</v>
      </c>
    </row>
    <row r="2252" spans="2:14" ht="13.5" thickBot="1">
      <c r="B2252" s="331" t="s">
        <v>289</v>
      </c>
      <c r="C2252" s="332"/>
      <c r="D2252" s="332"/>
      <c r="E2252" s="332"/>
      <c r="F2252" s="332"/>
      <c r="G2252" s="332"/>
      <c r="H2252" s="332"/>
      <c r="I2252" s="333"/>
      <c r="J2252" s="334" t="s">
        <v>290</v>
      </c>
      <c r="K2252" s="335">
        <v>0.05</v>
      </c>
      <c r="L2252" s="1144">
        <f>+N2249</f>
        <v>84280.615506051166</v>
      </c>
      <c r="M2252" s="1145"/>
      <c r="N2252" s="322">
        <f>+K2252*L2252</f>
        <v>4214.0307753025581</v>
      </c>
    </row>
    <row r="2253" spans="2:14" ht="13.5" thickBot="1">
      <c r="B2253" s="1100" t="s">
        <v>269</v>
      </c>
      <c r="C2253" s="1101"/>
      <c r="D2253" s="1101"/>
      <c r="E2253" s="1101"/>
      <c r="F2253" s="1101"/>
      <c r="G2253" s="1101"/>
      <c r="H2253" s="1101"/>
      <c r="I2253" s="1101"/>
      <c r="J2253" s="1101"/>
      <c r="K2253" s="1101"/>
      <c r="L2253" s="1101"/>
      <c r="M2253" s="1102"/>
      <c r="N2253" s="323">
        <f>+N2252</f>
        <v>4214.0307753025581</v>
      </c>
    </row>
    <row r="2254" spans="2:14" ht="13.5" thickBot="1">
      <c r="B2254" s="324" t="s">
        <v>78</v>
      </c>
      <c r="C2254" s="325"/>
      <c r="D2254" s="325"/>
      <c r="E2254" s="325"/>
      <c r="F2254" s="325"/>
      <c r="G2254" s="325"/>
      <c r="H2254" s="325"/>
      <c r="I2254" s="326"/>
      <c r="J2254" s="327"/>
      <c r="K2254" s="328"/>
      <c r="L2254" s="329"/>
      <c r="M2254" s="329"/>
      <c r="N2254" s="330"/>
    </row>
    <row r="2255" spans="2:14">
      <c r="B2255" s="1130" t="s">
        <v>17</v>
      </c>
      <c r="C2255" s="1139"/>
      <c r="D2255" s="1139"/>
      <c r="E2255" s="1139"/>
      <c r="F2255" s="1139"/>
      <c r="G2255" s="1139"/>
      <c r="H2255" s="1139"/>
      <c r="I2255" s="1136"/>
      <c r="J2255" s="299" t="s">
        <v>259</v>
      </c>
      <c r="K2255" s="288" t="s">
        <v>133</v>
      </c>
      <c r="L2255" s="1133" t="s">
        <v>271</v>
      </c>
      <c r="M2255" s="1136"/>
      <c r="N2255" s="316" t="s">
        <v>265</v>
      </c>
    </row>
    <row r="2256" spans="2:14" ht="28.5" customHeight="1" thickBot="1">
      <c r="B2256" s="1186" t="s">
        <v>161</v>
      </c>
      <c r="C2256" s="1187"/>
      <c r="D2256" s="1187"/>
      <c r="E2256" s="1187"/>
      <c r="F2256" s="1187"/>
      <c r="G2256" s="1187"/>
      <c r="H2256" s="1188"/>
      <c r="I2256" s="333"/>
      <c r="J2256" s="396" t="s">
        <v>147</v>
      </c>
      <c r="K2256" s="397">
        <v>1.1299999999999999</v>
      </c>
      <c r="L2256" s="1184">
        <v>38446</v>
      </c>
      <c r="M2256" s="1185"/>
      <c r="N2256" s="398">
        <f>+L2256*K2256</f>
        <v>43443.979999999996</v>
      </c>
    </row>
    <row r="2257" spans="2:14" ht="13.5" thickBot="1">
      <c r="B2257" s="1100" t="s">
        <v>269</v>
      </c>
      <c r="C2257" s="1101"/>
      <c r="D2257" s="1101"/>
      <c r="E2257" s="1101"/>
      <c r="F2257" s="1101"/>
      <c r="G2257" s="1101"/>
      <c r="H2257" s="1101"/>
      <c r="I2257" s="1101"/>
      <c r="J2257" s="1101"/>
      <c r="K2257" s="1101"/>
      <c r="L2257" s="1101"/>
      <c r="M2257" s="1102"/>
      <c r="N2257" s="323">
        <f>+N2256</f>
        <v>43443.979999999996</v>
      </c>
    </row>
    <row r="2258" spans="2:14">
      <c r="B2258" s="280"/>
      <c r="C2258" s="281"/>
      <c r="D2258" s="281"/>
      <c r="E2258" s="281"/>
      <c r="F2258" s="281"/>
      <c r="G2258" s="281"/>
      <c r="H2258" s="281"/>
      <c r="I2258" s="281"/>
      <c r="J2258" s="281"/>
      <c r="K2258" s="281"/>
      <c r="L2258" s="281"/>
      <c r="M2258" s="281"/>
      <c r="N2258" s="282"/>
    </row>
    <row r="2259" spans="2:14" ht="13.5" thickBot="1">
      <c r="B2259" s="378"/>
      <c r="C2259" s="311"/>
      <c r="D2259" s="311"/>
      <c r="E2259" s="311"/>
      <c r="F2259" s="311"/>
      <c r="G2259" s="311"/>
      <c r="H2259" s="311"/>
      <c r="I2259" s="311"/>
      <c r="J2259" s="311"/>
      <c r="K2259" s="311"/>
      <c r="L2259" s="311"/>
      <c r="M2259" s="311"/>
      <c r="N2259" s="379"/>
    </row>
    <row r="2260" spans="2:14" ht="13.5" thickBot="1">
      <c r="B2260" s="1150" t="s">
        <v>291</v>
      </c>
      <c r="C2260" s="1151"/>
      <c r="D2260" s="1151"/>
      <c r="E2260" s="1151"/>
      <c r="F2260" s="1151"/>
      <c r="G2260" s="1151"/>
      <c r="H2260" s="1151"/>
      <c r="I2260" s="1151"/>
      <c r="J2260" s="1151"/>
      <c r="K2260" s="1151"/>
      <c r="L2260" s="1151"/>
      <c r="M2260" s="1152"/>
      <c r="N2260" s="336">
        <f>+N2229+N2236+N2242+N2249+N2257+N2253</f>
        <v>294424.14128135372</v>
      </c>
    </row>
    <row r="2261" spans="2:14">
      <c r="B2261" s="1103" t="s">
        <v>292</v>
      </c>
      <c r="C2261" s="1104"/>
      <c r="D2261" s="1104"/>
      <c r="E2261" s="1104"/>
      <c r="F2261" s="1104"/>
      <c r="G2261" s="1104"/>
      <c r="H2261" s="1104"/>
      <c r="I2261" s="1104"/>
      <c r="J2261" s="1104"/>
      <c r="K2261" s="1104"/>
      <c r="L2261" s="1104"/>
      <c r="M2261" s="1104"/>
      <c r="N2261" s="1105"/>
    </row>
    <row r="2262" spans="2:14">
      <c r="B2262" s="1106"/>
      <c r="C2262" s="1107"/>
      <c r="D2262" s="1107"/>
      <c r="E2262" s="1107"/>
      <c r="F2262" s="1107"/>
      <c r="G2262" s="1107"/>
      <c r="H2262" s="1107"/>
      <c r="I2262" s="1107"/>
      <c r="J2262" s="1107"/>
      <c r="K2262" s="1107"/>
      <c r="L2262" s="1107"/>
      <c r="M2262" s="1107"/>
      <c r="N2262" s="1108"/>
    </row>
    <row r="2263" spans="2:14" ht="13.5" thickBot="1">
      <c r="B2263" s="1109"/>
      <c r="C2263" s="1110"/>
      <c r="D2263" s="1110"/>
      <c r="E2263" s="1110"/>
      <c r="F2263" s="1110"/>
      <c r="G2263" s="1110"/>
      <c r="H2263" s="1110"/>
      <c r="I2263" s="1110"/>
      <c r="J2263" s="1110"/>
      <c r="K2263" s="1110"/>
      <c r="L2263" s="1110"/>
      <c r="M2263" s="1110"/>
      <c r="N2263" s="1111"/>
    </row>
    <row r="2264" spans="2:14">
      <c r="B2264" s="1130" t="s">
        <v>17</v>
      </c>
      <c r="C2264" s="1139"/>
      <c r="D2264" s="1139"/>
      <c r="E2264" s="1139"/>
      <c r="F2264" s="1139"/>
      <c r="G2264" s="1139"/>
      <c r="H2264" s="1139"/>
      <c r="I2264" s="306"/>
      <c r="J2264" s="337"/>
      <c r="K2264" s="315" t="s">
        <v>79</v>
      </c>
      <c r="L2264" s="1140" t="s">
        <v>11</v>
      </c>
      <c r="M2264" s="1141"/>
      <c r="N2264" s="316"/>
    </row>
    <row r="2265" spans="2:14">
      <c r="B2265" s="1112" t="s">
        <v>232</v>
      </c>
      <c r="C2265" s="1113"/>
      <c r="D2265" s="1113"/>
      <c r="E2265" s="1113"/>
      <c r="F2265" s="1113"/>
      <c r="G2265" s="1113"/>
      <c r="H2265" s="1113"/>
      <c r="I2265" s="338"/>
      <c r="J2265" s="339"/>
      <c r="K2265" s="340">
        <f>'PRESUPUESTO OFICIAL'!$K$100</f>
        <v>0</v>
      </c>
      <c r="L2265" s="1146">
        <f>K2265*N2260</f>
        <v>0</v>
      </c>
      <c r="M2265" s="1147"/>
      <c r="N2265" s="341"/>
    </row>
    <row r="2266" spans="2:14">
      <c r="B2266" s="292" t="s">
        <v>293</v>
      </c>
      <c r="C2266" s="293"/>
      <c r="D2266" s="293"/>
      <c r="E2266" s="293"/>
      <c r="F2266" s="293"/>
      <c r="G2266" s="293"/>
      <c r="H2266" s="293"/>
      <c r="I2266" s="338"/>
      <c r="J2266" s="339"/>
      <c r="K2266" s="340">
        <f>'PRESUPUESTO OFICIAL'!$K$101</f>
        <v>0</v>
      </c>
      <c r="L2266" s="1146">
        <f>K2266*N2260</f>
        <v>0</v>
      </c>
      <c r="M2266" s="1147"/>
      <c r="N2266" s="341"/>
    </row>
    <row r="2267" spans="2:14" ht="13.5" thickBot="1">
      <c r="B2267" s="277" t="s">
        <v>294</v>
      </c>
      <c r="C2267" s="278"/>
      <c r="D2267" s="278"/>
      <c r="E2267" s="278"/>
      <c r="F2267" s="278"/>
      <c r="G2267" s="278"/>
      <c r="H2267" s="278"/>
      <c r="I2267" s="342"/>
      <c r="J2267" s="343"/>
      <c r="K2267" s="340">
        <f>'PRESUPUESTO OFICIAL'!$K$102</f>
        <v>0</v>
      </c>
      <c r="L2267" s="1148">
        <f>K2267*N2260</f>
        <v>0</v>
      </c>
      <c r="M2267" s="1149"/>
      <c r="N2267" s="341"/>
    </row>
    <row r="2268" spans="2:14" ht="13.5" thickBot="1">
      <c r="B2268" s="1100" t="s">
        <v>269</v>
      </c>
      <c r="C2268" s="1101"/>
      <c r="D2268" s="1101"/>
      <c r="E2268" s="1101"/>
      <c r="F2268" s="1101"/>
      <c r="G2268" s="1101"/>
      <c r="H2268" s="1101"/>
      <c r="I2268" s="1101"/>
      <c r="J2268" s="1101"/>
      <c r="K2268" s="1101"/>
      <c r="L2268" s="1101"/>
      <c r="M2268" s="1102"/>
      <c r="N2268" s="344">
        <f>SUM(L2265:M2267)</f>
        <v>0</v>
      </c>
    </row>
    <row r="2269" spans="2:14" ht="13.5" thickBot="1">
      <c r="B2269" s="283"/>
      <c r="N2269" s="284"/>
    </row>
    <row r="2270" spans="2:14" ht="13.5" thickBot="1">
      <c r="B2270" s="1150" t="s">
        <v>295</v>
      </c>
      <c r="C2270" s="1151"/>
      <c r="D2270" s="1151"/>
      <c r="E2270" s="1151"/>
      <c r="F2270" s="1151"/>
      <c r="G2270" s="1151"/>
      <c r="H2270" s="1151"/>
      <c r="I2270" s="1151"/>
      <c r="J2270" s="1151"/>
      <c r="K2270" s="1151"/>
      <c r="L2270" s="1151"/>
      <c r="M2270" s="1152"/>
      <c r="N2270" s="345">
        <f>ROUND(N2260+N2268,0)</f>
        <v>294424</v>
      </c>
    </row>
    <row r="2271" spans="2:14">
      <c r="B2271" s="280"/>
      <c r="C2271" s="281"/>
      <c r="D2271" s="281"/>
      <c r="E2271" s="281"/>
      <c r="F2271" s="281"/>
      <c r="G2271" s="281"/>
      <c r="H2271" s="281"/>
      <c r="I2271" s="281"/>
      <c r="J2271" s="281"/>
      <c r="K2271" s="281"/>
      <c r="L2271" s="281"/>
      <c r="M2271" s="281"/>
      <c r="N2271" s="282"/>
    </row>
    <row r="2272" spans="2:14">
      <c r="B2272" s="283"/>
      <c r="N2272" s="284"/>
    </row>
    <row r="2273" spans="2:14">
      <c r="B2273" s="283"/>
      <c r="N2273" s="284"/>
    </row>
    <row r="2274" spans="2:14">
      <c r="B2274" s="283"/>
      <c r="G2274" s="346" t="s">
        <v>296</v>
      </c>
      <c r="H2274" s="346"/>
      <c r="I2274" s="346"/>
      <c r="J2274" s="346"/>
      <c r="N2274" s="284"/>
    </row>
    <row r="2275" spans="2:14">
      <c r="B2275" s="347"/>
      <c r="C2275" s="348"/>
      <c r="D2275" s="348"/>
      <c r="E2275" s="348"/>
      <c r="F2275" s="348"/>
      <c r="G2275" s="346" t="s">
        <v>297</v>
      </c>
      <c r="H2275" s="348"/>
      <c r="I2275" s="348"/>
      <c r="J2275" s="348"/>
      <c r="K2275" s="348"/>
      <c r="L2275" s="348"/>
      <c r="M2275" s="348"/>
      <c r="N2275" s="349"/>
    </row>
    <row r="2276" spans="2:14">
      <c r="B2276" s="347"/>
      <c r="C2276" s="348"/>
      <c r="D2276" s="348"/>
      <c r="E2276" s="348"/>
      <c r="F2276" s="348"/>
      <c r="G2276" s="346" t="s">
        <v>298</v>
      </c>
      <c r="J2276" s="348"/>
      <c r="K2276" s="348"/>
      <c r="L2276" s="348"/>
      <c r="M2276" s="348"/>
      <c r="N2276" s="349"/>
    </row>
    <row r="2277" spans="2:14">
      <c r="B2277" s="268"/>
      <c r="C2277" s="350"/>
      <c r="D2277" s="350"/>
      <c r="E2277" s="350"/>
      <c r="F2277" s="350"/>
      <c r="G2277" s="346" t="s">
        <v>299</v>
      </c>
      <c r="H2277" s="350"/>
      <c r="I2277" s="350"/>
      <c r="J2277" s="350"/>
      <c r="K2277" s="350"/>
      <c r="L2277" s="350"/>
      <c r="M2277" s="350"/>
      <c r="N2277" s="351"/>
    </row>
    <row r="2278" spans="2:14">
      <c r="B2278" s="283"/>
      <c r="G2278" s="258" t="s">
        <v>300</v>
      </c>
      <c r="N2278" s="284"/>
    </row>
    <row r="2279" spans="2:14">
      <c r="B2279" s="352" t="s">
        <v>301</v>
      </c>
      <c r="C2279" s="353"/>
      <c r="D2279" s="353"/>
      <c r="E2279" s="353"/>
      <c r="F2279" s="353"/>
      <c r="G2279" s="353"/>
      <c r="H2279" s="353"/>
      <c r="I2279" s="353"/>
      <c r="J2279" s="353"/>
      <c r="K2279" s="353"/>
      <c r="L2279" s="353"/>
      <c r="M2279" s="353"/>
      <c r="N2279" s="354"/>
    </row>
    <row r="2280" spans="2:14">
      <c r="B2280" s="1153"/>
      <c r="C2280" s="1154"/>
      <c r="D2280" s="1154"/>
      <c r="E2280" s="1154"/>
      <c r="F2280" s="1154"/>
      <c r="G2280" s="1154"/>
      <c r="H2280" s="1154"/>
      <c r="I2280" s="1154"/>
      <c r="J2280" s="1154"/>
      <c r="K2280" s="1154"/>
      <c r="L2280" s="1154"/>
      <c r="M2280" s="1154"/>
      <c r="N2280" s="1155"/>
    </row>
    <row r="2281" spans="2:14">
      <c r="B2281" s="1153"/>
      <c r="C2281" s="1154"/>
      <c r="D2281" s="1154"/>
      <c r="E2281" s="1154"/>
      <c r="F2281" s="1154"/>
      <c r="G2281" s="1154"/>
      <c r="H2281" s="1154"/>
      <c r="I2281" s="1154"/>
      <c r="J2281" s="1154"/>
      <c r="K2281" s="1154"/>
      <c r="L2281" s="1154"/>
      <c r="M2281" s="1154"/>
      <c r="N2281" s="1155"/>
    </row>
    <row r="2282" spans="2:14">
      <c r="B2282" s="268"/>
      <c r="C2282" s="350"/>
      <c r="D2282" s="350"/>
      <c r="E2282" s="350"/>
      <c r="F2282" s="350"/>
      <c r="G2282" s="350"/>
      <c r="H2282" s="350"/>
      <c r="I2282" s="350"/>
      <c r="J2282" s="350"/>
      <c r="K2282" s="350"/>
      <c r="L2282" s="350"/>
      <c r="M2282" s="350"/>
      <c r="N2282" s="351"/>
    </row>
    <row r="2283" spans="2:14">
      <c r="B2283" s="355" t="s">
        <v>302</v>
      </c>
      <c r="C2283" s="350"/>
      <c r="D2283" s="350"/>
      <c r="E2283" s="350"/>
      <c r="F2283" s="350"/>
      <c r="G2283" s="350"/>
      <c r="H2283" s="350"/>
      <c r="I2283" s="350"/>
      <c r="J2283" s="350"/>
      <c r="K2283" s="350"/>
      <c r="L2283" s="350"/>
      <c r="M2283" s="350"/>
      <c r="N2283" s="351"/>
    </row>
    <row r="2284" spans="2:14">
      <c r="B2284" s="1159" t="s">
        <v>303</v>
      </c>
      <c r="C2284" s="1160"/>
      <c r="D2284" s="1160"/>
      <c r="E2284" s="1160"/>
      <c r="F2284" s="1160"/>
      <c r="G2284" s="1160"/>
      <c r="H2284" s="1160"/>
      <c r="I2284" s="1160"/>
      <c r="J2284" s="1160"/>
      <c r="K2284" s="1160"/>
      <c r="L2284" s="1160"/>
      <c r="M2284" s="1160"/>
      <c r="N2284" s="1161"/>
    </row>
    <row r="2285" spans="2:14">
      <c r="B2285" s="1159"/>
      <c r="C2285" s="1160"/>
      <c r="D2285" s="1160"/>
      <c r="E2285" s="1160"/>
      <c r="F2285" s="1160"/>
      <c r="G2285" s="1160"/>
      <c r="H2285" s="1160"/>
      <c r="I2285" s="1160"/>
      <c r="J2285" s="1160"/>
      <c r="K2285" s="1160"/>
      <c r="L2285" s="1160"/>
      <c r="M2285" s="1160"/>
      <c r="N2285" s="1161"/>
    </row>
    <row r="2286" spans="2:14">
      <c r="B2286" s="1159" t="s">
        <v>304</v>
      </c>
      <c r="C2286" s="1160"/>
      <c r="D2286" s="1160"/>
      <c r="E2286" s="1160"/>
      <c r="F2286" s="1160"/>
      <c r="G2286" s="1160"/>
      <c r="H2286" s="1160"/>
      <c r="I2286" s="1160"/>
      <c r="J2286" s="1160"/>
      <c r="K2286" s="1160"/>
      <c r="L2286" s="1160"/>
      <c r="M2286" s="1160"/>
      <c r="N2286" s="1161"/>
    </row>
    <row r="2287" spans="2:14">
      <c r="B2287" s="1159"/>
      <c r="C2287" s="1160"/>
      <c r="D2287" s="1160"/>
      <c r="E2287" s="1160"/>
      <c r="F2287" s="1160"/>
      <c r="G2287" s="1160"/>
      <c r="H2287" s="1160"/>
      <c r="I2287" s="1160"/>
      <c r="J2287" s="1160"/>
      <c r="K2287" s="1160"/>
      <c r="L2287" s="1160"/>
      <c r="M2287" s="1160"/>
      <c r="N2287" s="1161"/>
    </row>
    <row r="2288" spans="2:14">
      <c r="B2288" s="268"/>
      <c r="C2288" s="350"/>
      <c r="D2288" s="350"/>
      <c r="E2288" s="350"/>
      <c r="F2288" s="350"/>
      <c r="G2288" s="350"/>
      <c r="H2288" s="350"/>
      <c r="I2288" s="350"/>
      <c r="J2288" s="350"/>
      <c r="K2288" s="350"/>
      <c r="L2288" s="350"/>
      <c r="M2288" s="350"/>
      <c r="N2288" s="351"/>
    </row>
    <row r="2289" spans="2:14">
      <c r="B2289" s="283"/>
      <c r="G2289" s="346" t="s">
        <v>296</v>
      </c>
      <c r="N2289" s="284"/>
    </row>
    <row r="2290" spans="2:14">
      <c r="B2290" s="283"/>
      <c r="G2290" s="258" t="s">
        <v>305</v>
      </c>
      <c r="H2290" s="293"/>
      <c r="I2290" s="293"/>
      <c r="J2290" s="293"/>
      <c r="N2290" s="284"/>
    </row>
    <row r="2291" spans="2:14">
      <c r="B2291" s="283"/>
      <c r="G2291" s="258" t="s">
        <v>306</v>
      </c>
      <c r="H2291" s="325"/>
      <c r="I2291" s="325"/>
      <c r="J2291" s="325"/>
      <c r="N2291" s="284"/>
    </row>
    <row r="2292" spans="2:14">
      <c r="B2292" s="356"/>
      <c r="C2292" s="350"/>
      <c r="D2292" s="350"/>
      <c r="E2292" s="350"/>
      <c r="F2292" s="350"/>
      <c r="G2292" s="258" t="s">
        <v>299</v>
      </c>
      <c r="K2292" s="350"/>
      <c r="L2292" s="350"/>
      <c r="M2292" s="350"/>
      <c r="N2292" s="351"/>
    </row>
    <row r="2293" spans="2:14">
      <c r="B2293" s="357"/>
      <c r="C2293" s="358"/>
      <c r="D2293" s="358"/>
      <c r="J2293" s="1162"/>
      <c r="K2293" s="1162"/>
      <c r="L2293" s="1162"/>
      <c r="M2293" s="1162"/>
      <c r="N2293" s="1163"/>
    </row>
    <row r="2294" spans="2:14" ht="13.5" thickBot="1">
      <c r="B2294" s="1166"/>
      <c r="C2294" s="1167"/>
      <c r="D2294" s="1167"/>
      <c r="E2294" s="311"/>
      <c r="F2294" s="311"/>
      <c r="G2294" s="311"/>
      <c r="H2294" s="311"/>
      <c r="I2294" s="311"/>
      <c r="J2294" s="1164"/>
      <c r="K2294" s="1164"/>
      <c r="L2294" s="1164"/>
      <c r="M2294" s="1164"/>
      <c r="N2294" s="1165"/>
    </row>
    <row r="2295" spans="2:14" ht="13.5" thickBot="1"/>
    <row r="2296" spans="2:14">
      <c r="B2296" s="1070"/>
      <c r="C2296" s="1072"/>
      <c r="D2296" s="1073"/>
      <c r="E2296" s="1073"/>
      <c r="F2296" s="1073"/>
      <c r="G2296" s="1073"/>
      <c r="H2296" s="1073"/>
      <c r="I2296" s="1073"/>
      <c r="J2296" s="1074"/>
      <c r="K2296" s="1075"/>
      <c r="L2296" s="1076"/>
      <c r="M2296" s="1076"/>
      <c r="N2296" s="1077"/>
    </row>
    <row r="2297" spans="2:14">
      <c r="B2297" s="1071"/>
      <c r="C2297" s="1062" t="s">
        <v>244</v>
      </c>
      <c r="D2297" s="1063"/>
      <c r="E2297" s="1063"/>
      <c r="F2297" s="1063"/>
      <c r="G2297" s="1063"/>
      <c r="H2297" s="1063"/>
      <c r="I2297" s="1063"/>
      <c r="J2297" s="1064"/>
      <c r="K2297" s="1078"/>
      <c r="L2297" s="1079"/>
      <c r="M2297" s="1079"/>
      <c r="N2297" s="1080"/>
    </row>
    <row r="2298" spans="2:14">
      <c r="B2298" s="1071"/>
      <c r="C2298" s="1081"/>
      <c r="D2298" s="1082"/>
      <c r="E2298" s="1082"/>
      <c r="F2298" s="1082"/>
      <c r="G2298" s="1082"/>
      <c r="H2298" s="1082"/>
      <c r="I2298" s="1082"/>
      <c r="J2298" s="1083"/>
      <c r="K2298" s="1058" t="s">
        <v>245</v>
      </c>
      <c r="L2298" s="1085"/>
      <c r="M2298" s="1086"/>
      <c r="N2298" s="1087"/>
    </row>
    <row r="2299" spans="2:14">
      <c r="B2299" s="1071"/>
      <c r="C2299" s="1062" t="s">
        <v>246</v>
      </c>
      <c r="D2299" s="1063"/>
      <c r="E2299" s="1063"/>
      <c r="F2299" s="1063"/>
      <c r="G2299" s="1063"/>
      <c r="H2299" s="1063"/>
      <c r="I2299" s="1063"/>
      <c r="J2299" s="1064"/>
      <c r="K2299" s="1084"/>
      <c r="L2299" s="1088"/>
      <c r="M2299" s="1089"/>
      <c r="N2299" s="1090"/>
    </row>
    <row r="2300" spans="2:14">
      <c r="B2300" s="1071"/>
      <c r="C2300" s="1091"/>
      <c r="D2300" s="1092"/>
      <c r="E2300" s="1092"/>
      <c r="F2300" s="1092"/>
      <c r="G2300" s="1092"/>
      <c r="H2300" s="1092"/>
      <c r="I2300" s="1092"/>
      <c r="J2300" s="1093"/>
      <c r="K2300" s="1058" t="s">
        <v>247</v>
      </c>
      <c r="L2300" s="1058">
        <v>26</v>
      </c>
      <c r="M2300" s="1058" t="s">
        <v>248</v>
      </c>
      <c r="N2300" s="1060">
        <v>80</v>
      </c>
    </row>
    <row r="2301" spans="2:14">
      <c r="B2301" s="1071"/>
      <c r="C2301" s="1091"/>
      <c r="D2301" s="1092"/>
      <c r="E2301" s="1092"/>
      <c r="F2301" s="1092"/>
      <c r="G2301" s="1092"/>
      <c r="H2301" s="1092"/>
      <c r="I2301" s="1092"/>
      <c r="J2301" s="1093"/>
      <c r="K2301" s="1059"/>
      <c r="L2301" s="1059"/>
      <c r="M2301" s="1059"/>
      <c r="N2301" s="1061"/>
    </row>
    <row r="2302" spans="2:14">
      <c r="B2302" s="1071"/>
      <c r="C2302" s="1062" t="s">
        <v>249</v>
      </c>
      <c r="D2302" s="1063"/>
      <c r="E2302" s="1063"/>
      <c r="F2302" s="1063"/>
      <c r="G2302" s="1063"/>
      <c r="H2302" s="1063"/>
      <c r="I2302" s="1063"/>
      <c r="J2302" s="1064"/>
      <c r="K2302" s="1059"/>
      <c r="L2302" s="1059"/>
      <c r="M2302" s="1059"/>
      <c r="N2302" s="1061"/>
    </row>
    <row r="2303" spans="2:14" ht="13.5" thickBot="1">
      <c r="B2303" s="259"/>
      <c r="C2303" s="260"/>
      <c r="D2303" s="260"/>
      <c r="E2303" s="260"/>
      <c r="F2303" s="260"/>
      <c r="G2303" s="260"/>
      <c r="H2303" s="260"/>
      <c r="I2303" s="260"/>
      <c r="J2303" s="260"/>
      <c r="K2303" s="260"/>
      <c r="L2303" s="261"/>
      <c r="M2303" s="261"/>
      <c r="N2303" s="262"/>
    </row>
    <row r="2304" spans="2:14">
      <c r="B2304" s="263"/>
      <c r="C2304" s="264"/>
      <c r="D2304" s="264"/>
      <c r="E2304" s="264"/>
      <c r="F2304" s="264"/>
      <c r="G2304" s="264"/>
      <c r="H2304" s="264"/>
      <c r="I2304" s="264"/>
      <c r="J2304" s="264"/>
      <c r="K2304" s="265" t="s">
        <v>250</v>
      </c>
      <c r="L2304" s="266" t="s">
        <v>251</v>
      </c>
      <c r="M2304" s="266" t="s">
        <v>252</v>
      </c>
      <c r="N2304" s="267" t="s">
        <v>253</v>
      </c>
    </row>
    <row r="2305" spans="2:14">
      <c r="B2305" s="268"/>
      <c r="C2305" s="269"/>
      <c r="D2305" s="269"/>
      <c r="E2305" s="269"/>
      <c r="F2305" s="269"/>
      <c r="G2305" s="269"/>
      <c r="H2305" s="269"/>
      <c r="I2305" s="269"/>
      <c r="J2305" s="269"/>
      <c r="K2305" s="270"/>
      <c r="L2305" s="271"/>
      <c r="M2305" s="271"/>
      <c r="N2305" s="272"/>
    </row>
    <row r="2306" spans="2:14">
      <c r="B2306" s="1065" t="s">
        <v>254</v>
      </c>
      <c r="C2306" s="1066"/>
      <c r="D2306" s="1066"/>
      <c r="E2306" s="1066"/>
      <c r="F2306" s="269"/>
      <c r="G2306" s="269"/>
      <c r="H2306" s="269" t="s">
        <v>255</v>
      </c>
      <c r="J2306" s="269"/>
      <c r="K2306" s="270"/>
      <c r="N2306" s="273"/>
    </row>
    <row r="2307" spans="2:14">
      <c r="B2307" s="274"/>
      <c r="C2307" s="275"/>
      <c r="D2307" s="275"/>
      <c r="E2307" s="275"/>
      <c r="F2307" s="275"/>
      <c r="G2307" s="275"/>
      <c r="H2307" s="275"/>
      <c r="I2307" s="275"/>
      <c r="J2307" s="275"/>
      <c r="K2307" s="275"/>
      <c r="L2307" s="275"/>
      <c r="M2307" s="275"/>
      <c r="N2307" s="276"/>
    </row>
    <row r="2308" spans="2:14" ht="13.5" thickBot="1">
      <c r="B2308" s="277"/>
      <c r="C2308" s="278"/>
      <c r="D2308" s="278"/>
      <c r="E2308" s="278"/>
      <c r="F2308" s="278"/>
      <c r="G2308" s="278"/>
      <c r="H2308" s="278"/>
      <c r="I2308" s="278"/>
      <c r="J2308" s="278"/>
      <c r="K2308" s="278"/>
      <c r="L2308" s="278"/>
      <c r="M2308" s="278"/>
      <c r="N2308" s="279"/>
    </row>
    <row r="2309" spans="2:14" ht="13.5" thickBot="1">
      <c r="B2309" s="280"/>
      <c r="C2309" s="281"/>
      <c r="D2309" s="281"/>
      <c r="E2309" s="281"/>
      <c r="F2309" s="281"/>
      <c r="G2309" s="281"/>
      <c r="J2309" s="281"/>
      <c r="K2309" s="281"/>
      <c r="L2309" s="281"/>
      <c r="M2309" s="281"/>
      <c r="N2309" s="282"/>
    </row>
    <row r="2310" spans="2:14">
      <c r="B2310" s="1067" t="s">
        <v>256</v>
      </c>
      <c r="C2310" s="1068"/>
      <c r="D2310" s="1068"/>
      <c r="E2310" s="1068"/>
      <c r="F2310" s="1068"/>
      <c r="G2310" s="1068"/>
      <c r="H2310" s="1068"/>
      <c r="I2310" s="1068"/>
      <c r="J2310" s="1068"/>
      <c r="K2310" s="1068"/>
      <c r="L2310" s="1068"/>
      <c r="M2310" s="1068"/>
      <c r="N2310" s="1069"/>
    </row>
    <row r="2311" spans="2:14" ht="13.5" thickBot="1">
      <c r="B2311" s="283"/>
      <c r="N2311" s="284"/>
    </row>
    <row r="2312" spans="2:14">
      <c r="B2312" s="285" t="s">
        <v>257</v>
      </c>
      <c r="C2312" s="1120" t="s">
        <v>258</v>
      </c>
      <c r="D2312" s="1121"/>
      <c r="E2312" s="1121"/>
      <c r="F2312" s="1121"/>
      <c r="G2312" s="1121"/>
      <c r="H2312" s="1121"/>
      <c r="I2312" s="1121"/>
      <c r="J2312" s="1121"/>
      <c r="K2312" s="1122"/>
      <c r="L2312" s="1123" t="s">
        <v>259</v>
      </c>
      <c r="M2312" s="1124"/>
      <c r="N2312" s="285" t="s">
        <v>133</v>
      </c>
    </row>
    <row r="2313" spans="2:14" ht="26.25" customHeight="1" thickBot="1">
      <c r="B2313" s="286">
        <v>26</v>
      </c>
      <c r="C2313" s="1125" t="s">
        <v>167</v>
      </c>
      <c r="D2313" s="1126"/>
      <c r="E2313" s="1126"/>
      <c r="F2313" s="1126"/>
      <c r="G2313" s="1126"/>
      <c r="H2313" s="1126"/>
      <c r="I2313" s="1126"/>
      <c r="J2313" s="1126"/>
      <c r="K2313" s="1127"/>
      <c r="L2313" s="1128" t="s">
        <v>143</v>
      </c>
      <c r="M2313" s="1129"/>
      <c r="N2313" s="366">
        <v>68</v>
      </c>
    </row>
    <row r="2314" spans="2:14">
      <c r="B2314" s="1103" t="s">
        <v>260</v>
      </c>
      <c r="C2314" s="1104"/>
      <c r="D2314" s="1104"/>
      <c r="E2314" s="1104"/>
      <c r="F2314" s="1104"/>
      <c r="G2314" s="1104"/>
      <c r="H2314" s="1104"/>
      <c r="I2314" s="1104"/>
      <c r="J2314" s="1104"/>
      <c r="K2314" s="1104"/>
      <c r="L2314" s="1104"/>
      <c r="M2314" s="1104"/>
      <c r="N2314" s="1105"/>
    </row>
    <row r="2315" spans="2:14">
      <c r="B2315" s="1106"/>
      <c r="C2315" s="1107"/>
      <c r="D2315" s="1107"/>
      <c r="E2315" s="1107"/>
      <c r="F2315" s="1107"/>
      <c r="G2315" s="1107"/>
      <c r="H2315" s="1107"/>
      <c r="I2315" s="1107"/>
      <c r="J2315" s="1107"/>
      <c r="K2315" s="1107"/>
      <c r="L2315" s="1107"/>
      <c r="M2315" s="1107"/>
      <c r="N2315" s="1108"/>
    </row>
    <row r="2316" spans="2:14" ht="13.5" thickBot="1">
      <c r="B2316" s="1109"/>
      <c r="C2316" s="1110"/>
      <c r="D2316" s="1110"/>
      <c r="E2316" s="1110"/>
      <c r="F2316" s="1110"/>
      <c r="G2316" s="1110"/>
      <c r="H2316" s="1110"/>
      <c r="I2316" s="1110"/>
      <c r="J2316" s="1110"/>
      <c r="K2316" s="1110"/>
      <c r="L2316" s="1110"/>
      <c r="M2316" s="1110"/>
      <c r="N2316" s="1111"/>
    </row>
    <row r="2317" spans="2:14">
      <c r="B2317" s="1130" t="s">
        <v>258</v>
      </c>
      <c r="C2317" s="1131"/>
      <c r="D2317" s="1131"/>
      <c r="E2317" s="1131"/>
      <c r="F2317" s="1132"/>
      <c r="G2317" s="1133" t="s">
        <v>261</v>
      </c>
      <c r="H2317" s="1131"/>
      <c r="I2317" s="1134" t="s">
        <v>262</v>
      </c>
      <c r="J2317" s="1135"/>
      <c r="K2317" s="288" t="s">
        <v>263</v>
      </c>
      <c r="L2317" s="1133" t="s">
        <v>264</v>
      </c>
      <c r="M2317" s="1136"/>
      <c r="N2317" s="289" t="s">
        <v>265</v>
      </c>
    </row>
    <row r="2318" spans="2:14">
      <c r="B2318" s="1179" t="s">
        <v>326</v>
      </c>
      <c r="C2318" s="1180"/>
      <c r="D2318" s="1180"/>
      <c r="E2318" s="1180"/>
      <c r="F2318" s="1181"/>
      <c r="G2318" s="1115"/>
      <c r="H2318" s="1114"/>
      <c r="I2318" s="1182" t="s">
        <v>267</v>
      </c>
      <c r="J2318" s="1183"/>
      <c r="K2318" s="290">
        <v>3451</v>
      </c>
      <c r="L2318" s="1118">
        <v>0.5</v>
      </c>
      <c r="M2318" s="1119"/>
      <c r="N2318" s="290">
        <f>+K2318/L2318</f>
        <v>6902</v>
      </c>
    </row>
    <row r="2319" spans="2:14">
      <c r="B2319" s="1179" t="s">
        <v>341</v>
      </c>
      <c r="C2319" s="1180"/>
      <c r="D2319" s="1180"/>
      <c r="E2319" s="1180"/>
      <c r="F2319" s="1181"/>
      <c r="G2319" s="295"/>
      <c r="H2319" s="294"/>
      <c r="I2319" s="1182" t="s">
        <v>267</v>
      </c>
      <c r="J2319" s="1183"/>
      <c r="K2319" s="290">
        <v>53907</v>
      </c>
      <c r="L2319" s="1118">
        <v>8</v>
      </c>
      <c r="M2319" s="1119"/>
      <c r="N2319" s="290">
        <f>+K2319/L2319</f>
        <v>6738.375</v>
      </c>
    </row>
    <row r="2320" spans="2:14" ht="12.75" customHeight="1">
      <c r="B2320" s="1179" t="s">
        <v>319</v>
      </c>
      <c r="C2320" s="1180"/>
      <c r="D2320" s="1180"/>
      <c r="E2320" s="1180"/>
      <c r="F2320" s="1181"/>
      <c r="G2320" s="295"/>
      <c r="H2320" s="294"/>
      <c r="I2320" s="1182" t="s">
        <v>267</v>
      </c>
      <c r="J2320" s="1183"/>
      <c r="K2320" s="290">
        <v>464</v>
      </c>
      <c r="L2320" s="1118">
        <v>4</v>
      </c>
      <c r="M2320" s="1119"/>
      <c r="N2320" s="290">
        <f>+K2320/L2320</f>
        <v>116</v>
      </c>
    </row>
    <row r="2321" spans="2:14">
      <c r="B2321" s="1179" t="s">
        <v>340</v>
      </c>
      <c r="C2321" s="1180"/>
      <c r="D2321" s="1180"/>
      <c r="E2321" s="1180"/>
      <c r="F2321" s="1181"/>
      <c r="G2321" s="295"/>
      <c r="H2321" s="294"/>
      <c r="I2321" s="1182" t="s">
        <v>267</v>
      </c>
      <c r="J2321" s="1183"/>
      <c r="K2321" s="290">
        <v>45220</v>
      </c>
      <c r="L2321" s="1118">
        <v>10</v>
      </c>
      <c r="M2321" s="1119"/>
      <c r="N2321" s="290">
        <f>+K2321/L2321</f>
        <v>4522</v>
      </c>
    </row>
    <row r="2322" spans="2:14" ht="13.5" thickBot="1">
      <c r="B2322" s="1179"/>
      <c r="C2322" s="1180"/>
      <c r="D2322" s="1180"/>
      <c r="E2322" s="1180"/>
      <c r="F2322" s="1181"/>
      <c r="G2322" s="295"/>
      <c r="H2322" s="294"/>
      <c r="I2322" s="1182"/>
      <c r="J2322" s="1183"/>
      <c r="K2322" s="290"/>
      <c r="L2322" s="1118"/>
      <c r="M2322" s="1119"/>
      <c r="N2322" s="290"/>
    </row>
    <row r="2323" spans="2:14" ht="13.5" thickBot="1">
      <c r="B2323" s="1100" t="s">
        <v>269</v>
      </c>
      <c r="C2323" s="1101"/>
      <c r="D2323" s="1101"/>
      <c r="E2323" s="1101"/>
      <c r="F2323" s="1101"/>
      <c r="G2323" s="1101"/>
      <c r="H2323" s="1101"/>
      <c r="I2323" s="1101"/>
      <c r="J2323" s="1101"/>
      <c r="K2323" s="1101"/>
      <c r="L2323" s="1101"/>
      <c r="M2323" s="1102"/>
      <c r="N2323" s="323">
        <f>+N2318+N2319+N2320+N2321</f>
        <v>18278.375</v>
      </c>
    </row>
    <row r="2324" spans="2:14">
      <c r="B2324" s="1103" t="s">
        <v>270</v>
      </c>
      <c r="C2324" s="1104"/>
      <c r="D2324" s="1104"/>
      <c r="E2324" s="1104"/>
      <c r="F2324" s="1104"/>
      <c r="G2324" s="1104"/>
      <c r="H2324" s="1104"/>
      <c r="I2324" s="1104"/>
      <c r="J2324" s="1104"/>
      <c r="K2324" s="1104"/>
      <c r="L2324" s="1104"/>
      <c r="M2324" s="1104"/>
      <c r="N2324" s="1105"/>
    </row>
    <row r="2325" spans="2:14">
      <c r="B2325" s="1106"/>
      <c r="C2325" s="1107"/>
      <c r="D2325" s="1107"/>
      <c r="E2325" s="1107"/>
      <c r="F2325" s="1107"/>
      <c r="G2325" s="1107"/>
      <c r="H2325" s="1107"/>
      <c r="I2325" s="1107"/>
      <c r="J2325" s="1107"/>
      <c r="K2325" s="1107"/>
      <c r="L2325" s="1107"/>
      <c r="M2325" s="1107"/>
      <c r="N2325" s="1108"/>
    </row>
    <row r="2326" spans="2:14" ht="13.5" thickBot="1">
      <c r="B2326" s="1109"/>
      <c r="C2326" s="1110"/>
      <c r="D2326" s="1110"/>
      <c r="E2326" s="1110"/>
      <c r="F2326" s="1110"/>
      <c r="G2326" s="1110"/>
      <c r="H2326" s="1110"/>
      <c r="I2326" s="1110"/>
      <c r="J2326" s="1110"/>
      <c r="K2326" s="1110"/>
      <c r="L2326" s="1110"/>
      <c r="M2326" s="1110"/>
      <c r="N2326" s="1111"/>
    </row>
    <row r="2327" spans="2:14">
      <c r="B2327" s="1130" t="s">
        <v>258</v>
      </c>
      <c r="C2327" s="1139"/>
      <c r="D2327" s="1139"/>
      <c r="E2327" s="1139"/>
      <c r="F2327" s="1139"/>
      <c r="G2327" s="1139"/>
      <c r="H2327" s="1139"/>
      <c r="I2327" s="1136"/>
      <c r="J2327" s="299" t="s">
        <v>259</v>
      </c>
      <c r="K2327" s="288" t="s">
        <v>133</v>
      </c>
      <c r="L2327" s="1133" t="s">
        <v>271</v>
      </c>
      <c r="M2327" s="1136"/>
      <c r="N2327" s="289" t="s">
        <v>265</v>
      </c>
    </row>
    <row r="2328" spans="2:14">
      <c r="B2328" s="1112" t="s">
        <v>342</v>
      </c>
      <c r="C2328" s="1113"/>
      <c r="D2328" s="1113"/>
      <c r="E2328" s="1113"/>
      <c r="F2328" s="1113"/>
      <c r="G2328" s="1113"/>
      <c r="H2328" s="1113"/>
      <c r="I2328" s="1114"/>
      <c r="J2328" s="300" t="s">
        <v>147</v>
      </c>
      <c r="K2328" s="301">
        <v>0.38</v>
      </c>
      <c r="L2328" s="1144">
        <v>337058</v>
      </c>
      <c r="M2328" s="1145"/>
      <c r="N2328" s="363">
        <f>+K2328*L2328</f>
        <v>128082.04000000001</v>
      </c>
    </row>
    <row r="2329" spans="2:14" ht="13.5" thickBot="1">
      <c r="B2329" s="1094" t="s">
        <v>343</v>
      </c>
      <c r="C2329" s="1095"/>
      <c r="D2329" s="1095"/>
      <c r="E2329" s="1095"/>
      <c r="F2329" s="1095"/>
      <c r="G2329" s="1095"/>
      <c r="H2329" s="1095"/>
      <c r="I2329" s="1096"/>
      <c r="J2329" s="303" t="s">
        <v>196</v>
      </c>
      <c r="K2329" s="304">
        <v>1.1499999999999999</v>
      </c>
      <c r="L2329" s="1144">
        <v>14042</v>
      </c>
      <c r="M2329" s="1145"/>
      <c r="N2329" s="363">
        <f>+K2329*L2329</f>
        <v>16148.3</v>
      </c>
    </row>
    <row r="2330" spans="2:14" ht="13.5" thickBot="1">
      <c r="B2330" s="1100" t="s">
        <v>269</v>
      </c>
      <c r="C2330" s="1101"/>
      <c r="D2330" s="1101"/>
      <c r="E2330" s="1101"/>
      <c r="F2330" s="1101"/>
      <c r="G2330" s="1101"/>
      <c r="H2330" s="1101"/>
      <c r="I2330" s="1101"/>
      <c r="J2330" s="1101"/>
      <c r="K2330" s="1101"/>
      <c r="L2330" s="1101"/>
      <c r="M2330" s="1102"/>
      <c r="N2330" s="323">
        <f>+N2328+N2329</f>
        <v>144230.34</v>
      </c>
    </row>
    <row r="2331" spans="2:14">
      <c r="B2331" s="1103" t="s">
        <v>276</v>
      </c>
      <c r="C2331" s="1104"/>
      <c r="D2331" s="1104"/>
      <c r="E2331" s="1104"/>
      <c r="F2331" s="1104"/>
      <c r="G2331" s="1104"/>
      <c r="H2331" s="1104"/>
      <c r="I2331" s="1104"/>
      <c r="J2331" s="1104"/>
      <c r="K2331" s="1104"/>
      <c r="L2331" s="1104"/>
      <c r="M2331" s="1104"/>
      <c r="N2331" s="1105"/>
    </row>
    <row r="2332" spans="2:14">
      <c r="B2332" s="1106"/>
      <c r="C2332" s="1107"/>
      <c r="D2332" s="1107"/>
      <c r="E2332" s="1107"/>
      <c r="F2332" s="1107"/>
      <c r="G2332" s="1107"/>
      <c r="H2332" s="1107"/>
      <c r="I2332" s="1107"/>
      <c r="J2332" s="1107"/>
      <c r="K2332" s="1107"/>
      <c r="L2332" s="1107"/>
      <c r="M2332" s="1107"/>
      <c r="N2332" s="1108"/>
    </row>
    <row r="2333" spans="2:14" ht="13.5" thickBot="1">
      <c r="B2333" s="1109"/>
      <c r="C2333" s="1110"/>
      <c r="D2333" s="1110"/>
      <c r="E2333" s="1110"/>
      <c r="F2333" s="1110"/>
      <c r="G2333" s="1110"/>
      <c r="H2333" s="1110"/>
      <c r="I2333" s="1110"/>
      <c r="J2333" s="1110"/>
      <c r="K2333" s="1110"/>
      <c r="L2333" s="1110"/>
      <c r="M2333" s="1110"/>
      <c r="N2333" s="1111"/>
    </row>
    <row r="2334" spans="2:14">
      <c r="B2334" s="1130" t="s">
        <v>277</v>
      </c>
      <c r="C2334" s="1139"/>
      <c r="D2334" s="1139"/>
      <c r="E2334" s="1139"/>
      <c r="F2334" s="1139"/>
      <c r="G2334" s="1139"/>
      <c r="H2334" s="1139"/>
      <c r="I2334" s="288" t="s">
        <v>278</v>
      </c>
      <c r="J2334" s="306" t="s">
        <v>279</v>
      </c>
      <c r="K2334" s="307" t="s">
        <v>280</v>
      </c>
      <c r="L2334" s="1133" t="s">
        <v>281</v>
      </c>
      <c r="M2334" s="1136"/>
      <c r="N2334" s="289" t="s">
        <v>265</v>
      </c>
    </row>
    <row r="2335" spans="2:14" ht="13.5" thickBot="1">
      <c r="B2335" s="1112"/>
      <c r="C2335" s="1113"/>
      <c r="D2335" s="1113"/>
      <c r="E2335" s="1113"/>
      <c r="F2335" s="1113"/>
      <c r="G2335" s="1113"/>
      <c r="H2335" s="1113"/>
      <c r="I2335" s="393"/>
      <c r="J2335" s="309"/>
      <c r="K2335" s="308"/>
      <c r="L2335" s="1144"/>
      <c r="M2335" s="1145"/>
      <c r="N2335" s="363"/>
    </row>
    <row r="2336" spans="2:14" ht="13.5" thickBot="1">
      <c r="B2336" s="1100" t="s">
        <v>269</v>
      </c>
      <c r="C2336" s="1101"/>
      <c r="D2336" s="1101"/>
      <c r="E2336" s="1101"/>
      <c r="F2336" s="1101"/>
      <c r="G2336" s="1101"/>
      <c r="H2336" s="1101"/>
      <c r="I2336" s="1101"/>
      <c r="J2336" s="1101"/>
      <c r="K2336" s="1101"/>
      <c r="L2336" s="1101"/>
      <c r="M2336" s="1102"/>
      <c r="N2336" s="323">
        <f>+N2335</f>
        <v>0</v>
      </c>
    </row>
    <row r="2337" spans="2:14">
      <c r="B2337" s="1103" t="s">
        <v>282</v>
      </c>
      <c r="C2337" s="1104"/>
      <c r="D2337" s="1104"/>
      <c r="E2337" s="1104"/>
      <c r="F2337" s="1104"/>
      <c r="G2337" s="1104"/>
      <c r="H2337" s="1104"/>
      <c r="I2337" s="1104"/>
      <c r="J2337" s="1104"/>
      <c r="K2337" s="1104"/>
      <c r="L2337" s="1104"/>
      <c r="M2337" s="1104"/>
      <c r="N2337" s="1105"/>
    </row>
    <row r="2338" spans="2:14">
      <c r="B2338" s="1106"/>
      <c r="C2338" s="1107"/>
      <c r="D2338" s="1107"/>
      <c r="E2338" s="1107"/>
      <c r="F2338" s="1107"/>
      <c r="G2338" s="1107"/>
      <c r="H2338" s="1107"/>
      <c r="I2338" s="1107"/>
      <c r="J2338" s="1107"/>
      <c r="K2338" s="1107"/>
      <c r="L2338" s="1107"/>
      <c r="M2338" s="1107"/>
      <c r="N2338" s="1108"/>
    </row>
    <row r="2339" spans="2:14" ht="13.5" thickBot="1">
      <c r="B2339" s="1109"/>
      <c r="C2339" s="1110"/>
      <c r="D2339" s="1110"/>
      <c r="E2339" s="1110"/>
      <c r="F2339" s="1110"/>
      <c r="G2339" s="1110"/>
      <c r="H2339" s="1110"/>
      <c r="I2339" s="1110"/>
      <c r="J2339" s="1110"/>
      <c r="K2339" s="1110"/>
      <c r="L2339" s="1110"/>
      <c r="M2339" s="1110"/>
      <c r="N2339" s="1111"/>
    </row>
    <row r="2340" spans="2:14">
      <c r="B2340" s="1130" t="s">
        <v>283</v>
      </c>
      <c r="C2340" s="1139"/>
      <c r="D2340" s="1139"/>
      <c r="E2340" s="1139"/>
      <c r="F2340" s="1139"/>
      <c r="G2340" s="1139"/>
      <c r="H2340" s="1139"/>
      <c r="I2340" s="288" t="s">
        <v>284</v>
      </c>
      <c r="J2340" s="314" t="s">
        <v>285</v>
      </c>
      <c r="K2340" s="315" t="s">
        <v>286</v>
      </c>
      <c r="L2340" s="1140" t="s">
        <v>264</v>
      </c>
      <c r="M2340" s="1141"/>
      <c r="N2340" s="316" t="s">
        <v>265</v>
      </c>
    </row>
    <row r="2341" spans="2:14">
      <c r="B2341" s="317" t="s">
        <v>344</v>
      </c>
      <c r="C2341" s="318"/>
      <c r="D2341" s="318"/>
      <c r="E2341" s="318"/>
      <c r="F2341" s="318"/>
      <c r="G2341" s="318"/>
      <c r="H2341" s="318"/>
      <c r="I2341" s="319">
        <v>153482</v>
      </c>
      <c r="J2341" s="321">
        <v>0</v>
      </c>
      <c r="K2341" s="321">
        <f>+I2341+J2341</f>
        <v>153482</v>
      </c>
      <c r="L2341" s="1157">
        <v>2.8500019999999999</v>
      </c>
      <c r="M2341" s="1158"/>
      <c r="N2341" s="322">
        <f>+K2341/L2341</f>
        <v>53853.295541546991</v>
      </c>
    </row>
    <row r="2342" spans="2:14" ht="13.5" thickBot="1">
      <c r="B2342" s="356" t="s">
        <v>345</v>
      </c>
      <c r="C2342" s="318"/>
      <c r="D2342" s="318"/>
      <c r="E2342" s="318"/>
      <c r="F2342" s="318"/>
      <c r="G2342" s="318"/>
      <c r="H2342" s="318"/>
      <c r="I2342" s="319">
        <v>264960</v>
      </c>
      <c r="J2342" s="321">
        <v>0</v>
      </c>
      <c r="K2342" s="321">
        <f>+I2342+J2342</f>
        <v>264960</v>
      </c>
      <c r="L2342" s="1157">
        <v>7.500019</v>
      </c>
      <c r="M2342" s="1158"/>
      <c r="N2342" s="322">
        <f>+K2342/L2342</f>
        <v>35327.910502626728</v>
      </c>
    </row>
    <row r="2343" spans="2:14" ht="13.5" thickBot="1">
      <c r="B2343" s="1100" t="s">
        <v>269</v>
      </c>
      <c r="C2343" s="1101"/>
      <c r="D2343" s="1101"/>
      <c r="E2343" s="1101"/>
      <c r="F2343" s="1101"/>
      <c r="G2343" s="1101"/>
      <c r="H2343" s="1101"/>
      <c r="I2343" s="1101"/>
      <c r="J2343" s="1101"/>
      <c r="K2343" s="1101"/>
      <c r="L2343" s="1101"/>
      <c r="M2343" s="1102"/>
      <c r="N2343" s="323">
        <f>+N2341+N2342</f>
        <v>89181.206044173712</v>
      </c>
    </row>
    <row r="2344" spans="2:14" ht="13.5" thickBot="1">
      <c r="B2344" s="324" t="s">
        <v>288</v>
      </c>
      <c r="C2344" s="325"/>
      <c r="D2344" s="325"/>
      <c r="E2344" s="325"/>
      <c r="F2344" s="325"/>
      <c r="G2344" s="325"/>
      <c r="H2344" s="325"/>
      <c r="I2344" s="326"/>
      <c r="J2344" s="327"/>
      <c r="K2344" s="328"/>
      <c r="L2344" s="329"/>
      <c r="M2344" s="329"/>
      <c r="N2344" s="330"/>
    </row>
    <row r="2345" spans="2:14">
      <c r="B2345" s="1130" t="s">
        <v>17</v>
      </c>
      <c r="C2345" s="1139"/>
      <c r="D2345" s="1139"/>
      <c r="E2345" s="1139"/>
      <c r="F2345" s="1139"/>
      <c r="G2345" s="1139"/>
      <c r="H2345" s="1139"/>
      <c r="I2345" s="1136"/>
      <c r="J2345" s="299" t="s">
        <v>259</v>
      </c>
      <c r="K2345" s="288" t="s">
        <v>133</v>
      </c>
      <c r="L2345" s="1133" t="s">
        <v>271</v>
      </c>
      <c r="M2345" s="1136"/>
      <c r="N2345" s="316" t="s">
        <v>265</v>
      </c>
    </row>
    <row r="2346" spans="2:14" ht="13.5" thickBot="1">
      <c r="B2346" s="331" t="s">
        <v>289</v>
      </c>
      <c r="C2346" s="332"/>
      <c r="D2346" s="332"/>
      <c r="E2346" s="332"/>
      <c r="F2346" s="332"/>
      <c r="G2346" s="332"/>
      <c r="H2346" s="332"/>
      <c r="I2346" s="333"/>
      <c r="J2346" s="334" t="s">
        <v>290</v>
      </c>
      <c r="K2346" s="335">
        <v>0.05</v>
      </c>
      <c r="L2346" s="1144">
        <f>+N2343</f>
        <v>89181.206044173712</v>
      </c>
      <c r="M2346" s="1145"/>
      <c r="N2346" s="322">
        <f>+K2346*L2346</f>
        <v>4459.0603022086862</v>
      </c>
    </row>
    <row r="2347" spans="2:14" ht="13.5" thickBot="1">
      <c r="B2347" s="1100" t="s">
        <v>269</v>
      </c>
      <c r="C2347" s="1101"/>
      <c r="D2347" s="1101"/>
      <c r="E2347" s="1101"/>
      <c r="F2347" s="1101"/>
      <c r="G2347" s="1101"/>
      <c r="H2347" s="1101"/>
      <c r="I2347" s="1101"/>
      <c r="J2347" s="1101"/>
      <c r="K2347" s="1101"/>
      <c r="L2347" s="1101"/>
      <c r="M2347" s="1102"/>
      <c r="N2347" s="323">
        <f>+N2346</f>
        <v>4459.0603022086862</v>
      </c>
    </row>
    <row r="2348" spans="2:14" ht="13.5" thickBot="1">
      <c r="B2348" s="324" t="s">
        <v>78</v>
      </c>
      <c r="C2348" s="325"/>
      <c r="D2348" s="325"/>
      <c r="E2348" s="325"/>
      <c r="F2348" s="325"/>
      <c r="G2348" s="325"/>
      <c r="H2348" s="325"/>
      <c r="I2348" s="326"/>
      <c r="J2348" s="327"/>
      <c r="K2348" s="328"/>
      <c r="L2348" s="329"/>
      <c r="M2348" s="329"/>
      <c r="N2348" s="330"/>
    </row>
    <row r="2349" spans="2:14">
      <c r="B2349" s="1130" t="s">
        <v>17</v>
      </c>
      <c r="C2349" s="1139"/>
      <c r="D2349" s="1139"/>
      <c r="E2349" s="1139"/>
      <c r="F2349" s="1139"/>
      <c r="G2349" s="1139"/>
      <c r="H2349" s="1139"/>
      <c r="I2349" s="1136"/>
      <c r="J2349" s="299" t="s">
        <v>259</v>
      </c>
      <c r="K2349" s="288" t="s">
        <v>133</v>
      </c>
      <c r="L2349" s="1133" t="s">
        <v>271</v>
      </c>
      <c r="M2349" s="1136"/>
      <c r="N2349" s="316" t="s">
        <v>265</v>
      </c>
    </row>
    <row r="2350" spans="2:14" ht="13.5" thickBot="1">
      <c r="B2350" s="1186" t="s">
        <v>161</v>
      </c>
      <c r="C2350" s="1187"/>
      <c r="D2350" s="1187"/>
      <c r="E2350" s="1187"/>
      <c r="F2350" s="1187"/>
      <c r="G2350" s="1187"/>
      <c r="H2350" s="1188"/>
      <c r="I2350" s="333"/>
      <c r="J2350" s="396" t="s">
        <v>147</v>
      </c>
      <c r="K2350" s="399">
        <v>1.1299999999999999</v>
      </c>
      <c r="L2350" s="1184">
        <v>38446</v>
      </c>
      <c r="M2350" s="1185"/>
      <c r="N2350" s="398">
        <f>+L2350*K2350</f>
        <v>43443.979999999996</v>
      </c>
    </row>
    <row r="2351" spans="2:14" ht="13.5" thickBot="1">
      <c r="B2351" s="1100" t="s">
        <v>269</v>
      </c>
      <c r="C2351" s="1101"/>
      <c r="D2351" s="1101"/>
      <c r="E2351" s="1101"/>
      <c r="F2351" s="1101"/>
      <c r="G2351" s="1101"/>
      <c r="H2351" s="1101"/>
      <c r="I2351" s="1101"/>
      <c r="J2351" s="1101"/>
      <c r="K2351" s="1101"/>
      <c r="L2351" s="1101"/>
      <c r="M2351" s="1102"/>
      <c r="N2351" s="323">
        <f>+N2350</f>
        <v>43443.979999999996</v>
      </c>
    </row>
    <row r="2352" spans="2:14">
      <c r="B2352" s="280"/>
      <c r="C2352" s="281"/>
      <c r="D2352" s="281"/>
      <c r="E2352" s="281"/>
      <c r="F2352" s="281"/>
      <c r="G2352" s="281"/>
      <c r="H2352" s="281"/>
      <c r="I2352" s="281"/>
      <c r="J2352" s="281"/>
      <c r="K2352" s="281"/>
      <c r="L2352" s="281"/>
      <c r="M2352" s="281"/>
      <c r="N2352" s="282"/>
    </row>
    <row r="2353" spans="2:14" ht="13.5" thickBot="1">
      <c r="B2353" s="378"/>
      <c r="C2353" s="311"/>
      <c r="D2353" s="311"/>
      <c r="E2353" s="311"/>
      <c r="F2353" s="311"/>
      <c r="G2353" s="311"/>
      <c r="H2353" s="311"/>
      <c r="I2353" s="311"/>
      <c r="J2353" s="311"/>
      <c r="K2353" s="311"/>
      <c r="L2353" s="311"/>
      <c r="M2353" s="311"/>
      <c r="N2353" s="379"/>
    </row>
    <row r="2354" spans="2:14" ht="13.5" thickBot="1">
      <c r="B2354" s="1150" t="s">
        <v>291</v>
      </c>
      <c r="C2354" s="1151"/>
      <c r="D2354" s="1151"/>
      <c r="E2354" s="1151"/>
      <c r="F2354" s="1151"/>
      <c r="G2354" s="1151"/>
      <c r="H2354" s="1151"/>
      <c r="I2354" s="1151"/>
      <c r="J2354" s="1151"/>
      <c r="K2354" s="1151"/>
      <c r="L2354" s="1151"/>
      <c r="M2354" s="1152"/>
      <c r="N2354" s="336">
        <f>+N2323+N2330+N2336+N2343+N2351+N2347</f>
        <v>299592.96134638239</v>
      </c>
    </row>
    <row r="2355" spans="2:14">
      <c r="B2355" s="1103" t="s">
        <v>292</v>
      </c>
      <c r="C2355" s="1104"/>
      <c r="D2355" s="1104"/>
      <c r="E2355" s="1104"/>
      <c r="F2355" s="1104"/>
      <c r="G2355" s="1104"/>
      <c r="H2355" s="1104"/>
      <c r="I2355" s="1104"/>
      <c r="J2355" s="1104"/>
      <c r="K2355" s="1104"/>
      <c r="L2355" s="1104"/>
      <c r="M2355" s="1104"/>
      <c r="N2355" s="1105"/>
    </row>
    <row r="2356" spans="2:14">
      <c r="B2356" s="1106"/>
      <c r="C2356" s="1107"/>
      <c r="D2356" s="1107"/>
      <c r="E2356" s="1107"/>
      <c r="F2356" s="1107"/>
      <c r="G2356" s="1107"/>
      <c r="H2356" s="1107"/>
      <c r="I2356" s="1107"/>
      <c r="J2356" s="1107"/>
      <c r="K2356" s="1107"/>
      <c r="L2356" s="1107"/>
      <c r="M2356" s="1107"/>
      <c r="N2356" s="1108"/>
    </row>
    <row r="2357" spans="2:14" ht="13.5" thickBot="1">
      <c r="B2357" s="1109"/>
      <c r="C2357" s="1110"/>
      <c r="D2357" s="1110"/>
      <c r="E2357" s="1110"/>
      <c r="F2357" s="1110"/>
      <c r="G2357" s="1110"/>
      <c r="H2357" s="1110"/>
      <c r="I2357" s="1110"/>
      <c r="J2357" s="1110"/>
      <c r="K2357" s="1110"/>
      <c r="L2357" s="1110"/>
      <c r="M2357" s="1110"/>
      <c r="N2357" s="1111"/>
    </row>
    <row r="2358" spans="2:14">
      <c r="B2358" s="1130" t="s">
        <v>17</v>
      </c>
      <c r="C2358" s="1139"/>
      <c r="D2358" s="1139"/>
      <c r="E2358" s="1139"/>
      <c r="F2358" s="1139"/>
      <c r="G2358" s="1139"/>
      <c r="H2358" s="1139"/>
      <c r="I2358" s="306"/>
      <c r="J2358" s="337"/>
      <c r="K2358" s="315" t="s">
        <v>79</v>
      </c>
      <c r="L2358" s="1140" t="s">
        <v>11</v>
      </c>
      <c r="M2358" s="1141"/>
      <c r="N2358" s="316"/>
    </row>
    <row r="2359" spans="2:14">
      <c r="B2359" s="1112" t="s">
        <v>232</v>
      </c>
      <c r="C2359" s="1113"/>
      <c r="D2359" s="1113"/>
      <c r="E2359" s="1113"/>
      <c r="F2359" s="1113"/>
      <c r="G2359" s="1113"/>
      <c r="H2359" s="1113"/>
      <c r="I2359" s="338"/>
      <c r="J2359" s="339"/>
      <c r="K2359" s="340">
        <f>'PRESUPUESTO OFICIAL'!$K$100</f>
        <v>0</v>
      </c>
      <c r="L2359" s="1146">
        <f>K2359*N2354</f>
        <v>0</v>
      </c>
      <c r="M2359" s="1147"/>
      <c r="N2359" s="341"/>
    </row>
    <row r="2360" spans="2:14">
      <c r="B2360" s="292" t="s">
        <v>293</v>
      </c>
      <c r="C2360" s="293"/>
      <c r="D2360" s="293"/>
      <c r="E2360" s="293"/>
      <c r="F2360" s="293"/>
      <c r="G2360" s="293"/>
      <c r="H2360" s="293"/>
      <c r="I2360" s="338"/>
      <c r="J2360" s="339"/>
      <c r="K2360" s="340">
        <f>'PRESUPUESTO OFICIAL'!$K$101</f>
        <v>0</v>
      </c>
      <c r="L2360" s="1146">
        <f>K2360*N2354</f>
        <v>0</v>
      </c>
      <c r="M2360" s="1147"/>
      <c r="N2360" s="341"/>
    </row>
    <row r="2361" spans="2:14" ht="13.5" thickBot="1">
      <c r="B2361" s="277" t="s">
        <v>294</v>
      </c>
      <c r="C2361" s="278"/>
      <c r="D2361" s="278"/>
      <c r="E2361" s="278"/>
      <c r="F2361" s="278"/>
      <c r="G2361" s="278"/>
      <c r="H2361" s="278"/>
      <c r="I2361" s="342"/>
      <c r="J2361" s="343"/>
      <c r="K2361" s="340">
        <f>'PRESUPUESTO OFICIAL'!$K$102</f>
        <v>0</v>
      </c>
      <c r="L2361" s="1148">
        <f>K2361*N2354</f>
        <v>0</v>
      </c>
      <c r="M2361" s="1149"/>
      <c r="N2361" s="341"/>
    </row>
    <row r="2362" spans="2:14" ht="13.5" thickBot="1">
      <c r="B2362" s="1100" t="s">
        <v>269</v>
      </c>
      <c r="C2362" s="1101"/>
      <c r="D2362" s="1101"/>
      <c r="E2362" s="1101"/>
      <c r="F2362" s="1101"/>
      <c r="G2362" s="1101"/>
      <c r="H2362" s="1101"/>
      <c r="I2362" s="1101"/>
      <c r="J2362" s="1101"/>
      <c r="K2362" s="1101"/>
      <c r="L2362" s="1101"/>
      <c r="M2362" s="1102"/>
      <c r="N2362" s="344">
        <f>SUM(L2359:M2361)</f>
        <v>0</v>
      </c>
    </row>
    <row r="2363" spans="2:14" ht="13.5" thickBot="1">
      <c r="B2363" s="283"/>
      <c r="N2363" s="284"/>
    </row>
    <row r="2364" spans="2:14" ht="13.5" thickBot="1">
      <c r="B2364" s="1150" t="s">
        <v>295</v>
      </c>
      <c r="C2364" s="1151"/>
      <c r="D2364" s="1151"/>
      <c r="E2364" s="1151"/>
      <c r="F2364" s="1151"/>
      <c r="G2364" s="1151"/>
      <c r="H2364" s="1151"/>
      <c r="I2364" s="1151"/>
      <c r="J2364" s="1151"/>
      <c r="K2364" s="1151"/>
      <c r="L2364" s="1151"/>
      <c r="M2364" s="1152"/>
      <c r="N2364" s="345">
        <f>ROUND(N2354+N2362,0)</f>
        <v>299593</v>
      </c>
    </row>
    <row r="2365" spans="2:14">
      <c r="B2365" s="280"/>
      <c r="C2365" s="281"/>
      <c r="D2365" s="281"/>
      <c r="E2365" s="281"/>
      <c r="F2365" s="281"/>
      <c r="G2365" s="281"/>
      <c r="H2365" s="281"/>
      <c r="I2365" s="281"/>
      <c r="J2365" s="281"/>
      <c r="K2365" s="281"/>
      <c r="L2365" s="281"/>
      <c r="M2365" s="281"/>
      <c r="N2365" s="282"/>
    </row>
    <row r="2366" spans="2:14">
      <c r="B2366" s="283"/>
      <c r="N2366" s="284"/>
    </row>
    <row r="2367" spans="2:14">
      <c r="B2367" s="283"/>
      <c r="N2367" s="284"/>
    </row>
    <row r="2368" spans="2:14">
      <c r="B2368" s="283"/>
      <c r="G2368" s="346" t="s">
        <v>296</v>
      </c>
      <c r="H2368" s="346"/>
      <c r="I2368" s="346"/>
      <c r="J2368" s="346"/>
      <c r="N2368" s="284"/>
    </row>
    <row r="2369" spans="2:14">
      <c r="B2369" s="347"/>
      <c r="C2369" s="348"/>
      <c r="D2369" s="348"/>
      <c r="E2369" s="348"/>
      <c r="F2369" s="348"/>
      <c r="G2369" s="346" t="s">
        <v>297</v>
      </c>
      <c r="H2369" s="348"/>
      <c r="I2369" s="348"/>
      <c r="J2369" s="348"/>
      <c r="K2369" s="348"/>
      <c r="L2369" s="348"/>
      <c r="M2369" s="348"/>
      <c r="N2369" s="349"/>
    </row>
    <row r="2370" spans="2:14">
      <c r="B2370" s="347"/>
      <c r="C2370" s="348"/>
      <c r="D2370" s="348"/>
      <c r="E2370" s="348"/>
      <c r="F2370" s="348"/>
      <c r="G2370" s="346" t="s">
        <v>298</v>
      </c>
      <c r="J2370" s="348"/>
      <c r="K2370" s="348"/>
      <c r="L2370" s="348"/>
      <c r="M2370" s="348"/>
      <c r="N2370" s="349"/>
    </row>
    <row r="2371" spans="2:14">
      <c r="B2371" s="268"/>
      <c r="C2371" s="350"/>
      <c r="D2371" s="350"/>
      <c r="E2371" s="350"/>
      <c r="F2371" s="350"/>
      <c r="G2371" s="346" t="s">
        <v>299</v>
      </c>
      <c r="H2371" s="350"/>
      <c r="I2371" s="350"/>
      <c r="J2371" s="350"/>
      <c r="K2371" s="350"/>
      <c r="L2371" s="350"/>
      <c r="M2371" s="350"/>
      <c r="N2371" s="351"/>
    </row>
    <row r="2372" spans="2:14">
      <c r="B2372" s="283"/>
      <c r="G2372" s="258" t="s">
        <v>300</v>
      </c>
      <c r="N2372" s="284"/>
    </row>
    <row r="2373" spans="2:14">
      <c r="B2373" s="352" t="s">
        <v>301</v>
      </c>
      <c r="C2373" s="353"/>
      <c r="D2373" s="353"/>
      <c r="E2373" s="353"/>
      <c r="F2373" s="353"/>
      <c r="G2373" s="353"/>
      <c r="H2373" s="353"/>
      <c r="I2373" s="353"/>
      <c r="J2373" s="353"/>
      <c r="K2373" s="353"/>
      <c r="L2373" s="353"/>
      <c r="M2373" s="353"/>
      <c r="N2373" s="354"/>
    </row>
    <row r="2374" spans="2:14">
      <c r="B2374" s="1153"/>
      <c r="C2374" s="1154"/>
      <c r="D2374" s="1154"/>
      <c r="E2374" s="1154"/>
      <c r="F2374" s="1154"/>
      <c r="G2374" s="1154"/>
      <c r="H2374" s="1154"/>
      <c r="I2374" s="1154"/>
      <c r="J2374" s="1154"/>
      <c r="K2374" s="1154"/>
      <c r="L2374" s="1154"/>
      <c r="M2374" s="1154"/>
      <c r="N2374" s="1155"/>
    </row>
    <row r="2375" spans="2:14">
      <c r="B2375" s="1153"/>
      <c r="C2375" s="1154"/>
      <c r="D2375" s="1154"/>
      <c r="E2375" s="1154"/>
      <c r="F2375" s="1154"/>
      <c r="G2375" s="1154"/>
      <c r="H2375" s="1154"/>
      <c r="I2375" s="1154"/>
      <c r="J2375" s="1154"/>
      <c r="K2375" s="1154"/>
      <c r="L2375" s="1154"/>
      <c r="M2375" s="1154"/>
      <c r="N2375" s="1155"/>
    </row>
    <row r="2376" spans="2:14">
      <c r="B2376" s="268"/>
      <c r="C2376" s="350"/>
      <c r="D2376" s="350"/>
      <c r="E2376" s="350"/>
      <c r="F2376" s="350"/>
      <c r="G2376" s="350"/>
      <c r="H2376" s="350"/>
      <c r="I2376" s="350"/>
      <c r="J2376" s="350"/>
      <c r="K2376" s="350"/>
      <c r="L2376" s="350"/>
      <c r="M2376" s="350"/>
      <c r="N2376" s="351"/>
    </row>
    <row r="2377" spans="2:14">
      <c r="B2377" s="355" t="s">
        <v>302</v>
      </c>
      <c r="C2377" s="350"/>
      <c r="D2377" s="350"/>
      <c r="E2377" s="350"/>
      <c r="F2377" s="350"/>
      <c r="G2377" s="350"/>
      <c r="H2377" s="350"/>
      <c r="I2377" s="350"/>
      <c r="J2377" s="350"/>
      <c r="K2377" s="350"/>
      <c r="L2377" s="350"/>
      <c r="M2377" s="350"/>
      <c r="N2377" s="351"/>
    </row>
    <row r="2378" spans="2:14">
      <c r="B2378" s="1159" t="s">
        <v>303</v>
      </c>
      <c r="C2378" s="1160"/>
      <c r="D2378" s="1160"/>
      <c r="E2378" s="1160"/>
      <c r="F2378" s="1160"/>
      <c r="G2378" s="1160"/>
      <c r="H2378" s="1160"/>
      <c r="I2378" s="1160"/>
      <c r="J2378" s="1160"/>
      <c r="K2378" s="1160"/>
      <c r="L2378" s="1160"/>
      <c r="M2378" s="1160"/>
      <c r="N2378" s="1161"/>
    </row>
    <row r="2379" spans="2:14">
      <c r="B2379" s="1159"/>
      <c r="C2379" s="1160"/>
      <c r="D2379" s="1160"/>
      <c r="E2379" s="1160"/>
      <c r="F2379" s="1160"/>
      <c r="G2379" s="1160"/>
      <c r="H2379" s="1160"/>
      <c r="I2379" s="1160"/>
      <c r="J2379" s="1160"/>
      <c r="K2379" s="1160"/>
      <c r="L2379" s="1160"/>
      <c r="M2379" s="1160"/>
      <c r="N2379" s="1161"/>
    </row>
    <row r="2380" spans="2:14">
      <c r="B2380" s="1159" t="s">
        <v>304</v>
      </c>
      <c r="C2380" s="1160"/>
      <c r="D2380" s="1160"/>
      <c r="E2380" s="1160"/>
      <c r="F2380" s="1160"/>
      <c r="G2380" s="1160"/>
      <c r="H2380" s="1160"/>
      <c r="I2380" s="1160"/>
      <c r="J2380" s="1160"/>
      <c r="K2380" s="1160"/>
      <c r="L2380" s="1160"/>
      <c r="M2380" s="1160"/>
      <c r="N2380" s="1161"/>
    </row>
    <row r="2381" spans="2:14">
      <c r="B2381" s="1159"/>
      <c r="C2381" s="1160"/>
      <c r="D2381" s="1160"/>
      <c r="E2381" s="1160"/>
      <c r="F2381" s="1160"/>
      <c r="G2381" s="1160"/>
      <c r="H2381" s="1160"/>
      <c r="I2381" s="1160"/>
      <c r="J2381" s="1160"/>
      <c r="K2381" s="1160"/>
      <c r="L2381" s="1160"/>
      <c r="M2381" s="1160"/>
      <c r="N2381" s="1161"/>
    </row>
    <row r="2382" spans="2:14">
      <c r="B2382" s="268"/>
      <c r="C2382" s="350"/>
      <c r="D2382" s="350"/>
      <c r="E2382" s="350"/>
      <c r="F2382" s="350"/>
      <c r="G2382" s="350"/>
      <c r="H2382" s="350"/>
      <c r="I2382" s="350"/>
      <c r="J2382" s="350"/>
      <c r="K2382" s="350"/>
      <c r="L2382" s="350"/>
      <c r="M2382" s="350"/>
      <c r="N2382" s="351"/>
    </row>
    <row r="2383" spans="2:14">
      <c r="B2383" s="283"/>
      <c r="G2383" s="346" t="s">
        <v>296</v>
      </c>
      <c r="N2383" s="284"/>
    </row>
    <row r="2384" spans="2:14">
      <c r="B2384" s="283"/>
      <c r="G2384" s="258" t="s">
        <v>305</v>
      </c>
      <c r="H2384" s="293"/>
      <c r="I2384" s="293"/>
      <c r="J2384" s="293"/>
      <c r="N2384" s="284"/>
    </row>
    <row r="2385" spans="2:14">
      <c r="B2385" s="283"/>
      <c r="G2385" s="258" t="s">
        <v>306</v>
      </c>
      <c r="H2385" s="325"/>
      <c r="I2385" s="325"/>
      <c r="J2385" s="325"/>
      <c r="N2385" s="284"/>
    </row>
    <row r="2386" spans="2:14">
      <c r="B2386" s="356"/>
      <c r="C2386" s="350"/>
      <c r="D2386" s="350"/>
      <c r="E2386" s="350"/>
      <c r="F2386" s="350"/>
      <c r="G2386" s="258" t="s">
        <v>299</v>
      </c>
      <c r="K2386" s="350"/>
      <c r="L2386" s="350"/>
      <c r="M2386" s="350"/>
      <c r="N2386" s="351"/>
    </row>
    <row r="2387" spans="2:14">
      <c r="B2387" s="357"/>
      <c r="C2387" s="358"/>
      <c r="D2387" s="358"/>
      <c r="J2387" s="1162"/>
      <c r="K2387" s="1162"/>
      <c r="L2387" s="1162"/>
      <c r="M2387" s="1162"/>
      <c r="N2387" s="1163"/>
    </row>
    <row r="2388" spans="2:14" ht="13.5" thickBot="1">
      <c r="B2388" s="1166"/>
      <c r="C2388" s="1167"/>
      <c r="D2388" s="1167"/>
      <c r="E2388" s="311"/>
      <c r="F2388" s="311"/>
      <c r="G2388" s="311"/>
      <c r="H2388" s="311"/>
      <c r="I2388" s="311"/>
      <c r="J2388" s="1164"/>
      <c r="K2388" s="1164"/>
      <c r="L2388" s="1164"/>
      <c r="M2388" s="1164"/>
      <c r="N2388" s="1165"/>
    </row>
    <row r="2389" spans="2:14" ht="13.5" thickBot="1"/>
    <row r="2390" spans="2:14">
      <c r="B2390" s="1070"/>
      <c r="C2390" s="1072"/>
      <c r="D2390" s="1073"/>
      <c r="E2390" s="1073"/>
      <c r="F2390" s="1073"/>
      <c r="G2390" s="1073"/>
      <c r="H2390" s="1073"/>
      <c r="I2390" s="1073"/>
      <c r="J2390" s="1074"/>
      <c r="K2390" s="1075"/>
      <c r="L2390" s="1076"/>
      <c r="M2390" s="1076"/>
      <c r="N2390" s="1077"/>
    </row>
    <row r="2391" spans="2:14">
      <c r="B2391" s="1071"/>
      <c r="C2391" s="1062" t="s">
        <v>244</v>
      </c>
      <c r="D2391" s="1063"/>
      <c r="E2391" s="1063"/>
      <c r="F2391" s="1063"/>
      <c r="G2391" s="1063"/>
      <c r="H2391" s="1063"/>
      <c r="I2391" s="1063"/>
      <c r="J2391" s="1064"/>
      <c r="K2391" s="1078"/>
      <c r="L2391" s="1079"/>
      <c r="M2391" s="1079"/>
      <c r="N2391" s="1080"/>
    </row>
    <row r="2392" spans="2:14">
      <c r="B2392" s="1071"/>
      <c r="C2392" s="1081"/>
      <c r="D2392" s="1082"/>
      <c r="E2392" s="1082"/>
      <c r="F2392" s="1082"/>
      <c r="G2392" s="1082"/>
      <c r="H2392" s="1082"/>
      <c r="I2392" s="1082"/>
      <c r="J2392" s="1083"/>
      <c r="K2392" s="1058" t="s">
        <v>245</v>
      </c>
      <c r="L2392" s="1085"/>
      <c r="M2392" s="1086"/>
      <c r="N2392" s="1087"/>
    </row>
    <row r="2393" spans="2:14">
      <c r="B2393" s="1071"/>
      <c r="C2393" s="1062" t="s">
        <v>246</v>
      </c>
      <c r="D2393" s="1063"/>
      <c r="E2393" s="1063"/>
      <c r="F2393" s="1063"/>
      <c r="G2393" s="1063"/>
      <c r="H2393" s="1063"/>
      <c r="I2393" s="1063"/>
      <c r="J2393" s="1064"/>
      <c r="K2393" s="1084"/>
      <c r="L2393" s="1088"/>
      <c r="M2393" s="1089"/>
      <c r="N2393" s="1090"/>
    </row>
    <row r="2394" spans="2:14">
      <c r="B2394" s="1071"/>
      <c r="C2394" s="1091"/>
      <c r="D2394" s="1092"/>
      <c r="E2394" s="1092"/>
      <c r="F2394" s="1092"/>
      <c r="G2394" s="1092"/>
      <c r="H2394" s="1092"/>
      <c r="I2394" s="1092"/>
      <c r="J2394" s="1093"/>
      <c r="K2394" s="1058" t="s">
        <v>247</v>
      </c>
      <c r="L2394" s="1058">
        <v>27</v>
      </c>
      <c r="M2394" s="1058" t="s">
        <v>248</v>
      </c>
      <c r="N2394" s="1060">
        <v>80</v>
      </c>
    </row>
    <row r="2395" spans="2:14">
      <c r="B2395" s="1071"/>
      <c r="C2395" s="1091"/>
      <c r="D2395" s="1092"/>
      <c r="E2395" s="1092"/>
      <c r="F2395" s="1092"/>
      <c r="G2395" s="1092"/>
      <c r="H2395" s="1092"/>
      <c r="I2395" s="1092"/>
      <c r="J2395" s="1093"/>
      <c r="K2395" s="1059"/>
      <c r="L2395" s="1059"/>
      <c r="M2395" s="1059"/>
      <c r="N2395" s="1061"/>
    </row>
    <row r="2396" spans="2:14">
      <c r="B2396" s="1071"/>
      <c r="C2396" s="1062" t="s">
        <v>249</v>
      </c>
      <c r="D2396" s="1063"/>
      <c r="E2396" s="1063"/>
      <c r="F2396" s="1063"/>
      <c r="G2396" s="1063"/>
      <c r="H2396" s="1063"/>
      <c r="I2396" s="1063"/>
      <c r="J2396" s="1064"/>
      <c r="K2396" s="1059"/>
      <c r="L2396" s="1059"/>
      <c r="M2396" s="1059"/>
      <c r="N2396" s="1061"/>
    </row>
    <row r="2397" spans="2:14" ht="13.5" thickBot="1">
      <c r="B2397" s="259"/>
      <c r="C2397" s="260"/>
      <c r="D2397" s="260"/>
      <c r="E2397" s="260"/>
      <c r="F2397" s="260"/>
      <c r="G2397" s="260"/>
      <c r="H2397" s="260"/>
      <c r="I2397" s="260"/>
      <c r="J2397" s="260"/>
      <c r="K2397" s="260"/>
      <c r="L2397" s="261"/>
      <c r="M2397" s="261"/>
      <c r="N2397" s="262"/>
    </row>
    <row r="2398" spans="2:14">
      <c r="B2398" s="263"/>
      <c r="C2398" s="264"/>
      <c r="D2398" s="264"/>
      <c r="E2398" s="264"/>
      <c r="F2398" s="264"/>
      <c r="G2398" s="264"/>
      <c r="H2398" s="264"/>
      <c r="I2398" s="264"/>
      <c r="J2398" s="264"/>
      <c r="K2398" s="265" t="s">
        <v>250</v>
      </c>
      <c r="L2398" s="266" t="s">
        <v>251</v>
      </c>
      <c r="M2398" s="266" t="s">
        <v>252</v>
      </c>
      <c r="N2398" s="267" t="s">
        <v>253</v>
      </c>
    </row>
    <row r="2399" spans="2:14">
      <c r="B2399" s="268"/>
      <c r="C2399" s="269"/>
      <c r="D2399" s="269"/>
      <c r="E2399" s="269"/>
      <c r="F2399" s="269"/>
      <c r="G2399" s="269"/>
      <c r="H2399" s="269"/>
      <c r="I2399" s="269"/>
      <c r="J2399" s="269"/>
      <c r="K2399" s="270"/>
      <c r="L2399" s="271"/>
      <c r="M2399" s="271"/>
      <c r="N2399" s="272"/>
    </row>
    <row r="2400" spans="2:14">
      <c r="B2400" s="1065" t="s">
        <v>254</v>
      </c>
      <c r="C2400" s="1066"/>
      <c r="D2400" s="1066"/>
      <c r="E2400" s="1066"/>
      <c r="F2400" s="269"/>
      <c r="G2400" s="269"/>
      <c r="H2400" s="269" t="s">
        <v>255</v>
      </c>
      <c r="J2400" s="269"/>
      <c r="K2400" s="270"/>
      <c r="N2400" s="273"/>
    </row>
    <row r="2401" spans="2:14">
      <c r="B2401" s="274"/>
      <c r="C2401" s="275"/>
      <c r="D2401" s="275"/>
      <c r="E2401" s="275"/>
      <c r="F2401" s="275"/>
      <c r="G2401" s="275"/>
      <c r="H2401" s="275"/>
      <c r="I2401" s="275"/>
      <c r="J2401" s="275"/>
      <c r="K2401" s="275"/>
      <c r="L2401" s="275"/>
      <c r="M2401" s="275"/>
      <c r="N2401" s="276"/>
    </row>
    <row r="2402" spans="2:14" ht="13.5" thickBot="1">
      <c r="B2402" s="277"/>
      <c r="C2402" s="278"/>
      <c r="D2402" s="278"/>
      <c r="E2402" s="278"/>
      <c r="F2402" s="278"/>
      <c r="G2402" s="278"/>
      <c r="H2402" s="278"/>
      <c r="I2402" s="278"/>
      <c r="J2402" s="278"/>
      <c r="K2402" s="278"/>
      <c r="L2402" s="278"/>
      <c r="M2402" s="278"/>
      <c r="N2402" s="279"/>
    </row>
    <row r="2403" spans="2:14" ht="13.5" thickBot="1">
      <c r="B2403" s="280"/>
      <c r="C2403" s="281"/>
      <c r="D2403" s="281"/>
      <c r="E2403" s="281"/>
      <c r="F2403" s="281"/>
      <c r="G2403" s="281"/>
      <c r="J2403" s="281"/>
      <c r="K2403" s="281"/>
      <c r="L2403" s="281"/>
      <c r="M2403" s="281"/>
      <c r="N2403" s="282"/>
    </row>
    <row r="2404" spans="2:14">
      <c r="B2404" s="1067" t="s">
        <v>256</v>
      </c>
      <c r="C2404" s="1068"/>
      <c r="D2404" s="1068"/>
      <c r="E2404" s="1068"/>
      <c r="F2404" s="1068"/>
      <c r="G2404" s="1068"/>
      <c r="H2404" s="1068"/>
      <c r="I2404" s="1068"/>
      <c r="J2404" s="1068"/>
      <c r="K2404" s="1068"/>
      <c r="L2404" s="1068"/>
      <c r="M2404" s="1068"/>
      <c r="N2404" s="1069"/>
    </row>
    <row r="2405" spans="2:14" ht="13.5" thickBot="1">
      <c r="B2405" s="283"/>
      <c r="N2405" s="284"/>
    </row>
    <row r="2406" spans="2:14">
      <c r="B2406" s="285" t="s">
        <v>257</v>
      </c>
      <c r="C2406" s="1120" t="s">
        <v>258</v>
      </c>
      <c r="D2406" s="1121"/>
      <c r="E2406" s="1121"/>
      <c r="F2406" s="1121"/>
      <c r="G2406" s="1121"/>
      <c r="H2406" s="1121"/>
      <c r="I2406" s="1121"/>
      <c r="J2406" s="1121"/>
      <c r="K2406" s="1122"/>
      <c r="L2406" s="1123" t="s">
        <v>259</v>
      </c>
      <c r="M2406" s="1124"/>
      <c r="N2406" s="285" t="s">
        <v>133</v>
      </c>
    </row>
    <row r="2407" spans="2:14" ht="23.25" customHeight="1" thickBot="1">
      <c r="B2407" s="286">
        <v>27</v>
      </c>
      <c r="C2407" s="1125" t="s">
        <v>168</v>
      </c>
      <c r="D2407" s="1126"/>
      <c r="E2407" s="1126"/>
      <c r="F2407" s="1126"/>
      <c r="G2407" s="1126"/>
      <c r="H2407" s="1126"/>
      <c r="I2407" s="1126"/>
      <c r="J2407" s="1126"/>
      <c r="K2407" s="1127"/>
      <c r="L2407" s="1128" t="s">
        <v>143</v>
      </c>
      <c r="M2407" s="1129"/>
      <c r="N2407" s="366">
        <v>57</v>
      </c>
    </row>
    <row r="2408" spans="2:14">
      <c r="B2408" s="1103" t="s">
        <v>260</v>
      </c>
      <c r="C2408" s="1104"/>
      <c r="D2408" s="1104"/>
      <c r="E2408" s="1104"/>
      <c r="F2408" s="1104"/>
      <c r="G2408" s="1104"/>
      <c r="H2408" s="1104"/>
      <c r="I2408" s="1104"/>
      <c r="J2408" s="1104"/>
      <c r="K2408" s="1104"/>
      <c r="L2408" s="1104"/>
      <c r="M2408" s="1104"/>
      <c r="N2408" s="1105"/>
    </row>
    <row r="2409" spans="2:14">
      <c r="B2409" s="1106"/>
      <c r="C2409" s="1107"/>
      <c r="D2409" s="1107"/>
      <c r="E2409" s="1107"/>
      <c r="F2409" s="1107"/>
      <c r="G2409" s="1107"/>
      <c r="H2409" s="1107"/>
      <c r="I2409" s="1107"/>
      <c r="J2409" s="1107"/>
      <c r="K2409" s="1107"/>
      <c r="L2409" s="1107"/>
      <c r="M2409" s="1107"/>
      <c r="N2409" s="1108"/>
    </row>
    <row r="2410" spans="2:14" ht="13.5" thickBot="1">
      <c r="B2410" s="1109"/>
      <c r="C2410" s="1110"/>
      <c r="D2410" s="1110"/>
      <c r="E2410" s="1110"/>
      <c r="F2410" s="1110"/>
      <c r="G2410" s="1110"/>
      <c r="H2410" s="1110"/>
      <c r="I2410" s="1110"/>
      <c r="J2410" s="1110"/>
      <c r="K2410" s="1110"/>
      <c r="L2410" s="1110"/>
      <c r="M2410" s="1110"/>
      <c r="N2410" s="1111"/>
    </row>
    <row r="2411" spans="2:14">
      <c r="B2411" s="1130" t="s">
        <v>258</v>
      </c>
      <c r="C2411" s="1131"/>
      <c r="D2411" s="1131"/>
      <c r="E2411" s="1131"/>
      <c r="F2411" s="1132"/>
      <c r="G2411" s="1133" t="s">
        <v>261</v>
      </c>
      <c r="H2411" s="1131"/>
      <c r="I2411" s="1134" t="s">
        <v>262</v>
      </c>
      <c r="J2411" s="1135"/>
      <c r="K2411" s="288" t="s">
        <v>263</v>
      </c>
      <c r="L2411" s="1133" t="s">
        <v>264</v>
      </c>
      <c r="M2411" s="1136"/>
      <c r="N2411" s="289" t="s">
        <v>265</v>
      </c>
    </row>
    <row r="2412" spans="2:14">
      <c r="B2412" s="1179" t="s">
        <v>341</v>
      </c>
      <c r="C2412" s="1180"/>
      <c r="D2412" s="1180"/>
      <c r="E2412" s="1180"/>
      <c r="F2412" s="1181"/>
      <c r="G2412" s="1115"/>
      <c r="H2412" s="1114"/>
      <c r="I2412" s="1182" t="s">
        <v>267</v>
      </c>
      <c r="J2412" s="1183"/>
      <c r="K2412" s="290">
        <v>53907</v>
      </c>
      <c r="L2412" s="1118">
        <v>8</v>
      </c>
      <c r="M2412" s="1119"/>
      <c r="N2412" s="290">
        <f>+K2412/L2412</f>
        <v>6738.375</v>
      </c>
    </row>
    <row r="2413" spans="2:14" ht="12.75" customHeight="1">
      <c r="B2413" s="1179" t="s">
        <v>326</v>
      </c>
      <c r="C2413" s="1180"/>
      <c r="D2413" s="1180"/>
      <c r="E2413" s="1180"/>
      <c r="F2413" s="1181"/>
      <c r="G2413" s="295"/>
      <c r="H2413" s="294"/>
      <c r="I2413" s="1182" t="s">
        <v>267</v>
      </c>
      <c r="J2413" s="1183"/>
      <c r="K2413" s="290">
        <v>3451</v>
      </c>
      <c r="L2413" s="1118">
        <v>0.5</v>
      </c>
      <c r="M2413" s="1119"/>
      <c r="N2413" s="290">
        <f>+K2413/L2413</f>
        <v>6902</v>
      </c>
    </row>
    <row r="2414" spans="2:14">
      <c r="B2414" s="1179" t="s">
        <v>319</v>
      </c>
      <c r="C2414" s="1180"/>
      <c r="D2414" s="1180"/>
      <c r="E2414" s="1180"/>
      <c r="F2414" s="1181"/>
      <c r="G2414" s="295"/>
      <c r="H2414" s="294"/>
      <c r="I2414" s="1182" t="s">
        <v>267</v>
      </c>
      <c r="J2414" s="1183"/>
      <c r="K2414" s="290">
        <v>464</v>
      </c>
      <c r="L2414" s="1118">
        <v>3.3333330000000001</v>
      </c>
      <c r="M2414" s="1119"/>
      <c r="N2414" s="290">
        <f>+K2414/L2414</f>
        <v>139.2000139200014</v>
      </c>
    </row>
    <row r="2415" spans="2:14">
      <c r="B2415" s="1179" t="s">
        <v>340</v>
      </c>
      <c r="C2415" s="1180"/>
      <c r="D2415" s="1180"/>
      <c r="E2415" s="1180"/>
      <c r="F2415" s="1181"/>
      <c r="G2415" s="295"/>
      <c r="H2415" s="294"/>
      <c r="I2415" s="1182" t="s">
        <v>267</v>
      </c>
      <c r="J2415" s="1183"/>
      <c r="K2415" s="290">
        <v>45220</v>
      </c>
      <c r="L2415" s="1118">
        <v>10</v>
      </c>
      <c r="M2415" s="1119"/>
      <c r="N2415" s="290">
        <f>+K2415/L2415</f>
        <v>4522</v>
      </c>
    </row>
    <row r="2416" spans="2:14" ht="13.5" thickBot="1">
      <c r="B2416" s="1179"/>
      <c r="C2416" s="1180"/>
      <c r="D2416" s="1180"/>
      <c r="E2416" s="1180"/>
      <c r="F2416" s="1181"/>
      <c r="G2416" s="295"/>
      <c r="H2416" s="294"/>
      <c r="I2416" s="1182"/>
      <c r="J2416" s="1183"/>
      <c r="K2416" s="290"/>
      <c r="L2416" s="1118"/>
      <c r="M2416" s="1119"/>
      <c r="N2416" s="290"/>
    </row>
    <row r="2417" spans="2:14" ht="13.5" thickBot="1">
      <c r="B2417" s="1100" t="s">
        <v>269</v>
      </c>
      <c r="C2417" s="1101"/>
      <c r="D2417" s="1101"/>
      <c r="E2417" s="1101"/>
      <c r="F2417" s="1101"/>
      <c r="G2417" s="1101"/>
      <c r="H2417" s="1101"/>
      <c r="I2417" s="1101"/>
      <c r="J2417" s="1101"/>
      <c r="K2417" s="1101"/>
      <c r="L2417" s="1101"/>
      <c r="M2417" s="1102"/>
      <c r="N2417" s="323">
        <f>+N2412+N2413+N2414+N2415</f>
        <v>18301.575013920003</v>
      </c>
    </row>
    <row r="2418" spans="2:14">
      <c r="B2418" s="1103" t="s">
        <v>270</v>
      </c>
      <c r="C2418" s="1104"/>
      <c r="D2418" s="1104"/>
      <c r="E2418" s="1104"/>
      <c r="F2418" s="1104"/>
      <c r="G2418" s="1104"/>
      <c r="H2418" s="1104"/>
      <c r="I2418" s="1104"/>
      <c r="J2418" s="1104"/>
      <c r="K2418" s="1104"/>
      <c r="L2418" s="1104"/>
      <c r="M2418" s="1104"/>
      <c r="N2418" s="1105"/>
    </row>
    <row r="2419" spans="2:14">
      <c r="B2419" s="1106"/>
      <c r="C2419" s="1107"/>
      <c r="D2419" s="1107"/>
      <c r="E2419" s="1107"/>
      <c r="F2419" s="1107"/>
      <c r="G2419" s="1107"/>
      <c r="H2419" s="1107"/>
      <c r="I2419" s="1107"/>
      <c r="J2419" s="1107"/>
      <c r="K2419" s="1107"/>
      <c r="L2419" s="1107"/>
      <c r="M2419" s="1107"/>
      <c r="N2419" s="1108"/>
    </row>
    <row r="2420" spans="2:14" ht="13.5" thickBot="1">
      <c r="B2420" s="1109"/>
      <c r="C2420" s="1110"/>
      <c r="D2420" s="1110"/>
      <c r="E2420" s="1110"/>
      <c r="F2420" s="1110"/>
      <c r="G2420" s="1110"/>
      <c r="H2420" s="1110"/>
      <c r="I2420" s="1110"/>
      <c r="J2420" s="1110"/>
      <c r="K2420" s="1110"/>
      <c r="L2420" s="1110"/>
      <c r="M2420" s="1110"/>
      <c r="N2420" s="1111"/>
    </row>
    <row r="2421" spans="2:14">
      <c r="B2421" s="1130" t="s">
        <v>258</v>
      </c>
      <c r="C2421" s="1139"/>
      <c r="D2421" s="1139"/>
      <c r="E2421" s="1139"/>
      <c r="F2421" s="1139"/>
      <c r="G2421" s="1139"/>
      <c r="H2421" s="1139"/>
      <c r="I2421" s="1136"/>
      <c r="J2421" s="299" t="s">
        <v>259</v>
      </c>
      <c r="K2421" s="288" t="s">
        <v>133</v>
      </c>
      <c r="L2421" s="1133" t="s">
        <v>271</v>
      </c>
      <c r="M2421" s="1136"/>
      <c r="N2421" s="289" t="s">
        <v>265</v>
      </c>
    </row>
    <row r="2422" spans="2:14">
      <c r="B2422" s="1112" t="s">
        <v>342</v>
      </c>
      <c r="C2422" s="1113"/>
      <c r="D2422" s="1113"/>
      <c r="E2422" s="1113"/>
      <c r="F2422" s="1113"/>
      <c r="G2422" s="1113"/>
      <c r="H2422" s="1113"/>
      <c r="I2422" s="1114"/>
      <c r="J2422" s="300" t="s">
        <v>147</v>
      </c>
      <c r="K2422" s="301">
        <v>0.38</v>
      </c>
      <c r="L2422" s="1144">
        <v>337058</v>
      </c>
      <c r="M2422" s="1145"/>
      <c r="N2422" s="363">
        <f>+K2422*L2422</f>
        <v>128082.04000000001</v>
      </c>
    </row>
    <row r="2423" spans="2:14" ht="13.5" thickBot="1">
      <c r="B2423" s="1094" t="s">
        <v>343</v>
      </c>
      <c r="C2423" s="1095"/>
      <c r="D2423" s="1095"/>
      <c r="E2423" s="1095"/>
      <c r="F2423" s="1095"/>
      <c r="G2423" s="1095"/>
      <c r="H2423" s="1095"/>
      <c r="I2423" s="1096"/>
      <c r="J2423" s="303" t="s">
        <v>196</v>
      </c>
      <c r="K2423" s="304">
        <v>1.1499999999999999</v>
      </c>
      <c r="L2423" s="1144">
        <v>14042</v>
      </c>
      <c r="M2423" s="1145"/>
      <c r="N2423" s="363">
        <f>+K2423*L2423</f>
        <v>16148.3</v>
      </c>
    </row>
    <row r="2424" spans="2:14" ht="13.5" thickBot="1">
      <c r="B2424" s="1100" t="s">
        <v>269</v>
      </c>
      <c r="C2424" s="1101"/>
      <c r="D2424" s="1101"/>
      <c r="E2424" s="1101"/>
      <c r="F2424" s="1101"/>
      <c r="G2424" s="1101"/>
      <c r="H2424" s="1101"/>
      <c r="I2424" s="1101"/>
      <c r="J2424" s="1101"/>
      <c r="K2424" s="1101"/>
      <c r="L2424" s="1101"/>
      <c r="M2424" s="1102"/>
      <c r="N2424" s="323">
        <f>+N2422+N2423</f>
        <v>144230.34</v>
      </c>
    </row>
    <row r="2425" spans="2:14">
      <c r="B2425" s="1103" t="s">
        <v>276</v>
      </c>
      <c r="C2425" s="1104"/>
      <c r="D2425" s="1104"/>
      <c r="E2425" s="1104"/>
      <c r="F2425" s="1104"/>
      <c r="G2425" s="1104"/>
      <c r="H2425" s="1104"/>
      <c r="I2425" s="1104"/>
      <c r="J2425" s="1104"/>
      <c r="K2425" s="1104"/>
      <c r="L2425" s="1104"/>
      <c r="M2425" s="1104"/>
      <c r="N2425" s="1105"/>
    </row>
    <row r="2426" spans="2:14">
      <c r="B2426" s="1106"/>
      <c r="C2426" s="1107"/>
      <c r="D2426" s="1107"/>
      <c r="E2426" s="1107"/>
      <c r="F2426" s="1107"/>
      <c r="G2426" s="1107"/>
      <c r="H2426" s="1107"/>
      <c r="I2426" s="1107"/>
      <c r="J2426" s="1107"/>
      <c r="K2426" s="1107"/>
      <c r="L2426" s="1107"/>
      <c r="M2426" s="1107"/>
      <c r="N2426" s="1108"/>
    </row>
    <row r="2427" spans="2:14" ht="13.5" thickBot="1">
      <c r="B2427" s="1109"/>
      <c r="C2427" s="1110"/>
      <c r="D2427" s="1110"/>
      <c r="E2427" s="1110"/>
      <c r="F2427" s="1110"/>
      <c r="G2427" s="1110"/>
      <c r="H2427" s="1110"/>
      <c r="I2427" s="1110"/>
      <c r="J2427" s="1110"/>
      <c r="K2427" s="1110"/>
      <c r="L2427" s="1110"/>
      <c r="M2427" s="1110"/>
      <c r="N2427" s="1111"/>
    </row>
    <row r="2428" spans="2:14">
      <c r="B2428" s="1130" t="s">
        <v>277</v>
      </c>
      <c r="C2428" s="1139"/>
      <c r="D2428" s="1139"/>
      <c r="E2428" s="1139"/>
      <c r="F2428" s="1139"/>
      <c r="G2428" s="1139"/>
      <c r="H2428" s="1139"/>
      <c r="I2428" s="288" t="s">
        <v>278</v>
      </c>
      <c r="J2428" s="306" t="s">
        <v>279</v>
      </c>
      <c r="K2428" s="307" t="s">
        <v>280</v>
      </c>
      <c r="L2428" s="1133" t="s">
        <v>281</v>
      </c>
      <c r="M2428" s="1136"/>
      <c r="N2428" s="289" t="s">
        <v>265</v>
      </c>
    </row>
    <row r="2429" spans="2:14" ht="13.5" thickBot="1">
      <c r="B2429" s="1112"/>
      <c r="C2429" s="1113"/>
      <c r="D2429" s="1113"/>
      <c r="E2429" s="1113"/>
      <c r="F2429" s="1113"/>
      <c r="G2429" s="1113"/>
      <c r="H2429" s="1113"/>
      <c r="I2429" s="393"/>
      <c r="J2429" s="309"/>
      <c r="K2429" s="308"/>
      <c r="L2429" s="1144"/>
      <c r="M2429" s="1145"/>
      <c r="N2429" s="363"/>
    </row>
    <row r="2430" spans="2:14" ht="13.5" thickBot="1">
      <c r="B2430" s="1100" t="s">
        <v>269</v>
      </c>
      <c r="C2430" s="1101"/>
      <c r="D2430" s="1101"/>
      <c r="E2430" s="1101"/>
      <c r="F2430" s="1101"/>
      <c r="G2430" s="1101"/>
      <c r="H2430" s="1101"/>
      <c r="I2430" s="1101"/>
      <c r="J2430" s="1101"/>
      <c r="K2430" s="1101"/>
      <c r="L2430" s="1101"/>
      <c r="M2430" s="1102"/>
      <c r="N2430" s="323">
        <f>+N2429</f>
        <v>0</v>
      </c>
    </row>
    <row r="2431" spans="2:14">
      <c r="B2431" s="1103" t="s">
        <v>282</v>
      </c>
      <c r="C2431" s="1104"/>
      <c r="D2431" s="1104"/>
      <c r="E2431" s="1104"/>
      <c r="F2431" s="1104"/>
      <c r="G2431" s="1104"/>
      <c r="H2431" s="1104"/>
      <c r="I2431" s="1104"/>
      <c r="J2431" s="1104"/>
      <c r="K2431" s="1104"/>
      <c r="L2431" s="1104"/>
      <c r="M2431" s="1104"/>
      <c r="N2431" s="1105"/>
    </row>
    <row r="2432" spans="2:14">
      <c r="B2432" s="1106"/>
      <c r="C2432" s="1107"/>
      <c r="D2432" s="1107"/>
      <c r="E2432" s="1107"/>
      <c r="F2432" s="1107"/>
      <c r="G2432" s="1107"/>
      <c r="H2432" s="1107"/>
      <c r="I2432" s="1107"/>
      <c r="J2432" s="1107"/>
      <c r="K2432" s="1107"/>
      <c r="L2432" s="1107"/>
      <c r="M2432" s="1107"/>
      <c r="N2432" s="1108"/>
    </row>
    <row r="2433" spans="2:14" ht="13.5" thickBot="1">
      <c r="B2433" s="1109"/>
      <c r="C2433" s="1110"/>
      <c r="D2433" s="1110"/>
      <c r="E2433" s="1110"/>
      <c r="F2433" s="1110"/>
      <c r="G2433" s="1110"/>
      <c r="H2433" s="1110"/>
      <c r="I2433" s="1110"/>
      <c r="J2433" s="1110"/>
      <c r="K2433" s="1110"/>
      <c r="L2433" s="1110"/>
      <c r="M2433" s="1110"/>
      <c r="N2433" s="1111"/>
    </row>
    <row r="2434" spans="2:14">
      <c r="B2434" s="1130" t="s">
        <v>283</v>
      </c>
      <c r="C2434" s="1139"/>
      <c r="D2434" s="1139"/>
      <c r="E2434" s="1139"/>
      <c r="F2434" s="1139"/>
      <c r="G2434" s="1139"/>
      <c r="H2434" s="1139"/>
      <c r="I2434" s="288" t="s">
        <v>284</v>
      </c>
      <c r="J2434" s="314" t="s">
        <v>285</v>
      </c>
      <c r="K2434" s="315" t="s">
        <v>286</v>
      </c>
      <c r="L2434" s="1140" t="s">
        <v>264</v>
      </c>
      <c r="M2434" s="1141"/>
      <c r="N2434" s="316" t="s">
        <v>265</v>
      </c>
    </row>
    <row r="2435" spans="2:14">
      <c r="B2435" s="317" t="s">
        <v>344</v>
      </c>
      <c r="C2435" s="318"/>
      <c r="D2435" s="318"/>
      <c r="E2435" s="318"/>
      <c r="F2435" s="318"/>
      <c r="G2435" s="318"/>
      <c r="H2435" s="318"/>
      <c r="I2435" s="319">
        <v>153482</v>
      </c>
      <c r="J2435" s="321">
        <v>0</v>
      </c>
      <c r="K2435" s="321">
        <f>+I2435+J2435</f>
        <v>153482</v>
      </c>
      <c r="L2435" s="1157">
        <v>2.5</v>
      </c>
      <c r="M2435" s="1158"/>
      <c r="N2435" s="322">
        <f>+K2435/L2435</f>
        <v>61392.800000000003</v>
      </c>
    </row>
    <row r="2436" spans="2:14" ht="13.5" thickBot="1">
      <c r="B2436" s="356" t="s">
        <v>345</v>
      </c>
      <c r="C2436" s="318"/>
      <c r="D2436" s="318"/>
      <c r="E2436" s="318"/>
      <c r="F2436" s="318"/>
      <c r="G2436" s="318"/>
      <c r="H2436" s="318"/>
      <c r="I2436" s="319">
        <v>264960</v>
      </c>
      <c r="J2436" s="321">
        <v>0</v>
      </c>
      <c r="K2436" s="321">
        <f>+I2436+J2436</f>
        <v>264960</v>
      </c>
      <c r="L2436" s="1157">
        <v>7.0000070000000001</v>
      </c>
      <c r="M2436" s="1158"/>
      <c r="N2436" s="322">
        <f>+K2436/L2436</f>
        <v>37851.390720037853</v>
      </c>
    </row>
    <row r="2437" spans="2:14" ht="13.5" thickBot="1">
      <c r="B2437" s="1100" t="s">
        <v>269</v>
      </c>
      <c r="C2437" s="1101"/>
      <c r="D2437" s="1101"/>
      <c r="E2437" s="1101"/>
      <c r="F2437" s="1101"/>
      <c r="G2437" s="1101"/>
      <c r="H2437" s="1101"/>
      <c r="I2437" s="1101"/>
      <c r="J2437" s="1101"/>
      <c r="K2437" s="1101"/>
      <c r="L2437" s="1101"/>
      <c r="M2437" s="1102"/>
      <c r="N2437" s="323">
        <f>+N2435+N2436</f>
        <v>99244.190720037848</v>
      </c>
    </row>
    <row r="2438" spans="2:14" ht="13.5" thickBot="1">
      <c r="B2438" s="324" t="s">
        <v>288</v>
      </c>
      <c r="C2438" s="325"/>
      <c r="D2438" s="325"/>
      <c r="E2438" s="325"/>
      <c r="F2438" s="325"/>
      <c r="G2438" s="325"/>
      <c r="H2438" s="325"/>
      <c r="I2438" s="326"/>
      <c r="J2438" s="327"/>
      <c r="K2438" s="328"/>
      <c r="L2438" s="329"/>
      <c r="M2438" s="329"/>
      <c r="N2438" s="330"/>
    </row>
    <row r="2439" spans="2:14">
      <c r="B2439" s="1130" t="s">
        <v>17</v>
      </c>
      <c r="C2439" s="1139"/>
      <c r="D2439" s="1139"/>
      <c r="E2439" s="1139"/>
      <c r="F2439" s="1139"/>
      <c r="G2439" s="1139"/>
      <c r="H2439" s="1139"/>
      <c r="I2439" s="1136"/>
      <c r="J2439" s="299" t="s">
        <v>259</v>
      </c>
      <c r="K2439" s="288" t="s">
        <v>133</v>
      </c>
      <c r="L2439" s="1133" t="s">
        <v>271</v>
      </c>
      <c r="M2439" s="1136"/>
      <c r="N2439" s="316" t="s">
        <v>265</v>
      </c>
    </row>
    <row r="2440" spans="2:14" ht="13.5" thickBot="1">
      <c r="B2440" s="331" t="s">
        <v>289</v>
      </c>
      <c r="C2440" s="332"/>
      <c r="D2440" s="332"/>
      <c r="E2440" s="332"/>
      <c r="F2440" s="332"/>
      <c r="G2440" s="332"/>
      <c r="H2440" s="332"/>
      <c r="I2440" s="333"/>
      <c r="J2440" s="334" t="s">
        <v>290</v>
      </c>
      <c r="K2440" s="335">
        <v>0.05</v>
      </c>
      <c r="L2440" s="1144">
        <f>+N2437</f>
        <v>99244.190720037848</v>
      </c>
      <c r="M2440" s="1145"/>
      <c r="N2440" s="322">
        <f>+K2440*L2440</f>
        <v>4962.209536001893</v>
      </c>
    </row>
    <row r="2441" spans="2:14" ht="13.5" thickBot="1">
      <c r="B2441" s="1100" t="s">
        <v>269</v>
      </c>
      <c r="C2441" s="1101"/>
      <c r="D2441" s="1101"/>
      <c r="E2441" s="1101"/>
      <c r="F2441" s="1101"/>
      <c r="G2441" s="1101"/>
      <c r="H2441" s="1101"/>
      <c r="I2441" s="1101"/>
      <c r="J2441" s="1101"/>
      <c r="K2441" s="1101"/>
      <c r="L2441" s="1101"/>
      <c r="M2441" s="1102"/>
      <c r="N2441" s="323">
        <f>+N2440</f>
        <v>4962.209536001893</v>
      </c>
    </row>
    <row r="2442" spans="2:14" ht="13.5" thickBot="1">
      <c r="B2442" s="324" t="s">
        <v>78</v>
      </c>
      <c r="C2442" s="325"/>
      <c r="D2442" s="325"/>
      <c r="E2442" s="325"/>
      <c r="F2442" s="325"/>
      <c r="G2442" s="325"/>
      <c r="H2442" s="325"/>
      <c r="I2442" s="326"/>
      <c r="J2442" s="327"/>
      <c r="K2442" s="328"/>
      <c r="L2442" s="329"/>
      <c r="M2442" s="329"/>
      <c r="N2442" s="330"/>
    </row>
    <row r="2443" spans="2:14">
      <c r="B2443" s="1130" t="s">
        <v>17</v>
      </c>
      <c r="C2443" s="1139"/>
      <c r="D2443" s="1139"/>
      <c r="E2443" s="1139"/>
      <c r="F2443" s="1139"/>
      <c r="G2443" s="1139"/>
      <c r="H2443" s="1139"/>
      <c r="I2443" s="1136"/>
      <c r="J2443" s="299" t="s">
        <v>259</v>
      </c>
      <c r="K2443" s="288" t="s">
        <v>133</v>
      </c>
      <c r="L2443" s="1133" t="s">
        <v>271</v>
      </c>
      <c r="M2443" s="1136"/>
      <c r="N2443" s="316" t="s">
        <v>265</v>
      </c>
    </row>
    <row r="2444" spans="2:14" ht="13.5" thickBot="1">
      <c r="B2444" s="1186" t="s">
        <v>161</v>
      </c>
      <c r="C2444" s="1187"/>
      <c r="D2444" s="1187"/>
      <c r="E2444" s="1187"/>
      <c r="F2444" s="1187"/>
      <c r="G2444" s="1187"/>
      <c r="H2444" s="1188"/>
      <c r="I2444" s="333"/>
      <c r="J2444" s="396" t="s">
        <v>147</v>
      </c>
      <c r="K2444" s="399">
        <v>1.1299999999999999</v>
      </c>
      <c r="L2444" s="1184">
        <v>38446</v>
      </c>
      <c r="M2444" s="1185"/>
      <c r="N2444" s="398">
        <f>+L2444*K2444</f>
        <v>43443.979999999996</v>
      </c>
    </row>
    <row r="2445" spans="2:14" ht="13.5" thickBot="1">
      <c r="B2445" s="1100" t="s">
        <v>269</v>
      </c>
      <c r="C2445" s="1101"/>
      <c r="D2445" s="1101"/>
      <c r="E2445" s="1101"/>
      <c r="F2445" s="1101"/>
      <c r="G2445" s="1101"/>
      <c r="H2445" s="1101"/>
      <c r="I2445" s="1101"/>
      <c r="J2445" s="1101"/>
      <c r="K2445" s="1101"/>
      <c r="L2445" s="1101"/>
      <c r="M2445" s="1102"/>
      <c r="N2445" s="323">
        <f>+N2444</f>
        <v>43443.979999999996</v>
      </c>
    </row>
    <row r="2446" spans="2:14">
      <c r="B2446" s="280"/>
      <c r="C2446" s="281"/>
      <c r="D2446" s="281"/>
      <c r="E2446" s="281"/>
      <c r="F2446" s="281"/>
      <c r="G2446" s="281"/>
      <c r="H2446" s="281"/>
      <c r="I2446" s="281"/>
      <c r="J2446" s="281"/>
      <c r="K2446" s="281"/>
      <c r="L2446" s="281"/>
      <c r="M2446" s="281"/>
      <c r="N2446" s="282"/>
    </row>
    <row r="2447" spans="2:14" ht="13.5" thickBot="1">
      <c r="B2447" s="378"/>
      <c r="C2447" s="311"/>
      <c r="D2447" s="311"/>
      <c r="E2447" s="311"/>
      <c r="F2447" s="311"/>
      <c r="G2447" s="311"/>
      <c r="H2447" s="311"/>
      <c r="I2447" s="311"/>
      <c r="J2447" s="311"/>
      <c r="K2447" s="311"/>
      <c r="L2447" s="311"/>
      <c r="M2447" s="311"/>
      <c r="N2447" s="379"/>
    </row>
    <row r="2448" spans="2:14" ht="13.5" thickBot="1">
      <c r="B2448" s="1150" t="s">
        <v>291</v>
      </c>
      <c r="C2448" s="1151"/>
      <c r="D2448" s="1151"/>
      <c r="E2448" s="1151"/>
      <c r="F2448" s="1151"/>
      <c r="G2448" s="1151"/>
      <c r="H2448" s="1151"/>
      <c r="I2448" s="1151"/>
      <c r="J2448" s="1151"/>
      <c r="K2448" s="1151"/>
      <c r="L2448" s="1151"/>
      <c r="M2448" s="1152"/>
      <c r="N2448" s="336">
        <f>+N2417+N2424+N2430+N2437+N2445+N2441</f>
        <v>310182.29526995972</v>
      </c>
    </row>
    <row r="2449" spans="2:14">
      <c r="B2449" s="1103" t="s">
        <v>292</v>
      </c>
      <c r="C2449" s="1104"/>
      <c r="D2449" s="1104"/>
      <c r="E2449" s="1104"/>
      <c r="F2449" s="1104"/>
      <c r="G2449" s="1104"/>
      <c r="H2449" s="1104"/>
      <c r="I2449" s="1104"/>
      <c r="J2449" s="1104"/>
      <c r="K2449" s="1104"/>
      <c r="L2449" s="1104"/>
      <c r="M2449" s="1104"/>
      <c r="N2449" s="1105"/>
    </row>
    <row r="2450" spans="2:14">
      <c r="B2450" s="1106"/>
      <c r="C2450" s="1107"/>
      <c r="D2450" s="1107"/>
      <c r="E2450" s="1107"/>
      <c r="F2450" s="1107"/>
      <c r="G2450" s="1107"/>
      <c r="H2450" s="1107"/>
      <c r="I2450" s="1107"/>
      <c r="J2450" s="1107"/>
      <c r="K2450" s="1107"/>
      <c r="L2450" s="1107"/>
      <c r="M2450" s="1107"/>
      <c r="N2450" s="1108"/>
    </row>
    <row r="2451" spans="2:14" ht="13.5" thickBot="1">
      <c r="B2451" s="1109"/>
      <c r="C2451" s="1110"/>
      <c r="D2451" s="1110"/>
      <c r="E2451" s="1110"/>
      <c r="F2451" s="1110"/>
      <c r="G2451" s="1110"/>
      <c r="H2451" s="1110"/>
      <c r="I2451" s="1110"/>
      <c r="J2451" s="1110"/>
      <c r="K2451" s="1110"/>
      <c r="L2451" s="1110"/>
      <c r="M2451" s="1110"/>
      <c r="N2451" s="1111"/>
    </row>
    <row r="2452" spans="2:14">
      <c r="B2452" s="1130" t="s">
        <v>17</v>
      </c>
      <c r="C2452" s="1139"/>
      <c r="D2452" s="1139"/>
      <c r="E2452" s="1139"/>
      <c r="F2452" s="1139"/>
      <c r="G2452" s="1139"/>
      <c r="H2452" s="1139"/>
      <c r="I2452" s="306"/>
      <c r="J2452" s="337"/>
      <c r="K2452" s="315" t="s">
        <v>79</v>
      </c>
      <c r="L2452" s="1140" t="s">
        <v>11</v>
      </c>
      <c r="M2452" s="1141"/>
      <c r="N2452" s="316"/>
    </row>
    <row r="2453" spans="2:14">
      <c r="B2453" s="1112" t="s">
        <v>232</v>
      </c>
      <c r="C2453" s="1113"/>
      <c r="D2453" s="1113"/>
      <c r="E2453" s="1113"/>
      <c r="F2453" s="1113"/>
      <c r="G2453" s="1113"/>
      <c r="H2453" s="1113"/>
      <c r="I2453" s="338"/>
      <c r="J2453" s="339"/>
      <c r="K2453" s="340">
        <f>'PRESUPUESTO OFICIAL'!$K$100</f>
        <v>0</v>
      </c>
      <c r="L2453" s="1146">
        <f>K2453*N2448</f>
        <v>0</v>
      </c>
      <c r="M2453" s="1147"/>
      <c r="N2453" s="341"/>
    </row>
    <row r="2454" spans="2:14">
      <c r="B2454" s="292" t="s">
        <v>293</v>
      </c>
      <c r="C2454" s="293"/>
      <c r="D2454" s="293"/>
      <c r="E2454" s="293"/>
      <c r="F2454" s="293"/>
      <c r="G2454" s="293"/>
      <c r="H2454" s="293"/>
      <c r="I2454" s="338"/>
      <c r="J2454" s="339"/>
      <c r="K2454" s="340">
        <f>'PRESUPUESTO OFICIAL'!$K$101</f>
        <v>0</v>
      </c>
      <c r="L2454" s="1146">
        <f>K2454*N2448</f>
        <v>0</v>
      </c>
      <c r="M2454" s="1147"/>
      <c r="N2454" s="341"/>
    </row>
    <row r="2455" spans="2:14" ht="13.5" thickBot="1">
      <c r="B2455" s="277" t="s">
        <v>294</v>
      </c>
      <c r="C2455" s="278"/>
      <c r="D2455" s="278"/>
      <c r="E2455" s="278"/>
      <c r="F2455" s="278"/>
      <c r="G2455" s="278"/>
      <c r="H2455" s="278"/>
      <c r="I2455" s="342"/>
      <c r="J2455" s="343"/>
      <c r="K2455" s="340">
        <f>'PRESUPUESTO OFICIAL'!$K$102</f>
        <v>0</v>
      </c>
      <c r="L2455" s="1148">
        <f>K2455*N2448</f>
        <v>0</v>
      </c>
      <c r="M2455" s="1149"/>
      <c r="N2455" s="341"/>
    </row>
    <row r="2456" spans="2:14" ht="13.5" thickBot="1">
      <c r="B2456" s="1100" t="s">
        <v>269</v>
      </c>
      <c r="C2456" s="1101"/>
      <c r="D2456" s="1101"/>
      <c r="E2456" s="1101"/>
      <c r="F2456" s="1101"/>
      <c r="G2456" s="1101"/>
      <c r="H2456" s="1101"/>
      <c r="I2456" s="1101"/>
      <c r="J2456" s="1101"/>
      <c r="K2456" s="1101"/>
      <c r="L2456" s="1101"/>
      <c r="M2456" s="1102"/>
      <c r="N2456" s="344">
        <f>SUM(L2453:M2455)</f>
        <v>0</v>
      </c>
    </row>
    <row r="2457" spans="2:14" ht="13.5" thickBot="1">
      <c r="B2457" s="283"/>
      <c r="N2457" s="284"/>
    </row>
    <row r="2458" spans="2:14" ht="13.5" thickBot="1">
      <c r="B2458" s="1150" t="s">
        <v>295</v>
      </c>
      <c r="C2458" s="1151"/>
      <c r="D2458" s="1151"/>
      <c r="E2458" s="1151"/>
      <c r="F2458" s="1151"/>
      <c r="G2458" s="1151"/>
      <c r="H2458" s="1151"/>
      <c r="I2458" s="1151"/>
      <c r="J2458" s="1151"/>
      <c r="K2458" s="1151"/>
      <c r="L2458" s="1151"/>
      <c r="M2458" s="1152"/>
      <c r="N2458" s="345">
        <f>ROUND(N2448+N2456,0)</f>
        <v>310182</v>
      </c>
    </row>
    <row r="2459" spans="2:14">
      <c r="B2459" s="280"/>
      <c r="C2459" s="281"/>
      <c r="D2459" s="281"/>
      <c r="E2459" s="281"/>
      <c r="F2459" s="281"/>
      <c r="G2459" s="281"/>
      <c r="H2459" s="281"/>
      <c r="I2459" s="281"/>
      <c r="J2459" s="281"/>
      <c r="K2459" s="281"/>
      <c r="L2459" s="281"/>
      <c r="M2459" s="281"/>
      <c r="N2459" s="282"/>
    </row>
    <row r="2460" spans="2:14">
      <c r="B2460" s="283"/>
      <c r="N2460" s="284"/>
    </row>
    <row r="2461" spans="2:14">
      <c r="B2461" s="283"/>
      <c r="N2461" s="284"/>
    </row>
    <row r="2462" spans="2:14">
      <c r="B2462" s="283"/>
      <c r="G2462" s="346" t="s">
        <v>296</v>
      </c>
      <c r="H2462" s="346"/>
      <c r="I2462" s="346"/>
      <c r="J2462" s="346"/>
      <c r="N2462" s="284"/>
    </row>
    <row r="2463" spans="2:14">
      <c r="B2463" s="347"/>
      <c r="C2463" s="348"/>
      <c r="D2463" s="348"/>
      <c r="E2463" s="348"/>
      <c r="F2463" s="348"/>
      <c r="G2463" s="346" t="s">
        <v>297</v>
      </c>
      <c r="H2463" s="348"/>
      <c r="I2463" s="348"/>
      <c r="J2463" s="348"/>
      <c r="K2463" s="348"/>
      <c r="L2463" s="348"/>
      <c r="M2463" s="348"/>
      <c r="N2463" s="349"/>
    </row>
    <row r="2464" spans="2:14">
      <c r="B2464" s="347"/>
      <c r="C2464" s="348"/>
      <c r="D2464" s="348"/>
      <c r="E2464" s="348"/>
      <c r="F2464" s="348"/>
      <c r="G2464" s="346" t="s">
        <v>298</v>
      </c>
      <c r="J2464" s="348"/>
      <c r="K2464" s="348"/>
      <c r="L2464" s="348"/>
      <c r="M2464" s="348"/>
      <c r="N2464" s="349"/>
    </row>
    <row r="2465" spans="2:14">
      <c r="B2465" s="268"/>
      <c r="C2465" s="350"/>
      <c r="D2465" s="350"/>
      <c r="E2465" s="350"/>
      <c r="F2465" s="350"/>
      <c r="G2465" s="346" t="s">
        <v>299</v>
      </c>
      <c r="H2465" s="350"/>
      <c r="I2465" s="350"/>
      <c r="J2465" s="350"/>
      <c r="K2465" s="350"/>
      <c r="L2465" s="350"/>
      <c r="M2465" s="350"/>
      <c r="N2465" s="351"/>
    </row>
    <row r="2466" spans="2:14">
      <c r="B2466" s="283"/>
      <c r="G2466" s="258" t="s">
        <v>300</v>
      </c>
      <c r="N2466" s="284"/>
    </row>
    <row r="2467" spans="2:14">
      <c r="B2467" s="352" t="s">
        <v>301</v>
      </c>
      <c r="C2467" s="353"/>
      <c r="D2467" s="353"/>
      <c r="E2467" s="353"/>
      <c r="F2467" s="353"/>
      <c r="G2467" s="353"/>
      <c r="H2467" s="353"/>
      <c r="I2467" s="353"/>
      <c r="J2467" s="353"/>
      <c r="K2467" s="353"/>
      <c r="L2467" s="353"/>
      <c r="M2467" s="353"/>
      <c r="N2467" s="354"/>
    </row>
    <row r="2468" spans="2:14">
      <c r="B2468" s="1153"/>
      <c r="C2468" s="1154"/>
      <c r="D2468" s="1154"/>
      <c r="E2468" s="1154"/>
      <c r="F2468" s="1154"/>
      <c r="G2468" s="1154"/>
      <c r="H2468" s="1154"/>
      <c r="I2468" s="1154"/>
      <c r="J2468" s="1154"/>
      <c r="K2468" s="1154"/>
      <c r="L2468" s="1154"/>
      <c r="M2468" s="1154"/>
      <c r="N2468" s="1155"/>
    </row>
    <row r="2469" spans="2:14">
      <c r="B2469" s="1153"/>
      <c r="C2469" s="1154"/>
      <c r="D2469" s="1154"/>
      <c r="E2469" s="1154"/>
      <c r="F2469" s="1154"/>
      <c r="G2469" s="1154"/>
      <c r="H2469" s="1154"/>
      <c r="I2469" s="1154"/>
      <c r="J2469" s="1154"/>
      <c r="K2469" s="1154"/>
      <c r="L2469" s="1154"/>
      <c r="M2469" s="1154"/>
      <c r="N2469" s="1155"/>
    </row>
    <row r="2470" spans="2:14">
      <c r="B2470" s="268"/>
      <c r="C2470" s="350"/>
      <c r="D2470" s="350"/>
      <c r="E2470" s="350"/>
      <c r="F2470" s="350"/>
      <c r="G2470" s="350"/>
      <c r="H2470" s="350"/>
      <c r="I2470" s="350"/>
      <c r="J2470" s="350"/>
      <c r="K2470" s="350"/>
      <c r="L2470" s="350"/>
      <c r="M2470" s="350"/>
      <c r="N2470" s="351"/>
    </row>
    <row r="2471" spans="2:14">
      <c r="B2471" s="355" t="s">
        <v>302</v>
      </c>
      <c r="C2471" s="350"/>
      <c r="D2471" s="350"/>
      <c r="E2471" s="350"/>
      <c r="F2471" s="350"/>
      <c r="G2471" s="350"/>
      <c r="H2471" s="350"/>
      <c r="I2471" s="350"/>
      <c r="J2471" s="350"/>
      <c r="K2471" s="350"/>
      <c r="L2471" s="350"/>
      <c r="M2471" s="350"/>
      <c r="N2471" s="351"/>
    </row>
    <row r="2472" spans="2:14">
      <c r="B2472" s="1159" t="s">
        <v>303</v>
      </c>
      <c r="C2472" s="1160"/>
      <c r="D2472" s="1160"/>
      <c r="E2472" s="1160"/>
      <c r="F2472" s="1160"/>
      <c r="G2472" s="1160"/>
      <c r="H2472" s="1160"/>
      <c r="I2472" s="1160"/>
      <c r="J2472" s="1160"/>
      <c r="K2472" s="1160"/>
      <c r="L2472" s="1160"/>
      <c r="M2472" s="1160"/>
      <c r="N2472" s="1161"/>
    </row>
    <row r="2473" spans="2:14">
      <c r="B2473" s="1159"/>
      <c r="C2473" s="1160"/>
      <c r="D2473" s="1160"/>
      <c r="E2473" s="1160"/>
      <c r="F2473" s="1160"/>
      <c r="G2473" s="1160"/>
      <c r="H2473" s="1160"/>
      <c r="I2473" s="1160"/>
      <c r="J2473" s="1160"/>
      <c r="K2473" s="1160"/>
      <c r="L2473" s="1160"/>
      <c r="M2473" s="1160"/>
      <c r="N2473" s="1161"/>
    </row>
    <row r="2474" spans="2:14">
      <c r="B2474" s="1159" t="s">
        <v>304</v>
      </c>
      <c r="C2474" s="1160"/>
      <c r="D2474" s="1160"/>
      <c r="E2474" s="1160"/>
      <c r="F2474" s="1160"/>
      <c r="G2474" s="1160"/>
      <c r="H2474" s="1160"/>
      <c r="I2474" s="1160"/>
      <c r="J2474" s="1160"/>
      <c r="K2474" s="1160"/>
      <c r="L2474" s="1160"/>
      <c r="M2474" s="1160"/>
      <c r="N2474" s="1161"/>
    </row>
    <row r="2475" spans="2:14">
      <c r="B2475" s="1159"/>
      <c r="C2475" s="1160"/>
      <c r="D2475" s="1160"/>
      <c r="E2475" s="1160"/>
      <c r="F2475" s="1160"/>
      <c r="G2475" s="1160"/>
      <c r="H2475" s="1160"/>
      <c r="I2475" s="1160"/>
      <c r="J2475" s="1160"/>
      <c r="K2475" s="1160"/>
      <c r="L2475" s="1160"/>
      <c r="M2475" s="1160"/>
      <c r="N2475" s="1161"/>
    </row>
    <row r="2476" spans="2:14">
      <c r="B2476" s="268"/>
      <c r="C2476" s="350"/>
      <c r="D2476" s="350"/>
      <c r="E2476" s="350"/>
      <c r="F2476" s="350"/>
      <c r="G2476" s="350"/>
      <c r="H2476" s="350"/>
      <c r="I2476" s="350"/>
      <c r="J2476" s="350"/>
      <c r="K2476" s="350"/>
      <c r="L2476" s="350"/>
      <c r="M2476" s="350"/>
      <c r="N2476" s="351"/>
    </row>
    <row r="2477" spans="2:14">
      <c r="B2477" s="283"/>
      <c r="G2477" s="346" t="s">
        <v>296</v>
      </c>
      <c r="N2477" s="284"/>
    </row>
    <row r="2478" spans="2:14">
      <c r="B2478" s="283"/>
      <c r="G2478" s="258" t="s">
        <v>305</v>
      </c>
      <c r="H2478" s="293"/>
      <c r="I2478" s="293"/>
      <c r="J2478" s="293"/>
      <c r="N2478" s="284"/>
    </row>
    <row r="2479" spans="2:14">
      <c r="B2479" s="283"/>
      <c r="G2479" s="258" t="s">
        <v>306</v>
      </c>
      <c r="H2479" s="325"/>
      <c r="I2479" s="325"/>
      <c r="J2479" s="325"/>
      <c r="N2479" s="284"/>
    </row>
    <row r="2480" spans="2:14">
      <c r="B2480" s="356"/>
      <c r="C2480" s="350"/>
      <c r="D2480" s="350"/>
      <c r="E2480" s="350"/>
      <c r="F2480" s="350"/>
      <c r="G2480" s="258" t="s">
        <v>299</v>
      </c>
      <c r="K2480" s="350"/>
      <c r="L2480" s="350"/>
      <c r="M2480" s="350"/>
      <c r="N2480" s="351"/>
    </row>
    <row r="2481" spans="2:14">
      <c r="B2481" s="357"/>
      <c r="C2481" s="358"/>
      <c r="D2481" s="358"/>
      <c r="J2481" s="1162"/>
      <c r="K2481" s="1162"/>
      <c r="L2481" s="1162"/>
      <c r="M2481" s="1162"/>
      <c r="N2481" s="1163"/>
    </row>
    <row r="2482" spans="2:14" ht="13.5" thickBot="1">
      <c r="B2482" s="1166"/>
      <c r="C2482" s="1167"/>
      <c r="D2482" s="1167"/>
      <c r="E2482" s="311"/>
      <c r="F2482" s="311"/>
      <c r="G2482" s="311"/>
      <c r="H2482" s="311"/>
      <c r="I2482" s="311"/>
      <c r="J2482" s="1164"/>
      <c r="K2482" s="1164"/>
      <c r="L2482" s="1164"/>
      <c r="M2482" s="1164"/>
      <c r="N2482" s="1165"/>
    </row>
    <row r="2483" spans="2:14" ht="13.5" thickBot="1"/>
    <row r="2484" spans="2:14">
      <c r="B2484" s="1070"/>
      <c r="C2484" s="1072"/>
      <c r="D2484" s="1073"/>
      <c r="E2484" s="1073"/>
      <c r="F2484" s="1073"/>
      <c r="G2484" s="1073"/>
      <c r="H2484" s="1073"/>
      <c r="I2484" s="1073"/>
      <c r="J2484" s="1074"/>
      <c r="K2484" s="1075"/>
      <c r="L2484" s="1076"/>
      <c r="M2484" s="1076"/>
      <c r="N2484" s="1077"/>
    </row>
    <row r="2485" spans="2:14">
      <c r="B2485" s="1071"/>
      <c r="C2485" s="1062" t="s">
        <v>244</v>
      </c>
      <c r="D2485" s="1063"/>
      <c r="E2485" s="1063"/>
      <c r="F2485" s="1063"/>
      <c r="G2485" s="1063"/>
      <c r="H2485" s="1063"/>
      <c r="I2485" s="1063"/>
      <c r="J2485" s="1064"/>
      <c r="K2485" s="1078"/>
      <c r="L2485" s="1079"/>
      <c r="M2485" s="1079"/>
      <c r="N2485" s="1080"/>
    </row>
    <row r="2486" spans="2:14">
      <c r="B2486" s="1071"/>
      <c r="C2486" s="1081"/>
      <c r="D2486" s="1082"/>
      <c r="E2486" s="1082"/>
      <c r="F2486" s="1082"/>
      <c r="G2486" s="1082"/>
      <c r="H2486" s="1082"/>
      <c r="I2486" s="1082"/>
      <c r="J2486" s="1083"/>
      <c r="K2486" s="1058" t="s">
        <v>245</v>
      </c>
      <c r="L2486" s="1085"/>
      <c r="M2486" s="1086"/>
      <c r="N2486" s="1087"/>
    </row>
    <row r="2487" spans="2:14">
      <c r="B2487" s="1071"/>
      <c r="C2487" s="1062" t="s">
        <v>246</v>
      </c>
      <c r="D2487" s="1063"/>
      <c r="E2487" s="1063"/>
      <c r="F2487" s="1063"/>
      <c r="G2487" s="1063"/>
      <c r="H2487" s="1063"/>
      <c r="I2487" s="1063"/>
      <c r="J2487" s="1064"/>
      <c r="K2487" s="1084"/>
      <c r="L2487" s="1088"/>
      <c r="M2487" s="1089"/>
      <c r="N2487" s="1090"/>
    </row>
    <row r="2488" spans="2:14">
      <c r="B2488" s="1071"/>
      <c r="C2488" s="1091"/>
      <c r="D2488" s="1092"/>
      <c r="E2488" s="1092"/>
      <c r="F2488" s="1092"/>
      <c r="G2488" s="1092"/>
      <c r="H2488" s="1092"/>
      <c r="I2488" s="1092"/>
      <c r="J2488" s="1093"/>
      <c r="K2488" s="1058" t="s">
        <v>247</v>
      </c>
      <c r="L2488" s="1058">
        <v>28</v>
      </c>
      <c r="M2488" s="1058" t="s">
        <v>248</v>
      </c>
      <c r="N2488" s="1060">
        <v>80</v>
      </c>
    </row>
    <row r="2489" spans="2:14">
      <c r="B2489" s="1071"/>
      <c r="C2489" s="1091"/>
      <c r="D2489" s="1092"/>
      <c r="E2489" s="1092"/>
      <c r="F2489" s="1092"/>
      <c r="G2489" s="1092"/>
      <c r="H2489" s="1092"/>
      <c r="I2489" s="1092"/>
      <c r="J2489" s="1093"/>
      <c r="K2489" s="1059"/>
      <c r="L2489" s="1059"/>
      <c r="M2489" s="1059"/>
      <c r="N2489" s="1061"/>
    </row>
    <row r="2490" spans="2:14">
      <c r="B2490" s="1071"/>
      <c r="C2490" s="1062" t="s">
        <v>249</v>
      </c>
      <c r="D2490" s="1063"/>
      <c r="E2490" s="1063"/>
      <c r="F2490" s="1063"/>
      <c r="G2490" s="1063"/>
      <c r="H2490" s="1063"/>
      <c r="I2490" s="1063"/>
      <c r="J2490" s="1064"/>
      <c r="K2490" s="1059"/>
      <c r="L2490" s="1059"/>
      <c r="M2490" s="1059"/>
      <c r="N2490" s="1061"/>
    </row>
    <row r="2491" spans="2:14" ht="13.5" thickBot="1">
      <c r="B2491" s="259"/>
      <c r="C2491" s="260"/>
      <c r="D2491" s="260"/>
      <c r="E2491" s="260"/>
      <c r="F2491" s="260"/>
      <c r="G2491" s="260"/>
      <c r="H2491" s="260"/>
      <c r="I2491" s="260"/>
      <c r="J2491" s="260"/>
      <c r="K2491" s="260"/>
      <c r="L2491" s="261"/>
      <c r="M2491" s="261"/>
      <c r="N2491" s="262"/>
    </row>
    <row r="2492" spans="2:14">
      <c r="B2492" s="263"/>
      <c r="C2492" s="264"/>
      <c r="D2492" s="264"/>
      <c r="E2492" s="264"/>
      <c r="F2492" s="264"/>
      <c r="G2492" s="264"/>
      <c r="H2492" s="264"/>
      <c r="I2492" s="264"/>
      <c r="J2492" s="264"/>
      <c r="K2492" s="265" t="s">
        <v>250</v>
      </c>
      <c r="L2492" s="266" t="s">
        <v>251</v>
      </c>
      <c r="M2492" s="266" t="s">
        <v>252</v>
      </c>
      <c r="N2492" s="267" t="s">
        <v>253</v>
      </c>
    </row>
    <row r="2493" spans="2:14">
      <c r="B2493" s="268"/>
      <c r="C2493" s="269"/>
      <c r="D2493" s="269"/>
      <c r="E2493" s="269"/>
      <c r="F2493" s="269"/>
      <c r="G2493" s="269"/>
      <c r="H2493" s="269"/>
      <c r="I2493" s="269"/>
      <c r="J2493" s="269"/>
      <c r="K2493" s="270"/>
      <c r="L2493" s="271"/>
      <c r="M2493" s="271"/>
      <c r="N2493" s="272"/>
    </row>
    <row r="2494" spans="2:14">
      <c r="B2494" s="1065" t="s">
        <v>254</v>
      </c>
      <c r="C2494" s="1066"/>
      <c r="D2494" s="1066"/>
      <c r="E2494" s="1066"/>
      <c r="F2494" s="269"/>
      <c r="G2494" s="269"/>
      <c r="H2494" s="269" t="s">
        <v>255</v>
      </c>
      <c r="J2494" s="269"/>
      <c r="K2494" s="270"/>
      <c r="N2494" s="273"/>
    </row>
    <row r="2495" spans="2:14">
      <c r="B2495" s="274"/>
      <c r="C2495" s="275"/>
      <c r="D2495" s="275"/>
      <c r="E2495" s="275"/>
      <c r="F2495" s="275"/>
      <c r="G2495" s="275"/>
      <c r="H2495" s="275"/>
      <c r="I2495" s="275"/>
      <c r="J2495" s="275"/>
      <c r="K2495" s="275"/>
      <c r="L2495" s="275"/>
      <c r="M2495" s="275"/>
      <c r="N2495" s="276"/>
    </row>
    <row r="2496" spans="2:14" ht="13.5" thickBot="1">
      <c r="B2496" s="277"/>
      <c r="C2496" s="278"/>
      <c r="D2496" s="278"/>
      <c r="E2496" s="278"/>
      <c r="F2496" s="278"/>
      <c r="G2496" s="278"/>
      <c r="H2496" s="278"/>
      <c r="I2496" s="278"/>
      <c r="J2496" s="278"/>
      <c r="K2496" s="278"/>
      <c r="L2496" s="278"/>
      <c r="M2496" s="278"/>
      <c r="N2496" s="279"/>
    </row>
    <row r="2497" spans="2:14" ht="13.5" thickBot="1">
      <c r="B2497" s="280"/>
      <c r="C2497" s="281"/>
      <c r="D2497" s="281"/>
      <c r="E2497" s="281"/>
      <c r="F2497" s="281"/>
      <c r="G2497" s="281"/>
      <c r="J2497" s="281"/>
      <c r="K2497" s="281"/>
      <c r="L2497" s="281"/>
      <c r="M2497" s="281"/>
      <c r="N2497" s="282"/>
    </row>
    <row r="2498" spans="2:14">
      <c r="B2498" s="1067" t="s">
        <v>256</v>
      </c>
      <c r="C2498" s="1068"/>
      <c r="D2498" s="1068"/>
      <c r="E2498" s="1068"/>
      <c r="F2498" s="1068"/>
      <c r="G2498" s="1068"/>
      <c r="H2498" s="1068"/>
      <c r="I2498" s="1068"/>
      <c r="J2498" s="1068"/>
      <c r="K2498" s="1068"/>
      <c r="L2498" s="1068"/>
      <c r="M2498" s="1068"/>
      <c r="N2498" s="1069"/>
    </row>
    <row r="2499" spans="2:14" ht="13.5" thickBot="1">
      <c r="B2499" s="283"/>
      <c r="N2499" s="284"/>
    </row>
    <row r="2500" spans="2:14">
      <c r="B2500" s="285" t="s">
        <v>257</v>
      </c>
      <c r="C2500" s="1120" t="s">
        <v>258</v>
      </c>
      <c r="D2500" s="1121"/>
      <c r="E2500" s="1121"/>
      <c r="F2500" s="1121"/>
      <c r="G2500" s="1121"/>
      <c r="H2500" s="1121"/>
      <c r="I2500" s="1121"/>
      <c r="J2500" s="1121"/>
      <c r="K2500" s="1122"/>
      <c r="L2500" s="1123" t="s">
        <v>259</v>
      </c>
      <c r="M2500" s="1124"/>
      <c r="N2500" s="285" t="s">
        <v>133</v>
      </c>
    </row>
    <row r="2501" spans="2:14" ht="29.25" customHeight="1" thickBot="1">
      <c r="B2501" s="286">
        <v>28</v>
      </c>
      <c r="C2501" s="1125" t="s">
        <v>169</v>
      </c>
      <c r="D2501" s="1126"/>
      <c r="E2501" s="1126"/>
      <c r="F2501" s="1126"/>
      <c r="G2501" s="1126"/>
      <c r="H2501" s="1126"/>
      <c r="I2501" s="1126"/>
      <c r="J2501" s="1126"/>
      <c r="K2501" s="1127"/>
      <c r="L2501" s="1128" t="s">
        <v>143</v>
      </c>
      <c r="M2501" s="1129"/>
      <c r="N2501" s="366">
        <v>25</v>
      </c>
    </row>
    <row r="2502" spans="2:14">
      <c r="B2502" s="1103" t="s">
        <v>260</v>
      </c>
      <c r="C2502" s="1104"/>
      <c r="D2502" s="1104"/>
      <c r="E2502" s="1104"/>
      <c r="F2502" s="1104"/>
      <c r="G2502" s="1104"/>
      <c r="H2502" s="1104"/>
      <c r="I2502" s="1104"/>
      <c r="J2502" s="1104"/>
      <c r="K2502" s="1104"/>
      <c r="L2502" s="1104"/>
      <c r="M2502" s="1104"/>
      <c r="N2502" s="1105"/>
    </row>
    <row r="2503" spans="2:14">
      <c r="B2503" s="1106"/>
      <c r="C2503" s="1107"/>
      <c r="D2503" s="1107"/>
      <c r="E2503" s="1107"/>
      <c r="F2503" s="1107"/>
      <c r="G2503" s="1107"/>
      <c r="H2503" s="1107"/>
      <c r="I2503" s="1107"/>
      <c r="J2503" s="1107"/>
      <c r="K2503" s="1107"/>
      <c r="L2503" s="1107"/>
      <c r="M2503" s="1107"/>
      <c r="N2503" s="1108"/>
    </row>
    <row r="2504" spans="2:14" ht="13.5" thickBot="1">
      <c r="B2504" s="1109"/>
      <c r="C2504" s="1110"/>
      <c r="D2504" s="1110"/>
      <c r="E2504" s="1110"/>
      <c r="F2504" s="1110"/>
      <c r="G2504" s="1110"/>
      <c r="H2504" s="1110"/>
      <c r="I2504" s="1110"/>
      <c r="J2504" s="1110"/>
      <c r="K2504" s="1110"/>
      <c r="L2504" s="1110"/>
      <c r="M2504" s="1110"/>
      <c r="N2504" s="1111"/>
    </row>
    <row r="2505" spans="2:14">
      <c r="B2505" s="1130" t="s">
        <v>258</v>
      </c>
      <c r="C2505" s="1131"/>
      <c r="D2505" s="1131"/>
      <c r="E2505" s="1131"/>
      <c r="F2505" s="1132"/>
      <c r="G2505" s="1133" t="s">
        <v>261</v>
      </c>
      <c r="H2505" s="1131"/>
      <c r="I2505" s="1134" t="s">
        <v>262</v>
      </c>
      <c r="J2505" s="1135"/>
      <c r="K2505" s="288" t="s">
        <v>263</v>
      </c>
      <c r="L2505" s="1133" t="s">
        <v>264</v>
      </c>
      <c r="M2505" s="1136"/>
      <c r="N2505" s="289" t="s">
        <v>265</v>
      </c>
    </row>
    <row r="2506" spans="2:14">
      <c r="B2506" s="1179" t="s">
        <v>341</v>
      </c>
      <c r="C2506" s="1180"/>
      <c r="D2506" s="1180"/>
      <c r="E2506" s="1180"/>
      <c r="F2506" s="1181"/>
      <c r="G2506" s="1115"/>
      <c r="H2506" s="1114"/>
      <c r="I2506" s="1182" t="s">
        <v>267</v>
      </c>
      <c r="J2506" s="1183"/>
      <c r="K2506" s="290">
        <v>53907</v>
      </c>
      <c r="L2506" s="1118">
        <v>8</v>
      </c>
      <c r="M2506" s="1119"/>
      <c r="N2506" s="290">
        <f>+K2506/L2506</f>
        <v>6738.375</v>
      </c>
    </row>
    <row r="2507" spans="2:14">
      <c r="B2507" s="1179" t="s">
        <v>326</v>
      </c>
      <c r="C2507" s="1180"/>
      <c r="D2507" s="1180"/>
      <c r="E2507" s="1180"/>
      <c r="F2507" s="1181"/>
      <c r="G2507" s="295"/>
      <c r="H2507" s="294"/>
      <c r="I2507" s="1182" t="s">
        <v>267</v>
      </c>
      <c r="J2507" s="1183"/>
      <c r="K2507" s="290">
        <v>3451</v>
      </c>
      <c r="L2507" s="1118">
        <v>0.5</v>
      </c>
      <c r="M2507" s="1119"/>
      <c r="N2507" s="290">
        <f>+K2507/L2507</f>
        <v>6902</v>
      </c>
    </row>
    <row r="2508" spans="2:14">
      <c r="B2508" s="1179" t="s">
        <v>319</v>
      </c>
      <c r="C2508" s="1180"/>
      <c r="D2508" s="1180"/>
      <c r="E2508" s="1180"/>
      <c r="F2508" s="1181"/>
      <c r="G2508" s="295"/>
      <c r="H2508" s="294"/>
      <c r="I2508" s="1182" t="s">
        <v>267</v>
      </c>
      <c r="J2508" s="1183"/>
      <c r="K2508" s="290">
        <v>464</v>
      </c>
      <c r="L2508" s="1118">
        <v>2.8571430000000002</v>
      </c>
      <c r="M2508" s="1119"/>
      <c r="N2508" s="290">
        <f>+K2508/L2508</f>
        <v>162.39999188000039</v>
      </c>
    </row>
    <row r="2509" spans="2:14">
      <c r="B2509" s="1179" t="s">
        <v>340</v>
      </c>
      <c r="C2509" s="1180"/>
      <c r="D2509" s="1180"/>
      <c r="E2509" s="1180"/>
      <c r="F2509" s="1181"/>
      <c r="G2509" s="295"/>
      <c r="H2509" s="294"/>
      <c r="I2509" s="1182" t="s">
        <v>267</v>
      </c>
      <c r="J2509" s="1183"/>
      <c r="K2509" s="290">
        <v>45220</v>
      </c>
      <c r="L2509" s="1118">
        <v>10</v>
      </c>
      <c r="M2509" s="1119"/>
      <c r="N2509" s="290">
        <f>+K2509/L2509</f>
        <v>4522</v>
      </c>
    </row>
    <row r="2510" spans="2:14" ht="13.5" thickBot="1">
      <c r="B2510" s="1179"/>
      <c r="C2510" s="1180"/>
      <c r="D2510" s="1180"/>
      <c r="E2510" s="1180"/>
      <c r="F2510" s="1181"/>
      <c r="G2510" s="295"/>
      <c r="H2510" s="294"/>
      <c r="I2510" s="1182"/>
      <c r="J2510" s="1183"/>
      <c r="K2510" s="290"/>
      <c r="L2510" s="1118"/>
      <c r="M2510" s="1119"/>
      <c r="N2510" s="290"/>
    </row>
    <row r="2511" spans="2:14" ht="13.5" thickBot="1">
      <c r="B2511" s="1100" t="s">
        <v>269</v>
      </c>
      <c r="C2511" s="1101"/>
      <c r="D2511" s="1101"/>
      <c r="E2511" s="1101"/>
      <c r="F2511" s="1101"/>
      <c r="G2511" s="1101"/>
      <c r="H2511" s="1101"/>
      <c r="I2511" s="1101"/>
      <c r="J2511" s="1101"/>
      <c r="K2511" s="1101"/>
      <c r="L2511" s="1101"/>
      <c r="M2511" s="1102"/>
      <c r="N2511" s="323">
        <f>+N2506+N2507+N2508+N2509</f>
        <v>18324.77499188</v>
      </c>
    </row>
    <row r="2512" spans="2:14">
      <c r="B2512" s="1103" t="s">
        <v>270</v>
      </c>
      <c r="C2512" s="1104"/>
      <c r="D2512" s="1104"/>
      <c r="E2512" s="1104"/>
      <c r="F2512" s="1104"/>
      <c r="G2512" s="1104"/>
      <c r="H2512" s="1104"/>
      <c r="I2512" s="1104"/>
      <c r="J2512" s="1104"/>
      <c r="K2512" s="1104"/>
      <c r="L2512" s="1104"/>
      <c r="M2512" s="1104"/>
      <c r="N2512" s="1105"/>
    </row>
    <row r="2513" spans="2:14">
      <c r="B2513" s="1106"/>
      <c r="C2513" s="1107"/>
      <c r="D2513" s="1107"/>
      <c r="E2513" s="1107"/>
      <c r="F2513" s="1107"/>
      <c r="G2513" s="1107"/>
      <c r="H2513" s="1107"/>
      <c r="I2513" s="1107"/>
      <c r="J2513" s="1107"/>
      <c r="K2513" s="1107"/>
      <c r="L2513" s="1107"/>
      <c r="M2513" s="1107"/>
      <c r="N2513" s="1108"/>
    </row>
    <row r="2514" spans="2:14" ht="13.5" thickBot="1">
      <c r="B2514" s="1109"/>
      <c r="C2514" s="1110"/>
      <c r="D2514" s="1110"/>
      <c r="E2514" s="1110"/>
      <c r="F2514" s="1110"/>
      <c r="G2514" s="1110"/>
      <c r="H2514" s="1110"/>
      <c r="I2514" s="1110"/>
      <c r="J2514" s="1110"/>
      <c r="K2514" s="1110"/>
      <c r="L2514" s="1110"/>
      <c r="M2514" s="1110"/>
      <c r="N2514" s="1111"/>
    </row>
    <row r="2515" spans="2:14">
      <c r="B2515" s="1130" t="s">
        <v>258</v>
      </c>
      <c r="C2515" s="1139"/>
      <c r="D2515" s="1139"/>
      <c r="E2515" s="1139"/>
      <c r="F2515" s="1139"/>
      <c r="G2515" s="1139"/>
      <c r="H2515" s="1139"/>
      <c r="I2515" s="1136"/>
      <c r="J2515" s="299" t="s">
        <v>259</v>
      </c>
      <c r="K2515" s="288" t="s">
        <v>133</v>
      </c>
      <c r="L2515" s="1133" t="s">
        <v>271</v>
      </c>
      <c r="M2515" s="1136"/>
      <c r="N2515" s="289" t="s">
        <v>265</v>
      </c>
    </row>
    <row r="2516" spans="2:14">
      <c r="B2516" s="1112" t="s">
        <v>342</v>
      </c>
      <c r="C2516" s="1113"/>
      <c r="D2516" s="1113"/>
      <c r="E2516" s="1113"/>
      <c r="F2516" s="1113"/>
      <c r="G2516" s="1113"/>
      <c r="H2516" s="1113"/>
      <c r="I2516" s="1114"/>
      <c r="J2516" s="300" t="s">
        <v>147</v>
      </c>
      <c r="K2516" s="301">
        <v>0.38</v>
      </c>
      <c r="L2516" s="1144">
        <v>337058</v>
      </c>
      <c r="M2516" s="1145"/>
      <c r="N2516" s="363">
        <f>+K2516*L2516</f>
        <v>128082.04000000001</v>
      </c>
    </row>
    <row r="2517" spans="2:14" ht="13.5" thickBot="1">
      <c r="B2517" s="1094" t="s">
        <v>343</v>
      </c>
      <c r="C2517" s="1095"/>
      <c r="D2517" s="1095"/>
      <c r="E2517" s="1095"/>
      <c r="F2517" s="1095"/>
      <c r="G2517" s="1095"/>
      <c r="H2517" s="1095"/>
      <c r="I2517" s="1096"/>
      <c r="J2517" s="303" t="s">
        <v>196</v>
      </c>
      <c r="K2517" s="304">
        <v>1.1499999999999999</v>
      </c>
      <c r="L2517" s="1144">
        <v>14042</v>
      </c>
      <c r="M2517" s="1145"/>
      <c r="N2517" s="363">
        <f>+K2517*L2517</f>
        <v>16148.3</v>
      </c>
    </row>
    <row r="2518" spans="2:14" ht="13.5" thickBot="1">
      <c r="B2518" s="1100" t="s">
        <v>269</v>
      </c>
      <c r="C2518" s="1101"/>
      <c r="D2518" s="1101"/>
      <c r="E2518" s="1101"/>
      <c r="F2518" s="1101"/>
      <c r="G2518" s="1101"/>
      <c r="H2518" s="1101"/>
      <c r="I2518" s="1101"/>
      <c r="J2518" s="1101"/>
      <c r="K2518" s="1101"/>
      <c r="L2518" s="1101"/>
      <c r="M2518" s="1102"/>
      <c r="N2518" s="323">
        <f>+N2516+N2517</f>
        <v>144230.34</v>
      </c>
    </row>
    <row r="2519" spans="2:14">
      <c r="B2519" s="1103" t="s">
        <v>276</v>
      </c>
      <c r="C2519" s="1104"/>
      <c r="D2519" s="1104"/>
      <c r="E2519" s="1104"/>
      <c r="F2519" s="1104"/>
      <c r="G2519" s="1104"/>
      <c r="H2519" s="1104"/>
      <c r="I2519" s="1104"/>
      <c r="J2519" s="1104"/>
      <c r="K2519" s="1104"/>
      <c r="L2519" s="1104"/>
      <c r="M2519" s="1104"/>
      <c r="N2519" s="1105"/>
    </row>
    <row r="2520" spans="2:14">
      <c r="B2520" s="1106"/>
      <c r="C2520" s="1107"/>
      <c r="D2520" s="1107"/>
      <c r="E2520" s="1107"/>
      <c r="F2520" s="1107"/>
      <c r="G2520" s="1107"/>
      <c r="H2520" s="1107"/>
      <c r="I2520" s="1107"/>
      <c r="J2520" s="1107"/>
      <c r="K2520" s="1107"/>
      <c r="L2520" s="1107"/>
      <c r="M2520" s="1107"/>
      <c r="N2520" s="1108"/>
    </row>
    <row r="2521" spans="2:14" ht="13.5" thickBot="1">
      <c r="B2521" s="1109"/>
      <c r="C2521" s="1110"/>
      <c r="D2521" s="1110"/>
      <c r="E2521" s="1110"/>
      <c r="F2521" s="1110"/>
      <c r="G2521" s="1110"/>
      <c r="H2521" s="1110"/>
      <c r="I2521" s="1110"/>
      <c r="J2521" s="1110"/>
      <c r="K2521" s="1110"/>
      <c r="L2521" s="1110"/>
      <c r="M2521" s="1110"/>
      <c r="N2521" s="1111"/>
    </row>
    <row r="2522" spans="2:14">
      <c r="B2522" s="1130" t="s">
        <v>277</v>
      </c>
      <c r="C2522" s="1139"/>
      <c r="D2522" s="1139"/>
      <c r="E2522" s="1139"/>
      <c r="F2522" s="1139"/>
      <c r="G2522" s="1139"/>
      <c r="H2522" s="1139"/>
      <c r="I2522" s="288" t="s">
        <v>278</v>
      </c>
      <c r="J2522" s="306" t="s">
        <v>279</v>
      </c>
      <c r="K2522" s="307" t="s">
        <v>280</v>
      </c>
      <c r="L2522" s="1133" t="s">
        <v>281</v>
      </c>
      <c r="M2522" s="1136"/>
      <c r="N2522" s="289" t="s">
        <v>265</v>
      </c>
    </row>
    <row r="2523" spans="2:14" ht="13.5" thickBot="1">
      <c r="B2523" s="1112"/>
      <c r="C2523" s="1113"/>
      <c r="D2523" s="1113"/>
      <c r="E2523" s="1113"/>
      <c r="F2523" s="1113"/>
      <c r="G2523" s="1113"/>
      <c r="H2523" s="1113"/>
      <c r="I2523" s="393"/>
      <c r="J2523" s="309"/>
      <c r="K2523" s="308"/>
      <c r="L2523" s="1144"/>
      <c r="M2523" s="1145"/>
      <c r="N2523" s="363"/>
    </row>
    <row r="2524" spans="2:14" ht="13.5" thickBot="1">
      <c r="B2524" s="1100" t="s">
        <v>269</v>
      </c>
      <c r="C2524" s="1101"/>
      <c r="D2524" s="1101"/>
      <c r="E2524" s="1101"/>
      <c r="F2524" s="1101"/>
      <c r="G2524" s="1101"/>
      <c r="H2524" s="1101"/>
      <c r="I2524" s="1101"/>
      <c r="J2524" s="1101"/>
      <c r="K2524" s="1101"/>
      <c r="L2524" s="1101"/>
      <c r="M2524" s="1102"/>
      <c r="N2524" s="323">
        <f>+N2523</f>
        <v>0</v>
      </c>
    </row>
    <row r="2525" spans="2:14">
      <c r="B2525" s="1103" t="s">
        <v>282</v>
      </c>
      <c r="C2525" s="1104"/>
      <c r="D2525" s="1104"/>
      <c r="E2525" s="1104"/>
      <c r="F2525" s="1104"/>
      <c r="G2525" s="1104"/>
      <c r="H2525" s="1104"/>
      <c r="I2525" s="1104"/>
      <c r="J2525" s="1104"/>
      <c r="K2525" s="1104"/>
      <c r="L2525" s="1104"/>
      <c r="M2525" s="1104"/>
      <c r="N2525" s="1105"/>
    </row>
    <row r="2526" spans="2:14">
      <c r="B2526" s="1106"/>
      <c r="C2526" s="1107"/>
      <c r="D2526" s="1107"/>
      <c r="E2526" s="1107"/>
      <c r="F2526" s="1107"/>
      <c r="G2526" s="1107"/>
      <c r="H2526" s="1107"/>
      <c r="I2526" s="1107"/>
      <c r="J2526" s="1107"/>
      <c r="K2526" s="1107"/>
      <c r="L2526" s="1107"/>
      <c r="M2526" s="1107"/>
      <c r="N2526" s="1108"/>
    </row>
    <row r="2527" spans="2:14" ht="13.5" thickBot="1">
      <c r="B2527" s="1109"/>
      <c r="C2527" s="1110"/>
      <c r="D2527" s="1110"/>
      <c r="E2527" s="1110"/>
      <c r="F2527" s="1110"/>
      <c r="G2527" s="1110"/>
      <c r="H2527" s="1110"/>
      <c r="I2527" s="1110"/>
      <c r="J2527" s="1110"/>
      <c r="K2527" s="1110"/>
      <c r="L2527" s="1110"/>
      <c r="M2527" s="1110"/>
      <c r="N2527" s="1111"/>
    </row>
    <row r="2528" spans="2:14">
      <c r="B2528" s="1130" t="s">
        <v>283</v>
      </c>
      <c r="C2528" s="1139"/>
      <c r="D2528" s="1139"/>
      <c r="E2528" s="1139"/>
      <c r="F2528" s="1139"/>
      <c r="G2528" s="1139"/>
      <c r="H2528" s="1139"/>
      <c r="I2528" s="288" t="s">
        <v>284</v>
      </c>
      <c r="J2528" s="314" t="s">
        <v>285</v>
      </c>
      <c r="K2528" s="315" t="s">
        <v>286</v>
      </c>
      <c r="L2528" s="1140" t="s">
        <v>264</v>
      </c>
      <c r="M2528" s="1141"/>
      <c r="N2528" s="316" t="s">
        <v>265</v>
      </c>
    </row>
    <row r="2529" spans="2:14">
      <c r="B2529" s="317" t="s">
        <v>344</v>
      </c>
      <c r="C2529" s="318"/>
      <c r="D2529" s="318"/>
      <c r="E2529" s="318"/>
      <c r="F2529" s="318"/>
      <c r="G2529" s="318"/>
      <c r="H2529" s="318"/>
      <c r="I2529" s="319">
        <v>153482</v>
      </c>
      <c r="J2529" s="321">
        <v>0</v>
      </c>
      <c r="K2529" s="321">
        <f>+I2529+J2529</f>
        <v>153482</v>
      </c>
      <c r="L2529" s="1157">
        <v>2.299998</v>
      </c>
      <c r="M2529" s="1158"/>
      <c r="N2529" s="322">
        <f>+K2529/L2529</f>
        <v>66731.362375097713</v>
      </c>
    </row>
    <row r="2530" spans="2:14" ht="13.5" thickBot="1">
      <c r="B2530" s="356" t="s">
        <v>345</v>
      </c>
      <c r="C2530" s="318"/>
      <c r="D2530" s="318"/>
      <c r="E2530" s="318"/>
      <c r="F2530" s="318"/>
      <c r="G2530" s="318"/>
      <c r="H2530" s="318"/>
      <c r="I2530" s="319">
        <v>264960</v>
      </c>
      <c r="J2530" s="321">
        <v>0</v>
      </c>
      <c r="K2530" s="321">
        <f>+I2530+J2530</f>
        <v>264960</v>
      </c>
      <c r="L2530" s="1157">
        <v>6.5000070000000001</v>
      </c>
      <c r="M2530" s="1158"/>
      <c r="N2530" s="322">
        <f>+K2530/L2530</f>
        <v>40763.033024425975</v>
      </c>
    </row>
    <row r="2531" spans="2:14" ht="13.5" thickBot="1">
      <c r="B2531" s="1100" t="s">
        <v>269</v>
      </c>
      <c r="C2531" s="1101"/>
      <c r="D2531" s="1101"/>
      <c r="E2531" s="1101"/>
      <c r="F2531" s="1101"/>
      <c r="G2531" s="1101"/>
      <c r="H2531" s="1101"/>
      <c r="I2531" s="1101"/>
      <c r="J2531" s="1101"/>
      <c r="K2531" s="1101"/>
      <c r="L2531" s="1101"/>
      <c r="M2531" s="1102"/>
      <c r="N2531" s="323">
        <f>+N2529+N2530</f>
        <v>107494.3953995237</v>
      </c>
    </row>
    <row r="2532" spans="2:14" ht="13.5" thickBot="1">
      <c r="B2532" s="324" t="s">
        <v>288</v>
      </c>
      <c r="C2532" s="325"/>
      <c r="D2532" s="325"/>
      <c r="E2532" s="325"/>
      <c r="F2532" s="325"/>
      <c r="G2532" s="325"/>
      <c r="H2532" s="325"/>
      <c r="I2532" s="326"/>
      <c r="J2532" s="327"/>
      <c r="K2532" s="328"/>
      <c r="L2532" s="329"/>
      <c r="M2532" s="329"/>
      <c r="N2532" s="330"/>
    </row>
    <row r="2533" spans="2:14">
      <c r="B2533" s="1130" t="s">
        <v>17</v>
      </c>
      <c r="C2533" s="1139"/>
      <c r="D2533" s="1139"/>
      <c r="E2533" s="1139"/>
      <c r="F2533" s="1139"/>
      <c r="G2533" s="1139"/>
      <c r="H2533" s="1139"/>
      <c r="I2533" s="1136"/>
      <c r="J2533" s="299" t="s">
        <v>259</v>
      </c>
      <c r="K2533" s="288" t="s">
        <v>133</v>
      </c>
      <c r="L2533" s="1133" t="s">
        <v>271</v>
      </c>
      <c r="M2533" s="1136"/>
      <c r="N2533" s="316" t="s">
        <v>265</v>
      </c>
    </row>
    <row r="2534" spans="2:14" ht="13.5" thickBot="1">
      <c r="B2534" s="331" t="s">
        <v>289</v>
      </c>
      <c r="C2534" s="332"/>
      <c r="D2534" s="332"/>
      <c r="E2534" s="332"/>
      <c r="F2534" s="332"/>
      <c r="G2534" s="332"/>
      <c r="H2534" s="332"/>
      <c r="I2534" s="333"/>
      <c r="J2534" s="334" t="s">
        <v>290</v>
      </c>
      <c r="K2534" s="335">
        <v>0.05</v>
      </c>
      <c r="L2534" s="1144">
        <f>+N2531</f>
        <v>107494.3953995237</v>
      </c>
      <c r="M2534" s="1145"/>
      <c r="N2534" s="322">
        <f>+K2534*L2534</f>
        <v>5374.7197699761855</v>
      </c>
    </row>
    <row r="2535" spans="2:14" ht="13.5" thickBot="1">
      <c r="B2535" s="1100" t="s">
        <v>269</v>
      </c>
      <c r="C2535" s="1101"/>
      <c r="D2535" s="1101"/>
      <c r="E2535" s="1101"/>
      <c r="F2535" s="1101"/>
      <c r="G2535" s="1101"/>
      <c r="H2535" s="1101"/>
      <c r="I2535" s="1101"/>
      <c r="J2535" s="1101"/>
      <c r="K2535" s="1101"/>
      <c r="L2535" s="1101"/>
      <c r="M2535" s="1102"/>
      <c r="N2535" s="323">
        <f>+N2534</f>
        <v>5374.7197699761855</v>
      </c>
    </row>
    <row r="2536" spans="2:14" ht="13.5" thickBot="1">
      <c r="B2536" s="324" t="s">
        <v>78</v>
      </c>
      <c r="C2536" s="325"/>
      <c r="D2536" s="325"/>
      <c r="E2536" s="325"/>
      <c r="F2536" s="325"/>
      <c r="G2536" s="325"/>
      <c r="H2536" s="325"/>
      <c r="I2536" s="326"/>
      <c r="J2536" s="327"/>
      <c r="K2536" s="328"/>
      <c r="L2536" s="329"/>
      <c r="M2536" s="329"/>
      <c r="N2536" s="330"/>
    </row>
    <row r="2537" spans="2:14">
      <c r="B2537" s="1130" t="s">
        <v>17</v>
      </c>
      <c r="C2537" s="1139"/>
      <c r="D2537" s="1139"/>
      <c r="E2537" s="1139"/>
      <c r="F2537" s="1139"/>
      <c r="G2537" s="1139"/>
      <c r="H2537" s="1139"/>
      <c r="I2537" s="1136"/>
      <c r="J2537" s="299" t="s">
        <v>259</v>
      </c>
      <c r="K2537" s="288" t="s">
        <v>133</v>
      </c>
      <c r="L2537" s="1133" t="s">
        <v>271</v>
      </c>
      <c r="M2537" s="1136"/>
      <c r="N2537" s="316" t="s">
        <v>265</v>
      </c>
    </row>
    <row r="2538" spans="2:14" ht="13.5" thickBot="1">
      <c r="B2538" s="1186" t="s">
        <v>161</v>
      </c>
      <c r="C2538" s="1187"/>
      <c r="D2538" s="1187"/>
      <c r="E2538" s="1187"/>
      <c r="F2538" s="1187"/>
      <c r="G2538" s="1187"/>
      <c r="H2538" s="1188"/>
      <c r="I2538" s="333"/>
      <c r="J2538" s="396" t="s">
        <v>147</v>
      </c>
      <c r="K2538" s="399">
        <v>1.1299999999999999</v>
      </c>
      <c r="L2538" s="1184">
        <v>38446</v>
      </c>
      <c r="M2538" s="1185"/>
      <c r="N2538" s="398">
        <f>+L2538*K2538</f>
        <v>43443.979999999996</v>
      </c>
    </row>
    <row r="2539" spans="2:14" ht="13.5" thickBot="1">
      <c r="B2539" s="1100" t="s">
        <v>269</v>
      </c>
      <c r="C2539" s="1101"/>
      <c r="D2539" s="1101"/>
      <c r="E2539" s="1101"/>
      <c r="F2539" s="1101"/>
      <c r="G2539" s="1101"/>
      <c r="H2539" s="1101"/>
      <c r="I2539" s="1101"/>
      <c r="J2539" s="1101"/>
      <c r="K2539" s="1101"/>
      <c r="L2539" s="1101"/>
      <c r="M2539" s="1102"/>
      <c r="N2539" s="323">
        <f>+N2538</f>
        <v>43443.979999999996</v>
      </c>
    </row>
    <row r="2540" spans="2:14">
      <c r="B2540" s="280"/>
      <c r="C2540" s="281"/>
      <c r="D2540" s="281"/>
      <c r="E2540" s="281"/>
      <c r="F2540" s="281"/>
      <c r="G2540" s="281"/>
      <c r="H2540" s="281"/>
      <c r="I2540" s="281"/>
      <c r="J2540" s="281"/>
      <c r="K2540" s="281"/>
      <c r="L2540" s="281"/>
      <c r="M2540" s="281"/>
      <c r="N2540" s="282"/>
    </row>
    <row r="2541" spans="2:14" ht="13.5" thickBot="1">
      <c r="B2541" s="378"/>
      <c r="C2541" s="311"/>
      <c r="D2541" s="311"/>
      <c r="E2541" s="311"/>
      <c r="F2541" s="311"/>
      <c r="G2541" s="311"/>
      <c r="H2541" s="311"/>
      <c r="I2541" s="311"/>
      <c r="J2541" s="311"/>
      <c r="K2541" s="311"/>
      <c r="L2541" s="311"/>
      <c r="M2541" s="311"/>
      <c r="N2541" s="379"/>
    </row>
    <row r="2542" spans="2:14" ht="13.5" thickBot="1">
      <c r="B2542" s="1150" t="s">
        <v>291</v>
      </c>
      <c r="C2542" s="1151"/>
      <c r="D2542" s="1151"/>
      <c r="E2542" s="1151"/>
      <c r="F2542" s="1151"/>
      <c r="G2542" s="1151"/>
      <c r="H2542" s="1151"/>
      <c r="I2542" s="1151"/>
      <c r="J2542" s="1151"/>
      <c r="K2542" s="1151"/>
      <c r="L2542" s="1151"/>
      <c r="M2542" s="1152"/>
      <c r="N2542" s="336">
        <f>+N2511+N2518+N2524+N2531+N2539+N2535</f>
        <v>318868.21016137983</v>
      </c>
    </row>
    <row r="2543" spans="2:14">
      <c r="B2543" s="1103" t="s">
        <v>292</v>
      </c>
      <c r="C2543" s="1104"/>
      <c r="D2543" s="1104"/>
      <c r="E2543" s="1104"/>
      <c r="F2543" s="1104"/>
      <c r="G2543" s="1104"/>
      <c r="H2543" s="1104"/>
      <c r="I2543" s="1104"/>
      <c r="J2543" s="1104"/>
      <c r="K2543" s="1104"/>
      <c r="L2543" s="1104"/>
      <c r="M2543" s="1104"/>
      <c r="N2543" s="1105"/>
    </row>
    <row r="2544" spans="2:14">
      <c r="B2544" s="1106"/>
      <c r="C2544" s="1107"/>
      <c r="D2544" s="1107"/>
      <c r="E2544" s="1107"/>
      <c r="F2544" s="1107"/>
      <c r="G2544" s="1107"/>
      <c r="H2544" s="1107"/>
      <c r="I2544" s="1107"/>
      <c r="J2544" s="1107"/>
      <c r="K2544" s="1107"/>
      <c r="L2544" s="1107"/>
      <c r="M2544" s="1107"/>
      <c r="N2544" s="1108"/>
    </row>
    <row r="2545" spans="2:14" ht="13.5" thickBot="1">
      <c r="B2545" s="1109"/>
      <c r="C2545" s="1110"/>
      <c r="D2545" s="1110"/>
      <c r="E2545" s="1110"/>
      <c r="F2545" s="1110"/>
      <c r="G2545" s="1110"/>
      <c r="H2545" s="1110"/>
      <c r="I2545" s="1110"/>
      <c r="J2545" s="1110"/>
      <c r="K2545" s="1110"/>
      <c r="L2545" s="1110"/>
      <c r="M2545" s="1110"/>
      <c r="N2545" s="1111"/>
    </row>
    <row r="2546" spans="2:14">
      <c r="B2546" s="1130" t="s">
        <v>17</v>
      </c>
      <c r="C2546" s="1139"/>
      <c r="D2546" s="1139"/>
      <c r="E2546" s="1139"/>
      <c r="F2546" s="1139"/>
      <c r="G2546" s="1139"/>
      <c r="H2546" s="1139"/>
      <c r="I2546" s="306"/>
      <c r="J2546" s="337"/>
      <c r="K2546" s="315" t="s">
        <v>79</v>
      </c>
      <c r="L2546" s="1140" t="s">
        <v>11</v>
      </c>
      <c r="M2546" s="1141"/>
      <c r="N2546" s="316"/>
    </row>
    <row r="2547" spans="2:14">
      <c r="B2547" s="1112" t="s">
        <v>232</v>
      </c>
      <c r="C2547" s="1113"/>
      <c r="D2547" s="1113"/>
      <c r="E2547" s="1113"/>
      <c r="F2547" s="1113"/>
      <c r="G2547" s="1113"/>
      <c r="H2547" s="1113"/>
      <c r="I2547" s="338"/>
      <c r="J2547" s="339"/>
      <c r="K2547" s="340">
        <f>'PRESUPUESTO OFICIAL'!$K$100</f>
        <v>0</v>
      </c>
      <c r="L2547" s="1146">
        <f>K2547*N2542</f>
        <v>0</v>
      </c>
      <c r="M2547" s="1147"/>
      <c r="N2547" s="341"/>
    </row>
    <row r="2548" spans="2:14">
      <c r="B2548" s="292" t="s">
        <v>293</v>
      </c>
      <c r="C2548" s="293"/>
      <c r="D2548" s="293"/>
      <c r="E2548" s="293"/>
      <c r="F2548" s="293"/>
      <c r="G2548" s="293"/>
      <c r="H2548" s="293"/>
      <c r="I2548" s="338"/>
      <c r="J2548" s="339"/>
      <c r="K2548" s="340">
        <f>'PRESUPUESTO OFICIAL'!$K$101</f>
        <v>0</v>
      </c>
      <c r="L2548" s="1146">
        <f>K2548*N2542</f>
        <v>0</v>
      </c>
      <c r="M2548" s="1147"/>
      <c r="N2548" s="341"/>
    </row>
    <row r="2549" spans="2:14" ht="13.5" thickBot="1">
      <c r="B2549" s="277" t="s">
        <v>294</v>
      </c>
      <c r="C2549" s="278"/>
      <c r="D2549" s="278"/>
      <c r="E2549" s="278"/>
      <c r="F2549" s="278"/>
      <c r="G2549" s="278"/>
      <c r="H2549" s="278"/>
      <c r="I2549" s="342"/>
      <c r="J2549" s="343"/>
      <c r="K2549" s="340">
        <f>'PRESUPUESTO OFICIAL'!$K$102</f>
        <v>0</v>
      </c>
      <c r="L2549" s="1148">
        <f>K2549*N2542</f>
        <v>0</v>
      </c>
      <c r="M2549" s="1149"/>
      <c r="N2549" s="341"/>
    </row>
    <row r="2550" spans="2:14" ht="13.5" thickBot="1">
      <c r="B2550" s="1100" t="s">
        <v>269</v>
      </c>
      <c r="C2550" s="1101"/>
      <c r="D2550" s="1101"/>
      <c r="E2550" s="1101"/>
      <c r="F2550" s="1101"/>
      <c r="G2550" s="1101"/>
      <c r="H2550" s="1101"/>
      <c r="I2550" s="1101"/>
      <c r="J2550" s="1101"/>
      <c r="K2550" s="1101"/>
      <c r="L2550" s="1101"/>
      <c r="M2550" s="1102"/>
      <c r="N2550" s="344">
        <f>SUM(L2547:M2549)</f>
        <v>0</v>
      </c>
    </row>
    <row r="2551" spans="2:14" ht="13.5" thickBot="1">
      <c r="B2551" s="283"/>
      <c r="N2551" s="284"/>
    </row>
    <row r="2552" spans="2:14" ht="13.5" thickBot="1">
      <c r="B2552" s="1150" t="s">
        <v>295</v>
      </c>
      <c r="C2552" s="1151"/>
      <c r="D2552" s="1151"/>
      <c r="E2552" s="1151"/>
      <c r="F2552" s="1151"/>
      <c r="G2552" s="1151"/>
      <c r="H2552" s="1151"/>
      <c r="I2552" s="1151"/>
      <c r="J2552" s="1151"/>
      <c r="K2552" s="1151"/>
      <c r="L2552" s="1151"/>
      <c r="M2552" s="1152"/>
      <c r="N2552" s="345">
        <f>ROUND(N2542+N2550,0)</f>
        <v>318868</v>
      </c>
    </row>
    <row r="2553" spans="2:14">
      <c r="B2553" s="280"/>
      <c r="C2553" s="281"/>
      <c r="D2553" s="281"/>
      <c r="E2553" s="281"/>
      <c r="F2553" s="281"/>
      <c r="G2553" s="281"/>
      <c r="H2553" s="281"/>
      <c r="I2553" s="281"/>
      <c r="J2553" s="281"/>
      <c r="K2553" s="281"/>
      <c r="L2553" s="281"/>
      <c r="M2553" s="281"/>
      <c r="N2553" s="282"/>
    </row>
    <row r="2554" spans="2:14">
      <c r="B2554" s="283"/>
      <c r="N2554" s="284"/>
    </row>
    <row r="2555" spans="2:14">
      <c r="B2555" s="283"/>
      <c r="N2555" s="284"/>
    </row>
    <row r="2556" spans="2:14">
      <c r="B2556" s="283"/>
      <c r="G2556" s="346" t="s">
        <v>296</v>
      </c>
      <c r="H2556" s="346"/>
      <c r="I2556" s="346"/>
      <c r="J2556" s="346"/>
      <c r="N2556" s="284"/>
    </row>
    <row r="2557" spans="2:14">
      <c r="B2557" s="347"/>
      <c r="C2557" s="348"/>
      <c r="D2557" s="348"/>
      <c r="E2557" s="348"/>
      <c r="F2557" s="348"/>
      <c r="G2557" s="346" t="s">
        <v>297</v>
      </c>
      <c r="H2557" s="348"/>
      <c r="I2557" s="348"/>
      <c r="J2557" s="348"/>
      <c r="K2557" s="348"/>
      <c r="L2557" s="348"/>
      <c r="M2557" s="348"/>
      <c r="N2557" s="349"/>
    </row>
    <row r="2558" spans="2:14">
      <c r="B2558" s="347"/>
      <c r="C2558" s="348"/>
      <c r="D2558" s="348"/>
      <c r="E2558" s="348"/>
      <c r="F2558" s="348"/>
      <c r="G2558" s="346" t="s">
        <v>298</v>
      </c>
      <c r="J2558" s="348"/>
      <c r="K2558" s="348"/>
      <c r="L2558" s="348"/>
      <c r="M2558" s="348"/>
      <c r="N2558" s="349"/>
    </row>
    <row r="2559" spans="2:14">
      <c r="B2559" s="268"/>
      <c r="C2559" s="350"/>
      <c r="D2559" s="350"/>
      <c r="E2559" s="350"/>
      <c r="F2559" s="350"/>
      <c r="G2559" s="346" t="s">
        <v>299</v>
      </c>
      <c r="H2559" s="350"/>
      <c r="I2559" s="350"/>
      <c r="J2559" s="350"/>
      <c r="K2559" s="350"/>
      <c r="L2559" s="350"/>
      <c r="M2559" s="350"/>
      <c r="N2559" s="351"/>
    </row>
    <row r="2560" spans="2:14">
      <c r="B2560" s="283"/>
      <c r="G2560" s="258" t="s">
        <v>300</v>
      </c>
      <c r="N2560" s="284"/>
    </row>
    <row r="2561" spans="2:14">
      <c r="B2561" s="352" t="s">
        <v>301</v>
      </c>
      <c r="C2561" s="353"/>
      <c r="D2561" s="353"/>
      <c r="E2561" s="353"/>
      <c r="F2561" s="353"/>
      <c r="G2561" s="353"/>
      <c r="H2561" s="353"/>
      <c r="I2561" s="353"/>
      <c r="J2561" s="353"/>
      <c r="K2561" s="353"/>
      <c r="L2561" s="353"/>
      <c r="M2561" s="353"/>
      <c r="N2561" s="354"/>
    </row>
    <row r="2562" spans="2:14">
      <c r="B2562" s="1153"/>
      <c r="C2562" s="1154"/>
      <c r="D2562" s="1154"/>
      <c r="E2562" s="1154"/>
      <c r="F2562" s="1154"/>
      <c r="G2562" s="1154"/>
      <c r="H2562" s="1154"/>
      <c r="I2562" s="1154"/>
      <c r="J2562" s="1154"/>
      <c r="K2562" s="1154"/>
      <c r="L2562" s="1154"/>
      <c r="M2562" s="1154"/>
      <c r="N2562" s="1155"/>
    </row>
    <row r="2563" spans="2:14">
      <c r="B2563" s="1153"/>
      <c r="C2563" s="1154"/>
      <c r="D2563" s="1154"/>
      <c r="E2563" s="1154"/>
      <c r="F2563" s="1154"/>
      <c r="G2563" s="1154"/>
      <c r="H2563" s="1154"/>
      <c r="I2563" s="1154"/>
      <c r="J2563" s="1154"/>
      <c r="K2563" s="1154"/>
      <c r="L2563" s="1154"/>
      <c r="M2563" s="1154"/>
      <c r="N2563" s="1155"/>
    </row>
    <row r="2564" spans="2:14">
      <c r="B2564" s="268"/>
      <c r="C2564" s="350"/>
      <c r="D2564" s="350"/>
      <c r="E2564" s="350"/>
      <c r="F2564" s="350"/>
      <c r="G2564" s="350"/>
      <c r="H2564" s="350"/>
      <c r="I2564" s="350"/>
      <c r="J2564" s="350"/>
      <c r="K2564" s="350"/>
      <c r="L2564" s="350"/>
      <c r="M2564" s="350"/>
      <c r="N2564" s="351"/>
    </row>
    <row r="2565" spans="2:14">
      <c r="B2565" s="355" t="s">
        <v>302</v>
      </c>
      <c r="C2565" s="350"/>
      <c r="D2565" s="350"/>
      <c r="E2565" s="350"/>
      <c r="F2565" s="350"/>
      <c r="G2565" s="350"/>
      <c r="H2565" s="350"/>
      <c r="I2565" s="350"/>
      <c r="J2565" s="350"/>
      <c r="K2565" s="350"/>
      <c r="L2565" s="350"/>
      <c r="M2565" s="350"/>
      <c r="N2565" s="351"/>
    </row>
    <row r="2566" spans="2:14">
      <c r="B2566" s="1159" t="s">
        <v>303</v>
      </c>
      <c r="C2566" s="1160"/>
      <c r="D2566" s="1160"/>
      <c r="E2566" s="1160"/>
      <c r="F2566" s="1160"/>
      <c r="G2566" s="1160"/>
      <c r="H2566" s="1160"/>
      <c r="I2566" s="1160"/>
      <c r="J2566" s="1160"/>
      <c r="K2566" s="1160"/>
      <c r="L2566" s="1160"/>
      <c r="M2566" s="1160"/>
      <c r="N2566" s="1161"/>
    </row>
    <row r="2567" spans="2:14">
      <c r="B2567" s="1159"/>
      <c r="C2567" s="1160"/>
      <c r="D2567" s="1160"/>
      <c r="E2567" s="1160"/>
      <c r="F2567" s="1160"/>
      <c r="G2567" s="1160"/>
      <c r="H2567" s="1160"/>
      <c r="I2567" s="1160"/>
      <c r="J2567" s="1160"/>
      <c r="K2567" s="1160"/>
      <c r="L2567" s="1160"/>
      <c r="M2567" s="1160"/>
      <c r="N2567" s="1161"/>
    </row>
    <row r="2568" spans="2:14">
      <c r="B2568" s="1159" t="s">
        <v>304</v>
      </c>
      <c r="C2568" s="1160"/>
      <c r="D2568" s="1160"/>
      <c r="E2568" s="1160"/>
      <c r="F2568" s="1160"/>
      <c r="G2568" s="1160"/>
      <c r="H2568" s="1160"/>
      <c r="I2568" s="1160"/>
      <c r="J2568" s="1160"/>
      <c r="K2568" s="1160"/>
      <c r="L2568" s="1160"/>
      <c r="M2568" s="1160"/>
      <c r="N2568" s="1161"/>
    </row>
    <row r="2569" spans="2:14">
      <c r="B2569" s="1159"/>
      <c r="C2569" s="1160"/>
      <c r="D2569" s="1160"/>
      <c r="E2569" s="1160"/>
      <c r="F2569" s="1160"/>
      <c r="G2569" s="1160"/>
      <c r="H2569" s="1160"/>
      <c r="I2569" s="1160"/>
      <c r="J2569" s="1160"/>
      <c r="K2569" s="1160"/>
      <c r="L2569" s="1160"/>
      <c r="M2569" s="1160"/>
      <c r="N2569" s="1161"/>
    </row>
    <row r="2570" spans="2:14">
      <c r="B2570" s="268"/>
      <c r="C2570" s="350"/>
      <c r="D2570" s="350"/>
      <c r="E2570" s="350"/>
      <c r="F2570" s="350"/>
      <c r="G2570" s="350"/>
      <c r="H2570" s="350"/>
      <c r="I2570" s="350"/>
      <c r="J2570" s="350"/>
      <c r="K2570" s="350"/>
      <c r="L2570" s="350"/>
      <c r="M2570" s="350"/>
      <c r="N2570" s="351"/>
    </row>
    <row r="2571" spans="2:14">
      <c r="B2571" s="283"/>
      <c r="G2571" s="346" t="s">
        <v>296</v>
      </c>
      <c r="N2571" s="284"/>
    </row>
    <row r="2572" spans="2:14">
      <c r="B2572" s="283"/>
      <c r="G2572" s="258" t="s">
        <v>305</v>
      </c>
      <c r="H2572" s="293"/>
      <c r="I2572" s="293"/>
      <c r="J2572" s="293"/>
      <c r="N2572" s="284"/>
    </row>
    <row r="2573" spans="2:14">
      <c r="B2573" s="283"/>
      <c r="G2573" s="258" t="s">
        <v>306</v>
      </c>
      <c r="H2573" s="325"/>
      <c r="I2573" s="325"/>
      <c r="J2573" s="325"/>
      <c r="N2573" s="284"/>
    </row>
    <row r="2574" spans="2:14">
      <c r="B2574" s="356"/>
      <c r="C2574" s="350"/>
      <c r="D2574" s="350"/>
      <c r="E2574" s="350"/>
      <c r="F2574" s="350"/>
      <c r="G2574" s="258" t="s">
        <v>299</v>
      </c>
      <c r="K2574" s="350"/>
      <c r="L2574" s="350"/>
      <c r="M2574" s="350"/>
      <c r="N2574" s="351"/>
    </row>
    <row r="2575" spans="2:14">
      <c r="B2575" s="357"/>
      <c r="C2575" s="358"/>
      <c r="D2575" s="358"/>
      <c r="J2575" s="1162"/>
      <c r="K2575" s="1162"/>
      <c r="L2575" s="1162"/>
      <c r="M2575" s="1162"/>
      <c r="N2575" s="1163"/>
    </row>
    <row r="2576" spans="2:14" ht="13.5" thickBot="1">
      <c r="B2576" s="1166"/>
      <c r="C2576" s="1167"/>
      <c r="D2576" s="1167"/>
      <c r="E2576" s="311"/>
      <c r="F2576" s="311"/>
      <c r="G2576" s="311"/>
      <c r="H2576" s="311"/>
      <c r="I2576" s="311"/>
      <c r="J2576" s="1164"/>
      <c r="K2576" s="1164"/>
      <c r="L2576" s="1164"/>
      <c r="M2576" s="1164"/>
      <c r="N2576" s="1165"/>
    </row>
    <row r="2577" spans="2:14" ht="13.5" thickBot="1"/>
    <row r="2578" spans="2:14">
      <c r="B2578" s="1070"/>
      <c r="C2578" s="1072"/>
      <c r="D2578" s="1073"/>
      <c r="E2578" s="1073"/>
      <c r="F2578" s="1073"/>
      <c r="G2578" s="1073"/>
      <c r="H2578" s="1073"/>
      <c r="I2578" s="1073"/>
      <c r="J2578" s="1074"/>
      <c r="K2578" s="1075"/>
      <c r="L2578" s="1076"/>
      <c r="M2578" s="1076"/>
      <c r="N2578" s="1077"/>
    </row>
    <row r="2579" spans="2:14">
      <c r="B2579" s="1071"/>
      <c r="C2579" s="1062" t="s">
        <v>244</v>
      </c>
      <c r="D2579" s="1063"/>
      <c r="E2579" s="1063"/>
      <c r="F2579" s="1063"/>
      <c r="G2579" s="1063"/>
      <c r="H2579" s="1063"/>
      <c r="I2579" s="1063"/>
      <c r="J2579" s="1064"/>
      <c r="K2579" s="1078"/>
      <c r="L2579" s="1079"/>
      <c r="M2579" s="1079"/>
      <c r="N2579" s="1080"/>
    </row>
    <row r="2580" spans="2:14">
      <c r="B2580" s="1071"/>
      <c r="C2580" s="1081"/>
      <c r="D2580" s="1082"/>
      <c r="E2580" s="1082"/>
      <c r="F2580" s="1082"/>
      <c r="G2580" s="1082"/>
      <c r="H2580" s="1082"/>
      <c r="I2580" s="1082"/>
      <c r="J2580" s="1083"/>
      <c r="K2580" s="1058" t="s">
        <v>245</v>
      </c>
      <c r="L2580" s="1085"/>
      <c r="M2580" s="1086"/>
      <c r="N2580" s="1087"/>
    </row>
    <row r="2581" spans="2:14">
      <c r="B2581" s="1071"/>
      <c r="C2581" s="1062" t="s">
        <v>246</v>
      </c>
      <c r="D2581" s="1063"/>
      <c r="E2581" s="1063"/>
      <c r="F2581" s="1063"/>
      <c r="G2581" s="1063"/>
      <c r="H2581" s="1063"/>
      <c r="I2581" s="1063"/>
      <c r="J2581" s="1064"/>
      <c r="K2581" s="1084"/>
      <c r="L2581" s="1088"/>
      <c r="M2581" s="1089"/>
      <c r="N2581" s="1090"/>
    </row>
    <row r="2582" spans="2:14">
      <c r="B2582" s="1071"/>
      <c r="C2582" s="1091"/>
      <c r="D2582" s="1092"/>
      <c r="E2582" s="1092"/>
      <c r="F2582" s="1092"/>
      <c r="G2582" s="1092"/>
      <c r="H2582" s="1092"/>
      <c r="I2582" s="1092"/>
      <c r="J2582" s="1093"/>
      <c r="K2582" s="1058" t="s">
        <v>247</v>
      </c>
      <c r="L2582" s="1058">
        <v>29</v>
      </c>
      <c r="M2582" s="1058" t="s">
        <v>248</v>
      </c>
      <c r="N2582" s="1060">
        <v>80</v>
      </c>
    </row>
    <row r="2583" spans="2:14">
      <c r="B2583" s="1071"/>
      <c r="C2583" s="1091"/>
      <c r="D2583" s="1092"/>
      <c r="E2583" s="1092"/>
      <c r="F2583" s="1092"/>
      <c r="G2583" s="1092"/>
      <c r="H2583" s="1092"/>
      <c r="I2583" s="1092"/>
      <c r="J2583" s="1093"/>
      <c r="K2583" s="1059"/>
      <c r="L2583" s="1059"/>
      <c r="M2583" s="1059"/>
      <c r="N2583" s="1061"/>
    </row>
    <row r="2584" spans="2:14">
      <c r="B2584" s="1071"/>
      <c r="C2584" s="1062" t="s">
        <v>249</v>
      </c>
      <c r="D2584" s="1063"/>
      <c r="E2584" s="1063"/>
      <c r="F2584" s="1063"/>
      <c r="G2584" s="1063"/>
      <c r="H2584" s="1063"/>
      <c r="I2584" s="1063"/>
      <c r="J2584" s="1064"/>
      <c r="K2584" s="1059"/>
      <c r="L2584" s="1059"/>
      <c r="M2584" s="1059"/>
      <c r="N2584" s="1061"/>
    </row>
    <row r="2585" spans="2:14" ht="13.5" thickBot="1">
      <c r="B2585" s="259"/>
      <c r="C2585" s="260"/>
      <c r="D2585" s="260"/>
      <c r="E2585" s="260"/>
      <c r="F2585" s="260"/>
      <c r="G2585" s="260"/>
      <c r="H2585" s="260"/>
      <c r="I2585" s="260"/>
      <c r="J2585" s="260"/>
      <c r="K2585" s="260"/>
      <c r="L2585" s="261"/>
      <c r="M2585" s="261"/>
      <c r="N2585" s="262"/>
    </row>
    <row r="2586" spans="2:14">
      <c r="B2586" s="263"/>
      <c r="C2586" s="264"/>
      <c r="D2586" s="264"/>
      <c r="E2586" s="264"/>
      <c r="F2586" s="264"/>
      <c r="G2586" s="264"/>
      <c r="H2586" s="264"/>
      <c r="I2586" s="264"/>
      <c r="J2586" s="264"/>
      <c r="K2586" s="265" t="s">
        <v>250</v>
      </c>
      <c r="L2586" s="266" t="s">
        <v>251</v>
      </c>
      <c r="M2586" s="266" t="s">
        <v>252</v>
      </c>
      <c r="N2586" s="267" t="s">
        <v>253</v>
      </c>
    </row>
    <row r="2587" spans="2:14">
      <c r="B2587" s="268"/>
      <c r="C2587" s="269"/>
      <c r="D2587" s="269"/>
      <c r="E2587" s="269"/>
      <c r="F2587" s="269"/>
      <c r="G2587" s="269"/>
      <c r="H2587" s="269"/>
      <c r="I2587" s="269"/>
      <c r="J2587" s="269"/>
      <c r="K2587" s="270"/>
      <c r="L2587" s="271"/>
      <c r="M2587" s="271"/>
      <c r="N2587" s="272"/>
    </row>
    <row r="2588" spans="2:14">
      <c r="B2588" s="1065" t="s">
        <v>254</v>
      </c>
      <c r="C2588" s="1066"/>
      <c r="D2588" s="1066"/>
      <c r="E2588" s="1066"/>
      <c r="F2588" s="269"/>
      <c r="G2588" s="269"/>
      <c r="H2588" s="269" t="s">
        <v>255</v>
      </c>
      <c r="J2588" s="269"/>
      <c r="K2588" s="270"/>
      <c r="N2588" s="273"/>
    </row>
    <row r="2589" spans="2:14">
      <c r="B2589" s="274"/>
      <c r="C2589" s="275"/>
      <c r="D2589" s="275"/>
      <c r="E2589" s="275"/>
      <c r="F2589" s="275"/>
      <c r="G2589" s="275"/>
      <c r="H2589" s="275"/>
      <c r="I2589" s="275"/>
      <c r="J2589" s="275"/>
      <c r="K2589" s="275"/>
      <c r="L2589" s="275"/>
      <c r="M2589" s="275"/>
      <c r="N2589" s="276"/>
    </row>
    <row r="2590" spans="2:14" ht="13.5" thickBot="1">
      <c r="B2590" s="277"/>
      <c r="C2590" s="278"/>
      <c r="D2590" s="278"/>
      <c r="E2590" s="278"/>
      <c r="F2590" s="278"/>
      <c r="G2590" s="278"/>
      <c r="H2590" s="278"/>
      <c r="I2590" s="278"/>
      <c r="J2590" s="278"/>
      <c r="K2590" s="278"/>
      <c r="L2590" s="278"/>
      <c r="M2590" s="278"/>
      <c r="N2590" s="279"/>
    </row>
    <row r="2591" spans="2:14" ht="13.5" thickBot="1">
      <c r="B2591" s="280"/>
      <c r="C2591" s="281"/>
      <c r="D2591" s="281"/>
      <c r="E2591" s="281"/>
      <c r="F2591" s="281"/>
      <c r="G2591" s="281"/>
      <c r="J2591" s="281"/>
      <c r="K2591" s="281"/>
      <c r="L2591" s="281"/>
      <c r="M2591" s="281"/>
      <c r="N2591" s="282"/>
    </row>
    <row r="2592" spans="2:14">
      <c r="B2592" s="1067" t="s">
        <v>256</v>
      </c>
      <c r="C2592" s="1068"/>
      <c r="D2592" s="1068"/>
      <c r="E2592" s="1068"/>
      <c r="F2592" s="1068"/>
      <c r="G2592" s="1068"/>
      <c r="H2592" s="1068"/>
      <c r="I2592" s="1068"/>
      <c r="J2592" s="1068"/>
      <c r="K2592" s="1068"/>
      <c r="L2592" s="1068"/>
      <c r="M2592" s="1068"/>
      <c r="N2592" s="1069"/>
    </row>
    <row r="2593" spans="2:14" ht="13.5" thickBot="1">
      <c r="B2593" s="283"/>
      <c r="N2593" s="284"/>
    </row>
    <row r="2594" spans="2:14">
      <c r="B2594" s="285" t="s">
        <v>257</v>
      </c>
      <c r="C2594" s="1120" t="s">
        <v>258</v>
      </c>
      <c r="D2594" s="1121"/>
      <c r="E2594" s="1121"/>
      <c r="F2594" s="1121"/>
      <c r="G2594" s="1121"/>
      <c r="H2594" s="1121"/>
      <c r="I2594" s="1121"/>
      <c r="J2594" s="1121"/>
      <c r="K2594" s="1122"/>
      <c r="L2594" s="1123" t="s">
        <v>259</v>
      </c>
      <c r="M2594" s="1124"/>
      <c r="N2594" s="285" t="s">
        <v>133</v>
      </c>
    </row>
    <row r="2595" spans="2:14" ht="26.25" customHeight="1" thickBot="1">
      <c r="B2595" s="286">
        <v>29</v>
      </c>
      <c r="C2595" s="1125" t="s">
        <v>170</v>
      </c>
      <c r="D2595" s="1126"/>
      <c r="E2595" s="1126"/>
      <c r="F2595" s="1126"/>
      <c r="G2595" s="1126"/>
      <c r="H2595" s="1126"/>
      <c r="I2595" s="1126"/>
      <c r="J2595" s="1126"/>
      <c r="K2595" s="1127"/>
      <c r="L2595" s="1128" t="s">
        <v>143</v>
      </c>
      <c r="M2595" s="1129"/>
      <c r="N2595" s="366">
        <v>20</v>
      </c>
    </row>
    <row r="2596" spans="2:14">
      <c r="B2596" s="1103" t="s">
        <v>260</v>
      </c>
      <c r="C2596" s="1104"/>
      <c r="D2596" s="1104"/>
      <c r="E2596" s="1104"/>
      <c r="F2596" s="1104"/>
      <c r="G2596" s="1104"/>
      <c r="H2596" s="1104"/>
      <c r="I2596" s="1104"/>
      <c r="J2596" s="1104"/>
      <c r="K2596" s="1104"/>
      <c r="L2596" s="1104"/>
      <c r="M2596" s="1104"/>
      <c r="N2596" s="1105"/>
    </row>
    <row r="2597" spans="2:14">
      <c r="B2597" s="1106"/>
      <c r="C2597" s="1107"/>
      <c r="D2597" s="1107"/>
      <c r="E2597" s="1107"/>
      <c r="F2597" s="1107"/>
      <c r="G2597" s="1107"/>
      <c r="H2597" s="1107"/>
      <c r="I2597" s="1107"/>
      <c r="J2597" s="1107"/>
      <c r="K2597" s="1107"/>
      <c r="L2597" s="1107"/>
      <c r="M2597" s="1107"/>
      <c r="N2597" s="1108"/>
    </row>
    <row r="2598" spans="2:14" ht="13.5" thickBot="1">
      <c r="B2598" s="1109"/>
      <c r="C2598" s="1110"/>
      <c r="D2598" s="1110"/>
      <c r="E2598" s="1110"/>
      <c r="F2598" s="1110"/>
      <c r="G2598" s="1110"/>
      <c r="H2598" s="1110"/>
      <c r="I2598" s="1110"/>
      <c r="J2598" s="1110"/>
      <c r="K2598" s="1110"/>
      <c r="L2598" s="1110"/>
      <c r="M2598" s="1110"/>
      <c r="N2598" s="1111"/>
    </row>
    <row r="2599" spans="2:14">
      <c r="B2599" s="1130" t="s">
        <v>258</v>
      </c>
      <c r="C2599" s="1131"/>
      <c r="D2599" s="1131"/>
      <c r="E2599" s="1131"/>
      <c r="F2599" s="1132"/>
      <c r="G2599" s="1133" t="s">
        <v>261</v>
      </c>
      <c r="H2599" s="1131"/>
      <c r="I2599" s="1134" t="s">
        <v>262</v>
      </c>
      <c r="J2599" s="1135"/>
      <c r="K2599" s="288" t="s">
        <v>263</v>
      </c>
      <c r="L2599" s="1133" t="s">
        <v>264</v>
      </c>
      <c r="M2599" s="1136"/>
      <c r="N2599" s="289" t="s">
        <v>265</v>
      </c>
    </row>
    <row r="2600" spans="2:14">
      <c r="B2600" s="1179" t="s">
        <v>341</v>
      </c>
      <c r="C2600" s="1180"/>
      <c r="D2600" s="1180"/>
      <c r="E2600" s="1180"/>
      <c r="F2600" s="1181"/>
      <c r="G2600" s="1115"/>
      <c r="H2600" s="1114"/>
      <c r="I2600" s="1182" t="s">
        <v>267</v>
      </c>
      <c r="J2600" s="1183"/>
      <c r="K2600" s="290">
        <v>53907</v>
      </c>
      <c r="L2600" s="1118">
        <v>8</v>
      </c>
      <c r="M2600" s="1119"/>
      <c r="N2600" s="290">
        <f>+K2600/L2600</f>
        <v>6738.375</v>
      </c>
    </row>
    <row r="2601" spans="2:14">
      <c r="B2601" s="1179" t="s">
        <v>326</v>
      </c>
      <c r="C2601" s="1180"/>
      <c r="D2601" s="1180"/>
      <c r="E2601" s="1180"/>
      <c r="F2601" s="1181"/>
      <c r="G2601" s="295"/>
      <c r="H2601" s="294"/>
      <c r="I2601" s="1182" t="s">
        <v>267</v>
      </c>
      <c r="J2601" s="1183"/>
      <c r="K2601" s="290">
        <v>3451</v>
      </c>
      <c r="L2601" s="1118">
        <v>0.5</v>
      </c>
      <c r="M2601" s="1119"/>
      <c r="N2601" s="290">
        <f>+K2601/L2601</f>
        <v>6902</v>
      </c>
    </row>
    <row r="2602" spans="2:14">
      <c r="B2602" s="1179" t="s">
        <v>319</v>
      </c>
      <c r="C2602" s="1180"/>
      <c r="D2602" s="1180"/>
      <c r="E2602" s="1180"/>
      <c r="F2602" s="1181"/>
      <c r="G2602" s="295"/>
      <c r="H2602" s="294"/>
      <c r="I2602" s="1182" t="s">
        <v>267</v>
      </c>
      <c r="J2602" s="1183"/>
      <c r="K2602" s="290">
        <v>464</v>
      </c>
      <c r="L2602" s="1118">
        <v>2.5</v>
      </c>
      <c r="M2602" s="1119"/>
      <c r="N2602" s="290">
        <f>+K2602/L2602</f>
        <v>185.6</v>
      </c>
    </row>
    <row r="2603" spans="2:14">
      <c r="B2603" s="1179" t="s">
        <v>340</v>
      </c>
      <c r="C2603" s="1180"/>
      <c r="D2603" s="1180"/>
      <c r="E2603" s="1180"/>
      <c r="F2603" s="1181"/>
      <c r="G2603" s="295"/>
      <c r="H2603" s="294"/>
      <c r="I2603" s="1182" t="s">
        <v>267</v>
      </c>
      <c r="J2603" s="1183"/>
      <c r="K2603" s="290">
        <v>45220</v>
      </c>
      <c r="L2603" s="1118">
        <v>10</v>
      </c>
      <c r="M2603" s="1119"/>
      <c r="N2603" s="290">
        <f>+K2603/L2603</f>
        <v>4522</v>
      </c>
    </row>
    <row r="2604" spans="2:14" ht="13.5" thickBot="1">
      <c r="B2604" s="1179"/>
      <c r="C2604" s="1180"/>
      <c r="D2604" s="1180"/>
      <c r="E2604" s="1180"/>
      <c r="F2604" s="1181"/>
      <c r="G2604" s="295"/>
      <c r="H2604" s="294"/>
      <c r="I2604" s="1182"/>
      <c r="J2604" s="1183"/>
      <c r="K2604" s="290"/>
      <c r="L2604" s="1118"/>
      <c r="M2604" s="1119"/>
      <c r="N2604" s="290"/>
    </row>
    <row r="2605" spans="2:14" ht="13.5" thickBot="1">
      <c r="B2605" s="1100" t="s">
        <v>269</v>
      </c>
      <c r="C2605" s="1101"/>
      <c r="D2605" s="1101"/>
      <c r="E2605" s="1101"/>
      <c r="F2605" s="1101"/>
      <c r="G2605" s="1101"/>
      <c r="H2605" s="1101"/>
      <c r="I2605" s="1101"/>
      <c r="J2605" s="1101"/>
      <c r="K2605" s="1101"/>
      <c r="L2605" s="1101"/>
      <c r="M2605" s="1102"/>
      <c r="N2605" s="323">
        <f>+N2600+N2601+N2602+N2603</f>
        <v>18347.974999999999</v>
      </c>
    </row>
    <row r="2606" spans="2:14">
      <c r="B2606" s="1103" t="s">
        <v>270</v>
      </c>
      <c r="C2606" s="1104"/>
      <c r="D2606" s="1104"/>
      <c r="E2606" s="1104"/>
      <c r="F2606" s="1104"/>
      <c r="G2606" s="1104"/>
      <c r="H2606" s="1104"/>
      <c r="I2606" s="1104"/>
      <c r="J2606" s="1104"/>
      <c r="K2606" s="1104"/>
      <c r="L2606" s="1104"/>
      <c r="M2606" s="1104"/>
      <c r="N2606" s="1105"/>
    </row>
    <row r="2607" spans="2:14">
      <c r="B2607" s="1106"/>
      <c r="C2607" s="1107"/>
      <c r="D2607" s="1107"/>
      <c r="E2607" s="1107"/>
      <c r="F2607" s="1107"/>
      <c r="G2607" s="1107"/>
      <c r="H2607" s="1107"/>
      <c r="I2607" s="1107"/>
      <c r="J2607" s="1107"/>
      <c r="K2607" s="1107"/>
      <c r="L2607" s="1107"/>
      <c r="M2607" s="1107"/>
      <c r="N2607" s="1108"/>
    </row>
    <row r="2608" spans="2:14" ht="13.5" thickBot="1">
      <c r="B2608" s="1109"/>
      <c r="C2608" s="1110"/>
      <c r="D2608" s="1110"/>
      <c r="E2608" s="1110"/>
      <c r="F2608" s="1110"/>
      <c r="G2608" s="1110"/>
      <c r="H2608" s="1110"/>
      <c r="I2608" s="1110"/>
      <c r="J2608" s="1110"/>
      <c r="K2608" s="1110"/>
      <c r="L2608" s="1110"/>
      <c r="M2608" s="1110"/>
      <c r="N2608" s="1111"/>
    </row>
    <row r="2609" spans="2:14">
      <c r="B2609" s="1130" t="s">
        <v>258</v>
      </c>
      <c r="C2609" s="1139"/>
      <c r="D2609" s="1139"/>
      <c r="E2609" s="1139"/>
      <c r="F2609" s="1139"/>
      <c r="G2609" s="1139"/>
      <c r="H2609" s="1139"/>
      <c r="I2609" s="1136"/>
      <c r="J2609" s="299" t="s">
        <v>259</v>
      </c>
      <c r="K2609" s="288" t="s">
        <v>133</v>
      </c>
      <c r="L2609" s="1133" t="s">
        <v>271</v>
      </c>
      <c r="M2609" s="1136"/>
      <c r="N2609" s="289" t="s">
        <v>265</v>
      </c>
    </row>
    <row r="2610" spans="2:14">
      <c r="B2610" s="1112" t="s">
        <v>342</v>
      </c>
      <c r="C2610" s="1113"/>
      <c r="D2610" s="1113"/>
      <c r="E2610" s="1113"/>
      <c r="F2610" s="1113"/>
      <c r="G2610" s="1113"/>
      <c r="H2610" s="1113"/>
      <c r="I2610" s="1114"/>
      <c r="J2610" s="300" t="s">
        <v>147</v>
      </c>
      <c r="K2610" s="301">
        <v>0.38</v>
      </c>
      <c r="L2610" s="1144">
        <v>337058</v>
      </c>
      <c r="M2610" s="1145"/>
      <c r="N2610" s="363">
        <f>+K2610*L2610</f>
        <v>128082.04000000001</v>
      </c>
    </row>
    <row r="2611" spans="2:14" ht="13.5" thickBot="1">
      <c r="B2611" s="1094" t="s">
        <v>343</v>
      </c>
      <c r="C2611" s="1095"/>
      <c r="D2611" s="1095"/>
      <c r="E2611" s="1095"/>
      <c r="F2611" s="1095"/>
      <c r="G2611" s="1095"/>
      <c r="H2611" s="1095"/>
      <c r="I2611" s="1096"/>
      <c r="J2611" s="303" t="s">
        <v>196</v>
      </c>
      <c r="K2611" s="304">
        <v>1.1499999999999999</v>
      </c>
      <c r="L2611" s="1144">
        <v>14042</v>
      </c>
      <c r="M2611" s="1145"/>
      <c r="N2611" s="363">
        <f>+K2611*L2611</f>
        <v>16148.3</v>
      </c>
    </row>
    <row r="2612" spans="2:14" ht="13.5" thickBot="1">
      <c r="B2612" s="1100" t="s">
        <v>269</v>
      </c>
      <c r="C2612" s="1101"/>
      <c r="D2612" s="1101"/>
      <c r="E2612" s="1101"/>
      <c r="F2612" s="1101"/>
      <c r="G2612" s="1101"/>
      <c r="H2612" s="1101"/>
      <c r="I2612" s="1101"/>
      <c r="J2612" s="1101"/>
      <c r="K2612" s="1101"/>
      <c r="L2612" s="1101"/>
      <c r="M2612" s="1102"/>
      <c r="N2612" s="323">
        <f>+N2610+N2611</f>
        <v>144230.34</v>
      </c>
    </row>
    <row r="2613" spans="2:14">
      <c r="B2613" s="1103" t="s">
        <v>276</v>
      </c>
      <c r="C2613" s="1104"/>
      <c r="D2613" s="1104"/>
      <c r="E2613" s="1104"/>
      <c r="F2613" s="1104"/>
      <c r="G2613" s="1104"/>
      <c r="H2613" s="1104"/>
      <c r="I2613" s="1104"/>
      <c r="J2613" s="1104"/>
      <c r="K2613" s="1104"/>
      <c r="L2613" s="1104"/>
      <c r="M2613" s="1104"/>
      <c r="N2613" s="1105"/>
    </row>
    <row r="2614" spans="2:14">
      <c r="B2614" s="1106"/>
      <c r="C2614" s="1107"/>
      <c r="D2614" s="1107"/>
      <c r="E2614" s="1107"/>
      <c r="F2614" s="1107"/>
      <c r="G2614" s="1107"/>
      <c r="H2614" s="1107"/>
      <c r="I2614" s="1107"/>
      <c r="J2614" s="1107"/>
      <c r="K2614" s="1107"/>
      <c r="L2614" s="1107"/>
      <c r="M2614" s="1107"/>
      <c r="N2614" s="1108"/>
    </row>
    <row r="2615" spans="2:14" ht="13.5" thickBot="1">
      <c r="B2615" s="1109"/>
      <c r="C2615" s="1110"/>
      <c r="D2615" s="1110"/>
      <c r="E2615" s="1110"/>
      <c r="F2615" s="1110"/>
      <c r="G2615" s="1110"/>
      <c r="H2615" s="1110"/>
      <c r="I2615" s="1110"/>
      <c r="J2615" s="1110"/>
      <c r="K2615" s="1110"/>
      <c r="L2615" s="1110"/>
      <c r="M2615" s="1110"/>
      <c r="N2615" s="1111"/>
    </row>
    <row r="2616" spans="2:14">
      <c r="B2616" s="1130" t="s">
        <v>277</v>
      </c>
      <c r="C2616" s="1139"/>
      <c r="D2616" s="1139"/>
      <c r="E2616" s="1139"/>
      <c r="F2616" s="1139"/>
      <c r="G2616" s="1139"/>
      <c r="H2616" s="1139"/>
      <c r="I2616" s="288" t="s">
        <v>278</v>
      </c>
      <c r="J2616" s="306" t="s">
        <v>279</v>
      </c>
      <c r="K2616" s="307" t="s">
        <v>280</v>
      </c>
      <c r="L2616" s="1133" t="s">
        <v>281</v>
      </c>
      <c r="M2616" s="1136"/>
      <c r="N2616" s="289" t="s">
        <v>265</v>
      </c>
    </row>
    <row r="2617" spans="2:14" ht="13.5" thickBot="1">
      <c r="B2617" s="1112"/>
      <c r="C2617" s="1113"/>
      <c r="D2617" s="1113"/>
      <c r="E2617" s="1113"/>
      <c r="F2617" s="1113"/>
      <c r="G2617" s="1113"/>
      <c r="H2617" s="1113"/>
      <c r="I2617" s="393"/>
      <c r="J2617" s="309"/>
      <c r="K2617" s="308"/>
      <c r="L2617" s="1144"/>
      <c r="M2617" s="1145"/>
      <c r="N2617" s="363"/>
    </row>
    <row r="2618" spans="2:14" ht="13.5" thickBot="1">
      <c r="B2618" s="1100" t="s">
        <v>269</v>
      </c>
      <c r="C2618" s="1101"/>
      <c r="D2618" s="1101"/>
      <c r="E2618" s="1101"/>
      <c r="F2618" s="1101"/>
      <c r="G2618" s="1101"/>
      <c r="H2618" s="1101"/>
      <c r="I2618" s="1101"/>
      <c r="J2618" s="1101"/>
      <c r="K2618" s="1101"/>
      <c r="L2618" s="1101"/>
      <c r="M2618" s="1102"/>
      <c r="N2618" s="323">
        <f>+N2617</f>
        <v>0</v>
      </c>
    </row>
    <row r="2619" spans="2:14">
      <c r="B2619" s="1103" t="s">
        <v>282</v>
      </c>
      <c r="C2619" s="1104"/>
      <c r="D2619" s="1104"/>
      <c r="E2619" s="1104"/>
      <c r="F2619" s="1104"/>
      <c r="G2619" s="1104"/>
      <c r="H2619" s="1104"/>
      <c r="I2619" s="1104"/>
      <c r="J2619" s="1104"/>
      <c r="K2619" s="1104"/>
      <c r="L2619" s="1104"/>
      <c r="M2619" s="1104"/>
      <c r="N2619" s="1105"/>
    </row>
    <row r="2620" spans="2:14">
      <c r="B2620" s="1106"/>
      <c r="C2620" s="1107"/>
      <c r="D2620" s="1107"/>
      <c r="E2620" s="1107"/>
      <c r="F2620" s="1107"/>
      <c r="G2620" s="1107"/>
      <c r="H2620" s="1107"/>
      <c r="I2620" s="1107"/>
      <c r="J2620" s="1107"/>
      <c r="K2620" s="1107"/>
      <c r="L2620" s="1107"/>
      <c r="M2620" s="1107"/>
      <c r="N2620" s="1108"/>
    </row>
    <row r="2621" spans="2:14" ht="13.5" thickBot="1">
      <c r="B2621" s="1109"/>
      <c r="C2621" s="1110"/>
      <c r="D2621" s="1110"/>
      <c r="E2621" s="1110"/>
      <c r="F2621" s="1110"/>
      <c r="G2621" s="1110"/>
      <c r="H2621" s="1110"/>
      <c r="I2621" s="1110"/>
      <c r="J2621" s="1110"/>
      <c r="K2621" s="1110"/>
      <c r="L2621" s="1110"/>
      <c r="M2621" s="1110"/>
      <c r="N2621" s="1111"/>
    </row>
    <row r="2622" spans="2:14">
      <c r="B2622" s="1130" t="s">
        <v>283</v>
      </c>
      <c r="C2622" s="1139"/>
      <c r="D2622" s="1139"/>
      <c r="E2622" s="1139"/>
      <c r="F2622" s="1139"/>
      <c r="G2622" s="1139"/>
      <c r="H2622" s="1139"/>
      <c r="I2622" s="288" t="s">
        <v>284</v>
      </c>
      <c r="J2622" s="314" t="s">
        <v>285</v>
      </c>
      <c r="K2622" s="315" t="s">
        <v>286</v>
      </c>
      <c r="L2622" s="1140" t="s">
        <v>264</v>
      </c>
      <c r="M2622" s="1141"/>
      <c r="N2622" s="316" t="s">
        <v>265</v>
      </c>
    </row>
    <row r="2623" spans="2:14">
      <c r="B2623" s="317" t="s">
        <v>344</v>
      </c>
      <c r="C2623" s="318"/>
      <c r="D2623" s="318"/>
      <c r="E2623" s="318"/>
      <c r="F2623" s="318"/>
      <c r="G2623" s="318"/>
      <c r="H2623" s="318"/>
      <c r="I2623" s="319">
        <v>153482</v>
      </c>
      <c r="J2623" s="321">
        <v>0</v>
      </c>
      <c r="K2623" s="321">
        <f>+I2623+J2623</f>
        <v>153482</v>
      </c>
      <c r="L2623" s="1157">
        <v>2</v>
      </c>
      <c r="M2623" s="1158"/>
      <c r="N2623" s="322">
        <f>+K2623/L2623</f>
        <v>76741</v>
      </c>
    </row>
    <row r="2624" spans="2:14" ht="13.5" thickBot="1">
      <c r="B2624" s="356" t="s">
        <v>345</v>
      </c>
      <c r="C2624" s="318"/>
      <c r="D2624" s="318"/>
      <c r="E2624" s="318"/>
      <c r="F2624" s="318"/>
      <c r="G2624" s="318"/>
      <c r="H2624" s="318"/>
      <c r="I2624" s="319">
        <v>264960</v>
      </c>
      <c r="J2624" s="321">
        <v>0</v>
      </c>
      <c r="K2624" s="321">
        <f>+I2624+J2624</f>
        <v>264960</v>
      </c>
      <c r="L2624" s="1157">
        <v>5</v>
      </c>
      <c r="M2624" s="1158"/>
      <c r="N2624" s="322">
        <f>+K2624/L2624</f>
        <v>52992</v>
      </c>
    </row>
    <row r="2625" spans="2:14" ht="13.5" thickBot="1">
      <c r="B2625" s="1100" t="s">
        <v>269</v>
      </c>
      <c r="C2625" s="1101"/>
      <c r="D2625" s="1101"/>
      <c r="E2625" s="1101"/>
      <c r="F2625" s="1101"/>
      <c r="G2625" s="1101"/>
      <c r="H2625" s="1101"/>
      <c r="I2625" s="1101"/>
      <c r="J2625" s="1101"/>
      <c r="K2625" s="1101"/>
      <c r="L2625" s="1101"/>
      <c r="M2625" s="1102"/>
      <c r="N2625" s="323">
        <f>+N2623+N2624</f>
        <v>129733</v>
      </c>
    </row>
    <row r="2626" spans="2:14" ht="13.5" thickBot="1">
      <c r="B2626" s="324" t="s">
        <v>288</v>
      </c>
      <c r="C2626" s="325"/>
      <c r="D2626" s="325"/>
      <c r="E2626" s="325"/>
      <c r="F2626" s="325"/>
      <c r="G2626" s="325"/>
      <c r="H2626" s="325"/>
      <c r="I2626" s="326"/>
      <c r="J2626" s="327"/>
      <c r="K2626" s="328"/>
      <c r="L2626" s="329"/>
      <c r="M2626" s="329"/>
      <c r="N2626" s="330"/>
    </row>
    <row r="2627" spans="2:14">
      <c r="B2627" s="1130" t="s">
        <v>17</v>
      </c>
      <c r="C2627" s="1139"/>
      <c r="D2627" s="1139"/>
      <c r="E2627" s="1139"/>
      <c r="F2627" s="1139"/>
      <c r="G2627" s="1139"/>
      <c r="H2627" s="1139"/>
      <c r="I2627" s="1136"/>
      <c r="J2627" s="299" t="s">
        <v>259</v>
      </c>
      <c r="K2627" s="288" t="s">
        <v>133</v>
      </c>
      <c r="L2627" s="1133" t="s">
        <v>271</v>
      </c>
      <c r="M2627" s="1136"/>
      <c r="N2627" s="316" t="s">
        <v>265</v>
      </c>
    </row>
    <row r="2628" spans="2:14" ht="13.5" thickBot="1">
      <c r="B2628" s="331" t="s">
        <v>289</v>
      </c>
      <c r="C2628" s="332"/>
      <c r="D2628" s="332"/>
      <c r="E2628" s="332"/>
      <c r="F2628" s="332"/>
      <c r="G2628" s="332"/>
      <c r="H2628" s="332"/>
      <c r="I2628" s="333"/>
      <c r="J2628" s="334" t="s">
        <v>290</v>
      </c>
      <c r="K2628" s="335">
        <v>0.05</v>
      </c>
      <c r="L2628" s="1144">
        <f>+N2625</f>
        <v>129733</v>
      </c>
      <c r="M2628" s="1145"/>
      <c r="N2628" s="322">
        <f>+K2628*L2628</f>
        <v>6486.6500000000005</v>
      </c>
    </row>
    <row r="2629" spans="2:14" ht="13.5" thickBot="1">
      <c r="B2629" s="1100" t="s">
        <v>269</v>
      </c>
      <c r="C2629" s="1101"/>
      <c r="D2629" s="1101"/>
      <c r="E2629" s="1101"/>
      <c r="F2629" s="1101"/>
      <c r="G2629" s="1101"/>
      <c r="H2629" s="1101"/>
      <c r="I2629" s="1101"/>
      <c r="J2629" s="1101"/>
      <c r="K2629" s="1101"/>
      <c r="L2629" s="1101"/>
      <c r="M2629" s="1102"/>
      <c r="N2629" s="323">
        <f>+N2628</f>
        <v>6486.6500000000005</v>
      </c>
    </row>
    <row r="2630" spans="2:14" ht="13.5" thickBot="1">
      <c r="B2630" s="324" t="s">
        <v>78</v>
      </c>
      <c r="C2630" s="325"/>
      <c r="D2630" s="325"/>
      <c r="E2630" s="325"/>
      <c r="F2630" s="325"/>
      <c r="G2630" s="325"/>
      <c r="H2630" s="325"/>
      <c r="I2630" s="326"/>
      <c r="J2630" s="327"/>
      <c r="K2630" s="328"/>
      <c r="L2630" s="329"/>
      <c r="M2630" s="329"/>
      <c r="N2630" s="330"/>
    </row>
    <row r="2631" spans="2:14">
      <c r="B2631" s="1130" t="s">
        <v>17</v>
      </c>
      <c r="C2631" s="1139"/>
      <c r="D2631" s="1139"/>
      <c r="E2631" s="1139"/>
      <c r="F2631" s="1139"/>
      <c r="G2631" s="1139"/>
      <c r="H2631" s="1139"/>
      <c r="I2631" s="1136"/>
      <c r="J2631" s="299" t="s">
        <v>259</v>
      </c>
      <c r="K2631" s="288" t="s">
        <v>133</v>
      </c>
      <c r="L2631" s="1133" t="s">
        <v>271</v>
      </c>
      <c r="M2631" s="1136"/>
      <c r="N2631" s="316" t="s">
        <v>265</v>
      </c>
    </row>
    <row r="2632" spans="2:14" ht="13.5" thickBot="1">
      <c r="B2632" s="1186" t="s">
        <v>161</v>
      </c>
      <c r="C2632" s="1187"/>
      <c r="D2632" s="1187"/>
      <c r="E2632" s="1187"/>
      <c r="F2632" s="1187"/>
      <c r="G2632" s="1187"/>
      <c r="H2632" s="1188"/>
      <c r="I2632" s="333"/>
      <c r="J2632" s="396" t="s">
        <v>147</v>
      </c>
      <c r="K2632" s="399">
        <v>1.1299999999999999</v>
      </c>
      <c r="L2632" s="1184">
        <v>38446</v>
      </c>
      <c r="M2632" s="1185"/>
      <c r="N2632" s="398">
        <f>+L2632*K2632</f>
        <v>43443.979999999996</v>
      </c>
    </row>
    <row r="2633" spans="2:14" ht="13.5" thickBot="1">
      <c r="B2633" s="1100" t="s">
        <v>269</v>
      </c>
      <c r="C2633" s="1101"/>
      <c r="D2633" s="1101"/>
      <c r="E2633" s="1101"/>
      <c r="F2633" s="1101"/>
      <c r="G2633" s="1101"/>
      <c r="H2633" s="1101"/>
      <c r="I2633" s="1101"/>
      <c r="J2633" s="1101"/>
      <c r="K2633" s="1101"/>
      <c r="L2633" s="1101"/>
      <c r="M2633" s="1102"/>
      <c r="N2633" s="323">
        <f>+N2632</f>
        <v>43443.979999999996</v>
      </c>
    </row>
    <row r="2634" spans="2:14">
      <c r="B2634" s="280"/>
      <c r="C2634" s="281"/>
      <c r="D2634" s="281"/>
      <c r="E2634" s="281"/>
      <c r="F2634" s="281"/>
      <c r="G2634" s="281"/>
      <c r="H2634" s="281"/>
      <c r="I2634" s="281"/>
      <c r="J2634" s="281"/>
      <c r="K2634" s="281"/>
      <c r="L2634" s="281"/>
      <c r="M2634" s="281"/>
      <c r="N2634" s="282"/>
    </row>
    <row r="2635" spans="2:14" ht="13.5" thickBot="1">
      <c r="B2635" s="378"/>
      <c r="C2635" s="311"/>
      <c r="D2635" s="311"/>
      <c r="E2635" s="311"/>
      <c r="F2635" s="311"/>
      <c r="G2635" s="311"/>
      <c r="H2635" s="311"/>
      <c r="I2635" s="311"/>
      <c r="J2635" s="311"/>
      <c r="K2635" s="311"/>
      <c r="L2635" s="311"/>
      <c r="M2635" s="311"/>
      <c r="N2635" s="379"/>
    </row>
    <row r="2636" spans="2:14" ht="13.5" thickBot="1">
      <c r="B2636" s="1150" t="s">
        <v>291</v>
      </c>
      <c r="C2636" s="1151"/>
      <c r="D2636" s="1151"/>
      <c r="E2636" s="1151"/>
      <c r="F2636" s="1151"/>
      <c r="G2636" s="1151"/>
      <c r="H2636" s="1151"/>
      <c r="I2636" s="1151"/>
      <c r="J2636" s="1151"/>
      <c r="K2636" s="1151"/>
      <c r="L2636" s="1151"/>
      <c r="M2636" s="1152"/>
      <c r="N2636" s="336">
        <f>+N2605+N2612+N2618+N2625+N2633+N2629</f>
        <v>342241.94500000001</v>
      </c>
    </row>
    <row r="2637" spans="2:14">
      <c r="B2637" s="1103" t="s">
        <v>292</v>
      </c>
      <c r="C2637" s="1104"/>
      <c r="D2637" s="1104"/>
      <c r="E2637" s="1104"/>
      <c r="F2637" s="1104"/>
      <c r="G2637" s="1104"/>
      <c r="H2637" s="1104"/>
      <c r="I2637" s="1104"/>
      <c r="J2637" s="1104"/>
      <c r="K2637" s="1104"/>
      <c r="L2637" s="1104"/>
      <c r="M2637" s="1104"/>
      <c r="N2637" s="1105"/>
    </row>
    <row r="2638" spans="2:14">
      <c r="B2638" s="1106"/>
      <c r="C2638" s="1107"/>
      <c r="D2638" s="1107"/>
      <c r="E2638" s="1107"/>
      <c r="F2638" s="1107"/>
      <c r="G2638" s="1107"/>
      <c r="H2638" s="1107"/>
      <c r="I2638" s="1107"/>
      <c r="J2638" s="1107"/>
      <c r="K2638" s="1107"/>
      <c r="L2638" s="1107"/>
      <c r="M2638" s="1107"/>
      <c r="N2638" s="1108"/>
    </row>
    <row r="2639" spans="2:14" ht="13.5" thickBot="1">
      <c r="B2639" s="1109"/>
      <c r="C2639" s="1110"/>
      <c r="D2639" s="1110"/>
      <c r="E2639" s="1110"/>
      <c r="F2639" s="1110"/>
      <c r="G2639" s="1110"/>
      <c r="H2639" s="1110"/>
      <c r="I2639" s="1110"/>
      <c r="J2639" s="1110"/>
      <c r="K2639" s="1110"/>
      <c r="L2639" s="1110"/>
      <c r="M2639" s="1110"/>
      <c r="N2639" s="1111"/>
    </row>
    <row r="2640" spans="2:14">
      <c r="B2640" s="1130" t="s">
        <v>17</v>
      </c>
      <c r="C2640" s="1139"/>
      <c r="D2640" s="1139"/>
      <c r="E2640" s="1139"/>
      <c r="F2640" s="1139"/>
      <c r="G2640" s="1139"/>
      <c r="H2640" s="1139"/>
      <c r="I2640" s="306"/>
      <c r="J2640" s="337"/>
      <c r="K2640" s="315" t="s">
        <v>79</v>
      </c>
      <c r="L2640" s="1140" t="s">
        <v>11</v>
      </c>
      <c r="M2640" s="1141"/>
      <c r="N2640" s="316"/>
    </row>
    <row r="2641" spans="2:14">
      <c r="B2641" s="1112" t="s">
        <v>232</v>
      </c>
      <c r="C2641" s="1113"/>
      <c r="D2641" s="1113"/>
      <c r="E2641" s="1113"/>
      <c r="F2641" s="1113"/>
      <c r="G2641" s="1113"/>
      <c r="H2641" s="1113"/>
      <c r="I2641" s="338"/>
      <c r="J2641" s="339"/>
      <c r="K2641" s="340">
        <f>'PRESUPUESTO OFICIAL'!$K$100</f>
        <v>0</v>
      </c>
      <c r="L2641" s="1146">
        <f>K2641*N2636</f>
        <v>0</v>
      </c>
      <c r="M2641" s="1147"/>
      <c r="N2641" s="341"/>
    </row>
    <row r="2642" spans="2:14">
      <c r="B2642" s="292" t="s">
        <v>293</v>
      </c>
      <c r="C2642" s="293"/>
      <c r="D2642" s="293"/>
      <c r="E2642" s="293"/>
      <c r="F2642" s="293"/>
      <c r="G2642" s="293"/>
      <c r="H2642" s="293"/>
      <c r="I2642" s="338"/>
      <c r="J2642" s="339"/>
      <c r="K2642" s="340">
        <f>'PRESUPUESTO OFICIAL'!$K$101</f>
        <v>0</v>
      </c>
      <c r="L2642" s="1146">
        <f>K2642*N2636</f>
        <v>0</v>
      </c>
      <c r="M2642" s="1147"/>
      <c r="N2642" s="341"/>
    </row>
    <row r="2643" spans="2:14" ht="13.5" thickBot="1">
      <c r="B2643" s="277" t="s">
        <v>294</v>
      </c>
      <c r="C2643" s="278"/>
      <c r="D2643" s="278"/>
      <c r="E2643" s="278"/>
      <c r="F2643" s="278"/>
      <c r="G2643" s="278"/>
      <c r="H2643" s="278"/>
      <c r="I2643" s="342"/>
      <c r="J2643" s="343"/>
      <c r="K2643" s="340">
        <f>'PRESUPUESTO OFICIAL'!$K$102</f>
        <v>0</v>
      </c>
      <c r="L2643" s="1148">
        <f>K2643*N2636</f>
        <v>0</v>
      </c>
      <c r="M2643" s="1149"/>
      <c r="N2643" s="341"/>
    </row>
    <row r="2644" spans="2:14" ht="13.5" thickBot="1">
      <c r="B2644" s="1100" t="s">
        <v>269</v>
      </c>
      <c r="C2644" s="1101"/>
      <c r="D2644" s="1101"/>
      <c r="E2644" s="1101"/>
      <c r="F2644" s="1101"/>
      <c r="G2644" s="1101"/>
      <c r="H2644" s="1101"/>
      <c r="I2644" s="1101"/>
      <c r="J2644" s="1101"/>
      <c r="K2644" s="1101"/>
      <c r="L2644" s="1101"/>
      <c r="M2644" s="1102"/>
      <c r="N2644" s="344">
        <f>SUM(L2641:M2643)</f>
        <v>0</v>
      </c>
    </row>
    <row r="2645" spans="2:14" ht="13.5" thickBot="1">
      <c r="B2645" s="283"/>
      <c r="N2645" s="284"/>
    </row>
    <row r="2646" spans="2:14" ht="13.5" thickBot="1">
      <c r="B2646" s="1150" t="s">
        <v>295</v>
      </c>
      <c r="C2646" s="1151"/>
      <c r="D2646" s="1151"/>
      <c r="E2646" s="1151"/>
      <c r="F2646" s="1151"/>
      <c r="G2646" s="1151"/>
      <c r="H2646" s="1151"/>
      <c r="I2646" s="1151"/>
      <c r="J2646" s="1151"/>
      <c r="K2646" s="1151"/>
      <c r="L2646" s="1151"/>
      <c r="M2646" s="1152"/>
      <c r="N2646" s="345">
        <f>ROUND(N2636+N2644,0)</f>
        <v>342242</v>
      </c>
    </row>
    <row r="2647" spans="2:14">
      <c r="B2647" s="280"/>
      <c r="C2647" s="281"/>
      <c r="D2647" s="281"/>
      <c r="E2647" s="281"/>
      <c r="F2647" s="281"/>
      <c r="G2647" s="281"/>
      <c r="H2647" s="281"/>
      <c r="I2647" s="281"/>
      <c r="J2647" s="281"/>
      <c r="K2647" s="281"/>
      <c r="L2647" s="281"/>
      <c r="M2647" s="281"/>
      <c r="N2647" s="282"/>
    </row>
    <row r="2648" spans="2:14">
      <c r="B2648" s="283"/>
      <c r="N2648" s="284"/>
    </row>
    <row r="2649" spans="2:14">
      <c r="B2649" s="283"/>
      <c r="N2649" s="284"/>
    </row>
    <row r="2650" spans="2:14">
      <c r="B2650" s="283"/>
      <c r="G2650" s="346" t="s">
        <v>296</v>
      </c>
      <c r="H2650" s="346"/>
      <c r="I2650" s="346"/>
      <c r="J2650" s="346"/>
      <c r="N2650" s="284"/>
    </row>
    <row r="2651" spans="2:14">
      <c r="B2651" s="347"/>
      <c r="C2651" s="348"/>
      <c r="D2651" s="348"/>
      <c r="E2651" s="348"/>
      <c r="F2651" s="348"/>
      <c r="G2651" s="346" t="s">
        <v>297</v>
      </c>
      <c r="H2651" s="348"/>
      <c r="I2651" s="348"/>
      <c r="J2651" s="348"/>
      <c r="K2651" s="348"/>
      <c r="L2651" s="348"/>
      <c r="M2651" s="348"/>
      <c r="N2651" s="349"/>
    </row>
    <row r="2652" spans="2:14">
      <c r="B2652" s="347"/>
      <c r="C2652" s="348"/>
      <c r="D2652" s="348"/>
      <c r="E2652" s="348"/>
      <c r="F2652" s="348"/>
      <c r="G2652" s="346" t="s">
        <v>298</v>
      </c>
      <c r="J2652" s="348"/>
      <c r="K2652" s="348"/>
      <c r="L2652" s="348"/>
      <c r="M2652" s="348"/>
      <c r="N2652" s="349"/>
    </row>
    <row r="2653" spans="2:14">
      <c r="B2653" s="268"/>
      <c r="C2653" s="350"/>
      <c r="D2653" s="350"/>
      <c r="E2653" s="350"/>
      <c r="F2653" s="350"/>
      <c r="G2653" s="346" t="s">
        <v>299</v>
      </c>
      <c r="H2653" s="350"/>
      <c r="I2653" s="350"/>
      <c r="J2653" s="350"/>
      <c r="K2653" s="350"/>
      <c r="L2653" s="350"/>
      <c r="M2653" s="350"/>
      <c r="N2653" s="351"/>
    </row>
    <row r="2654" spans="2:14">
      <c r="B2654" s="283"/>
      <c r="G2654" s="258" t="s">
        <v>300</v>
      </c>
      <c r="N2654" s="284"/>
    </row>
    <row r="2655" spans="2:14">
      <c r="B2655" s="352" t="s">
        <v>301</v>
      </c>
      <c r="C2655" s="353"/>
      <c r="D2655" s="353"/>
      <c r="E2655" s="353"/>
      <c r="F2655" s="353"/>
      <c r="G2655" s="353"/>
      <c r="H2655" s="353"/>
      <c r="I2655" s="353"/>
      <c r="J2655" s="353"/>
      <c r="K2655" s="353"/>
      <c r="L2655" s="353"/>
      <c r="M2655" s="353"/>
      <c r="N2655" s="354"/>
    </row>
    <row r="2656" spans="2:14">
      <c r="B2656" s="1153"/>
      <c r="C2656" s="1154"/>
      <c r="D2656" s="1154"/>
      <c r="E2656" s="1154"/>
      <c r="F2656" s="1154"/>
      <c r="G2656" s="1154"/>
      <c r="H2656" s="1154"/>
      <c r="I2656" s="1154"/>
      <c r="J2656" s="1154"/>
      <c r="K2656" s="1154"/>
      <c r="L2656" s="1154"/>
      <c r="M2656" s="1154"/>
      <c r="N2656" s="1155"/>
    </row>
    <row r="2657" spans="2:14">
      <c r="B2657" s="1153"/>
      <c r="C2657" s="1154"/>
      <c r="D2657" s="1154"/>
      <c r="E2657" s="1154"/>
      <c r="F2657" s="1154"/>
      <c r="G2657" s="1154"/>
      <c r="H2657" s="1154"/>
      <c r="I2657" s="1154"/>
      <c r="J2657" s="1154"/>
      <c r="K2657" s="1154"/>
      <c r="L2657" s="1154"/>
      <c r="M2657" s="1154"/>
      <c r="N2657" s="1155"/>
    </row>
    <row r="2658" spans="2:14">
      <c r="B2658" s="268"/>
      <c r="C2658" s="350"/>
      <c r="D2658" s="350"/>
      <c r="E2658" s="350"/>
      <c r="F2658" s="350"/>
      <c r="G2658" s="350"/>
      <c r="H2658" s="350"/>
      <c r="I2658" s="350"/>
      <c r="J2658" s="350"/>
      <c r="K2658" s="350"/>
      <c r="L2658" s="350"/>
      <c r="M2658" s="350"/>
      <c r="N2658" s="351"/>
    </row>
    <row r="2659" spans="2:14">
      <c r="B2659" s="355" t="s">
        <v>302</v>
      </c>
      <c r="C2659" s="350"/>
      <c r="D2659" s="350"/>
      <c r="E2659" s="350"/>
      <c r="F2659" s="350"/>
      <c r="G2659" s="350"/>
      <c r="H2659" s="350"/>
      <c r="I2659" s="350"/>
      <c r="J2659" s="350"/>
      <c r="K2659" s="350"/>
      <c r="L2659" s="350"/>
      <c r="M2659" s="350"/>
      <c r="N2659" s="351"/>
    </row>
    <row r="2660" spans="2:14">
      <c r="B2660" s="1159" t="s">
        <v>303</v>
      </c>
      <c r="C2660" s="1160"/>
      <c r="D2660" s="1160"/>
      <c r="E2660" s="1160"/>
      <c r="F2660" s="1160"/>
      <c r="G2660" s="1160"/>
      <c r="H2660" s="1160"/>
      <c r="I2660" s="1160"/>
      <c r="J2660" s="1160"/>
      <c r="K2660" s="1160"/>
      <c r="L2660" s="1160"/>
      <c r="M2660" s="1160"/>
      <c r="N2660" s="1161"/>
    </row>
    <row r="2661" spans="2:14">
      <c r="B2661" s="1159"/>
      <c r="C2661" s="1160"/>
      <c r="D2661" s="1160"/>
      <c r="E2661" s="1160"/>
      <c r="F2661" s="1160"/>
      <c r="G2661" s="1160"/>
      <c r="H2661" s="1160"/>
      <c r="I2661" s="1160"/>
      <c r="J2661" s="1160"/>
      <c r="K2661" s="1160"/>
      <c r="L2661" s="1160"/>
      <c r="M2661" s="1160"/>
      <c r="N2661" s="1161"/>
    </row>
    <row r="2662" spans="2:14">
      <c r="B2662" s="1159" t="s">
        <v>304</v>
      </c>
      <c r="C2662" s="1160"/>
      <c r="D2662" s="1160"/>
      <c r="E2662" s="1160"/>
      <c r="F2662" s="1160"/>
      <c r="G2662" s="1160"/>
      <c r="H2662" s="1160"/>
      <c r="I2662" s="1160"/>
      <c r="J2662" s="1160"/>
      <c r="K2662" s="1160"/>
      <c r="L2662" s="1160"/>
      <c r="M2662" s="1160"/>
      <c r="N2662" s="1161"/>
    </row>
    <row r="2663" spans="2:14">
      <c r="B2663" s="1159"/>
      <c r="C2663" s="1160"/>
      <c r="D2663" s="1160"/>
      <c r="E2663" s="1160"/>
      <c r="F2663" s="1160"/>
      <c r="G2663" s="1160"/>
      <c r="H2663" s="1160"/>
      <c r="I2663" s="1160"/>
      <c r="J2663" s="1160"/>
      <c r="K2663" s="1160"/>
      <c r="L2663" s="1160"/>
      <c r="M2663" s="1160"/>
      <c r="N2663" s="1161"/>
    </row>
    <row r="2664" spans="2:14">
      <c r="B2664" s="268"/>
      <c r="C2664" s="350"/>
      <c r="D2664" s="350"/>
      <c r="E2664" s="350"/>
      <c r="F2664" s="350"/>
      <c r="G2664" s="350"/>
      <c r="H2664" s="350"/>
      <c r="I2664" s="350"/>
      <c r="J2664" s="350"/>
      <c r="K2664" s="350"/>
      <c r="L2664" s="350"/>
      <c r="M2664" s="350"/>
      <c r="N2664" s="351"/>
    </row>
    <row r="2665" spans="2:14">
      <c r="B2665" s="283"/>
      <c r="G2665" s="346" t="s">
        <v>296</v>
      </c>
      <c r="N2665" s="284"/>
    </row>
    <row r="2666" spans="2:14">
      <c r="B2666" s="283"/>
      <c r="G2666" s="258" t="s">
        <v>305</v>
      </c>
      <c r="H2666" s="293"/>
      <c r="I2666" s="293"/>
      <c r="J2666" s="293"/>
      <c r="N2666" s="284"/>
    </row>
    <row r="2667" spans="2:14">
      <c r="B2667" s="283"/>
      <c r="G2667" s="258" t="s">
        <v>306</v>
      </c>
      <c r="H2667" s="325"/>
      <c r="I2667" s="325"/>
      <c r="J2667" s="325"/>
      <c r="N2667" s="284"/>
    </row>
    <row r="2668" spans="2:14">
      <c r="B2668" s="356"/>
      <c r="C2668" s="350"/>
      <c r="D2668" s="350"/>
      <c r="E2668" s="350"/>
      <c r="F2668" s="350"/>
      <c r="G2668" s="258" t="s">
        <v>299</v>
      </c>
      <c r="K2668" s="350"/>
      <c r="L2668" s="350"/>
      <c r="M2668" s="350"/>
      <c r="N2668" s="351"/>
    </row>
    <row r="2669" spans="2:14">
      <c r="B2669" s="357"/>
      <c r="C2669" s="358"/>
      <c r="D2669" s="358"/>
      <c r="J2669" s="1162"/>
      <c r="K2669" s="1162"/>
      <c r="L2669" s="1162"/>
      <c r="M2669" s="1162"/>
      <c r="N2669" s="1163"/>
    </row>
    <row r="2670" spans="2:14" ht="13.5" thickBot="1">
      <c r="B2670" s="1166"/>
      <c r="C2670" s="1167"/>
      <c r="D2670" s="1167"/>
      <c r="E2670" s="311"/>
      <c r="F2670" s="311"/>
      <c r="G2670" s="311"/>
      <c r="H2670" s="311"/>
      <c r="I2670" s="311"/>
      <c r="J2670" s="1164"/>
      <c r="K2670" s="1164"/>
      <c r="L2670" s="1164"/>
      <c r="M2670" s="1164"/>
      <c r="N2670" s="1165"/>
    </row>
    <row r="2671" spans="2:14" ht="13.5" thickBot="1"/>
    <row r="2672" spans="2:14">
      <c r="B2672" s="1070"/>
      <c r="C2672" s="1072"/>
      <c r="D2672" s="1073"/>
      <c r="E2672" s="1073"/>
      <c r="F2672" s="1073"/>
      <c r="G2672" s="1073"/>
      <c r="H2672" s="1073"/>
      <c r="I2672" s="1073"/>
      <c r="J2672" s="1074"/>
      <c r="K2672" s="1075"/>
      <c r="L2672" s="1076"/>
      <c r="M2672" s="1076"/>
      <c r="N2672" s="1077"/>
    </row>
    <row r="2673" spans="2:14">
      <c r="B2673" s="1071"/>
      <c r="C2673" s="1062" t="s">
        <v>244</v>
      </c>
      <c r="D2673" s="1063"/>
      <c r="E2673" s="1063"/>
      <c r="F2673" s="1063"/>
      <c r="G2673" s="1063"/>
      <c r="H2673" s="1063"/>
      <c r="I2673" s="1063"/>
      <c r="J2673" s="1064"/>
      <c r="K2673" s="1078"/>
      <c r="L2673" s="1079"/>
      <c r="M2673" s="1079"/>
      <c r="N2673" s="1080"/>
    </row>
    <row r="2674" spans="2:14">
      <c r="B2674" s="1071"/>
      <c r="C2674" s="1081"/>
      <c r="D2674" s="1082"/>
      <c r="E2674" s="1082"/>
      <c r="F2674" s="1082"/>
      <c r="G2674" s="1082"/>
      <c r="H2674" s="1082"/>
      <c r="I2674" s="1082"/>
      <c r="J2674" s="1083"/>
      <c r="K2674" s="1058" t="s">
        <v>245</v>
      </c>
      <c r="L2674" s="1085"/>
      <c r="M2674" s="1086"/>
      <c r="N2674" s="1087"/>
    </row>
    <row r="2675" spans="2:14">
      <c r="B2675" s="1071"/>
      <c r="C2675" s="1062" t="s">
        <v>246</v>
      </c>
      <c r="D2675" s="1063"/>
      <c r="E2675" s="1063"/>
      <c r="F2675" s="1063"/>
      <c r="G2675" s="1063"/>
      <c r="H2675" s="1063"/>
      <c r="I2675" s="1063"/>
      <c r="J2675" s="1064"/>
      <c r="K2675" s="1084"/>
      <c r="L2675" s="1088"/>
      <c r="M2675" s="1089"/>
      <c r="N2675" s="1090"/>
    </row>
    <row r="2676" spans="2:14">
      <c r="B2676" s="1071"/>
      <c r="C2676" s="1091"/>
      <c r="D2676" s="1092"/>
      <c r="E2676" s="1092"/>
      <c r="F2676" s="1092"/>
      <c r="G2676" s="1092"/>
      <c r="H2676" s="1092"/>
      <c r="I2676" s="1092"/>
      <c r="J2676" s="1093"/>
      <c r="K2676" s="1058" t="s">
        <v>247</v>
      </c>
      <c r="L2676" s="1058">
        <v>30</v>
      </c>
      <c r="M2676" s="1058" t="s">
        <v>248</v>
      </c>
      <c r="N2676" s="1060">
        <v>80</v>
      </c>
    </row>
    <row r="2677" spans="2:14">
      <c r="B2677" s="1071"/>
      <c r="C2677" s="1091"/>
      <c r="D2677" s="1092"/>
      <c r="E2677" s="1092"/>
      <c r="F2677" s="1092"/>
      <c r="G2677" s="1092"/>
      <c r="H2677" s="1092"/>
      <c r="I2677" s="1092"/>
      <c r="J2677" s="1093"/>
      <c r="K2677" s="1059"/>
      <c r="L2677" s="1059"/>
      <c r="M2677" s="1059"/>
      <c r="N2677" s="1061"/>
    </row>
    <row r="2678" spans="2:14">
      <c r="B2678" s="1071"/>
      <c r="C2678" s="1062" t="s">
        <v>249</v>
      </c>
      <c r="D2678" s="1063"/>
      <c r="E2678" s="1063"/>
      <c r="F2678" s="1063"/>
      <c r="G2678" s="1063"/>
      <c r="H2678" s="1063"/>
      <c r="I2678" s="1063"/>
      <c r="J2678" s="1064"/>
      <c r="K2678" s="1059"/>
      <c r="L2678" s="1059"/>
      <c r="M2678" s="1059"/>
      <c r="N2678" s="1061"/>
    </row>
    <row r="2679" spans="2:14" ht="13.5" thickBot="1">
      <c r="B2679" s="259"/>
      <c r="C2679" s="260"/>
      <c r="D2679" s="260"/>
      <c r="E2679" s="260"/>
      <c r="F2679" s="260"/>
      <c r="G2679" s="260"/>
      <c r="H2679" s="260"/>
      <c r="I2679" s="260"/>
      <c r="J2679" s="260"/>
      <c r="K2679" s="260"/>
      <c r="L2679" s="261"/>
      <c r="M2679" s="261"/>
      <c r="N2679" s="262"/>
    </row>
    <row r="2680" spans="2:14">
      <c r="B2680" s="263"/>
      <c r="C2680" s="264"/>
      <c r="D2680" s="264"/>
      <c r="E2680" s="264"/>
      <c r="F2680" s="264"/>
      <c r="G2680" s="264"/>
      <c r="H2680" s="264"/>
      <c r="I2680" s="264"/>
      <c r="J2680" s="264"/>
      <c r="K2680" s="265" t="s">
        <v>250</v>
      </c>
      <c r="L2680" s="266" t="s">
        <v>251</v>
      </c>
      <c r="M2680" s="266" t="s">
        <v>252</v>
      </c>
      <c r="N2680" s="267" t="s">
        <v>253</v>
      </c>
    </row>
    <row r="2681" spans="2:14">
      <c r="B2681" s="268"/>
      <c r="C2681" s="269"/>
      <c r="D2681" s="269"/>
      <c r="E2681" s="269"/>
      <c r="F2681" s="269"/>
      <c r="G2681" s="269"/>
      <c r="H2681" s="269"/>
      <c r="I2681" s="269"/>
      <c r="J2681" s="269"/>
      <c r="K2681" s="270"/>
      <c r="L2681" s="271"/>
      <c r="M2681" s="271"/>
      <c r="N2681" s="272"/>
    </row>
    <row r="2682" spans="2:14">
      <c r="B2682" s="1065" t="s">
        <v>254</v>
      </c>
      <c r="C2682" s="1066"/>
      <c r="D2682" s="1066"/>
      <c r="E2682" s="1066"/>
      <c r="F2682" s="269"/>
      <c r="G2682" s="269"/>
      <c r="H2682" s="269" t="s">
        <v>255</v>
      </c>
      <c r="J2682" s="269"/>
      <c r="K2682" s="270"/>
      <c r="N2682" s="273"/>
    </row>
    <row r="2683" spans="2:14">
      <c r="B2683" s="274"/>
      <c r="C2683" s="275"/>
      <c r="D2683" s="275"/>
      <c r="E2683" s="275"/>
      <c r="F2683" s="275"/>
      <c r="G2683" s="275"/>
      <c r="H2683" s="275"/>
      <c r="I2683" s="275"/>
      <c r="J2683" s="275"/>
      <c r="K2683" s="275"/>
      <c r="L2683" s="275"/>
      <c r="M2683" s="275"/>
      <c r="N2683" s="276"/>
    </row>
    <row r="2684" spans="2:14" ht="13.5" thickBot="1">
      <c r="B2684" s="277"/>
      <c r="C2684" s="278"/>
      <c r="D2684" s="278"/>
      <c r="E2684" s="278"/>
      <c r="F2684" s="278"/>
      <c r="G2684" s="278"/>
      <c r="H2684" s="278"/>
      <c r="I2684" s="278"/>
      <c r="J2684" s="278"/>
      <c r="K2684" s="278"/>
      <c r="L2684" s="278"/>
      <c r="M2684" s="278"/>
      <c r="N2684" s="279"/>
    </row>
    <row r="2685" spans="2:14" ht="13.5" thickBot="1">
      <c r="B2685" s="280"/>
      <c r="C2685" s="281"/>
      <c r="D2685" s="281"/>
      <c r="E2685" s="281"/>
      <c r="F2685" s="281"/>
      <c r="G2685" s="281"/>
      <c r="J2685" s="281"/>
      <c r="K2685" s="281"/>
      <c r="L2685" s="281"/>
      <c r="M2685" s="281"/>
      <c r="N2685" s="282"/>
    </row>
    <row r="2686" spans="2:14">
      <c r="B2686" s="1067" t="s">
        <v>256</v>
      </c>
      <c r="C2686" s="1068"/>
      <c r="D2686" s="1068"/>
      <c r="E2686" s="1068"/>
      <c r="F2686" s="1068"/>
      <c r="G2686" s="1068"/>
      <c r="H2686" s="1068"/>
      <c r="I2686" s="1068"/>
      <c r="J2686" s="1068"/>
      <c r="K2686" s="1068"/>
      <c r="L2686" s="1068"/>
      <c r="M2686" s="1068"/>
      <c r="N2686" s="1069"/>
    </row>
    <row r="2687" spans="2:14" ht="13.5" thickBot="1">
      <c r="B2687" s="283"/>
      <c r="N2687" s="284"/>
    </row>
    <row r="2688" spans="2:14">
      <c r="B2688" s="285" t="s">
        <v>257</v>
      </c>
      <c r="C2688" s="1120" t="s">
        <v>258</v>
      </c>
      <c r="D2688" s="1121"/>
      <c r="E2688" s="1121"/>
      <c r="F2688" s="1121"/>
      <c r="G2688" s="1121"/>
      <c r="H2688" s="1121"/>
      <c r="I2688" s="1121"/>
      <c r="J2688" s="1121"/>
      <c r="K2688" s="1122"/>
      <c r="L2688" s="1123" t="s">
        <v>259</v>
      </c>
      <c r="M2688" s="1124"/>
      <c r="N2688" s="285" t="s">
        <v>133</v>
      </c>
    </row>
    <row r="2689" spans="2:14" ht="28.5" customHeight="1" thickBot="1">
      <c r="B2689" s="286">
        <v>30</v>
      </c>
      <c r="C2689" s="1125" t="s">
        <v>171</v>
      </c>
      <c r="D2689" s="1126"/>
      <c r="E2689" s="1126"/>
      <c r="F2689" s="1126"/>
      <c r="G2689" s="1126"/>
      <c r="H2689" s="1126"/>
      <c r="I2689" s="1126"/>
      <c r="J2689" s="1126"/>
      <c r="K2689" s="1127"/>
      <c r="L2689" s="1128" t="s">
        <v>147</v>
      </c>
      <c r="M2689" s="1129"/>
      <c r="N2689" s="366">
        <v>5</v>
      </c>
    </row>
    <row r="2690" spans="2:14">
      <c r="B2690" s="1103" t="s">
        <v>260</v>
      </c>
      <c r="C2690" s="1104"/>
      <c r="D2690" s="1104"/>
      <c r="E2690" s="1104"/>
      <c r="F2690" s="1104"/>
      <c r="G2690" s="1104"/>
      <c r="H2690" s="1104"/>
      <c r="I2690" s="1104"/>
      <c r="J2690" s="1104"/>
      <c r="K2690" s="1104"/>
      <c r="L2690" s="1104"/>
      <c r="M2690" s="1104"/>
      <c r="N2690" s="1105"/>
    </row>
    <row r="2691" spans="2:14">
      <c r="B2691" s="1106"/>
      <c r="C2691" s="1107"/>
      <c r="D2691" s="1107"/>
      <c r="E2691" s="1107"/>
      <c r="F2691" s="1107"/>
      <c r="G2691" s="1107"/>
      <c r="H2691" s="1107"/>
      <c r="I2691" s="1107"/>
      <c r="J2691" s="1107"/>
      <c r="K2691" s="1107"/>
      <c r="L2691" s="1107"/>
      <c r="M2691" s="1107"/>
      <c r="N2691" s="1108"/>
    </row>
    <row r="2692" spans="2:14" ht="13.5" thickBot="1">
      <c r="B2692" s="1109"/>
      <c r="C2692" s="1110"/>
      <c r="D2692" s="1110"/>
      <c r="E2692" s="1110"/>
      <c r="F2692" s="1110"/>
      <c r="G2692" s="1110"/>
      <c r="H2692" s="1110"/>
      <c r="I2692" s="1110"/>
      <c r="J2692" s="1110"/>
      <c r="K2692" s="1110"/>
      <c r="L2692" s="1110"/>
      <c r="M2692" s="1110"/>
      <c r="N2692" s="1111"/>
    </row>
    <row r="2693" spans="2:14">
      <c r="B2693" s="1130" t="s">
        <v>258</v>
      </c>
      <c r="C2693" s="1131"/>
      <c r="D2693" s="1131"/>
      <c r="E2693" s="1131"/>
      <c r="F2693" s="1132"/>
      <c r="G2693" s="1133" t="s">
        <v>261</v>
      </c>
      <c r="H2693" s="1131"/>
      <c r="I2693" s="1134" t="s">
        <v>262</v>
      </c>
      <c r="J2693" s="1135"/>
      <c r="K2693" s="288" t="s">
        <v>263</v>
      </c>
      <c r="L2693" s="1133" t="s">
        <v>264</v>
      </c>
      <c r="M2693" s="1136"/>
      <c r="N2693" s="289" t="s">
        <v>265</v>
      </c>
    </row>
    <row r="2694" spans="2:14">
      <c r="B2694" s="1179" t="s">
        <v>340</v>
      </c>
      <c r="C2694" s="1180"/>
      <c r="D2694" s="1180"/>
      <c r="E2694" s="1180"/>
      <c r="F2694" s="1181"/>
      <c r="G2694" s="295"/>
      <c r="H2694" s="294"/>
      <c r="I2694" s="1182" t="s">
        <v>267</v>
      </c>
      <c r="J2694" s="1183"/>
      <c r="K2694" s="290">
        <v>45220</v>
      </c>
      <c r="L2694" s="1118">
        <v>7.0000070000000001</v>
      </c>
      <c r="M2694" s="1119"/>
      <c r="N2694" s="290">
        <f>+K2694/L2694</f>
        <v>6459.9935400064596</v>
      </c>
    </row>
    <row r="2695" spans="2:14" ht="13.5" thickBot="1">
      <c r="B2695" s="1179"/>
      <c r="C2695" s="1180"/>
      <c r="D2695" s="1180"/>
      <c r="E2695" s="1180"/>
      <c r="F2695" s="1181"/>
      <c r="G2695" s="295"/>
      <c r="H2695" s="294"/>
      <c r="I2695" s="1182"/>
      <c r="J2695" s="1183"/>
      <c r="K2695" s="290"/>
      <c r="L2695" s="1118"/>
      <c r="M2695" s="1119"/>
      <c r="N2695" s="290"/>
    </row>
    <row r="2696" spans="2:14" ht="13.5" thickBot="1">
      <c r="B2696" s="1100" t="s">
        <v>269</v>
      </c>
      <c r="C2696" s="1101"/>
      <c r="D2696" s="1101"/>
      <c r="E2696" s="1101"/>
      <c r="F2696" s="1101"/>
      <c r="G2696" s="1101"/>
      <c r="H2696" s="1101"/>
      <c r="I2696" s="1101"/>
      <c r="J2696" s="1101"/>
      <c r="K2696" s="1101"/>
      <c r="L2696" s="1101"/>
      <c r="M2696" s="1102"/>
      <c r="N2696" s="323">
        <f>+N2694</f>
        <v>6459.9935400064596</v>
      </c>
    </row>
    <row r="2697" spans="2:14">
      <c r="B2697" s="1103" t="s">
        <v>270</v>
      </c>
      <c r="C2697" s="1104"/>
      <c r="D2697" s="1104"/>
      <c r="E2697" s="1104"/>
      <c r="F2697" s="1104"/>
      <c r="G2697" s="1104"/>
      <c r="H2697" s="1104"/>
      <c r="I2697" s="1104"/>
      <c r="J2697" s="1104"/>
      <c r="K2697" s="1104"/>
      <c r="L2697" s="1104"/>
      <c r="M2697" s="1104"/>
      <c r="N2697" s="1105"/>
    </row>
    <row r="2698" spans="2:14">
      <c r="B2698" s="1106"/>
      <c r="C2698" s="1107"/>
      <c r="D2698" s="1107"/>
      <c r="E2698" s="1107"/>
      <c r="F2698" s="1107"/>
      <c r="G2698" s="1107"/>
      <c r="H2698" s="1107"/>
      <c r="I2698" s="1107"/>
      <c r="J2698" s="1107"/>
      <c r="K2698" s="1107"/>
      <c r="L2698" s="1107"/>
      <c r="M2698" s="1107"/>
      <c r="N2698" s="1108"/>
    </row>
    <row r="2699" spans="2:14" ht="13.5" thickBot="1">
      <c r="B2699" s="1109"/>
      <c r="C2699" s="1110"/>
      <c r="D2699" s="1110"/>
      <c r="E2699" s="1110"/>
      <c r="F2699" s="1110"/>
      <c r="G2699" s="1110"/>
      <c r="H2699" s="1110"/>
      <c r="I2699" s="1110"/>
      <c r="J2699" s="1110"/>
      <c r="K2699" s="1110"/>
      <c r="L2699" s="1110"/>
      <c r="M2699" s="1110"/>
      <c r="N2699" s="1111"/>
    </row>
    <row r="2700" spans="2:14">
      <c r="B2700" s="1130" t="s">
        <v>258</v>
      </c>
      <c r="C2700" s="1139"/>
      <c r="D2700" s="1139"/>
      <c r="E2700" s="1139"/>
      <c r="F2700" s="1139"/>
      <c r="G2700" s="1139"/>
      <c r="H2700" s="1139"/>
      <c r="I2700" s="1136"/>
      <c r="J2700" s="299" t="s">
        <v>259</v>
      </c>
      <c r="K2700" s="288" t="s">
        <v>133</v>
      </c>
      <c r="L2700" s="1133" t="s">
        <v>271</v>
      </c>
      <c r="M2700" s="1136"/>
      <c r="N2700" s="289" t="s">
        <v>265</v>
      </c>
    </row>
    <row r="2701" spans="2:14">
      <c r="B2701" s="1112" t="s">
        <v>332</v>
      </c>
      <c r="C2701" s="1113"/>
      <c r="D2701" s="1113"/>
      <c r="E2701" s="1113"/>
      <c r="F2701" s="1113"/>
      <c r="G2701" s="1113"/>
      <c r="H2701" s="1113"/>
      <c r="I2701" s="1114"/>
      <c r="J2701" s="300" t="s">
        <v>196</v>
      </c>
      <c r="K2701" s="301">
        <v>2</v>
      </c>
      <c r="L2701" s="1144">
        <v>10710</v>
      </c>
      <c r="M2701" s="1145"/>
      <c r="N2701" s="363">
        <f>+K2701*L2701</f>
        <v>21420</v>
      </c>
    </row>
    <row r="2702" spans="2:14" ht="13.5" thickBot="1">
      <c r="B2702" s="1112" t="s">
        <v>342</v>
      </c>
      <c r="C2702" s="1113"/>
      <c r="D2702" s="1113"/>
      <c r="E2702" s="1113"/>
      <c r="F2702" s="1113"/>
      <c r="G2702" s="1113"/>
      <c r="H2702" s="1113"/>
      <c r="I2702" s="1114"/>
      <c r="J2702" s="303" t="s">
        <v>147</v>
      </c>
      <c r="K2702" s="304">
        <v>1.05</v>
      </c>
      <c r="L2702" s="1144">
        <v>369520</v>
      </c>
      <c r="M2702" s="1145"/>
      <c r="N2702" s="363">
        <f>+K2702*L2702</f>
        <v>387996</v>
      </c>
    </row>
    <row r="2703" spans="2:14" ht="13.5" thickBot="1">
      <c r="B2703" s="1100" t="s">
        <v>269</v>
      </c>
      <c r="C2703" s="1101"/>
      <c r="D2703" s="1101"/>
      <c r="E2703" s="1101"/>
      <c r="F2703" s="1101"/>
      <c r="G2703" s="1101"/>
      <c r="H2703" s="1101"/>
      <c r="I2703" s="1101"/>
      <c r="J2703" s="1101"/>
      <c r="K2703" s="1101"/>
      <c r="L2703" s="1101"/>
      <c r="M2703" s="1102"/>
      <c r="N2703" s="323">
        <f>+N2701+N2702</f>
        <v>409416</v>
      </c>
    </row>
    <row r="2704" spans="2:14">
      <c r="B2704" s="1103" t="s">
        <v>276</v>
      </c>
      <c r="C2704" s="1104"/>
      <c r="D2704" s="1104"/>
      <c r="E2704" s="1104"/>
      <c r="F2704" s="1104"/>
      <c r="G2704" s="1104"/>
      <c r="H2704" s="1104"/>
      <c r="I2704" s="1104"/>
      <c r="J2704" s="1104"/>
      <c r="K2704" s="1104"/>
      <c r="L2704" s="1104"/>
      <c r="M2704" s="1104"/>
      <c r="N2704" s="1105"/>
    </row>
    <row r="2705" spans="2:14">
      <c r="B2705" s="1106"/>
      <c r="C2705" s="1107"/>
      <c r="D2705" s="1107"/>
      <c r="E2705" s="1107"/>
      <c r="F2705" s="1107"/>
      <c r="G2705" s="1107"/>
      <c r="H2705" s="1107"/>
      <c r="I2705" s="1107"/>
      <c r="J2705" s="1107"/>
      <c r="K2705" s="1107"/>
      <c r="L2705" s="1107"/>
      <c r="M2705" s="1107"/>
      <c r="N2705" s="1108"/>
    </row>
    <row r="2706" spans="2:14" ht="13.5" thickBot="1">
      <c r="B2706" s="1109"/>
      <c r="C2706" s="1110"/>
      <c r="D2706" s="1110"/>
      <c r="E2706" s="1110"/>
      <c r="F2706" s="1110"/>
      <c r="G2706" s="1110"/>
      <c r="H2706" s="1110"/>
      <c r="I2706" s="1110"/>
      <c r="J2706" s="1110"/>
      <c r="K2706" s="1110"/>
      <c r="L2706" s="1110"/>
      <c r="M2706" s="1110"/>
      <c r="N2706" s="1111"/>
    </row>
    <row r="2707" spans="2:14">
      <c r="B2707" s="1130" t="s">
        <v>277</v>
      </c>
      <c r="C2707" s="1139"/>
      <c r="D2707" s="1139"/>
      <c r="E2707" s="1139"/>
      <c r="F2707" s="1139"/>
      <c r="G2707" s="1139"/>
      <c r="H2707" s="1139"/>
      <c r="I2707" s="288" t="s">
        <v>278</v>
      </c>
      <c r="J2707" s="306" t="s">
        <v>279</v>
      </c>
      <c r="K2707" s="307" t="s">
        <v>280</v>
      </c>
      <c r="L2707" s="1133" t="s">
        <v>281</v>
      </c>
      <c r="M2707" s="1136"/>
      <c r="N2707" s="289" t="s">
        <v>265</v>
      </c>
    </row>
    <row r="2708" spans="2:14" ht="13.5" thickBot="1">
      <c r="B2708" s="1112"/>
      <c r="C2708" s="1113"/>
      <c r="D2708" s="1113"/>
      <c r="E2708" s="1113"/>
      <c r="F2708" s="1113"/>
      <c r="G2708" s="1113"/>
      <c r="H2708" s="1113"/>
      <c r="I2708" s="393"/>
      <c r="J2708" s="309"/>
      <c r="K2708" s="308"/>
      <c r="L2708" s="1144"/>
      <c r="M2708" s="1145"/>
      <c r="N2708" s="363"/>
    </row>
    <row r="2709" spans="2:14" ht="13.5" thickBot="1">
      <c r="B2709" s="1100" t="s">
        <v>269</v>
      </c>
      <c r="C2709" s="1101"/>
      <c r="D2709" s="1101"/>
      <c r="E2709" s="1101"/>
      <c r="F2709" s="1101"/>
      <c r="G2709" s="1101"/>
      <c r="H2709" s="1101"/>
      <c r="I2709" s="1101"/>
      <c r="J2709" s="1101"/>
      <c r="K2709" s="1101"/>
      <c r="L2709" s="1101"/>
      <c r="M2709" s="1102"/>
      <c r="N2709" s="323">
        <f>+N2708</f>
        <v>0</v>
      </c>
    </row>
    <row r="2710" spans="2:14">
      <c r="B2710" s="1103" t="s">
        <v>282</v>
      </c>
      <c r="C2710" s="1104"/>
      <c r="D2710" s="1104"/>
      <c r="E2710" s="1104"/>
      <c r="F2710" s="1104"/>
      <c r="G2710" s="1104"/>
      <c r="H2710" s="1104"/>
      <c r="I2710" s="1104"/>
      <c r="J2710" s="1104"/>
      <c r="K2710" s="1104"/>
      <c r="L2710" s="1104"/>
      <c r="M2710" s="1104"/>
      <c r="N2710" s="1105"/>
    </row>
    <row r="2711" spans="2:14">
      <c r="B2711" s="1106"/>
      <c r="C2711" s="1107"/>
      <c r="D2711" s="1107"/>
      <c r="E2711" s="1107"/>
      <c r="F2711" s="1107"/>
      <c r="G2711" s="1107"/>
      <c r="H2711" s="1107"/>
      <c r="I2711" s="1107"/>
      <c r="J2711" s="1107"/>
      <c r="K2711" s="1107"/>
      <c r="L2711" s="1107"/>
      <c r="M2711" s="1107"/>
      <c r="N2711" s="1108"/>
    </row>
    <row r="2712" spans="2:14" ht="13.5" thickBot="1">
      <c r="B2712" s="1109"/>
      <c r="C2712" s="1110"/>
      <c r="D2712" s="1110"/>
      <c r="E2712" s="1110"/>
      <c r="F2712" s="1110"/>
      <c r="G2712" s="1110"/>
      <c r="H2712" s="1110"/>
      <c r="I2712" s="1110"/>
      <c r="J2712" s="1110"/>
      <c r="K2712" s="1110"/>
      <c r="L2712" s="1110"/>
      <c r="M2712" s="1110"/>
      <c r="N2712" s="1111"/>
    </row>
    <row r="2713" spans="2:14">
      <c r="B2713" s="1130" t="s">
        <v>283</v>
      </c>
      <c r="C2713" s="1139"/>
      <c r="D2713" s="1139"/>
      <c r="E2713" s="1139"/>
      <c r="F2713" s="1139"/>
      <c r="G2713" s="1139"/>
      <c r="H2713" s="1139"/>
      <c r="I2713" s="288" t="s">
        <v>284</v>
      </c>
      <c r="J2713" s="314" t="s">
        <v>285</v>
      </c>
      <c r="K2713" s="315" t="s">
        <v>286</v>
      </c>
      <c r="L2713" s="1140" t="s">
        <v>264</v>
      </c>
      <c r="M2713" s="1141"/>
      <c r="N2713" s="316" t="s">
        <v>265</v>
      </c>
    </row>
    <row r="2714" spans="2:14" ht="13.5" thickBot="1">
      <c r="B2714" s="317" t="s">
        <v>344</v>
      </c>
      <c r="C2714" s="318"/>
      <c r="D2714" s="318"/>
      <c r="E2714" s="318"/>
      <c r="F2714" s="318"/>
      <c r="G2714" s="318"/>
      <c r="H2714" s="318"/>
      <c r="I2714" s="319">
        <v>153482</v>
      </c>
      <c r="J2714" s="321">
        <v>0</v>
      </c>
      <c r="K2714" s="321">
        <f>+I2714+J2714</f>
        <v>153482</v>
      </c>
      <c r="L2714" s="1157">
        <v>0.76400000000000001</v>
      </c>
      <c r="M2714" s="1158"/>
      <c r="N2714" s="322">
        <f>+K2714/L2714</f>
        <v>200892.67015706806</v>
      </c>
    </row>
    <row r="2715" spans="2:14" ht="13.5" thickBot="1">
      <c r="B2715" s="1100" t="s">
        <v>269</v>
      </c>
      <c r="C2715" s="1101"/>
      <c r="D2715" s="1101"/>
      <c r="E2715" s="1101"/>
      <c r="F2715" s="1101"/>
      <c r="G2715" s="1101"/>
      <c r="H2715" s="1101"/>
      <c r="I2715" s="1101"/>
      <c r="J2715" s="1101"/>
      <c r="K2715" s="1101"/>
      <c r="L2715" s="1101"/>
      <c r="M2715" s="1102"/>
      <c r="N2715" s="323">
        <f>+N2714</f>
        <v>200892.67015706806</v>
      </c>
    </row>
    <row r="2716" spans="2:14" ht="13.5" thickBot="1">
      <c r="B2716" s="324" t="s">
        <v>288</v>
      </c>
      <c r="C2716" s="325"/>
      <c r="D2716" s="325"/>
      <c r="E2716" s="325"/>
      <c r="F2716" s="325"/>
      <c r="G2716" s="325"/>
      <c r="H2716" s="325"/>
      <c r="I2716" s="326"/>
      <c r="J2716" s="327"/>
      <c r="K2716" s="328"/>
      <c r="L2716" s="329"/>
      <c r="M2716" s="329"/>
      <c r="N2716" s="330"/>
    </row>
    <row r="2717" spans="2:14">
      <c r="B2717" s="1130" t="s">
        <v>17</v>
      </c>
      <c r="C2717" s="1139"/>
      <c r="D2717" s="1139"/>
      <c r="E2717" s="1139"/>
      <c r="F2717" s="1139"/>
      <c r="G2717" s="1139"/>
      <c r="H2717" s="1139"/>
      <c r="I2717" s="1136"/>
      <c r="J2717" s="299" t="s">
        <v>259</v>
      </c>
      <c r="K2717" s="288" t="s">
        <v>133</v>
      </c>
      <c r="L2717" s="1133" t="s">
        <v>271</v>
      </c>
      <c r="M2717" s="1136"/>
      <c r="N2717" s="316" t="s">
        <v>265</v>
      </c>
    </row>
    <row r="2718" spans="2:14">
      <c r="B2718" s="331" t="s">
        <v>289</v>
      </c>
      <c r="C2718" s="332"/>
      <c r="D2718" s="332"/>
      <c r="E2718" s="332"/>
      <c r="F2718" s="332"/>
      <c r="G2718" s="332"/>
      <c r="H2718" s="332"/>
      <c r="I2718" s="333"/>
      <c r="J2718" s="334" t="s">
        <v>290</v>
      </c>
      <c r="K2718" s="335">
        <v>0.05</v>
      </c>
      <c r="L2718" s="1144">
        <f>+N2715</f>
        <v>200892.67015706806</v>
      </c>
      <c r="M2718" s="1145"/>
      <c r="N2718" s="322">
        <f>+K2718*L2718</f>
        <v>10044.633507853403</v>
      </c>
    </row>
    <row r="2719" spans="2:14" ht="13.5" thickBot="1">
      <c r="B2719" s="356" t="s">
        <v>346</v>
      </c>
      <c r="C2719" s="332"/>
      <c r="D2719" s="332"/>
      <c r="E2719" s="332"/>
      <c r="F2719" s="332"/>
      <c r="G2719" s="332"/>
      <c r="H2719" s="332"/>
      <c r="I2719" s="333"/>
      <c r="J2719" s="334" t="s">
        <v>196</v>
      </c>
      <c r="K2719" s="335">
        <v>3</v>
      </c>
      <c r="L2719" s="1144">
        <v>810</v>
      </c>
      <c r="M2719" s="1145"/>
      <c r="N2719" s="322">
        <f>+K2719*L2719</f>
        <v>2430</v>
      </c>
    </row>
    <row r="2720" spans="2:14" ht="13.5" thickBot="1">
      <c r="B2720" s="1100" t="s">
        <v>269</v>
      </c>
      <c r="C2720" s="1101"/>
      <c r="D2720" s="1101"/>
      <c r="E2720" s="1101"/>
      <c r="F2720" s="1101"/>
      <c r="G2720" s="1101"/>
      <c r="H2720" s="1101"/>
      <c r="I2720" s="1101"/>
      <c r="J2720" s="1101"/>
      <c r="K2720" s="1101"/>
      <c r="L2720" s="1101"/>
      <c r="M2720" s="1102"/>
      <c r="N2720" s="323">
        <f>+N2718+N2719</f>
        <v>12474.633507853403</v>
      </c>
    </row>
    <row r="2721" spans="2:14" ht="13.5" thickBot="1">
      <c r="B2721" s="324" t="s">
        <v>78</v>
      </c>
      <c r="C2721" s="325"/>
      <c r="D2721" s="325"/>
      <c r="E2721" s="325"/>
      <c r="F2721" s="325"/>
      <c r="G2721" s="325"/>
      <c r="H2721" s="325"/>
      <c r="I2721" s="326"/>
      <c r="J2721" s="327"/>
      <c r="K2721" s="328"/>
      <c r="L2721" s="329"/>
      <c r="M2721" s="329"/>
      <c r="N2721" s="330"/>
    </row>
    <row r="2722" spans="2:14">
      <c r="B2722" s="1130" t="s">
        <v>17</v>
      </c>
      <c r="C2722" s="1139"/>
      <c r="D2722" s="1139"/>
      <c r="E2722" s="1139"/>
      <c r="F2722" s="1139"/>
      <c r="G2722" s="1139"/>
      <c r="H2722" s="1139"/>
      <c r="I2722" s="1136"/>
      <c r="J2722" s="299" t="s">
        <v>259</v>
      </c>
      <c r="K2722" s="288" t="s">
        <v>133</v>
      </c>
      <c r="L2722" s="1133" t="s">
        <v>271</v>
      </c>
      <c r="M2722" s="1136"/>
      <c r="N2722" s="316" t="s">
        <v>265</v>
      </c>
    </row>
    <row r="2723" spans="2:14" ht="29.25" customHeight="1" thickBot="1">
      <c r="B2723" s="1186" t="s">
        <v>161</v>
      </c>
      <c r="C2723" s="1187"/>
      <c r="D2723" s="1187"/>
      <c r="E2723" s="1187"/>
      <c r="F2723" s="1187"/>
      <c r="G2723" s="1187"/>
      <c r="H2723" s="1188"/>
      <c r="I2723" s="333"/>
      <c r="J2723" s="396" t="s">
        <v>147</v>
      </c>
      <c r="K2723" s="399">
        <v>1</v>
      </c>
      <c r="L2723" s="1184">
        <v>38446</v>
      </c>
      <c r="M2723" s="1185"/>
      <c r="N2723" s="400">
        <f>+L2723*K2723</f>
        <v>38446</v>
      </c>
    </row>
    <row r="2724" spans="2:14" ht="13.5" thickBot="1">
      <c r="B2724" s="1100" t="s">
        <v>269</v>
      </c>
      <c r="C2724" s="1101"/>
      <c r="D2724" s="1101"/>
      <c r="E2724" s="1101"/>
      <c r="F2724" s="1101"/>
      <c r="G2724" s="1101"/>
      <c r="H2724" s="1101"/>
      <c r="I2724" s="1101"/>
      <c r="J2724" s="1101"/>
      <c r="K2724" s="1101"/>
      <c r="L2724" s="1101"/>
      <c r="M2724" s="1102"/>
      <c r="N2724" s="401">
        <f>+N2723</f>
        <v>38446</v>
      </c>
    </row>
    <row r="2725" spans="2:14">
      <c r="B2725" s="280"/>
      <c r="C2725" s="281"/>
      <c r="D2725" s="281"/>
      <c r="E2725" s="281"/>
      <c r="F2725" s="281"/>
      <c r="G2725" s="281"/>
      <c r="H2725" s="281"/>
      <c r="I2725" s="281"/>
      <c r="J2725" s="281"/>
      <c r="K2725" s="281"/>
      <c r="L2725" s="281"/>
      <c r="M2725" s="281"/>
      <c r="N2725" s="282"/>
    </row>
    <row r="2726" spans="2:14" ht="13.5" thickBot="1">
      <c r="B2726" s="378"/>
      <c r="C2726" s="311"/>
      <c r="D2726" s="311"/>
      <c r="E2726" s="311"/>
      <c r="F2726" s="311"/>
      <c r="G2726" s="311"/>
      <c r="H2726" s="311"/>
      <c r="I2726" s="311"/>
      <c r="J2726" s="311"/>
      <c r="K2726" s="311"/>
      <c r="L2726" s="311"/>
      <c r="M2726" s="311"/>
      <c r="N2726" s="379"/>
    </row>
    <row r="2727" spans="2:14" ht="13.5" thickBot="1">
      <c r="B2727" s="1150" t="s">
        <v>291</v>
      </c>
      <c r="C2727" s="1151"/>
      <c r="D2727" s="1151"/>
      <c r="E2727" s="1151"/>
      <c r="F2727" s="1151"/>
      <c r="G2727" s="1151"/>
      <c r="H2727" s="1151"/>
      <c r="I2727" s="1151"/>
      <c r="J2727" s="1151"/>
      <c r="K2727" s="1151"/>
      <c r="L2727" s="1151"/>
      <c r="M2727" s="1152"/>
      <c r="N2727" s="336">
        <f>+N2696+N2703+N2709+N2715+N2724+N2720</f>
        <v>667689.29720492789</v>
      </c>
    </row>
    <row r="2728" spans="2:14">
      <c r="B2728" s="1103" t="s">
        <v>292</v>
      </c>
      <c r="C2728" s="1104"/>
      <c r="D2728" s="1104"/>
      <c r="E2728" s="1104"/>
      <c r="F2728" s="1104"/>
      <c r="G2728" s="1104"/>
      <c r="H2728" s="1104"/>
      <c r="I2728" s="1104"/>
      <c r="J2728" s="1104"/>
      <c r="K2728" s="1104"/>
      <c r="L2728" s="1104"/>
      <c r="M2728" s="1104"/>
      <c r="N2728" s="1105"/>
    </row>
    <row r="2729" spans="2:14">
      <c r="B2729" s="1106"/>
      <c r="C2729" s="1107"/>
      <c r="D2729" s="1107"/>
      <c r="E2729" s="1107"/>
      <c r="F2729" s="1107"/>
      <c r="G2729" s="1107"/>
      <c r="H2729" s="1107"/>
      <c r="I2729" s="1107"/>
      <c r="J2729" s="1107"/>
      <c r="K2729" s="1107"/>
      <c r="L2729" s="1107"/>
      <c r="M2729" s="1107"/>
      <c r="N2729" s="1108"/>
    </row>
    <row r="2730" spans="2:14" ht="13.5" thickBot="1">
      <c r="B2730" s="1109"/>
      <c r="C2730" s="1110"/>
      <c r="D2730" s="1110"/>
      <c r="E2730" s="1110"/>
      <c r="F2730" s="1110"/>
      <c r="G2730" s="1110"/>
      <c r="H2730" s="1110"/>
      <c r="I2730" s="1110"/>
      <c r="J2730" s="1110"/>
      <c r="K2730" s="1110"/>
      <c r="L2730" s="1110"/>
      <c r="M2730" s="1110"/>
      <c r="N2730" s="1111"/>
    </row>
    <row r="2731" spans="2:14">
      <c r="B2731" s="1130" t="s">
        <v>17</v>
      </c>
      <c r="C2731" s="1139"/>
      <c r="D2731" s="1139"/>
      <c r="E2731" s="1139"/>
      <c r="F2731" s="1139"/>
      <c r="G2731" s="1139"/>
      <c r="H2731" s="1139"/>
      <c r="I2731" s="306"/>
      <c r="J2731" s="337"/>
      <c r="K2731" s="315" t="s">
        <v>79</v>
      </c>
      <c r="L2731" s="1140" t="s">
        <v>11</v>
      </c>
      <c r="M2731" s="1141"/>
      <c r="N2731" s="316"/>
    </row>
    <row r="2732" spans="2:14">
      <c r="B2732" s="1112" t="s">
        <v>232</v>
      </c>
      <c r="C2732" s="1113"/>
      <c r="D2732" s="1113"/>
      <c r="E2732" s="1113"/>
      <c r="F2732" s="1113"/>
      <c r="G2732" s="1113"/>
      <c r="H2732" s="1113"/>
      <c r="I2732" s="338"/>
      <c r="J2732" s="339"/>
      <c r="K2732" s="340">
        <f>'PRESUPUESTO OFICIAL'!$K$100</f>
        <v>0</v>
      </c>
      <c r="L2732" s="1146">
        <f>K2732*N2727</f>
        <v>0</v>
      </c>
      <c r="M2732" s="1147"/>
      <c r="N2732" s="341"/>
    </row>
    <row r="2733" spans="2:14">
      <c r="B2733" s="292" t="s">
        <v>293</v>
      </c>
      <c r="C2733" s="293"/>
      <c r="D2733" s="293"/>
      <c r="E2733" s="293"/>
      <c r="F2733" s="293"/>
      <c r="G2733" s="293"/>
      <c r="H2733" s="293"/>
      <c r="I2733" s="338"/>
      <c r="J2733" s="339"/>
      <c r="K2733" s="340">
        <f>'PRESUPUESTO OFICIAL'!$K$101</f>
        <v>0</v>
      </c>
      <c r="L2733" s="1146">
        <f>K2733*N2727</f>
        <v>0</v>
      </c>
      <c r="M2733" s="1147"/>
      <c r="N2733" s="341"/>
    </row>
    <row r="2734" spans="2:14" ht="13.5" thickBot="1">
      <c r="B2734" s="277" t="s">
        <v>294</v>
      </c>
      <c r="C2734" s="278"/>
      <c r="D2734" s="278"/>
      <c r="E2734" s="278"/>
      <c r="F2734" s="278"/>
      <c r="G2734" s="278"/>
      <c r="H2734" s="278"/>
      <c r="I2734" s="342"/>
      <c r="J2734" s="343"/>
      <c r="K2734" s="340">
        <f>'PRESUPUESTO OFICIAL'!$K$102</f>
        <v>0</v>
      </c>
      <c r="L2734" s="1148">
        <f>K2734*N2727</f>
        <v>0</v>
      </c>
      <c r="M2734" s="1149"/>
      <c r="N2734" s="341"/>
    </row>
    <row r="2735" spans="2:14" ht="13.5" thickBot="1">
      <c r="B2735" s="1100" t="s">
        <v>269</v>
      </c>
      <c r="C2735" s="1101"/>
      <c r="D2735" s="1101"/>
      <c r="E2735" s="1101"/>
      <c r="F2735" s="1101"/>
      <c r="G2735" s="1101"/>
      <c r="H2735" s="1101"/>
      <c r="I2735" s="1101"/>
      <c r="J2735" s="1101"/>
      <c r="K2735" s="1101"/>
      <c r="L2735" s="1101"/>
      <c r="M2735" s="1102"/>
      <c r="N2735" s="344">
        <f>SUM(L2732:M2734)</f>
        <v>0</v>
      </c>
    </row>
    <row r="2736" spans="2:14" ht="13.5" thickBot="1">
      <c r="B2736" s="283"/>
      <c r="N2736" s="284"/>
    </row>
    <row r="2737" spans="2:14" ht="13.5" thickBot="1">
      <c r="B2737" s="1150" t="s">
        <v>295</v>
      </c>
      <c r="C2737" s="1151"/>
      <c r="D2737" s="1151"/>
      <c r="E2737" s="1151"/>
      <c r="F2737" s="1151"/>
      <c r="G2737" s="1151"/>
      <c r="H2737" s="1151"/>
      <c r="I2737" s="1151"/>
      <c r="J2737" s="1151"/>
      <c r="K2737" s="1151"/>
      <c r="L2737" s="1151"/>
      <c r="M2737" s="1152"/>
      <c r="N2737" s="345">
        <f>ROUND(N2727+N2735,0)</f>
        <v>667689</v>
      </c>
    </row>
    <row r="2738" spans="2:14">
      <c r="B2738" s="280"/>
      <c r="C2738" s="281"/>
      <c r="D2738" s="281"/>
      <c r="E2738" s="281"/>
      <c r="F2738" s="281"/>
      <c r="G2738" s="281"/>
      <c r="H2738" s="281"/>
      <c r="I2738" s="281"/>
      <c r="J2738" s="281"/>
      <c r="K2738" s="281"/>
      <c r="L2738" s="281"/>
      <c r="M2738" s="281"/>
      <c r="N2738" s="282"/>
    </row>
    <row r="2739" spans="2:14">
      <c r="B2739" s="283"/>
      <c r="N2739" s="284"/>
    </row>
    <row r="2740" spans="2:14">
      <c r="B2740" s="283"/>
      <c r="N2740" s="284"/>
    </row>
    <row r="2741" spans="2:14">
      <c r="B2741" s="283"/>
      <c r="G2741" s="346" t="s">
        <v>296</v>
      </c>
      <c r="H2741" s="346"/>
      <c r="I2741" s="346"/>
      <c r="J2741" s="346"/>
      <c r="N2741" s="284"/>
    </row>
    <row r="2742" spans="2:14">
      <c r="B2742" s="347"/>
      <c r="C2742" s="348"/>
      <c r="D2742" s="348"/>
      <c r="E2742" s="348"/>
      <c r="F2742" s="348"/>
      <c r="G2742" s="346" t="s">
        <v>297</v>
      </c>
      <c r="H2742" s="348"/>
      <c r="I2742" s="348"/>
      <c r="J2742" s="348"/>
      <c r="K2742" s="348"/>
      <c r="L2742" s="348"/>
      <c r="M2742" s="348"/>
      <c r="N2742" s="349"/>
    </row>
    <row r="2743" spans="2:14">
      <c r="B2743" s="347"/>
      <c r="C2743" s="348"/>
      <c r="D2743" s="348"/>
      <c r="E2743" s="348"/>
      <c r="F2743" s="348"/>
      <c r="G2743" s="346" t="s">
        <v>298</v>
      </c>
      <c r="J2743" s="348"/>
      <c r="K2743" s="348"/>
      <c r="L2743" s="348"/>
      <c r="M2743" s="348"/>
      <c r="N2743" s="349"/>
    </row>
    <row r="2744" spans="2:14">
      <c r="B2744" s="268"/>
      <c r="C2744" s="350"/>
      <c r="D2744" s="350"/>
      <c r="E2744" s="350"/>
      <c r="F2744" s="350"/>
      <c r="G2744" s="346" t="s">
        <v>299</v>
      </c>
      <c r="H2744" s="350"/>
      <c r="I2744" s="350"/>
      <c r="J2744" s="350"/>
      <c r="K2744" s="350"/>
      <c r="L2744" s="350"/>
      <c r="M2744" s="350"/>
      <c r="N2744" s="351"/>
    </row>
    <row r="2745" spans="2:14">
      <c r="B2745" s="283"/>
      <c r="G2745" s="258" t="s">
        <v>300</v>
      </c>
      <c r="N2745" s="284"/>
    </row>
    <row r="2746" spans="2:14">
      <c r="B2746" s="352" t="s">
        <v>301</v>
      </c>
      <c r="C2746" s="353"/>
      <c r="D2746" s="353"/>
      <c r="E2746" s="353"/>
      <c r="F2746" s="353"/>
      <c r="G2746" s="353"/>
      <c r="H2746" s="353"/>
      <c r="I2746" s="353"/>
      <c r="J2746" s="353"/>
      <c r="K2746" s="353"/>
      <c r="L2746" s="353"/>
      <c r="M2746" s="353"/>
      <c r="N2746" s="354"/>
    </row>
    <row r="2747" spans="2:14">
      <c r="B2747" s="1153"/>
      <c r="C2747" s="1154"/>
      <c r="D2747" s="1154"/>
      <c r="E2747" s="1154"/>
      <c r="F2747" s="1154"/>
      <c r="G2747" s="1154"/>
      <c r="H2747" s="1154"/>
      <c r="I2747" s="1154"/>
      <c r="J2747" s="1154"/>
      <c r="K2747" s="1154"/>
      <c r="L2747" s="1154"/>
      <c r="M2747" s="1154"/>
      <c r="N2747" s="1155"/>
    </row>
    <row r="2748" spans="2:14">
      <c r="B2748" s="1153"/>
      <c r="C2748" s="1154"/>
      <c r="D2748" s="1154"/>
      <c r="E2748" s="1154"/>
      <c r="F2748" s="1154"/>
      <c r="G2748" s="1154"/>
      <c r="H2748" s="1154"/>
      <c r="I2748" s="1154"/>
      <c r="J2748" s="1154"/>
      <c r="K2748" s="1154"/>
      <c r="L2748" s="1154"/>
      <c r="M2748" s="1154"/>
      <c r="N2748" s="1155"/>
    </row>
    <row r="2749" spans="2:14">
      <c r="B2749" s="268"/>
      <c r="C2749" s="350"/>
      <c r="D2749" s="350"/>
      <c r="E2749" s="350"/>
      <c r="F2749" s="350"/>
      <c r="G2749" s="350"/>
      <c r="H2749" s="350"/>
      <c r="I2749" s="350"/>
      <c r="J2749" s="350"/>
      <c r="K2749" s="350"/>
      <c r="L2749" s="350"/>
      <c r="M2749" s="350"/>
      <c r="N2749" s="351"/>
    </row>
    <row r="2750" spans="2:14">
      <c r="B2750" s="355" t="s">
        <v>302</v>
      </c>
      <c r="C2750" s="350"/>
      <c r="D2750" s="350"/>
      <c r="E2750" s="350"/>
      <c r="F2750" s="350"/>
      <c r="G2750" s="350"/>
      <c r="H2750" s="350"/>
      <c r="I2750" s="350"/>
      <c r="J2750" s="350"/>
      <c r="K2750" s="350"/>
      <c r="L2750" s="350"/>
      <c r="M2750" s="350"/>
      <c r="N2750" s="351"/>
    </row>
    <row r="2751" spans="2:14">
      <c r="B2751" s="1159" t="s">
        <v>303</v>
      </c>
      <c r="C2751" s="1160"/>
      <c r="D2751" s="1160"/>
      <c r="E2751" s="1160"/>
      <c r="F2751" s="1160"/>
      <c r="G2751" s="1160"/>
      <c r="H2751" s="1160"/>
      <c r="I2751" s="1160"/>
      <c r="J2751" s="1160"/>
      <c r="K2751" s="1160"/>
      <c r="L2751" s="1160"/>
      <c r="M2751" s="1160"/>
      <c r="N2751" s="1161"/>
    </row>
    <row r="2752" spans="2:14">
      <c r="B2752" s="1159"/>
      <c r="C2752" s="1160"/>
      <c r="D2752" s="1160"/>
      <c r="E2752" s="1160"/>
      <c r="F2752" s="1160"/>
      <c r="G2752" s="1160"/>
      <c r="H2752" s="1160"/>
      <c r="I2752" s="1160"/>
      <c r="J2752" s="1160"/>
      <c r="K2752" s="1160"/>
      <c r="L2752" s="1160"/>
      <c r="M2752" s="1160"/>
      <c r="N2752" s="1161"/>
    </row>
    <row r="2753" spans="2:14">
      <c r="B2753" s="1159" t="s">
        <v>304</v>
      </c>
      <c r="C2753" s="1160"/>
      <c r="D2753" s="1160"/>
      <c r="E2753" s="1160"/>
      <c r="F2753" s="1160"/>
      <c r="G2753" s="1160"/>
      <c r="H2753" s="1160"/>
      <c r="I2753" s="1160"/>
      <c r="J2753" s="1160"/>
      <c r="K2753" s="1160"/>
      <c r="L2753" s="1160"/>
      <c r="M2753" s="1160"/>
      <c r="N2753" s="1161"/>
    </row>
    <row r="2754" spans="2:14">
      <c r="B2754" s="1159"/>
      <c r="C2754" s="1160"/>
      <c r="D2754" s="1160"/>
      <c r="E2754" s="1160"/>
      <c r="F2754" s="1160"/>
      <c r="G2754" s="1160"/>
      <c r="H2754" s="1160"/>
      <c r="I2754" s="1160"/>
      <c r="J2754" s="1160"/>
      <c r="K2754" s="1160"/>
      <c r="L2754" s="1160"/>
      <c r="M2754" s="1160"/>
      <c r="N2754" s="1161"/>
    </row>
    <row r="2755" spans="2:14">
      <c r="B2755" s="268"/>
      <c r="C2755" s="350"/>
      <c r="D2755" s="350"/>
      <c r="E2755" s="350"/>
      <c r="F2755" s="350"/>
      <c r="G2755" s="350"/>
      <c r="H2755" s="350"/>
      <c r="I2755" s="350"/>
      <c r="J2755" s="350"/>
      <c r="K2755" s="350"/>
      <c r="L2755" s="350"/>
      <c r="M2755" s="350"/>
      <c r="N2755" s="351"/>
    </row>
    <row r="2756" spans="2:14">
      <c r="B2756" s="283"/>
      <c r="G2756" s="346" t="s">
        <v>296</v>
      </c>
      <c r="N2756" s="284"/>
    </row>
    <row r="2757" spans="2:14">
      <c r="B2757" s="283"/>
      <c r="G2757" s="258" t="s">
        <v>305</v>
      </c>
      <c r="H2757" s="293"/>
      <c r="I2757" s="293"/>
      <c r="J2757" s="293"/>
      <c r="N2757" s="284"/>
    </row>
    <row r="2758" spans="2:14">
      <c r="B2758" s="283"/>
      <c r="G2758" s="258" t="s">
        <v>306</v>
      </c>
      <c r="H2758" s="325"/>
      <c r="I2758" s="325"/>
      <c r="J2758" s="325"/>
      <c r="N2758" s="284"/>
    </row>
    <row r="2759" spans="2:14">
      <c r="B2759" s="356"/>
      <c r="C2759" s="350"/>
      <c r="D2759" s="350"/>
      <c r="E2759" s="350"/>
      <c r="F2759" s="350"/>
      <c r="G2759" s="258" t="s">
        <v>299</v>
      </c>
      <c r="K2759" s="350"/>
      <c r="L2759" s="350"/>
      <c r="M2759" s="350"/>
      <c r="N2759" s="351"/>
    </row>
    <row r="2760" spans="2:14">
      <c r="B2760" s="357"/>
      <c r="C2760" s="358"/>
      <c r="D2760" s="358"/>
      <c r="J2760" s="1162"/>
      <c r="K2760" s="1162"/>
      <c r="L2760" s="1162"/>
      <c r="M2760" s="1162"/>
      <c r="N2760" s="1163"/>
    </row>
    <row r="2761" spans="2:14" ht="13.5" thickBot="1">
      <c r="B2761" s="1166"/>
      <c r="C2761" s="1167"/>
      <c r="D2761" s="1167"/>
      <c r="E2761" s="311"/>
      <c r="F2761" s="311"/>
      <c r="G2761" s="311"/>
      <c r="H2761" s="311"/>
      <c r="I2761" s="311"/>
      <c r="J2761" s="1164"/>
      <c r="K2761" s="1164"/>
      <c r="L2761" s="1164"/>
      <c r="M2761" s="1164"/>
      <c r="N2761" s="1165"/>
    </row>
    <row r="2762" spans="2:14" ht="13.5" thickBot="1"/>
    <row r="2763" spans="2:14">
      <c r="B2763" s="1070"/>
      <c r="C2763" s="1072"/>
      <c r="D2763" s="1073"/>
      <c r="E2763" s="1073"/>
      <c r="F2763" s="1073"/>
      <c r="G2763" s="1073"/>
      <c r="H2763" s="1073"/>
      <c r="I2763" s="1073"/>
      <c r="J2763" s="1074"/>
      <c r="K2763" s="1075"/>
      <c r="L2763" s="1076"/>
      <c r="M2763" s="1076"/>
      <c r="N2763" s="1077"/>
    </row>
    <row r="2764" spans="2:14">
      <c r="B2764" s="1071"/>
      <c r="C2764" s="1062" t="s">
        <v>244</v>
      </c>
      <c r="D2764" s="1063"/>
      <c r="E2764" s="1063"/>
      <c r="F2764" s="1063"/>
      <c r="G2764" s="1063"/>
      <c r="H2764" s="1063"/>
      <c r="I2764" s="1063"/>
      <c r="J2764" s="1064"/>
      <c r="K2764" s="1078"/>
      <c r="L2764" s="1079"/>
      <c r="M2764" s="1079"/>
      <c r="N2764" s="1080"/>
    </row>
    <row r="2765" spans="2:14">
      <c r="B2765" s="1071"/>
      <c r="C2765" s="1081"/>
      <c r="D2765" s="1082"/>
      <c r="E2765" s="1082"/>
      <c r="F2765" s="1082"/>
      <c r="G2765" s="1082"/>
      <c r="H2765" s="1082"/>
      <c r="I2765" s="1082"/>
      <c r="J2765" s="1083"/>
      <c r="K2765" s="1058" t="s">
        <v>245</v>
      </c>
      <c r="L2765" s="1085"/>
      <c r="M2765" s="1086"/>
      <c r="N2765" s="1087"/>
    </row>
    <row r="2766" spans="2:14">
      <c r="B2766" s="1071"/>
      <c r="C2766" s="1062" t="s">
        <v>246</v>
      </c>
      <c r="D2766" s="1063"/>
      <c r="E2766" s="1063"/>
      <c r="F2766" s="1063"/>
      <c r="G2766" s="1063"/>
      <c r="H2766" s="1063"/>
      <c r="I2766" s="1063"/>
      <c r="J2766" s="1064"/>
      <c r="K2766" s="1084"/>
      <c r="L2766" s="1088"/>
      <c r="M2766" s="1089"/>
      <c r="N2766" s="1090"/>
    </row>
    <row r="2767" spans="2:14">
      <c r="B2767" s="1071"/>
      <c r="C2767" s="1091"/>
      <c r="D2767" s="1092"/>
      <c r="E2767" s="1092"/>
      <c r="F2767" s="1092"/>
      <c r="G2767" s="1092"/>
      <c r="H2767" s="1092"/>
      <c r="I2767" s="1092"/>
      <c r="J2767" s="1093"/>
      <c r="K2767" s="1058" t="s">
        <v>247</v>
      </c>
      <c r="L2767" s="1058">
        <v>31</v>
      </c>
      <c r="M2767" s="1058" t="s">
        <v>248</v>
      </c>
      <c r="N2767" s="1060">
        <v>80</v>
      </c>
    </row>
    <row r="2768" spans="2:14">
      <c r="B2768" s="1071"/>
      <c r="C2768" s="1091"/>
      <c r="D2768" s="1092"/>
      <c r="E2768" s="1092"/>
      <c r="F2768" s="1092"/>
      <c r="G2768" s="1092"/>
      <c r="H2768" s="1092"/>
      <c r="I2768" s="1092"/>
      <c r="J2768" s="1093"/>
      <c r="K2768" s="1059"/>
      <c r="L2768" s="1059"/>
      <c r="M2768" s="1059"/>
      <c r="N2768" s="1061"/>
    </row>
    <row r="2769" spans="2:14">
      <c r="B2769" s="1071"/>
      <c r="C2769" s="1062" t="s">
        <v>249</v>
      </c>
      <c r="D2769" s="1063"/>
      <c r="E2769" s="1063"/>
      <c r="F2769" s="1063"/>
      <c r="G2769" s="1063"/>
      <c r="H2769" s="1063"/>
      <c r="I2769" s="1063"/>
      <c r="J2769" s="1064"/>
      <c r="K2769" s="1059"/>
      <c r="L2769" s="1059"/>
      <c r="M2769" s="1059"/>
      <c r="N2769" s="1061"/>
    </row>
    <row r="2770" spans="2:14" ht="13.5" thickBot="1">
      <c r="B2770" s="259"/>
      <c r="C2770" s="260"/>
      <c r="D2770" s="260"/>
      <c r="E2770" s="260"/>
      <c r="F2770" s="260"/>
      <c r="G2770" s="260"/>
      <c r="H2770" s="260"/>
      <c r="I2770" s="260"/>
      <c r="J2770" s="260"/>
      <c r="K2770" s="260"/>
      <c r="L2770" s="261"/>
      <c r="M2770" s="261"/>
      <c r="N2770" s="262"/>
    </row>
    <row r="2771" spans="2:14">
      <c r="B2771" s="263"/>
      <c r="C2771" s="264"/>
      <c r="D2771" s="264"/>
      <c r="E2771" s="264"/>
      <c r="F2771" s="264"/>
      <c r="G2771" s="264"/>
      <c r="H2771" s="264"/>
      <c r="I2771" s="264"/>
      <c r="J2771" s="264"/>
      <c r="K2771" s="265" t="s">
        <v>250</v>
      </c>
      <c r="L2771" s="266" t="s">
        <v>251</v>
      </c>
      <c r="M2771" s="266" t="s">
        <v>252</v>
      </c>
      <c r="N2771" s="267" t="s">
        <v>253</v>
      </c>
    </row>
    <row r="2772" spans="2:14">
      <c r="B2772" s="268"/>
      <c r="C2772" s="269"/>
      <c r="D2772" s="269"/>
      <c r="E2772" s="269"/>
      <c r="F2772" s="269"/>
      <c r="G2772" s="269"/>
      <c r="H2772" s="269"/>
      <c r="I2772" s="269"/>
      <c r="J2772" s="269"/>
      <c r="K2772" s="270"/>
      <c r="L2772" s="271"/>
      <c r="M2772" s="271"/>
      <c r="N2772" s="272"/>
    </row>
    <row r="2773" spans="2:14">
      <c r="B2773" s="1065" t="s">
        <v>254</v>
      </c>
      <c r="C2773" s="1066"/>
      <c r="D2773" s="1066"/>
      <c r="E2773" s="1066"/>
      <c r="F2773" s="269"/>
      <c r="G2773" s="269"/>
      <c r="H2773" s="269" t="s">
        <v>255</v>
      </c>
      <c r="J2773" s="269"/>
      <c r="K2773" s="270"/>
      <c r="N2773" s="273"/>
    </row>
    <row r="2774" spans="2:14">
      <c r="B2774" s="274"/>
      <c r="C2774" s="275"/>
      <c r="D2774" s="275"/>
      <c r="E2774" s="275"/>
      <c r="F2774" s="275"/>
      <c r="G2774" s="275"/>
      <c r="H2774" s="275"/>
      <c r="I2774" s="275"/>
      <c r="J2774" s="275"/>
      <c r="K2774" s="275"/>
      <c r="L2774" s="275"/>
      <c r="M2774" s="275"/>
      <c r="N2774" s="276"/>
    </row>
    <row r="2775" spans="2:14" ht="13.5" thickBot="1">
      <c r="B2775" s="277"/>
      <c r="C2775" s="278"/>
      <c r="D2775" s="278"/>
      <c r="E2775" s="278"/>
      <c r="F2775" s="278"/>
      <c r="G2775" s="278"/>
      <c r="H2775" s="278"/>
      <c r="I2775" s="278"/>
      <c r="J2775" s="278"/>
      <c r="K2775" s="278"/>
      <c r="L2775" s="278"/>
      <c r="M2775" s="278"/>
      <c r="N2775" s="279"/>
    </row>
    <row r="2776" spans="2:14" ht="13.5" thickBot="1">
      <c r="B2776" s="280"/>
      <c r="C2776" s="281"/>
      <c r="D2776" s="281"/>
      <c r="E2776" s="281"/>
      <c r="F2776" s="281"/>
      <c r="G2776" s="281"/>
      <c r="J2776" s="281"/>
      <c r="K2776" s="281"/>
      <c r="L2776" s="281"/>
      <c r="M2776" s="281"/>
      <c r="N2776" s="282"/>
    </row>
    <row r="2777" spans="2:14">
      <c r="B2777" s="1067" t="s">
        <v>256</v>
      </c>
      <c r="C2777" s="1068"/>
      <c r="D2777" s="1068"/>
      <c r="E2777" s="1068"/>
      <c r="F2777" s="1068"/>
      <c r="G2777" s="1068"/>
      <c r="H2777" s="1068"/>
      <c r="I2777" s="1068"/>
      <c r="J2777" s="1068"/>
      <c r="K2777" s="1068"/>
      <c r="L2777" s="1068"/>
      <c r="M2777" s="1068"/>
      <c r="N2777" s="1069"/>
    </row>
    <row r="2778" spans="2:14" ht="13.5" thickBot="1">
      <c r="B2778" s="283"/>
      <c r="N2778" s="284"/>
    </row>
    <row r="2779" spans="2:14">
      <c r="B2779" s="285" t="s">
        <v>257</v>
      </c>
      <c r="C2779" s="1120" t="s">
        <v>258</v>
      </c>
      <c r="D2779" s="1121"/>
      <c r="E2779" s="1121"/>
      <c r="F2779" s="1121"/>
      <c r="G2779" s="1121"/>
      <c r="H2779" s="1121"/>
      <c r="I2779" s="1121"/>
      <c r="J2779" s="1121"/>
      <c r="K2779" s="1122"/>
      <c r="L2779" s="1123" t="s">
        <v>259</v>
      </c>
      <c r="M2779" s="1124"/>
      <c r="N2779" s="285" t="s">
        <v>133</v>
      </c>
    </row>
    <row r="2780" spans="2:14" ht="28.5" customHeight="1" thickBot="1">
      <c r="B2780" s="286">
        <v>31</v>
      </c>
      <c r="C2780" s="1125" t="s">
        <v>347</v>
      </c>
      <c r="D2780" s="1126"/>
      <c r="E2780" s="1126"/>
      <c r="F2780" s="1126"/>
      <c r="G2780" s="1126"/>
      <c r="H2780" s="1126"/>
      <c r="I2780" s="1126"/>
      <c r="J2780" s="1126"/>
      <c r="K2780" s="1127"/>
      <c r="L2780" s="1128" t="s">
        <v>147</v>
      </c>
      <c r="M2780" s="1129"/>
      <c r="N2780" s="366">
        <v>25</v>
      </c>
    </row>
    <row r="2781" spans="2:14">
      <c r="B2781" s="1103" t="s">
        <v>260</v>
      </c>
      <c r="C2781" s="1104"/>
      <c r="D2781" s="1104"/>
      <c r="E2781" s="1104"/>
      <c r="F2781" s="1104"/>
      <c r="G2781" s="1104"/>
      <c r="H2781" s="1104"/>
      <c r="I2781" s="1104"/>
      <c r="J2781" s="1104"/>
      <c r="K2781" s="1104"/>
      <c r="L2781" s="1104"/>
      <c r="M2781" s="1104"/>
      <c r="N2781" s="1105"/>
    </row>
    <row r="2782" spans="2:14">
      <c r="B2782" s="1106"/>
      <c r="C2782" s="1107"/>
      <c r="D2782" s="1107"/>
      <c r="E2782" s="1107"/>
      <c r="F2782" s="1107"/>
      <c r="G2782" s="1107"/>
      <c r="H2782" s="1107"/>
      <c r="I2782" s="1107"/>
      <c r="J2782" s="1107"/>
      <c r="K2782" s="1107"/>
      <c r="L2782" s="1107"/>
      <c r="M2782" s="1107"/>
      <c r="N2782" s="1108"/>
    </row>
    <row r="2783" spans="2:14" ht="13.5" thickBot="1">
      <c r="B2783" s="1109"/>
      <c r="C2783" s="1110"/>
      <c r="D2783" s="1110"/>
      <c r="E2783" s="1110"/>
      <c r="F2783" s="1110"/>
      <c r="G2783" s="1110"/>
      <c r="H2783" s="1110"/>
      <c r="I2783" s="1110"/>
      <c r="J2783" s="1110"/>
      <c r="K2783" s="1110"/>
      <c r="L2783" s="1110"/>
      <c r="M2783" s="1110"/>
      <c r="N2783" s="1111"/>
    </row>
    <row r="2784" spans="2:14">
      <c r="B2784" s="1130" t="s">
        <v>258</v>
      </c>
      <c r="C2784" s="1131"/>
      <c r="D2784" s="1131"/>
      <c r="E2784" s="1131"/>
      <c r="F2784" s="1132"/>
      <c r="G2784" s="1133" t="s">
        <v>261</v>
      </c>
      <c r="H2784" s="1131"/>
      <c r="I2784" s="1134" t="s">
        <v>262</v>
      </c>
      <c r="J2784" s="1135"/>
      <c r="K2784" s="288" t="s">
        <v>263</v>
      </c>
      <c r="L2784" s="1133" t="s">
        <v>264</v>
      </c>
      <c r="M2784" s="1136"/>
      <c r="N2784" s="289" t="s">
        <v>265</v>
      </c>
    </row>
    <row r="2785" spans="2:14">
      <c r="B2785" s="1179" t="s">
        <v>340</v>
      </c>
      <c r="C2785" s="1180"/>
      <c r="D2785" s="1180"/>
      <c r="E2785" s="1180"/>
      <c r="F2785" s="1181"/>
      <c r="G2785" s="295"/>
      <c r="H2785" s="294"/>
      <c r="I2785" s="1182" t="s">
        <v>267</v>
      </c>
      <c r="J2785" s="1183"/>
      <c r="K2785" s="290">
        <v>45220</v>
      </c>
      <c r="L2785" s="1118">
        <v>7.0000070000000001</v>
      </c>
      <c r="M2785" s="1119"/>
      <c r="N2785" s="290">
        <f>+K2785/L2785</f>
        <v>6459.9935400064596</v>
      </c>
    </row>
    <row r="2786" spans="2:14" ht="13.5" thickBot="1">
      <c r="B2786" s="1179"/>
      <c r="C2786" s="1180"/>
      <c r="D2786" s="1180"/>
      <c r="E2786" s="1180"/>
      <c r="F2786" s="1181"/>
      <c r="G2786" s="295"/>
      <c r="H2786" s="294"/>
      <c r="I2786" s="1182"/>
      <c r="J2786" s="1183"/>
      <c r="K2786" s="290"/>
      <c r="L2786" s="1118"/>
      <c r="M2786" s="1119"/>
      <c r="N2786" s="290"/>
    </row>
    <row r="2787" spans="2:14" ht="13.5" thickBot="1">
      <c r="B2787" s="1100" t="s">
        <v>269</v>
      </c>
      <c r="C2787" s="1101"/>
      <c r="D2787" s="1101"/>
      <c r="E2787" s="1101"/>
      <c r="F2787" s="1101"/>
      <c r="G2787" s="1101"/>
      <c r="H2787" s="1101"/>
      <c r="I2787" s="1101"/>
      <c r="J2787" s="1101"/>
      <c r="K2787" s="1101"/>
      <c r="L2787" s="1101"/>
      <c r="M2787" s="1102"/>
      <c r="N2787" s="323">
        <f>+N2785</f>
        <v>6459.9935400064596</v>
      </c>
    </row>
    <row r="2788" spans="2:14">
      <c r="B2788" s="1103" t="s">
        <v>270</v>
      </c>
      <c r="C2788" s="1104"/>
      <c r="D2788" s="1104"/>
      <c r="E2788" s="1104"/>
      <c r="F2788" s="1104"/>
      <c r="G2788" s="1104"/>
      <c r="H2788" s="1104"/>
      <c r="I2788" s="1104"/>
      <c r="J2788" s="1104"/>
      <c r="K2788" s="1104"/>
      <c r="L2788" s="1104"/>
      <c r="M2788" s="1104"/>
      <c r="N2788" s="1105"/>
    </row>
    <row r="2789" spans="2:14">
      <c r="B2789" s="1106"/>
      <c r="C2789" s="1107"/>
      <c r="D2789" s="1107"/>
      <c r="E2789" s="1107"/>
      <c r="F2789" s="1107"/>
      <c r="G2789" s="1107"/>
      <c r="H2789" s="1107"/>
      <c r="I2789" s="1107"/>
      <c r="J2789" s="1107"/>
      <c r="K2789" s="1107"/>
      <c r="L2789" s="1107"/>
      <c r="M2789" s="1107"/>
      <c r="N2789" s="1108"/>
    </row>
    <row r="2790" spans="2:14" ht="13.5" thickBot="1">
      <c r="B2790" s="1109"/>
      <c r="C2790" s="1110"/>
      <c r="D2790" s="1110"/>
      <c r="E2790" s="1110"/>
      <c r="F2790" s="1110"/>
      <c r="G2790" s="1110"/>
      <c r="H2790" s="1110"/>
      <c r="I2790" s="1110"/>
      <c r="J2790" s="1110"/>
      <c r="K2790" s="1110"/>
      <c r="L2790" s="1110"/>
      <c r="M2790" s="1110"/>
      <c r="N2790" s="1111"/>
    </row>
    <row r="2791" spans="2:14">
      <c r="B2791" s="1130" t="s">
        <v>258</v>
      </c>
      <c r="C2791" s="1139"/>
      <c r="D2791" s="1139"/>
      <c r="E2791" s="1139"/>
      <c r="F2791" s="1139"/>
      <c r="G2791" s="1139"/>
      <c r="H2791" s="1139"/>
      <c r="I2791" s="1136"/>
      <c r="J2791" s="299" t="s">
        <v>259</v>
      </c>
      <c r="K2791" s="288" t="s">
        <v>133</v>
      </c>
      <c r="L2791" s="1133" t="s">
        <v>271</v>
      </c>
      <c r="M2791" s="1136"/>
      <c r="N2791" s="289" t="s">
        <v>265</v>
      </c>
    </row>
    <row r="2792" spans="2:14">
      <c r="B2792" s="1112" t="s">
        <v>332</v>
      </c>
      <c r="C2792" s="1113"/>
      <c r="D2792" s="1113"/>
      <c r="E2792" s="1113"/>
      <c r="F2792" s="1113"/>
      <c r="G2792" s="1113"/>
      <c r="H2792" s="1113"/>
      <c r="I2792" s="1114"/>
      <c r="J2792" s="300" t="s">
        <v>196</v>
      </c>
      <c r="K2792" s="301">
        <v>2</v>
      </c>
      <c r="L2792" s="1144">
        <v>10710</v>
      </c>
      <c r="M2792" s="1145"/>
      <c r="N2792" s="363">
        <f>+K2792*L2792</f>
        <v>21420</v>
      </c>
    </row>
    <row r="2793" spans="2:14" ht="13.5" thickBot="1">
      <c r="B2793" s="1112" t="s">
        <v>348</v>
      </c>
      <c r="C2793" s="1113"/>
      <c r="D2793" s="1113"/>
      <c r="E2793" s="1113"/>
      <c r="F2793" s="1113"/>
      <c r="G2793" s="1113"/>
      <c r="H2793" s="1113"/>
      <c r="I2793" s="1114"/>
      <c r="J2793" s="303" t="s">
        <v>147</v>
      </c>
      <c r="K2793" s="304">
        <v>1.05</v>
      </c>
      <c r="L2793" s="1144">
        <v>369520</v>
      </c>
      <c r="M2793" s="1145"/>
      <c r="N2793" s="363">
        <f>+K2793*L2793</f>
        <v>387996</v>
      </c>
    </row>
    <row r="2794" spans="2:14" ht="13.5" thickBot="1">
      <c r="B2794" s="1100" t="s">
        <v>269</v>
      </c>
      <c r="C2794" s="1101"/>
      <c r="D2794" s="1101"/>
      <c r="E2794" s="1101"/>
      <c r="F2794" s="1101"/>
      <c r="G2794" s="1101"/>
      <c r="H2794" s="1101"/>
      <c r="I2794" s="1101"/>
      <c r="J2794" s="1101"/>
      <c r="K2794" s="1101"/>
      <c r="L2794" s="1101"/>
      <c r="M2794" s="1102"/>
      <c r="N2794" s="323">
        <f>+N2792+N2793</f>
        <v>409416</v>
      </c>
    </row>
    <row r="2795" spans="2:14">
      <c r="B2795" s="1103" t="s">
        <v>276</v>
      </c>
      <c r="C2795" s="1104"/>
      <c r="D2795" s="1104"/>
      <c r="E2795" s="1104"/>
      <c r="F2795" s="1104"/>
      <c r="G2795" s="1104"/>
      <c r="H2795" s="1104"/>
      <c r="I2795" s="1104"/>
      <c r="J2795" s="1104"/>
      <c r="K2795" s="1104"/>
      <c r="L2795" s="1104"/>
      <c r="M2795" s="1104"/>
      <c r="N2795" s="1105"/>
    </row>
    <row r="2796" spans="2:14">
      <c r="B2796" s="1106"/>
      <c r="C2796" s="1107"/>
      <c r="D2796" s="1107"/>
      <c r="E2796" s="1107"/>
      <c r="F2796" s="1107"/>
      <c r="G2796" s="1107"/>
      <c r="H2796" s="1107"/>
      <c r="I2796" s="1107"/>
      <c r="J2796" s="1107"/>
      <c r="K2796" s="1107"/>
      <c r="L2796" s="1107"/>
      <c r="M2796" s="1107"/>
      <c r="N2796" s="1108"/>
    </row>
    <row r="2797" spans="2:14" ht="13.5" thickBot="1">
      <c r="B2797" s="1109"/>
      <c r="C2797" s="1110"/>
      <c r="D2797" s="1110"/>
      <c r="E2797" s="1110"/>
      <c r="F2797" s="1110"/>
      <c r="G2797" s="1110"/>
      <c r="H2797" s="1110"/>
      <c r="I2797" s="1110"/>
      <c r="J2797" s="1110"/>
      <c r="K2797" s="1110"/>
      <c r="L2797" s="1110"/>
      <c r="M2797" s="1110"/>
      <c r="N2797" s="1111"/>
    </row>
    <row r="2798" spans="2:14">
      <c r="B2798" s="1130" t="s">
        <v>277</v>
      </c>
      <c r="C2798" s="1139"/>
      <c r="D2798" s="1139"/>
      <c r="E2798" s="1139"/>
      <c r="F2798" s="1139"/>
      <c r="G2798" s="1139"/>
      <c r="H2798" s="1139"/>
      <c r="I2798" s="288" t="s">
        <v>278</v>
      </c>
      <c r="J2798" s="306" t="s">
        <v>279</v>
      </c>
      <c r="K2798" s="307" t="s">
        <v>280</v>
      </c>
      <c r="L2798" s="1133" t="s">
        <v>281</v>
      </c>
      <c r="M2798" s="1136"/>
      <c r="N2798" s="289" t="s">
        <v>265</v>
      </c>
    </row>
    <row r="2799" spans="2:14" ht="13.5" thickBot="1">
      <c r="B2799" s="1112"/>
      <c r="C2799" s="1113"/>
      <c r="D2799" s="1113"/>
      <c r="E2799" s="1113"/>
      <c r="F2799" s="1113"/>
      <c r="G2799" s="1113"/>
      <c r="H2799" s="1113"/>
      <c r="I2799" s="393"/>
      <c r="J2799" s="309"/>
      <c r="K2799" s="308"/>
      <c r="L2799" s="1144"/>
      <c r="M2799" s="1145"/>
      <c r="N2799" s="363"/>
    </row>
    <row r="2800" spans="2:14" ht="13.5" thickBot="1">
      <c r="B2800" s="1100" t="s">
        <v>269</v>
      </c>
      <c r="C2800" s="1101"/>
      <c r="D2800" s="1101"/>
      <c r="E2800" s="1101"/>
      <c r="F2800" s="1101"/>
      <c r="G2800" s="1101"/>
      <c r="H2800" s="1101"/>
      <c r="I2800" s="1101"/>
      <c r="J2800" s="1101"/>
      <c r="K2800" s="1101"/>
      <c r="L2800" s="1101"/>
      <c r="M2800" s="1102"/>
      <c r="N2800" s="323">
        <f>+N2799</f>
        <v>0</v>
      </c>
    </row>
    <row r="2801" spans="2:14">
      <c r="B2801" s="1103" t="s">
        <v>282</v>
      </c>
      <c r="C2801" s="1104"/>
      <c r="D2801" s="1104"/>
      <c r="E2801" s="1104"/>
      <c r="F2801" s="1104"/>
      <c r="G2801" s="1104"/>
      <c r="H2801" s="1104"/>
      <c r="I2801" s="1104"/>
      <c r="J2801" s="1104"/>
      <c r="K2801" s="1104"/>
      <c r="L2801" s="1104"/>
      <c r="M2801" s="1104"/>
      <c r="N2801" s="1105"/>
    </row>
    <row r="2802" spans="2:14">
      <c r="B2802" s="1106"/>
      <c r="C2802" s="1107"/>
      <c r="D2802" s="1107"/>
      <c r="E2802" s="1107"/>
      <c r="F2802" s="1107"/>
      <c r="G2802" s="1107"/>
      <c r="H2802" s="1107"/>
      <c r="I2802" s="1107"/>
      <c r="J2802" s="1107"/>
      <c r="K2802" s="1107"/>
      <c r="L2802" s="1107"/>
      <c r="M2802" s="1107"/>
      <c r="N2802" s="1108"/>
    </row>
    <row r="2803" spans="2:14" ht="13.5" thickBot="1">
      <c r="B2803" s="1109"/>
      <c r="C2803" s="1110"/>
      <c r="D2803" s="1110"/>
      <c r="E2803" s="1110"/>
      <c r="F2803" s="1110"/>
      <c r="G2803" s="1110"/>
      <c r="H2803" s="1110"/>
      <c r="I2803" s="1110"/>
      <c r="J2803" s="1110"/>
      <c r="K2803" s="1110"/>
      <c r="L2803" s="1110"/>
      <c r="M2803" s="1110"/>
      <c r="N2803" s="1111"/>
    </row>
    <row r="2804" spans="2:14">
      <c r="B2804" s="1130" t="s">
        <v>283</v>
      </c>
      <c r="C2804" s="1139"/>
      <c r="D2804" s="1139"/>
      <c r="E2804" s="1139"/>
      <c r="F2804" s="1139"/>
      <c r="G2804" s="1139"/>
      <c r="H2804" s="1139"/>
      <c r="I2804" s="288" t="s">
        <v>284</v>
      </c>
      <c r="J2804" s="314" t="s">
        <v>285</v>
      </c>
      <c r="K2804" s="315" t="s">
        <v>286</v>
      </c>
      <c r="L2804" s="1140" t="s">
        <v>264</v>
      </c>
      <c r="M2804" s="1141"/>
      <c r="N2804" s="316" t="s">
        <v>265</v>
      </c>
    </row>
    <row r="2805" spans="2:14" ht="13.5" thickBot="1">
      <c r="B2805" s="317" t="s">
        <v>344</v>
      </c>
      <c r="C2805" s="318"/>
      <c r="D2805" s="318"/>
      <c r="E2805" s="318"/>
      <c r="F2805" s="318"/>
      <c r="G2805" s="318"/>
      <c r="H2805" s="318"/>
      <c r="I2805" s="319">
        <v>153482</v>
      </c>
      <c r="J2805" s="321">
        <v>0</v>
      </c>
      <c r="K2805" s="321">
        <f>+I2805+J2805</f>
        <v>153482</v>
      </c>
      <c r="L2805" s="1157">
        <v>0.76400000000000001</v>
      </c>
      <c r="M2805" s="1158"/>
      <c r="N2805" s="322">
        <f>+K2805/L2805</f>
        <v>200892.67015706806</v>
      </c>
    </row>
    <row r="2806" spans="2:14" ht="13.5" thickBot="1">
      <c r="B2806" s="1100" t="s">
        <v>269</v>
      </c>
      <c r="C2806" s="1101"/>
      <c r="D2806" s="1101"/>
      <c r="E2806" s="1101"/>
      <c r="F2806" s="1101"/>
      <c r="G2806" s="1101"/>
      <c r="H2806" s="1101"/>
      <c r="I2806" s="1101"/>
      <c r="J2806" s="1101"/>
      <c r="K2806" s="1101"/>
      <c r="L2806" s="1101"/>
      <c r="M2806" s="1102"/>
      <c r="N2806" s="323">
        <f>+N2805</f>
        <v>200892.67015706806</v>
      </c>
    </row>
    <row r="2807" spans="2:14" ht="13.5" thickBot="1">
      <c r="B2807" s="324" t="s">
        <v>288</v>
      </c>
      <c r="C2807" s="325"/>
      <c r="D2807" s="325"/>
      <c r="E2807" s="325"/>
      <c r="F2807" s="325"/>
      <c r="G2807" s="325"/>
      <c r="H2807" s="325"/>
      <c r="I2807" s="326"/>
      <c r="J2807" s="327"/>
      <c r="K2807" s="328"/>
      <c r="L2807" s="329"/>
      <c r="M2807" s="329"/>
      <c r="N2807" s="330"/>
    </row>
    <row r="2808" spans="2:14">
      <c r="B2808" s="1130" t="s">
        <v>17</v>
      </c>
      <c r="C2808" s="1139"/>
      <c r="D2808" s="1139"/>
      <c r="E2808" s="1139"/>
      <c r="F2808" s="1139"/>
      <c r="G2808" s="1139"/>
      <c r="H2808" s="1139"/>
      <c r="I2808" s="1136"/>
      <c r="J2808" s="299" t="s">
        <v>259</v>
      </c>
      <c r="K2808" s="288" t="s">
        <v>133</v>
      </c>
      <c r="L2808" s="1133" t="s">
        <v>271</v>
      </c>
      <c r="M2808" s="1136"/>
      <c r="N2808" s="316" t="s">
        <v>265</v>
      </c>
    </row>
    <row r="2809" spans="2:14">
      <c r="B2809" s="331" t="s">
        <v>289</v>
      </c>
      <c r="C2809" s="332"/>
      <c r="D2809" s="332"/>
      <c r="E2809" s="332"/>
      <c r="F2809" s="332"/>
      <c r="G2809" s="332"/>
      <c r="H2809" s="332"/>
      <c r="I2809" s="333"/>
      <c r="J2809" s="334" t="s">
        <v>290</v>
      </c>
      <c r="K2809" s="335">
        <v>0.05</v>
      </c>
      <c r="L2809" s="1144">
        <f>+N2806</f>
        <v>200892.67015706806</v>
      </c>
      <c r="M2809" s="1145"/>
      <c r="N2809" s="322">
        <f>+K2809*L2809</f>
        <v>10044.633507853403</v>
      </c>
    </row>
    <row r="2810" spans="2:14" ht="13.5" thickBot="1">
      <c r="B2810" s="356" t="s">
        <v>346</v>
      </c>
      <c r="C2810" s="332"/>
      <c r="D2810" s="332"/>
      <c r="E2810" s="332"/>
      <c r="F2810" s="332"/>
      <c r="G2810" s="332"/>
      <c r="H2810" s="332"/>
      <c r="I2810" s="333"/>
      <c r="J2810" s="334" t="s">
        <v>196</v>
      </c>
      <c r="K2810" s="335">
        <v>3</v>
      </c>
      <c r="L2810" s="1144">
        <v>810</v>
      </c>
      <c r="M2810" s="1145"/>
      <c r="N2810" s="322">
        <f>+K2810*L2810</f>
        <v>2430</v>
      </c>
    </row>
    <row r="2811" spans="2:14" ht="13.5" thickBot="1">
      <c r="B2811" s="1100" t="s">
        <v>269</v>
      </c>
      <c r="C2811" s="1101"/>
      <c r="D2811" s="1101"/>
      <c r="E2811" s="1101"/>
      <c r="F2811" s="1101"/>
      <c r="G2811" s="1101"/>
      <c r="H2811" s="1101"/>
      <c r="I2811" s="1101"/>
      <c r="J2811" s="1101"/>
      <c r="K2811" s="1101"/>
      <c r="L2811" s="1101"/>
      <c r="M2811" s="1102"/>
      <c r="N2811" s="323">
        <f>+N2809+N2810</f>
        <v>12474.633507853403</v>
      </c>
    </row>
    <row r="2812" spans="2:14" ht="13.5" thickBot="1">
      <c r="B2812" s="324" t="s">
        <v>78</v>
      </c>
      <c r="C2812" s="325"/>
      <c r="D2812" s="325"/>
      <c r="E2812" s="325"/>
      <c r="F2812" s="325"/>
      <c r="G2812" s="325"/>
      <c r="H2812" s="325"/>
      <c r="I2812" s="326"/>
      <c r="J2812" s="327"/>
      <c r="K2812" s="328"/>
      <c r="L2812" s="329"/>
      <c r="M2812" s="329"/>
      <c r="N2812" s="330"/>
    </row>
    <row r="2813" spans="2:14">
      <c r="B2813" s="1130" t="s">
        <v>17</v>
      </c>
      <c r="C2813" s="1139"/>
      <c r="D2813" s="1139"/>
      <c r="E2813" s="1139"/>
      <c r="F2813" s="1139"/>
      <c r="G2813" s="1139"/>
      <c r="H2813" s="1139"/>
      <c r="I2813" s="1136"/>
      <c r="J2813" s="299" t="s">
        <v>259</v>
      </c>
      <c r="K2813" s="288" t="s">
        <v>133</v>
      </c>
      <c r="L2813" s="1133" t="s">
        <v>271</v>
      </c>
      <c r="M2813" s="1136"/>
      <c r="N2813" s="316" t="s">
        <v>265</v>
      </c>
    </row>
    <row r="2814" spans="2:14" ht="13.5" thickBot="1">
      <c r="B2814" s="1186" t="s">
        <v>161</v>
      </c>
      <c r="C2814" s="1187"/>
      <c r="D2814" s="1187"/>
      <c r="E2814" s="1187"/>
      <c r="F2814" s="1187"/>
      <c r="G2814" s="1187"/>
      <c r="H2814" s="1188"/>
      <c r="I2814" s="333"/>
      <c r="J2814" s="396" t="s">
        <v>147</v>
      </c>
      <c r="K2814" s="399">
        <v>1</v>
      </c>
      <c r="L2814" s="1184">
        <v>38446</v>
      </c>
      <c r="M2814" s="1185"/>
      <c r="N2814" s="400">
        <f>+L2814*K2814</f>
        <v>38446</v>
      </c>
    </row>
    <row r="2815" spans="2:14" ht="13.5" thickBot="1">
      <c r="B2815" s="1100" t="s">
        <v>269</v>
      </c>
      <c r="C2815" s="1101"/>
      <c r="D2815" s="1101"/>
      <c r="E2815" s="1101"/>
      <c r="F2815" s="1101"/>
      <c r="G2815" s="1101"/>
      <c r="H2815" s="1101"/>
      <c r="I2815" s="1101"/>
      <c r="J2815" s="1101"/>
      <c r="K2815" s="1101"/>
      <c r="L2815" s="1101"/>
      <c r="M2815" s="1102"/>
      <c r="N2815" s="401">
        <f>+N2814</f>
        <v>38446</v>
      </c>
    </row>
    <row r="2816" spans="2:14">
      <c r="B2816" s="280"/>
      <c r="C2816" s="281"/>
      <c r="D2816" s="281"/>
      <c r="E2816" s="281"/>
      <c r="F2816" s="281"/>
      <c r="G2816" s="281"/>
      <c r="H2816" s="281"/>
      <c r="I2816" s="281"/>
      <c r="J2816" s="281"/>
      <c r="K2816" s="281"/>
      <c r="L2816" s="281"/>
      <c r="M2816" s="281"/>
      <c r="N2816" s="282"/>
    </row>
    <row r="2817" spans="2:14" ht="13.5" thickBot="1">
      <c r="B2817" s="378"/>
      <c r="C2817" s="311"/>
      <c r="D2817" s="311"/>
      <c r="E2817" s="311"/>
      <c r="F2817" s="311"/>
      <c r="G2817" s="311"/>
      <c r="H2817" s="311"/>
      <c r="I2817" s="311"/>
      <c r="J2817" s="311"/>
      <c r="K2817" s="311"/>
      <c r="L2817" s="311"/>
      <c r="M2817" s="311"/>
      <c r="N2817" s="379"/>
    </row>
    <row r="2818" spans="2:14" ht="13.5" thickBot="1">
      <c r="B2818" s="1150" t="s">
        <v>291</v>
      </c>
      <c r="C2818" s="1151"/>
      <c r="D2818" s="1151"/>
      <c r="E2818" s="1151"/>
      <c r="F2818" s="1151"/>
      <c r="G2818" s="1151"/>
      <c r="H2818" s="1151"/>
      <c r="I2818" s="1151"/>
      <c r="J2818" s="1151"/>
      <c r="K2818" s="1151"/>
      <c r="L2818" s="1151"/>
      <c r="M2818" s="1152"/>
      <c r="N2818" s="336">
        <f>+N2787+N2794+N2800+N2806+N2815+N2811</f>
        <v>667689.29720492789</v>
      </c>
    </row>
    <row r="2819" spans="2:14">
      <c r="B2819" s="1103" t="s">
        <v>292</v>
      </c>
      <c r="C2819" s="1104"/>
      <c r="D2819" s="1104"/>
      <c r="E2819" s="1104"/>
      <c r="F2819" s="1104"/>
      <c r="G2819" s="1104"/>
      <c r="H2819" s="1104"/>
      <c r="I2819" s="1104"/>
      <c r="J2819" s="1104"/>
      <c r="K2819" s="1104"/>
      <c r="L2819" s="1104"/>
      <c r="M2819" s="1104"/>
      <c r="N2819" s="1105"/>
    </row>
    <row r="2820" spans="2:14">
      <c r="B2820" s="1106"/>
      <c r="C2820" s="1107"/>
      <c r="D2820" s="1107"/>
      <c r="E2820" s="1107"/>
      <c r="F2820" s="1107"/>
      <c r="G2820" s="1107"/>
      <c r="H2820" s="1107"/>
      <c r="I2820" s="1107"/>
      <c r="J2820" s="1107"/>
      <c r="K2820" s="1107"/>
      <c r="L2820" s="1107"/>
      <c r="M2820" s="1107"/>
      <c r="N2820" s="1108"/>
    </row>
    <row r="2821" spans="2:14" ht="13.5" thickBot="1">
      <c r="B2821" s="1109"/>
      <c r="C2821" s="1110"/>
      <c r="D2821" s="1110"/>
      <c r="E2821" s="1110"/>
      <c r="F2821" s="1110"/>
      <c r="G2821" s="1110"/>
      <c r="H2821" s="1110"/>
      <c r="I2821" s="1110"/>
      <c r="J2821" s="1110"/>
      <c r="K2821" s="1110"/>
      <c r="L2821" s="1110"/>
      <c r="M2821" s="1110"/>
      <c r="N2821" s="1111"/>
    </row>
    <row r="2822" spans="2:14">
      <c r="B2822" s="1130" t="s">
        <v>17</v>
      </c>
      <c r="C2822" s="1139"/>
      <c r="D2822" s="1139"/>
      <c r="E2822" s="1139"/>
      <c r="F2822" s="1139"/>
      <c r="G2822" s="1139"/>
      <c r="H2822" s="1139"/>
      <c r="I2822" s="306"/>
      <c r="J2822" s="337"/>
      <c r="K2822" s="315" t="s">
        <v>79</v>
      </c>
      <c r="L2822" s="1140" t="s">
        <v>11</v>
      </c>
      <c r="M2822" s="1141"/>
      <c r="N2822" s="316"/>
    </row>
    <row r="2823" spans="2:14">
      <c r="B2823" s="1112" t="s">
        <v>232</v>
      </c>
      <c r="C2823" s="1113"/>
      <c r="D2823" s="1113"/>
      <c r="E2823" s="1113"/>
      <c r="F2823" s="1113"/>
      <c r="G2823" s="1113"/>
      <c r="H2823" s="1113"/>
      <c r="I2823" s="338"/>
      <c r="J2823" s="339"/>
      <c r="K2823" s="340">
        <f>'PRESUPUESTO OFICIAL'!$K$100</f>
        <v>0</v>
      </c>
      <c r="L2823" s="1146">
        <f>K2823*N2818</f>
        <v>0</v>
      </c>
      <c r="M2823" s="1147"/>
      <c r="N2823" s="341"/>
    </row>
    <row r="2824" spans="2:14">
      <c r="B2824" s="292" t="s">
        <v>293</v>
      </c>
      <c r="C2824" s="293"/>
      <c r="D2824" s="293"/>
      <c r="E2824" s="293"/>
      <c r="F2824" s="293"/>
      <c r="G2824" s="293"/>
      <c r="H2824" s="293"/>
      <c r="I2824" s="338"/>
      <c r="J2824" s="339"/>
      <c r="K2824" s="340">
        <f>'PRESUPUESTO OFICIAL'!$K$101</f>
        <v>0</v>
      </c>
      <c r="L2824" s="1146">
        <f>K2824*N2818</f>
        <v>0</v>
      </c>
      <c r="M2824" s="1147"/>
      <c r="N2824" s="341"/>
    </row>
    <row r="2825" spans="2:14" ht="13.5" thickBot="1">
      <c r="B2825" s="277" t="s">
        <v>294</v>
      </c>
      <c r="C2825" s="278"/>
      <c r="D2825" s="278"/>
      <c r="E2825" s="278"/>
      <c r="F2825" s="278"/>
      <c r="G2825" s="278"/>
      <c r="H2825" s="278"/>
      <c r="I2825" s="342"/>
      <c r="J2825" s="343"/>
      <c r="K2825" s="340">
        <f>'PRESUPUESTO OFICIAL'!$K$102</f>
        <v>0</v>
      </c>
      <c r="L2825" s="1148">
        <f>K2825*N2818</f>
        <v>0</v>
      </c>
      <c r="M2825" s="1149"/>
      <c r="N2825" s="341"/>
    </row>
    <row r="2826" spans="2:14" ht="13.5" thickBot="1">
      <c r="B2826" s="1100" t="s">
        <v>269</v>
      </c>
      <c r="C2826" s="1101"/>
      <c r="D2826" s="1101"/>
      <c r="E2826" s="1101"/>
      <c r="F2826" s="1101"/>
      <c r="G2826" s="1101"/>
      <c r="H2826" s="1101"/>
      <c r="I2826" s="1101"/>
      <c r="J2826" s="1101"/>
      <c r="K2826" s="1101"/>
      <c r="L2826" s="1101"/>
      <c r="M2826" s="1102"/>
      <c r="N2826" s="344">
        <f>SUM(L2823:M2825)</f>
        <v>0</v>
      </c>
    </row>
    <row r="2827" spans="2:14" ht="13.5" thickBot="1">
      <c r="B2827" s="283"/>
      <c r="N2827" s="284"/>
    </row>
    <row r="2828" spans="2:14" ht="13.5" thickBot="1">
      <c r="B2828" s="1150" t="s">
        <v>295</v>
      </c>
      <c r="C2828" s="1151"/>
      <c r="D2828" s="1151"/>
      <c r="E2828" s="1151"/>
      <c r="F2828" s="1151"/>
      <c r="G2828" s="1151"/>
      <c r="H2828" s="1151"/>
      <c r="I2828" s="1151"/>
      <c r="J2828" s="1151"/>
      <c r="K2828" s="1151"/>
      <c r="L2828" s="1151"/>
      <c r="M2828" s="1152"/>
      <c r="N2828" s="345">
        <f>ROUND(N2818+N2826,0)</f>
        <v>667689</v>
      </c>
    </row>
    <row r="2829" spans="2:14">
      <c r="B2829" s="280"/>
      <c r="C2829" s="281"/>
      <c r="D2829" s="281"/>
      <c r="E2829" s="281"/>
      <c r="F2829" s="281"/>
      <c r="G2829" s="281"/>
      <c r="H2829" s="281"/>
      <c r="I2829" s="281"/>
      <c r="J2829" s="281"/>
      <c r="K2829" s="281"/>
      <c r="L2829" s="281"/>
      <c r="M2829" s="281"/>
      <c r="N2829" s="282"/>
    </row>
    <row r="2830" spans="2:14">
      <c r="B2830" s="283"/>
      <c r="N2830" s="284"/>
    </row>
    <row r="2831" spans="2:14">
      <c r="B2831" s="283"/>
      <c r="N2831" s="284"/>
    </row>
    <row r="2832" spans="2:14">
      <c r="B2832" s="283"/>
      <c r="G2832" s="346" t="s">
        <v>296</v>
      </c>
      <c r="H2832" s="346"/>
      <c r="I2832" s="346"/>
      <c r="J2832" s="346"/>
      <c r="N2832" s="284"/>
    </row>
    <row r="2833" spans="2:14">
      <c r="B2833" s="347"/>
      <c r="C2833" s="348"/>
      <c r="D2833" s="348"/>
      <c r="E2833" s="348"/>
      <c r="F2833" s="348"/>
      <c r="G2833" s="346" t="s">
        <v>297</v>
      </c>
      <c r="H2833" s="348"/>
      <c r="I2833" s="348"/>
      <c r="J2833" s="348"/>
      <c r="K2833" s="348"/>
      <c r="L2833" s="348"/>
      <c r="M2833" s="348"/>
      <c r="N2833" s="349"/>
    </row>
    <row r="2834" spans="2:14">
      <c r="B2834" s="347"/>
      <c r="C2834" s="348"/>
      <c r="D2834" s="348"/>
      <c r="E2834" s="348"/>
      <c r="F2834" s="348"/>
      <c r="G2834" s="346" t="s">
        <v>298</v>
      </c>
      <c r="J2834" s="348"/>
      <c r="K2834" s="348"/>
      <c r="L2834" s="348"/>
      <c r="M2834" s="348"/>
      <c r="N2834" s="349"/>
    </row>
    <row r="2835" spans="2:14">
      <c r="B2835" s="268"/>
      <c r="C2835" s="350"/>
      <c r="D2835" s="350"/>
      <c r="E2835" s="350"/>
      <c r="F2835" s="350"/>
      <c r="G2835" s="346" t="s">
        <v>299</v>
      </c>
      <c r="H2835" s="350"/>
      <c r="I2835" s="350"/>
      <c r="J2835" s="350"/>
      <c r="K2835" s="350"/>
      <c r="L2835" s="350"/>
      <c r="M2835" s="350"/>
      <c r="N2835" s="351"/>
    </row>
    <row r="2836" spans="2:14">
      <c r="B2836" s="283"/>
      <c r="G2836" s="258" t="s">
        <v>300</v>
      </c>
      <c r="N2836" s="284"/>
    </row>
    <row r="2837" spans="2:14">
      <c r="B2837" s="352" t="s">
        <v>301</v>
      </c>
      <c r="C2837" s="353"/>
      <c r="D2837" s="353"/>
      <c r="E2837" s="353"/>
      <c r="F2837" s="353"/>
      <c r="G2837" s="353"/>
      <c r="H2837" s="353"/>
      <c r="I2837" s="353"/>
      <c r="J2837" s="353"/>
      <c r="K2837" s="353"/>
      <c r="L2837" s="353"/>
      <c r="M2837" s="353"/>
      <c r="N2837" s="354"/>
    </row>
    <row r="2838" spans="2:14">
      <c r="B2838" s="1153"/>
      <c r="C2838" s="1154"/>
      <c r="D2838" s="1154"/>
      <c r="E2838" s="1154"/>
      <c r="F2838" s="1154"/>
      <c r="G2838" s="1154"/>
      <c r="H2838" s="1154"/>
      <c r="I2838" s="1154"/>
      <c r="J2838" s="1154"/>
      <c r="K2838" s="1154"/>
      <c r="L2838" s="1154"/>
      <c r="M2838" s="1154"/>
      <c r="N2838" s="1155"/>
    </row>
    <row r="2839" spans="2:14">
      <c r="B2839" s="1153"/>
      <c r="C2839" s="1154"/>
      <c r="D2839" s="1154"/>
      <c r="E2839" s="1154"/>
      <c r="F2839" s="1154"/>
      <c r="G2839" s="1154"/>
      <c r="H2839" s="1154"/>
      <c r="I2839" s="1154"/>
      <c r="J2839" s="1154"/>
      <c r="K2839" s="1154"/>
      <c r="L2839" s="1154"/>
      <c r="M2839" s="1154"/>
      <c r="N2839" s="1155"/>
    </row>
    <row r="2840" spans="2:14">
      <c r="B2840" s="268"/>
      <c r="C2840" s="350"/>
      <c r="D2840" s="350"/>
      <c r="E2840" s="350"/>
      <c r="F2840" s="350"/>
      <c r="G2840" s="350"/>
      <c r="H2840" s="350"/>
      <c r="I2840" s="350"/>
      <c r="J2840" s="350"/>
      <c r="K2840" s="350"/>
      <c r="L2840" s="350"/>
      <c r="M2840" s="350"/>
      <c r="N2840" s="351"/>
    </row>
    <row r="2841" spans="2:14">
      <c r="B2841" s="355" t="s">
        <v>302</v>
      </c>
      <c r="C2841" s="350"/>
      <c r="D2841" s="350"/>
      <c r="E2841" s="350"/>
      <c r="F2841" s="350"/>
      <c r="G2841" s="350"/>
      <c r="H2841" s="350"/>
      <c r="I2841" s="350"/>
      <c r="J2841" s="350"/>
      <c r="K2841" s="350"/>
      <c r="L2841" s="350"/>
      <c r="M2841" s="350"/>
      <c r="N2841" s="351"/>
    </row>
    <row r="2842" spans="2:14">
      <c r="B2842" s="1159" t="s">
        <v>303</v>
      </c>
      <c r="C2842" s="1160"/>
      <c r="D2842" s="1160"/>
      <c r="E2842" s="1160"/>
      <c r="F2842" s="1160"/>
      <c r="G2842" s="1160"/>
      <c r="H2842" s="1160"/>
      <c r="I2842" s="1160"/>
      <c r="J2842" s="1160"/>
      <c r="K2842" s="1160"/>
      <c r="L2842" s="1160"/>
      <c r="M2842" s="1160"/>
      <c r="N2842" s="1161"/>
    </row>
    <row r="2843" spans="2:14">
      <c r="B2843" s="1159"/>
      <c r="C2843" s="1160"/>
      <c r="D2843" s="1160"/>
      <c r="E2843" s="1160"/>
      <c r="F2843" s="1160"/>
      <c r="G2843" s="1160"/>
      <c r="H2843" s="1160"/>
      <c r="I2843" s="1160"/>
      <c r="J2843" s="1160"/>
      <c r="K2843" s="1160"/>
      <c r="L2843" s="1160"/>
      <c r="M2843" s="1160"/>
      <c r="N2843" s="1161"/>
    </row>
    <row r="2844" spans="2:14">
      <c r="B2844" s="1159" t="s">
        <v>304</v>
      </c>
      <c r="C2844" s="1160"/>
      <c r="D2844" s="1160"/>
      <c r="E2844" s="1160"/>
      <c r="F2844" s="1160"/>
      <c r="G2844" s="1160"/>
      <c r="H2844" s="1160"/>
      <c r="I2844" s="1160"/>
      <c r="J2844" s="1160"/>
      <c r="K2844" s="1160"/>
      <c r="L2844" s="1160"/>
      <c r="M2844" s="1160"/>
      <c r="N2844" s="1161"/>
    </row>
    <row r="2845" spans="2:14">
      <c r="B2845" s="1159"/>
      <c r="C2845" s="1160"/>
      <c r="D2845" s="1160"/>
      <c r="E2845" s="1160"/>
      <c r="F2845" s="1160"/>
      <c r="G2845" s="1160"/>
      <c r="H2845" s="1160"/>
      <c r="I2845" s="1160"/>
      <c r="J2845" s="1160"/>
      <c r="K2845" s="1160"/>
      <c r="L2845" s="1160"/>
      <c r="M2845" s="1160"/>
      <c r="N2845" s="1161"/>
    </row>
    <row r="2846" spans="2:14">
      <c r="B2846" s="268"/>
      <c r="C2846" s="350"/>
      <c r="D2846" s="350"/>
      <c r="E2846" s="350"/>
      <c r="F2846" s="350"/>
      <c r="G2846" s="350"/>
      <c r="H2846" s="350"/>
      <c r="I2846" s="350"/>
      <c r="J2846" s="350"/>
      <c r="K2846" s="350"/>
      <c r="L2846" s="350"/>
      <c r="M2846" s="350"/>
      <c r="N2846" s="351"/>
    </row>
    <row r="2847" spans="2:14">
      <c r="B2847" s="283"/>
      <c r="G2847" s="346" t="s">
        <v>296</v>
      </c>
      <c r="N2847" s="284"/>
    </row>
    <row r="2848" spans="2:14">
      <c r="B2848" s="283"/>
      <c r="G2848" s="258" t="s">
        <v>305</v>
      </c>
      <c r="H2848" s="293"/>
      <c r="I2848" s="293"/>
      <c r="J2848" s="293"/>
      <c r="N2848" s="284"/>
    </row>
    <row r="2849" spans="2:14">
      <c r="B2849" s="283"/>
      <c r="G2849" s="258" t="s">
        <v>306</v>
      </c>
      <c r="H2849" s="325"/>
      <c r="I2849" s="325"/>
      <c r="J2849" s="325"/>
      <c r="N2849" s="284"/>
    </row>
    <row r="2850" spans="2:14">
      <c r="B2850" s="356"/>
      <c r="C2850" s="350"/>
      <c r="D2850" s="350"/>
      <c r="E2850" s="350"/>
      <c r="F2850" s="350"/>
      <c r="G2850" s="258" t="s">
        <v>299</v>
      </c>
      <c r="K2850" s="350"/>
      <c r="L2850" s="350"/>
      <c r="M2850" s="350"/>
      <c r="N2850" s="351"/>
    </row>
    <row r="2851" spans="2:14">
      <c r="B2851" s="357"/>
      <c r="C2851" s="358"/>
      <c r="D2851" s="358"/>
      <c r="J2851" s="1162"/>
      <c r="K2851" s="1162"/>
      <c r="L2851" s="1162"/>
      <c r="M2851" s="1162"/>
      <c r="N2851" s="1163"/>
    </row>
    <row r="2852" spans="2:14" ht="13.5" thickBot="1">
      <c r="B2852" s="1166"/>
      <c r="C2852" s="1167"/>
      <c r="D2852" s="1167"/>
      <c r="E2852" s="311"/>
      <c r="F2852" s="311"/>
      <c r="G2852" s="311"/>
      <c r="H2852" s="311"/>
      <c r="I2852" s="311"/>
      <c r="J2852" s="1164"/>
      <c r="K2852" s="1164"/>
      <c r="L2852" s="1164"/>
      <c r="M2852" s="1164"/>
      <c r="N2852" s="1165"/>
    </row>
    <row r="2853" spans="2:14" ht="13.5" thickBot="1"/>
    <row r="2854" spans="2:14">
      <c r="B2854" s="1070"/>
      <c r="C2854" s="1072"/>
      <c r="D2854" s="1073"/>
      <c r="E2854" s="1073"/>
      <c r="F2854" s="1073"/>
      <c r="G2854" s="1073"/>
      <c r="H2854" s="1073"/>
      <c r="I2854" s="1073"/>
      <c r="J2854" s="1074"/>
      <c r="K2854" s="1075"/>
      <c r="L2854" s="1076"/>
      <c r="M2854" s="1076"/>
      <c r="N2854" s="1077"/>
    </row>
    <row r="2855" spans="2:14">
      <c r="B2855" s="1071"/>
      <c r="C2855" s="1062" t="s">
        <v>244</v>
      </c>
      <c r="D2855" s="1063"/>
      <c r="E2855" s="1063"/>
      <c r="F2855" s="1063"/>
      <c r="G2855" s="1063"/>
      <c r="H2855" s="1063"/>
      <c r="I2855" s="1063"/>
      <c r="J2855" s="1064"/>
      <c r="K2855" s="1078"/>
      <c r="L2855" s="1079"/>
      <c r="M2855" s="1079"/>
      <c r="N2855" s="1080"/>
    </row>
    <row r="2856" spans="2:14">
      <c r="B2856" s="1071"/>
      <c r="C2856" s="1081"/>
      <c r="D2856" s="1082"/>
      <c r="E2856" s="1082"/>
      <c r="F2856" s="1082"/>
      <c r="G2856" s="1082"/>
      <c r="H2856" s="1082"/>
      <c r="I2856" s="1082"/>
      <c r="J2856" s="1083"/>
      <c r="K2856" s="1058" t="s">
        <v>245</v>
      </c>
      <c r="L2856" s="1085"/>
      <c r="M2856" s="1086"/>
      <c r="N2856" s="1087"/>
    </row>
    <row r="2857" spans="2:14">
      <c r="B2857" s="1071"/>
      <c r="C2857" s="1062" t="s">
        <v>246</v>
      </c>
      <c r="D2857" s="1063"/>
      <c r="E2857" s="1063"/>
      <c r="F2857" s="1063"/>
      <c r="G2857" s="1063"/>
      <c r="H2857" s="1063"/>
      <c r="I2857" s="1063"/>
      <c r="J2857" s="1064"/>
      <c r="K2857" s="1084"/>
      <c r="L2857" s="1088"/>
      <c r="M2857" s="1089"/>
      <c r="N2857" s="1090"/>
    </row>
    <row r="2858" spans="2:14">
      <c r="B2858" s="1071"/>
      <c r="C2858" s="1091"/>
      <c r="D2858" s="1092"/>
      <c r="E2858" s="1092"/>
      <c r="F2858" s="1092"/>
      <c r="G2858" s="1092"/>
      <c r="H2858" s="1092"/>
      <c r="I2858" s="1092"/>
      <c r="J2858" s="1093"/>
      <c r="K2858" s="1058" t="s">
        <v>247</v>
      </c>
      <c r="L2858" s="1058">
        <v>32</v>
      </c>
      <c r="M2858" s="1058" t="s">
        <v>248</v>
      </c>
      <c r="N2858" s="1060">
        <v>80</v>
      </c>
    </row>
    <row r="2859" spans="2:14">
      <c r="B2859" s="1071"/>
      <c r="C2859" s="1091"/>
      <c r="D2859" s="1092"/>
      <c r="E2859" s="1092"/>
      <c r="F2859" s="1092"/>
      <c r="G2859" s="1092"/>
      <c r="H2859" s="1092"/>
      <c r="I2859" s="1092"/>
      <c r="J2859" s="1093"/>
      <c r="K2859" s="1059"/>
      <c r="L2859" s="1059"/>
      <c r="M2859" s="1059"/>
      <c r="N2859" s="1061"/>
    </row>
    <row r="2860" spans="2:14">
      <c r="B2860" s="1071"/>
      <c r="C2860" s="1062" t="s">
        <v>249</v>
      </c>
      <c r="D2860" s="1063"/>
      <c r="E2860" s="1063"/>
      <c r="F2860" s="1063"/>
      <c r="G2860" s="1063"/>
      <c r="H2860" s="1063"/>
      <c r="I2860" s="1063"/>
      <c r="J2860" s="1064"/>
      <c r="K2860" s="1059"/>
      <c r="L2860" s="1059"/>
      <c r="M2860" s="1059"/>
      <c r="N2860" s="1061"/>
    </row>
    <row r="2861" spans="2:14" ht="13.5" thickBot="1">
      <c r="B2861" s="259"/>
      <c r="C2861" s="260"/>
      <c r="D2861" s="260"/>
      <c r="E2861" s="260"/>
      <c r="F2861" s="260"/>
      <c r="G2861" s="260"/>
      <c r="H2861" s="260"/>
      <c r="I2861" s="260"/>
      <c r="J2861" s="260"/>
      <c r="K2861" s="260"/>
      <c r="L2861" s="261"/>
      <c r="M2861" s="261"/>
      <c r="N2861" s="262"/>
    </row>
    <row r="2862" spans="2:14">
      <c r="B2862" s="263"/>
      <c r="C2862" s="264"/>
      <c r="D2862" s="264"/>
      <c r="E2862" s="264"/>
      <c r="F2862" s="264"/>
      <c r="G2862" s="264"/>
      <c r="H2862" s="264"/>
      <c r="I2862" s="264"/>
      <c r="J2862" s="264"/>
      <c r="K2862" s="265" t="s">
        <v>250</v>
      </c>
      <c r="L2862" s="266" t="s">
        <v>251</v>
      </c>
      <c r="M2862" s="266" t="s">
        <v>252</v>
      </c>
      <c r="N2862" s="267" t="s">
        <v>253</v>
      </c>
    </row>
    <row r="2863" spans="2:14">
      <c r="B2863" s="268"/>
      <c r="C2863" s="269"/>
      <c r="D2863" s="269"/>
      <c r="E2863" s="269"/>
      <c r="F2863" s="269"/>
      <c r="G2863" s="269"/>
      <c r="H2863" s="269"/>
      <c r="I2863" s="269"/>
      <c r="J2863" s="269"/>
      <c r="K2863" s="270"/>
      <c r="L2863" s="271"/>
      <c r="M2863" s="271"/>
      <c r="N2863" s="272"/>
    </row>
    <row r="2864" spans="2:14">
      <c r="B2864" s="1065" t="s">
        <v>254</v>
      </c>
      <c r="C2864" s="1066"/>
      <c r="D2864" s="1066"/>
      <c r="E2864" s="1066"/>
      <c r="F2864" s="269"/>
      <c r="G2864" s="269"/>
      <c r="H2864" s="269" t="s">
        <v>255</v>
      </c>
      <c r="J2864" s="269"/>
      <c r="K2864" s="270"/>
      <c r="N2864" s="273"/>
    </row>
    <row r="2865" spans="2:14">
      <c r="B2865" s="274"/>
      <c r="C2865" s="275"/>
      <c r="D2865" s="275"/>
      <c r="E2865" s="275"/>
      <c r="F2865" s="275"/>
      <c r="G2865" s="275"/>
      <c r="H2865" s="275"/>
      <c r="I2865" s="275"/>
      <c r="J2865" s="275"/>
      <c r="K2865" s="275"/>
      <c r="L2865" s="275"/>
      <c r="M2865" s="275"/>
      <c r="N2865" s="276"/>
    </row>
    <row r="2866" spans="2:14" ht="13.5" thickBot="1">
      <c r="B2866" s="277"/>
      <c r="C2866" s="278"/>
      <c r="D2866" s="278"/>
      <c r="E2866" s="278"/>
      <c r="F2866" s="278"/>
      <c r="G2866" s="278"/>
      <c r="H2866" s="278"/>
      <c r="I2866" s="278"/>
      <c r="J2866" s="278"/>
      <c r="K2866" s="278"/>
      <c r="L2866" s="278"/>
      <c r="M2866" s="278"/>
      <c r="N2866" s="279"/>
    </row>
    <row r="2867" spans="2:14" ht="13.5" thickBot="1">
      <c r="B2867" s="280"/>
      <c r="C2867" s="281"/>
      <c r="D2867" s="281"/>
      <c r="E2867" s="281"/>
      <c r="F2867" s="281"/>
      <c r="G2867" s="281"/>
      <c r="J2867" s="281"/>
      <c r="K2867" s="281"/>
      <c r="L2867" s="281"/>
      <c r="M2867" s="281"/>
      <c r="N2867" s="282"/>
    </row>
    <row r="2868" spans="2:14">
      <c r="B2868" s="1067" t="s">
        <v>256</v>
      </c>
      <c r="C2868" s="1068"/>
      <c r="D2868" s="1068"/>
      <c r="E2868" s="1068"/>
      <c r="F2868" s="1068"/>
      <c r="G2868" s="1068"/>
      <c r="H2868" s="1068"/>
      <c r="I2868" s="1068"/>
      <c r="J2868" s="1068"/>
      <c r="K2868" s="1068"/>
      <c r="L2868" s="1068"/>
      <c r="M2868" s="1068"/>
      <c r="N2868" s="1069"/>
    </row>
    <row r="2869" spans="2:14" ht="13.5" thickBot="1">
      <c r="B2869" s="283"/>
      <c r="N2869" s="284"/>
    </row>
    <row r="2870" spans="2:14">
      <c r="B2870" s="285" t="s">
        <v>257</v>
      </c>
      <c r="C2870" s="1120" t="s">
        <v>258</v>
      </c>
      <c r="D2870" s="1121"/>
      <c r="E2870" s="1121"/>
      <c r="F2870" s="1121"/>
      <c r="G2870" s="1121"/>
      <c r="H2870" s="1121"/>
      <c r="I2870" s="1121"/>
      <c r="J2870" s="1121"/>
      <c r="K2870" s="1122"/>
      <c r="L2870" s="1123" t="s">
        <v>259</v>
      </c>
      <c r="M2870" s="1124"/>
      <c r="N2870" s="285" t="s">
        <v>133</v>
      </c>
    </row>
    <row r="2871" spans="2:14" ht="23.25" customHeight="1" thickBot="1">
      <c r="B2871" s="286">
        <v>32</v>
      </c>
      <c r="C2871" s="1125" t="s">
        <v>173</v>
      </c>
      <c r="D2871" s="1126"/>
      <c r="E2871" s="1126"/>
      <c r="F2871" s="1126"/>
      <c r="G2871" s="1126"/>
      <c r="H2871" s="1126"/>
      <c r="I2871" s="1126"/>
      <c r="J2871" s="1126"/>
      <c r="K2871" s="1127"/>
      <c r="L2871" s="1128" t="s">
        <v>147</v>
      </c>
      <c r="M2871" s="1129"/>
      <c r="N2871" s="366">
        <v>159</v>
      </c>
    </row>
    <row r="2872" spans="2:14">
      <c r="B2872" s="1103" t="s">
        <v>260</v>
      </c>
      <c r="C2872" s="1104"/>
      <c r="D2872" s="1104"/>
      <c r="E2872" s="1104"/>
      <c r="F2872" s="1104"/>
      <c r="G2872" s="1104"/>
      <c r="H2872" s="1104"/>
      <c r="I2872" s="1104"/>
      <c r="J2872" s="1104"/>
      <c r="K2872" s="1104"/>
      <c r="L2872" s="1104"/>
      <c r="M2872" s="1104"/>
      <c r="N2872" s="1105"/>
    </row>
    <row r="2873" spans="2:14">
      <c r="B2873" s="1106"/>
      <c r="C2873" s="1107"/>
      <c r="D2873" s="1107"/>
      <c r="E2873" s="1107"/>
      <c r="F2873" s="1107"/>
      <c r="G2873" s="1107"/>
      <c r="H2873" s="1107"/>
      <c r="I2873" s="1107"/>
      <c r="J2873" s="1107"/>
      <c r="K2873" s="1107"/>
      <c r="L2873" s="1107"/>
      <c r="M2873" s="1107"/>
      <c r="N2873" s="1108"/>
    </row>
    <row r="2874" spans="2:14" ht="13.5" thickBot="1">
      <c r="B2874" s="1109"/>
      <c r="C2874" s="1110"/>
      <c r="D2874" s="1110"/>
      <c r="E2874" s="1110"/>
      <c r="F2874" s="1110"/>
      <c r="G2874" s="1110"/>
      <c r="H2874" s="1110"/>
      <c r="I2874" s="1110"/>
      <c r="J2874" s="1110"/>
      <c r="K2874" s="1110"/>
      <c r="L2874" s="1110"/>
      <c r="M2874" s="1110"/>
      <c r="N2874" s="1111"/>
    </row>
    <row r="2875" spans="2:14">
      <c r="B2875" s="1130" t="s">
        <v>258</v>
      </c>
      <c r="C2875" s="1131"/>
      <c r="D2875" s="1131"/>
      <c r="E2875" s="1131"/>
      <c r="F2875" s="1132"/>
      <c r="G2875" s="1133" t="s">
        <v>261</v>
      </c>
      <c r="H2875" s="1131"/>
      <c r="I2875" s="1134" t="s">
        <v>262</v>
      </c>
      <c r="J2875" s="1135"/>
      <c r="K2875" s="288" t="s">
        <v>263</v>
      </c>
      <c r="L2875" s="1133" t="s">
        <v>264</v>
      </c>
      <c r="M2875" s="1136"/>
      <c r="N2875" s="289" t="s">
        <v>265</v>
      </c>
    </row>
    <row r="2876" spans="2:14">
      <c r="B2876" s="1179" t="s">
        <v>340</v>
      </c>
      <c r="C2876" s="1180"/>
      <c r="D2876" s="1180"/>
      <c r="E2876" s="1180"/>
      <c r="F2876" s="1181"/>
      <c r="G2876" s="295"/>
      <c r="H2876" s="294"/>
      <c r="I2876" s="1182" t="s">
        <v>267</v>
      </c>
      <c r="J2876" s="1183"/>
      <c r="K2876" s="290">
        <v>45220</v>
      </c>
      <c r="L2876" s="1118">
        <v>5.9999880000000001</v>
      </c>
      <c r="M2876" s="1119"/>
      <c r="N2876" s="290">
        <f>+K2876/L2876</f>
        <v>7536.681740030147</v>
      </c>
    </row>
    <row r="2877" spans="2:14" ht="13.5" thickBot="1">
      <c r="B2877" s="1179"/>
      <c r="C2877" s="1180"/>
      <c r="D2877" s="1180"/>
      <c r="E2877" s="1180"/>
      <c r="F2877" s="1181"/>
      <c r="G2877" s="295"/>
      <c r="H2877" s="294"/>
      <c r="I2877" s="1182"/>
      <c r="J2877" s="1183"/>
      <c r="K2877" s="290"/>
      <c r="L2877" s="1118"/>
      <c r="M2877" s="1119"/>
      <c r="N2877" s="290"/>
    </row>
    <row r="2878" spans="2:14" ht="13.5" thickBot="1">
      <c r="B2878" s="1100" t="s">
        <v>269</v>
      </c>
      <c r="C2878" s="1101"/>
      <c r="D2878" s="1101"/>
      <c r="E2878" s="1101"/>
      <c r="F2878" s="1101"/>
      <c r="G2878" s="1101"/>
      <c r="H2878" s="1101"/>
      <c r="I2878" s="1101"/>
      <c r="J2878" s="1101"/>
      <c r="K2878" s="1101"/>
      <c r="L2878" s="1101"/>
      <c r="M2878" s="1102"/>
      <c r="N2878" s="323">
        <f>+N2876</f>
        <v>7536.681740030147</v>
      </c>
    </row>
    <row r="2879" spans="2:14">
      <c r="B2879" s="1103" t="s">
        <v>270</v>
      </c>
      <c r="C2879" s="1104"/>
      <c r="D2879" s="1104"/>
      <c r="E2879" s="1104"/>
      <c r="F2879" s="1104"/>
      <c r="G2879" s="1104"/>
      <c r="H2879" s="1104"/>
      <c r="I2879" s="1104"/>
      <c r="J2879" s="1104"/>
      <c r="K2879" s="1104"/>
      <c r="L2879" s="1104"/>
      <c r="M2879" s="1104"/>
      <c r="N2879" s="1105"/>
    </row>
    <row r="2880" spans="2:14">
      <c r="B2880" s="1106"/>
      <c r="C2880" s="1107"/>
      <c r="D2880" s="1107"/>
      <c r="E2880" s="1107"/>
      <c r="F2880" s="1107"/>
      <c r="G2880" s="1107"/>
      <c r="H2880" s="1107"/>
      <c r="I2880" s="1107"/>
      <c r="J2880" s="1107"/>
      <c r="K2880" s="1107"/>
      <c r="L2880" s="1107"/>
      <c r="M2880" s="1107"/>
      <c r="N2880" s="1108"/>
    </row>
    <row r="2881" spans="2:14" ht="13.5" thickBot="1">
      <c r="B2881" s="1109"/>
      <c r="C2881" s="1110"/>
      <c r="D2881" s="1110"/>
      <c r="E2881" s="1110"/>
      <c r="F2881" s="1110"/>
      <c r="G2881" s="1110"/>
      <c r="H2881" s="1110"/>
      <c r="I2881" s="1110"/>
      <c r="J2881" s="1110"/>
      <c r="K2881" s="1110"/>
      <c r="L2881" s="1110"/>
      <c r="M2881" s="1110"/>
      <c r="N2881" s="1111"/>
    </row>
    <row r="2882" spans="2:14">
      <c r="B2882" s="1130" t="s">
        <v>258</v>
      </c>
      <c r="C2882" s="1139"/>
      <c r="D2882" s="1139"/>
      <c r="E2882" s="1139"/>
      <c r="F2882" s="1139"/>
      <c r="G2882" s="1139"/>
      <c r="H2882" s="1139"/>
      <c r="I2882" s="1136"/>
      <c r="J2882" s="299" t="s">
        <v>259</v>
      </c>
      <c r="K2882" s="288" t="s">
        <v>133</v>
      </c>
      <c r="L2882" s="1133" t="s">
        <v>271</v>
      </c>
      <c r="M2882" s="1136"/>
      <c r="N2882" s="289" t="s">
        <v>265</v>
      </c>
    </row>
    <row r="2883" spans="2:14">
      <c r="B2883" s="1112" t="s">
        <v>332</v>
      </c>
      <c r="C2883" s="1113"/>
      <c r="D2883" s="1113"/>
      <c r="E2883" s="1113"/>
      <c r="F2883" s="1113"/>
      <c r="G2883" s="1113"/>
      <c r="H2883" s="1113"/>
      <c r="I2883" s="1114"/>
      <c r="J2883" s="300" t="s">
        <v>196</v>
      </c>
      <c r="K2883" s="301">
        <v>0.5</v>
      </c>
      <c r="L2883" s="1144">
        <v>10710</v>
      </c>
      <c r="M2883" s="1145"/>
      <c r="N2883" s="363">
        <f>+K2883*L2883</f>
        <v>5355</v>
      </c>
    </row>
    <row r="2884" spans="2:14" ht="13.5" thickBot="1">
      <c r="B2884" s="1112" t="s">
        <v>348</v>
      </c>
      <c r="C2884" s="1113"/>
      <c r="D2884" s="1113"/>
      <c r="E2884" s="1113"/>
      <c r="F2884" s="1113"/>
      <c r="G2884" s="1113"/>
      <c r="H2884" s="1113"/>
      <c r="I2884" s="1114"/>
      <c r="J2884" s="303" t="s">
        <v>147</v>
      </c>
      <c r="K2884" s="304">
        <v>1.05</v>
      </c>
      <c r="L2884" s="1144">
        <v>369520</v>
      </c>
      <c r="M2884" s="1145"/>
      <c r="N2884" s="363">
        <f>+K2884*L2884</f>
        <v>387996</v>
      </c>
    </row>
    <row r="2885" spans="2:14" ht="13.5" thickBot="1">
      <c r="B2885" s="1100" t="s">
        <v>269</v>
      </c>
      <c r="C2885" s="1101"/>
      <c r="D2885" s="1101"/>
      <c r="E2885" s="1101"/>
      <c r="F2885" s="1101"/>
      <c r="G2885" s="1101"/>
      <c r="H2885" s="1101"/>
      <c r="I2885" s="1101"/>
      <c r="J2885" s="1101"/>
      <c r="K2885" s="1101"/>
      <c r="L2885" s="1101"/>
      <c r="M2885" s="1102"/>
      <c r="N2885" s="323">
        <f>+N2883+N2884</f>
        <v>393351</v>
      </c>
    </row>
    <row r="2886" spans="2:14">
      <c r="B2886" s="1103" t="s">
        <v>276</v>
      </c>
      <c r="C2886" s="1104"/>
      <c r="D2886" s="1104"/>
      <c r="E2886" s="1104"/>
      <c r="F2886" s="1104"/>
      <c r="G2886" s="1104"/>
      <c r="H2886" s="1104"/>
      <c r="I2886" s="1104"/>
      <c r="J2886" s="1104"/>
      <c r="K2886" s="1104"/>
      <c r="L2886" s="1104"/>
      <c r="M2886" s="1104"/>
      <c r="N2886" s="1105"/>
    </row>
    <row r="2887" spans="2:14">
      <c r="B2887" s="1106"/>
      <c r="C2887" s="1107"/>
      <c r="D2887" s="1107"/>
      <c r="E2887" s="1107"/>
      <c r="F2887" s="1107"/>
      <c r="G2887" s="1107"/>
      <c r="H2887" s="1107"/>
      <c r="I2887" s="1107"/>
      <c r="J2887" s="1107"/>
      <c r="K2887" s="1107"/>
      <c r="L2887" s="1107"/>
      <c r="M2887" s="1107"/>
      <c r="N2887" s="1108"/>
    </row>
    <row r="2888" spans="2:14" ht="13.5" thickBot="1">
      <c r="B2888" s="1109"/>
      <c r="C2888" s="1110"/>
      <c r="D2888" s="1110"/>
      <c r="E2888" s="1110"/>
      <c r="F2888" s="1110"/>
      <c r="G2888" s="1110"/>
      <c r="H2888" s="1110"/>
      <c r="I2888" s="1110"/>
      <c r="J2888" s="1110"/>
      <c r="K2888" s="1110"/>
      <c r="L2888" s="1110"/>
      <c r="M2888" s="1110"/>
      <c r="N2888" s="1111"/>
    </row>
    <row r="2889" spans="2:14">
      <c r="B2889" s="1130" t="s">
        <v>277</v>
      </c>
      <c r="C2889" s="1139"/>
      <c r="D2889" s="1139"/>
      <c r="E2889" s="1139"/>
      <c r="F2889" s="1139"/>
      <c r="G2889" s="1139"/>
      <c r="H2889" s="1139"/>
      <c r="I2889" s="288" t="s">
        <v>278</v>
      </c>
      <c r="J2889" s="306" t="s">
        <v>279</v>
      </c>
      <c r="K2889" s="307" t="s">
        <v>280</v>
      </c>
      <c r="L2889" s="1133" t="s">
        <v>281</v>
      </c>
      <c r="M2889" s="1136"/>
      <c r="N2889" s="289" t="s">
        <v>265</v>
      </c>
    </row>
    <row r="2890" spans="2:14" ht="13.5" thickBot="1">
      <c r="B2890" s="1112"/>
      <c r="C2890" s="1113"/>
      <c r="D2890" s="1113"/>
      <c r="E2890" s="1113"/>
      <c r="F2890" s="1113"/>
      <c r="G2890" s="1113"/>
      <c r="H2890" s="1113"/>
      <c r="I2890" s="393"/>
      <c r="J2890" s="309"/>
      <c r="K2890" s="308"/>
      <c r="L2890" s="1144"/>
      <c r="M2890" s="1145"/>
      <c r="N2890" s="363"/>
    </row>
    <row r="2891" spans="2:14" ht="13.5" thickBot="1">
      <c r="B2891" s="1100" t="s">
        <v>269</v>
      </c>
      <c r="C2891" s="1101"/>
      <c r="D2891" s="1101"/>
      <c r="E2891" s="1101"/>
      <c r="F2891" s="1101"/>
      <c r="G2891" s="1101"/>
      <c r="H2891" s="1101"/>
      <c r="I2891" s="1101"/>
      <c r="J2891" s="1101"/>
      <c r="K2891" s="1101"/>
      <c r="L2891" s="1101"/>
      <c r="M2891" s="1102"/>
      <c r="N2891" s="323">
        <f>+N2890</f>
        <v>0</v>
      </c>
    </row>
    <row r="2892" spans="2:14">
      <c r="B2892" s="1103" t="s">
        <v>282</v>
      </c>
      <c r="C2892" s="1104"/>
      <c r="D2892" s="1104"/>
      <c r="E2892" s="1104"/>
      <c r="F2892" s="1104"/>
      <c r="G2892" s="1104"/>
      <c r="H2892" s="1104"/>
      <c r="I2892" s="1104"/>
      <c r="J2892" s="1104"/>
      <c r="K2892" s="1104"/>
      <c r="L2892" s="1104"/>
      <c r="M2892" s="1104"/>
      <c r="N2892" s="1105"/>
    </row>
    <row r="2893" spans="2:14">
      <c r="B2893" s="1106"/>
      <c r="C2893" s="1107"/>
      <c r="D2893" s="1107"/>
      <c r="E2893" s="1107"/>
      <c r="F2893" s="1107"/>
      <c r="G2893" s="1107"/>
      <c r="H2893" s="1107"/>
      <c r="I2893" s="1107"/>
      <c r="J2893" s="1107"/>
      <c r="K2893" s="1107"/>
      <c r="L2893" s="1107"/>
      <c r="M2893" s="1107"/>
      <c r="N2893" s="1108"/>
    </row>
    <row r="2894" spans="2:14" ht="13.5" thickBot="1">
      <c r="B2894" s="1109"/>
      <c r="C2894" s="1110"/>
      <c r="D2894" s="1110"/>
      <c r="E2894" s="1110"/>
      <c r="F2894" s="1110"/>
      <c r="G2894" s="1110"/>
      <c r="H2894" s="1110"/>
      <c r="I2894" s="1110"/>
      <c r="J2894" s="1110"/>
      <c r="K2894" s="1110"/>
      <c r="L2894" s="1110"/>
      <c r="M2894" s="1110"/>
      <c r="N2894" s="1111"/>
    </row>
    <row r="2895" spans="2:14">
      <c r="B2895" s="1130" t="s">
        <v>283</v>
      </c>
      <c r="C2895" s="1139"/>
      <c r="D2895" s="1139"/>
      <c r="E2895" s="1139"/>
      <c r="F2895" s="1139"/>
      <c r="G2895" s="1139"/>
      <c r="H2895" s="1139"/>
      <c r="I2895" s="288" t="s">
        <v>284</v>
      </c>
      <c r="J2895" s="314" t="s">
        <v>285</v>
      </c>
      <c r="K2895" s="315" t="s">
        <v>286</v>
      </c>
      <c r="L2895" s="1140" t="s">
        <v>264</v>
      </c>
      <c r="M2895" s="1141"/>
      <c r="N2895" s="316" t="s">
        <v>265</v>
      </c>
    </row>
    <row r="2896" spans="2:14" ht="13.5" thickBot="1">
      <c r="B2896" s="317" t="s">
        <v>344</v>
      </c>
      <c r="C2896" s="318"/>
      <c r="D2896" s="318"/>
      <c r="E2896" s="318"/>
      <c r="F2896" s="318"/>
      <c r="G2896" s="318"/>
      <c r="H2896" s="318"/>
      <c r="I2896" s="319">
        <v>153482</v>
      </c>
      <c r="J2896" s="321">
        <v>0</v>
      </c>
      <c r="K2896" s="321">
        <f>+I2896+J2896</f>
        <v>153482</v>
      </c>
      <c r="L2896" s="1157">
        <v>3.000003</v>
      </c>
      <c r="M2896" s="1158"/>
      <c r="N2896" s="322">
        <f>+K2896/L2896</f>
        <v>51160.615506051159</v>
      </c>
    </row>
    <row r="2897" spans="2:14" ht="13.5" thickBot="1">
      <c r="B2897" s="1100" t="s">
        <v>269</v>
      </c>
      <c r="C2897" s="1101"/>
      <c r="D2897" s="1101"/>
      <c r="E2897" s="1101"/>
      <c r="F2897" s="1101"/>
      <c r="G2897" s="1101"/>
      <c r="H2897" s="1101"/>
      <c r="I2897" s="1101"/>
      <c r="J2897" s="1101"/>
      <c r="K2897" s="1101"/>
      <c r="L2897" s="1101"/>
      <c r="M2897" s="1102"/>
      <c r="N2897" s="323">
        <f>+N2896</f>
        <v>51160.615506051159</v>
      </c>
    </row>
    <row r="2898" spans="2:14" ht="13.5" thickBot="1">
      <c r="B2898" s="324" t="s">
        <v>288</v>
      </c>
      <c r="C2898" s="325"/>
      <c r="D2898" s="325"/>
      <c r="E2898" s="325"/>
      <c r="F2898" s="325"/>
      <c r="G2898" s="325"/>
      <c r="H2898" s="325"/>
      <c r="I2898" s="326"/>
      <c r="J2898" s="327"/>
      <c r="K2898" s="328"/>
      <c r="L2898" s="329"/>
      <c r="M2898" s="329"/>
      <c r="N2898" s="330"/>
    </row>
    <row r="2899" spans="2:14">
      <c r="B2899" s="1130" t="s">
        <v>17</v>
      </c>
      <c r="C2899" s="1139"/>
      <c r="D2899" s="1139"/>
      <c r="E2899" s="1139"/>
      <c r="F2899" s="1139"/>
      <c r="G2899" s="1139"/>
      <c r="H2899" s="1139"/>
      <c r="I2899" s="1136"/>
      <c r="J2899" s="299" t="s">
        <v>259</v>
      </c>
      <c r="K2899" s="288" t="s">
        <v>133</v>
      </c>
      <c r="L2899" s="1133" t="s">
        <v>271</v>
      </c>
      <c r="M2899" s="1136"/>
      <c r="N2899" s="316" t="s">
        <v>265</v>
      </c>
    </row>
    <row r="2900" spans="2:14" ht="13.5" thickBot="1">
      <c r="B2900" s="331" t="s">
        <v>289</v>
      </c>
      <c r="C2900" s="332"/>
      <c r="D2900" s="332"/>
      <c r="E2900" s="332"/>
      <c r="F2900" s="332"/>
      <c r="G2900" s="332"/>
      <c r="H2900" s="332"/>
      <c r="I2900" s="333"/>
      <c r="J2900" s="334" t="s">
        <v>290</v>
      </c>
      <c r="K2900" s="335">
        <v>0.05</v>
      </c>
      <c r="L2900" s="1144">
        <f>+N2897</f>
        <v>51160.615506051159</v>
      </c>
      <c r="M2900" s="1145"/>
      <c r="N2900" s="322">
        <f>+K2900*L2900</f>
        <v>2558.0307753025581</v>
      </c>
    </row>
    <row r="2901" spans="2:14" ht="13.5" thickBot="1">
      <c r="B2901" s="1100" t="s">
        <v>269</v>
      </c>
      <c r="C2901" s="1101"/>
      <c r="D2901" s="1101"/>
      <c r="E2901" s="1101"/>
      <c r="F2901" s="1101"/>
      <c r="G2901" s="1101"/>
      <c r="H2901" s="1101"/>
      <c r="I2901" s="1101"/>
      <c r="J2901" s="1101"/>
      <c r="K2901" s="1101"/>
      <c r="L2901" s="1101"/>
      <c r="M2901" s="1102"/>
      <c r="N2901" s="323">
        <f>+N2900</f>
        <v>2558.0307753025581</v>
      </c>
    </row>
    <row r="2902" spans="2:14">
      <c r="B2902" s="280"/>
      <c r="C2902" s="281"/>
      <c r="D2902" s="281"/>
      <c r="E2902" s="281"/>
      <c r="F2902" s="281"/>
      <c r="G2902" s="281"/>
      <c r="H2902" s="281"/>
      <c r="I2902" s="281"/>
      <c r="J2902" s="281"/>
      <c r="K2902" s="281"/>
      <c r="L2902" s="281"/>
      <c r="M2902" s="281"/>
      <c r="N2902" s="282"/>
    </row>
    <row r="2903" spans="2:14" ht="13.5" thickBot="1">
      <c r="B2903" s="378"/>
      <c r="C2903" s="311"/>
      <c r="D2903" s="311"/>
      <c r="E2903" s="311"/>
      <c r="F2903" s="311"/>
      <c r="G2903" s="311"/>
      <c r="H2903" s="311"/>
      <c r="I2903" s="311"/>
      <c r="J2903" s="311"/>
      <c r="K2903" s="311"/>
      <c r="L2903" s="311"/>
      <c r="M2903" s="311"/>
      <c r="N2903" s="379"/>
    </row>
    <row r="2904" spans="2:14" ht="13.5" thickBot="1">
      <c r="B2904" s="1150" t="s">
        <v>291</v>
      </c>
      <c r="C2904" s="1151"/>
      <c r="D2904" s="1151"/>
      <c r="E2904" s="1151"/>
      <c r="F2904" s="1151"/>
      <c r="G2904" s="1151"/>
      <c r="H2904" s="1151"/>
      <c r="I2904" s="1151"/>
      <c r="J2904" s="1151"/>
      <c r="K2904" s="1151"/>
      <c r="L2904" s="1151"/>
      <c r="M2904" s="1152"/>
      <c r="N2904" s="336">
        <f>+N2878+N2885+N2891+N2897+N2901</f>
        <v>454606.32802138384</v>
      </c>
    </row>
    <row r="2905" spans="2:14">
      <c r="B2905" s="1103" t="s">
        <v>292</v>
      </c>
      <c r="C2905" s="1104"/>
      <c r="D2905" s="1104"/>
      <c r="E2905" s="1104"/>
      <c r="F2905" s="1104"/>
      <c r="G2905" s="1104"/>
      <c r="H2905" s="1104"/>
      <c r="I2905" s="1104"/>
      <c r="J2905" s="1104"/>
      <c r="K2905" s="1104"/>
      <c r="L2905" s="1104"/>
      <c r="M2905" s="1104"/>
      <c r="N2905" s="1105"/>
    </row>
    <row r="2906" spans="2:14">
      <c r="B2906" s="1106"/>
      <c r="C2906" s="1107"/>
      <c r="D2906" s="1107"/>
      <c r="E2906" s="1107"/>
      <c r="F2906" s="1107"/>
      <c r="G2906" s="1107"/>
      <c r="H2906" s="1107"/>
      <c r="I2906" s="1107"/>
      <c r="J2906" s="1107"/>
      <c r="K2906" s="1107"/>
      <c r="L2906" s="1107"/>
      <c r="M2906" s="1107"/>
      <c r="N2906" s="1108"/>
    </row>
    <row r="2907" spans="2:14" ht="13.5" thickBot="1">
      <c r="B2907" s="1109"/>
      <c r="C2907" s="1110"/>
      <c r="D2907" s="1110"/>
      <c r="E2907" s="1110"/>
      <c r="F2907" s="1110"/>
      <c r="G2907" s="1110"/>
      <c r="H2907" s="1110"/>
      <c r="I2907" s="1110"/>
      <c r="J2907" s="1110"/>
      <c r="K2907" s="1110"/>
      <c r="L2907" s="1110"/>
      <c r="M2907" s="1110"/>
      <c r="N2907" s="1111"/>
    </row>
    <row r="2908" spans="2:14">
      <c r="B2908" s="1130" t="s">
        <v>17</v>
      </c>
      <c r="C2908" s="1139"/>
      <c r="D2908" s="1139"/>
      <c r="E2908" s="1139"/>
      <c r="F2908" s="1139"/>
      <c r="G2908" s="1139"/>
      <c r="H2908" s="1139"/>
      <c r="I2908" s="306"/>
      <c r="J2908" s="337"/>
      <c r="K2908" s="315" t="s">
        <v>79</v>
      </c>
      <c r="L2908" s="1140" t="s">
        <v>11</v>
      </c>
      <c r="M2908" s="1141"/>
      <c r="N2908" s="316"/>
    </row>
    <row r="2909" spans="2:14">
      <c r="B2909" s="1112" t="s">
        <v>232</v>
      </c>
      <c r="C2909" s="1113"/>
      <c r="D2909" s="1113"/>
      <c r="E2909" s="1113"/>
      <c r="F2909" s="1113"/>
      <c r="G2909" s="1113"/>
      <c r="H2909" s="1113"/>
      <c r="I2909" s="338"/>
      <c r="J2909" s="339"/>
      <c r="K2909" s="340">
        <f>'PRESUPUESTO OFICIAL'!$K$100</f>
        <v>0</v>
      </c>
      <c r="L2909" s="1146">
        <f>K2909*N2904</f>
        <v>0</v>
      </c>
      <c r="M2909" s="1147"/>
      <c r="N2909" s="341"/>
    </row>
    <row r="2910" spans="2:14">
      <c r="B2910" s="292" t="s">
        <v>293</v>
      </c>
      <c r="C2910" s="293"/>
      <c r="D2910" s="293"/>
      <c r="E2910" s="293"/>
      <c r="F2910" s="293"/>
      <c r="G2910" s="293"/>
      <c r="H2910" s="293"/>
      <c r="I2910" s="338"/>
      <c r="J2910" s="339"/>
      <c r="K2910" s="340">
        <f>'PRESUPUESTO OFICIAL'!$K$101</f>
        <v>0</v>
      </c>
      <c r="L2910" s="1146">
        <f>K2910*N2904</f>
        <v>0</v>
      </c>
      <c r="M2910" s="1147"/>
      <c r="N2910" s="341"/>
    </row>
    <row r="2911" spans="2:14" ht="13.5" thickBot="1">
      <c r="B2911" s="277" t="s">
        <v>294</v>
      </c>
      <c r="C2911" s="278"/>
      <c r="D2911" s="278"/>
      <c r="E2911" s="278"/>
      <c r="F2911" s="278"/>
      <c r="G2911" s="278"/>
      <c r="H2911" s="278"/>
      <c r="I2911" s="342"/>
      <c r="J2911" s="343"/>
      <c r="K2911" s="340">
        <f>'PRESUPUESTO OFICIAL'!$K$102</f>
        <v>0</v>
      </c>
      <c r="L2911" s="1148">
        <f>K2911*N2904</f>
        <v>0</v>
      </c>
      <c r="M2911" s="1149"/>
      <c r="N2911" s="341"/>
    </row>
    <row r="2912" spans="2:14" ht="13.5" thickBot="1">
      <c r="B2912" s="1100" t="s">
        <v>269</v>
      </c>
      <c r="C2912" s="1101"/>
      <c r="D2912" s="1101"/>
      <c r="E2912" s="1101"/>
      <c r="F2912" s="1101"/>
      <c r="G2912" s="1101"/>
      <c r="H2912" s="1101"/>
      <c r="I2912" s="1101"/>
      <c r="J2912" s="1101"/>
      <c r="K2912" s="1101"/>
      <c r="L2912" s="1101"/>
      <c r="M2912" s="1102"/>
      <c r="N2912" s="344">
        <f>SUM(L2909:M2911)</f>
        <v>0</v>
      </c>
    </row>
    <row r="2913" spans="2:14" ht="13.5" thickBot="1">
      <c r="B2913" s="283"/>
      <c r="N2913" s="284"/>
    </row>
    <row r="2914" spans="2:14" ht="13.5" thickBot="1">
      <c r="B2914" s="1150" t="s">
        <v>295</v>
      </c>
      <c r="C2914" s="1151"/>
      <c r="D2914" s="1151"/>
      <c r="E2914" s="1151"/>
      <c r="F2914" s="1151"/>
      <c r="G2914" s="1151"/>
      <c r="H2914" s="1151"/>
      <c r="I2914" s="1151"/>
      <c r="J2914" s="1151"/>
      <c r="K2914" s="1151"/>
      <c r="L2914" s="1151"/>
      <c r="M2914" s="1152"/>
      <c r="N2914" s="345">
        <f>ROUND(N2904+N2912,0)</f>
        <v>454606</v>
      </c>
    </row>
    <row r="2915" spans="2:14">
      <c r="B2915" s="280"/>
      <c r="C2915" s="281"/>
      <c r="D2915" s="281"/>
      <c r="E2915" s="281"/>
      <c r="F2915" s="281"/>
      <c r="G2915" s="281"/>
      <c r="H2915" s="281"/>
      <c r="I2915" s="281"/>
      <c r="J2915" s="281"/>
      <c r="K2915" s="281"/>
      <c r="L2915" s="281"/>
      <c r="M2915" s="281"/>
      <c r="N2915" s="282"/>
    </row>
    <row r="2916" spans="2:14">
      <c r="B2916" s="283"/>
      <c r="N2916" s="284"/>
    </row>
    <row r="2917" spans="2:14">
      <c r="B2917" s="283"/>
      <c r="N2917" s="284"/>
    </row>
    <row r="2918" spans="2:14">
      <c r="B2918" s="283"/>
      <c r="G2918" s="346" t="s">
        <v>296</v>
      </c>
      <c r="H2918" s="346"/>
      <c r="I2918" s="346"/>
      <c r="J2918" s="346"/>
      <c r="N2918" s="284"/>
    </row>
    <row r="2919" spans="2:14">
      <c r="B2919" s="347"/>
      <c r="C2919" s="348"/>
      <c r="D2919" s="348"/>
      <c r="E2919" s="348"/>
      <c r="F2919" s="348"/>
      <c r="G2919" s="346" t="s">
        <v>297</v>
      </c>
      <c r="H2919" s="348"/>
      <c r="I2919" s="348"/>
      <c r="J2919" s="348"/>
      <c r="K2919" s="348"/>
      <c r="L2919" s="348"/>
      <c r="M2919" s="348"/>
      <c r="N2919" s="349"/>
    </row>
    <row r="2920" spans="2:14">
      <c r="B2920" s="347"/>
      <c r="C2920" s="348"/>
      <c r="D2920" s="348"/>
      <c r="E2920" s="348"/>
      <c r="F2920" s="348"/>
      <c r="G2920" s="346" t="s">
        <v>298</v>
      </c>
      <c r="J2920" s="348"/>
      <c r="K2920" s="348"/>
      <c r="L2920" s="348"/>
      <c r="M2920" s="348"/>
      <c r="N2920" s="349"/>
    </row>
    <row r="2921" spans="2:14">
      <c r="B2921" s="268"/>
      <c r="C2921" s="350"/>
      <c r="D2921" s="350"/>
      <c r="E2921" s="350"/>
      <c r="F2921" s="350"/>
      <c r="G2921" s="346" t="s">
        <v>299</v>
      </c>
      <c r="H2921" s="350"/>
      <c r="I2921" s="350"/>
      <c r="J2921" s="350"/>
      <c r="K2921" s="350"/>
      <c r="L2921" s="350"/>
      <c r="M2921" s="350"/>
      <c r="N2921" s="351"/>
    </row>
    <row r="2922" spans="2:14">
      <c r="B2922" s="283"/>
      <c r="G2922" s="258" t="s">
        <v>300</v>
      </c>
      <c r="N2922" s="284"/>
    </row>
    <row r="2923" spans="2:14">
      <c r="B2923" s="352" t="s">
        <v>301</v>
      </c>
      <c r="C2923" s="353"/>
      <c r="D2923" s="353"/>
      <c r="E2923" s="353"/>
      <c r="F2923" s="353"/>
      <c r="G2923" s="353"/>
      <c r="H2923" s="353"/>
      <c r="I2923" s="353"/>
      <c r="J2923" s="353"/>
      <c r="K2923" s="353"/>
      <c r="L2923" s="353"/>
      <c r="M2923" s="353"/>
      <c r="N2923" s="354"/>
    </row>
    <row r="2924" spans="2:14">
      <c r="B2924" s="1153"/>
      <c r="C2924" s="1154"/>
      <c r="D2924" s="1154"/>
      <c r="E2924" s="1154"/>
      <c r="F2924" s="1154"/>
      <c r="G2924" s="1154"/>
      <c r="H2924" s="1154"/>
      <c r="I2924" s="1154"/>
      <c r="J2924" s="1154"/>
      <c r="K2924" s="1154"/>
      <c r="L2924" s="1154"/>
      <c r="M2924" s="1154"/>
      <c r="N2924" s="1155"/>
    </row>
    <row r="2925" spans="2:14">
      <c r="B2925" s="1153"/>
      <c r="C2925" s="1154"/>
      <c r="D2925" s="1154"/>
      <c r="E2925" s="1154"/>
      <c r="F2925" s="1154"/>
      <c r="G2925" s="1154"/>
      <c r="H2925" s="1154"/>
      <c r="I2925" s="1154"/>
      <c r="J2925" s="1154"/>
      <c r="K2925" s="1154"/>
      <c r="L2925" s="1154"/>
      <c r="M2925" s="1154"/>
      <c r="N2925" s="1155"/>
    </row>
    <row r="2926" spans="2:14">
      <c r="B2926" s="268"/>
      <c r="C2926" s="350"/>
      <c r="D2926" s="350"/>
      <c r="E2926" s="350"/>
      <c r="F2926" s="350"/>
      <c r="G2926" s="350"/>
      <c r="H2926" s="350"/>
      <c r="I2926" s="350"/>
      <c r="J2926" s="350"/>
      <c r="K2926" s="350"/>
      <c r="L2926" s="350"/>
      <c r="M2926" s="350"/>
      <c r="N2926" s="351"/>
    </row>
    <row r="2927" spans="2:14">
      <c r="B2927" s="355" t="s">
        <v>302</v>
      </c>
      <c r="C2927" s="350"/>
      <c r="D2927" s="350"/>
      <c r="E2927" s="350"/>
      <c r="F2927" s="350"/>
      <c r="G2927" s="350"/>
      <c r="H2927" s="350"/>
      <c r="I2927" s="350"/>
      <c r="J2927" s="350"/>
      <c r="K2927" s="350"/>
      <c r="L2927" s="350"/>
      <c r="M2927" s="350"/>
      <c r="N2927" s="351"/>
    </row>
    <row r="2928" spans="2:14">
      <c r="B2928" s="1159" t="s">
        <v>303</v>
      </c>
      <c r="C2928" s="1160"/>
      <c r="D2928" s="1160"/>
      <c r="E2928" s="1160"/>
      <c r="F2928" s="1160"/>
      <c r="G2928" s="1160"/>
      <c r="H2928" s="1160"/>
      <c r="I2928" s="1160"/>
      <c r="J2928" s="1160"/>
      <c r="K2928" s="1160"/>
      <c r="L2928" s="1160"/>
      <c r="M2928" s="1160"/>
      <c r="N2928" s="1161"/>
    </row>
    <row r="2929" spans="2:14">
      <c r="B2929" s="1159"/>
      <c r="C2929" s="1160"/>
      <c r="D2929" s="1160"/>
      <c r="E2929" s="1160"/>
      <c r="F2929" s="1160"/>
      <c r="G2929" s="1160"/>
      <c r="H2929" s="1160"/>
      <c r="I2929" s="1160"/>
      <c r="J2929" s="1160"/>
      <c r="K2929" s="1160"/>
      <c r="L2929" s="1160"/>
      <c r="M2929" s="1160"/>
      <c r="N2929" s="1161"/>
    </row>
    <row r="2930" spans="2:14">
      <c r="B2930" s="1159" t="s">
        <v>304</v>
      </c>
      <c r="C2930" s="1160"/>
      <c r="D2930" s="1160"/>
      <c r="E2930" s="1160"/>
      <c r="F2930" s="1160"/>
      <c r="G2930" s="1160"/>
      <c r="H2930" s="1160"/>
      <c r="I2930" s="1160"/>
      <c r="J2930" s="1160"/>
      <c r="K2930" s="1160"/>
      <c r="L2930" s="1160"/>
      <c r="M2930" s="1160"/>
      <c r="N2930" s="1161"/>
    </row>
    <row r="2931" spans="2:14">
      <c r="B2931" s="1159"/>
      <c r="C2931" s="1160"/>
      <c r="D2931" s="1160"/>
      <c r="E2931" s="1160"/>
      <c r="F2931" s="1160"/>
      <c r="G2931" s="1160"/>
      <c r="H2931" s="1160"/>
      <c r="I2931" s="1160"/>
      <c r="J2931" s="1160"/>
      <c r="K2931" s="1160"/>
      <c r="L2931" s="1160"/>
      <c r="M2931" s="1160"/>
      <c r="N2931" s="1161"/>
    </row>
    <row r="2932" spans="2:14">
      <c r="B2932" s="268"/>
      <c r="C2932" s="350"/>
      <c r="D2932" s="350"/>
      <c r="E2932" s="350"/>
      <c r="F2932" s="350"/>
      <c r="G2932" s="350"/>
      <c r="H2932" s="350"/>
      <c r="I2932" s="350"/>
      <c r="J2932" s="350"/>
      <c r="K2932" s="350"/>
      <c r="L2932" s="350"/>
      <c r="M2932" s="350"/>
      <c r="N2932" s="351"/>
    </row>
    <row r="2933" spans="2:14">
      <c r="B2933" s="283"/>
      <c r="G2933" s="346" t="s">
        <v>296</v>
      </c>
      <c r="N2933" s="284"/>
    </row>
    <row r="2934" spans="2:14">
      <c r="B2934" s="283"/>
      <c r="G2934" s="258" t="s">
        <v>305</v>
      </c>
      <c r="H2934" s="293"/>
      <c r="I2934" s="293"/>
      <c r="J2934" s="293"/>
      <c r="N2934" s="284"/>
    </row>
    <row r="2935" spans="2:14">
      <c r="B2935" s="283"/>
      <c r="G2935" s="258" t="s">
        <v>306</v>
      </c>
      <c r="H2935" s="325"/>
      <c r="I2935" s="325"/>
      <c r="J2935" s="325"/>
      <c r="N2935" s="284"/>
    </row>
    <row r="2936" spans="2:14">
      <c r="B2936" s="356"/>
      <c r="C2936" s="350"/>
      <c r="D2936" s="350"/>
      <c r="E2936" s="350"/>
      <c r="F2936" s="350"/>
      <c r="G2936" s="258" t="s">
        <v>299</v>
      </c>
      <c r="K2936" s="350"/>
      <c r="L2936" s="350"/>
      <c r="M2936" s="350"/>
      <c r="N2936" s="351"/>
    </row>
    <row r="2937" spans="2:14">
      <c r="B2937" s="357"/>
      <c r="C2937" s="358"/>
      <c r="D2937" s="358"/>
      <c r="J2937" s="1162"/>
      <c r="K2937" s="1162"/>
      <c r="L2937" s="1162"/>
      <c r="M2937" s="1162"/>
      <c r="N2937" s="1163"/>
    </row>
    <row r="2938" spans="2:14" ht="13.5" thickBot="1">
      <c r="B2938" s="1166"/>
      <c r="C2938" s="1167"/>
      <c r="D2938" s="1167"/>
      <c r="E2938" s="311"/>
      <c r="F2938" s="311"/>
      <c r="G2938" s="311"/>
      <c r="H2938" s="311"/>
      <c r="I2938" s="311"/>
      <c r="J2938" s="1164"/>
      <c r="K2938" s="1164"/>
      <c r="L2938" s="1164"/>
      <c r="M2938" s="1164"/>
      <c r="N2938" s="1165"/>
    </row>
    <row r="2939" spans="2:14" ht="13.5" thickBot="1"/>
    <row r="2940" spans="2:14">
      <c r="B2940" s="1070"/>
      <c r="C2940" s="1072"/>
      <c r="D2940" s="1073"/>
      <c r="E2940" s="1073"/>
      <c r="F2940" s="1073"/>
      <c r="G2940" s="1073"/>
      <c r="H2940" s="1073"/>
      <c r="I2940" s="1073"/>
      <c r="J2940" s="1074"/>
      <c r="K2940" s="1075"/>
      <c r="L2940" s="1076"/>
      <c r="M2940" s="1076"/>
      <c r="N2940" s="1077"/>
    </row>
    <row r="2941" spans="2:14">
      <c r="B2941" s="1071"/>
      <c r="C2941" s="1062" t="s">
        <v>244</v>
      </c>
      <c r="D2941" s="1063"/>
      <c r="E2941" s="1063"/>
      <c r="F2941" s="1063"/>
      <c r="G2941" s="1063"/>
      <c r="H2941" s="1063"/>
      <c r="I2941" s="1063"/>
      <c r="J2941" s="1064"/>
      <c r="K2941" s="1078"/>
      <c r="L2941" s="1079"/>
      <c r="M2941" s="1079"/>
      <c r="N2941" s="1080"/>
    </row>
    <row r="2942" spans="2:14">
      <c r="B2942" s="1071"/>
      <c r="C2942" s="1081"/>
      <c r="D2942" s="1082"/>
      <c r="E2942" s="1082"/>
      <c r="F2942" s="1082"/>
      <c r="G2942" s="1082"/>
      <c r="H2942" s="1082"/>
      <c r="I2942" s="1082"/>
      <c r="J2942" s="1083"/>
      <c r="K2942" s="1058" t="s">
        <v>245</v>
      </c>
      <c r="L2942" s="1085"/>
      <c r="M2942" s="1086"/>
      <c r="N2942" s="1087"/>
    </row>
    <row r="2943" spans="2:14">
      <c r="B2943" s="1071"/>
      <c r="C2943" s="1062" t="s">
        <v>246</v>
      </c>
      <c r="D2943" s="1063"/>
      <c r="E2943" s="1063"/>
      <c r="F2943" s="1063"/>
      <c r="G2943" s="1063"/>
      <c r="H2943" s="1063"/>
      <c r="I2943" s="1063"/>
      <c r="J2943" s="1064"/>
      <c r="K2943" s="1084"/>
      <c r="L2943" s="1088"/>
      <c r="M2943" s="1089"/>
      <c r="N2943" s="1090"/>
    </row>
    <row r="2944" spans="2:14">
      <c r="B2944" s="1071"/>
      <c r="C2944" s="1091"/>
      <c r="D2944" s="1092"/>
      <c r="E2944" s="1092"/>
      <c r="F2944" s="1092"/>
      <c r="G2944" s="1092"/>
      <c r="H2944" s="1092"/>
      <c r="I2944" s="1092"/>
      <c r="J2944" s="1093"/>
      <c r="K2944" s="1058" t="s">
        <v>247</v>
      </c>
      <c r="L2944" s="1058">
        <v>33</v>
      </c>
      <c r="M2944" s="1058" t="s">
        <v>248</v>
      </c>
      <c r="N2944" s="1060">
        <v>80</v>
      </c>
    </row>
    <row r="2945" spans="2:14">
      <c r="B2945" s="1071"/>
      <c r="C2945" s="1091"/>
      <c r="D2945" s="1092"/>
      <c r="E2945" s="1092"/>
      <c r="F2945" s="1092"/>
      <c r="G2945" s="1092"/>
      <c r="H2945" s="1092"/>
      <c r="I2945" s="1092"/>
      <c r="J2945" s="1093"/>
      <c r="K2945" s="1059"/>
      <c r="L2945" s="1059"/>
      <c r="M2945" s="1059"/>
      <c r="N2945" s="1061"/>
    </row>
    <row r="2946" spans="2:14">
      <c r="B2946" s="1071"/>
      <c r="C2946" s="1062" t="s">
        <v>249</v>
      </c>
      <c r="D2946" s="1063"/>
      <c r="E2946" s="1063"/>
      <c r="F2946" s="1063"/>
      <c r="G2946" s="1063"/>
      <c r="H2946" s="1063"/>
      <c r="I2946" s="1063"/>
      <c r="J2946" s="1064"/>
      <c r="K2946" s="1059"/>
      <c r="L2946" s="1059"/>
      <c r="M2946" s="1059"/>
      <c r="N2946" s="1061"/>
    </row>
    <row r="2947" spans="2:14" ht="13.5" thickBot="1">
      <c r="B2947" s="259"/>
      <c r="C2947" s="260"/>
      <c r="D2947" s="260"/>
      <c r="E2947" s="260"/>
      <c r="F2947" s="260"/>
      <c r="G2947" s="260"/>
      <c r="H2947" s="260"/>
      <c r="I2947" s="260"/>
      <c r="J2947" s="260"/>
      <c r="K2947" s="260"/>
      <c r="L2947" s="261"/>
      <c r="M2947" s="261"/>
      <c r="N2947" s="262"/>
    </row>
    <row r="2948" spans="2:14">
      <c r="B2948" s="263"/>
      <c r="C2948" s="264"/>
      <c r="D2948" s="264"/>
      <c r="E2948" s="264"/>
      <c r="F2948" s="264"/>
      <c r="G2948" s="264"/>
      <c r="H2948" s="264"/>
      <c r="I2948" s="264"/>
      <c r="J2948" s="264"/>
      <c r="K2948" s="265" t="s">
        <v>250</v>
      </c>
      <c r="L2948" s="266" t="s">
        <v>251</v>
      </c>
      <c r="M2948" s="266" t="s">
        <v>252</v>
      </c>
      <c r="N2948" s="267" t="s">
        <v>253</v>
      </c>
    </row>
    <row r="2949" spans="2:14">
      <c r="B2949" s="268"/>
      <c r="C2949" s="269"/>
      <c r="D2949" s="269"/>
      <c r="E2949" s="269"/>
      <c r="F2949" s="269"/>
      <c r="G2949" s="269"/>
      <c r="H2949" s="269"/>
      <c r="I2949" s="269"/>
      <c r="J2949" s="269"/>
      <c r="K2949" s="270"/>
      <c r="L2949" s="271"/>
      <c r="M2949" s="271"/>
      <c r="N2949" s="272"/>
    </row>
    <row r="2950" spans="2:14">
      <c r="B2950" s="1065" t="s">
        <v>254</v>
      </c>
      <c r="C2950" s="1066"/>
      <c r="D2950" s="1066"/>
      <c r="E2950" s="1066"/>
      <c r="F2950" s="269"/>
      <c r="G2950" s="269"/>
      <c r="H2950" s="269" t="s">
        <v>255</v>
      </c>
      <c r="J2950" s="269"/>
      <c r="K2950" s="270"/>
      <c r="N2950" s="273"/>
    </row>
    <row r="2951" spans="2:14">
      <c r="B2951" s="274"/>
      <c r="C2951" s="275"/>
      <c r="D2951" s="275"/>
      <c r="E2951" s="275"/>
      <c r="F2951" s="275"/>
      <c r="G2951" s="275"/>
      <c r="H2951" s="275"/>
      <c r="I2951" s="275"/>
      <c r="J2951" s="275"/>
      <c r="K2951" s="275"/>
      <c r="L2951" s="275"/>
      <c r="M2951" s="275"/>
      <c r="N2951" s="276"/>
    </row>
    <row r="2952" spans="2:14" ht="13.5" thickBot="1">
      <c r="B2952" s="277"/>
      <c r="C2952" s="278"/>
      <c r="D2952" s="278"/>
      <c r="E2952" s="278"/>
      <c r="F2952" s="278"/>
      <c r="G2952" s="278"/>
      <c r="H2952" s="278"/>
      <c r="I2952" s="278"/>
      <c r="J2952" s="278"/>
      <c r="K2952" s="278"/>
      <c r="L2952" s="278"/>
      <c r="M2952" s="278"/>
      <c r="N2952" s="279"/>
    </row>
    <row r="2953" spans="2:14" ht="13.5" thickBot="1">
      <c r="B2953" s="280"/>
      <c r="C2953" s="281"/>
      <c r="D2953" s="281"/>
      <c r="E2953" s="281"/>
      <c r="F2953" s="281"/>
      <c r="G2953" s="281"/>
      <c r="J2953" s="281"/>
      <c r="K2953" s="281"/>
      <c r="L2953" s="281"/>
      <c r="M2953" s="281"/>
      <c r="N2953" s="282"/>
    </row>
    <row r="2954" spans="2:14">
      <c r="B2954" s="1067" t="s">
        <v>256</v>
      </c>
      <c r="C2954" s="1068"/>
      <c r="D2954" s="1068"/>
      <c r="E2954" s="1068"/>
      <c r="F2954" s="1068"/>
      <c r="G2954" s="1068"/>
      <c r="H2954" s="1068"/>
      <c r="I2954" s="1068"/>
      <c r="J2954" s="1068"/>
      <c r="K2954" s="1068"/>
      <c r="L2954" s="1068"/>
      <c r="M2954" s="1068"/>
      <c r="N2954" s="1069"/>
    </row>
    <row r="2955" spans="2:14" ht="13.5" thickBot="1">
      <c r="B2955" s="283"/>
      <c r="N2955" s="284"/>
    </row>
    <row r="2956" spans="2:14">
      <c r="B2956" s="285" t="s">
        <v>257</v>
      </c>
      <c r="C2956" s="1120" t="s">
        <v>258</v>
      </c>
      <c r="D2956" s="1121"/>
      <c r="E2956" s="1121"/>
      <c r="F2956" s="1121"/>
      <c r="G2956" s="1121"/>
      <c r="H2956" s="1121"/>
      <c r="I2956" s="1121"/>
      <c r="J2956" s="1121"/>
      <c r="K2956" s="1122"/>
      <c r="L2956" s="1123" t="s">
        <v>259</v>
      </c>
      <c r="M2956" s="1124"/>
      <c r="N2956" s="285" t="s">
        <v>133</v>
      </c>
    </row>
    <row r="2957" spans="2:14" ht="13.5" customHeight="1" thickBot="1">
      <c r="B2957" s="286">
        <v>33</v>
      </c>
      <c r="C2957" s="1125" t="s">
        <v>174</v>
      </c>
      <c r="D2957" s="1126"/>
      <c r="E2957" s="1126"/>
      <c r="F2957" s="1126"/>
      <c r="G2957" s="1126"/>
      <c r="H2957" s="1126"/>
      <c r="I2957" s="1126"/>
      <c r="J2957" s="1126"/>
      <c r="K2957" s="1127"/>
      <c r="L2957" s="1128" t="s">
        <v>147</v>
      </c>
      <c r="M2957" s="1129"/>
      <c r="N2957" s="366">
        <v>20</v>
      </c>
    </row>
    <row r="2958" spans="2:14">
      <c r="B2958" s="1103" t="s">
        <v>260</v>
      </c>
      <c r="C2958" s="1104"/>
      <c r="D2958" s="1104"/>
      <c r="E2958" s="1104"/>
      <c r="F2958" s="1104"/>
      <c r="G2958" s="1104"/>
      <c r="H2958" s="1104"/>
      <c r="I2958" s="1104"/>
      <c r="J2958" s="1104"/>
      <c r="K2958" s="1104"/>
      <c r="L2958" s="1104"/>
      <c r="M2958" s="1104"/>
      <c r="N2958" s="1105"/>
    </row>
    <row r="2959" spans="2:14">
      <c r="B2959" s="1106"/>
      <c r="C2959" s="1107"/>
      <c r="D2959" s="1107"/>
      <c r="E2959" s="1107"/>
      <c r="F2959" s="1107"/>
      <c r="G2959" s="1107"/>
      <c r="H2959" s="1107"/>
      <c r="I2959" s="1107"/>
      <c r="J2959" s="1107"/>
      <c r="K2959" s="1107"/>
      <c r="L2959" s="1107"/>
      <c r="M2959" s="1107"/>
      <c r="N2959" s="1108"/>
    </row>
    <row r="2960" spans="2:14" ht="13.5" thickBot="1">
      <c r="B2960" s="1109"/>
      <c r="C2960" s="1110"/>
      <c r="D2960" s="1110"/>
      <c r="E2960" s="1110"/>
      <c r="F2960" s="1110"/>
      <c r="G2960" s="1110"/>
      <c r="H2960" s="1110"/>
      <c r="I2960" s="1110"/>
      <c r="J2960" s="1110"/>
      <c r="K2960" s="1110"/>
      <c r="L2960" s="1110"/>
      <c r="M2960" s="1110"/>
      <c r="N2960" s="1111"/>
    </row>
    <row r="2961" spans="2:14">
      <c r="B2961" s="1130" t="s">
        <v>258</v>
      </c>
      <c r="C2961" s="1131"/>
      <c r="D2961" s="1131"/>
      <c r="E2961" s="1131"/>
      <c r="F2961" s="1132"/>
      <c r="G2961" s="1133" t="s">
        <v>261</v>
      </c>
      <c r="H2961" s="1131"/>
      <c r="I2961" s="1134" t="s">
        <v>262</v>
      </c>
      <c r="J2961" s="1135"/>
      <c r="K2961" s="288" t="s">
        <v>263</v>
      </c>
      <c r="L2961" s="1133" t="s">
        <v>264</v>
      </c>
      <c r="M2961" s="1136"/>
      <c r="N2961" s="289" t="s">
        <v>265</v>
      </c>
    </row>
    <row r="2962" spans="2:14">
      <c r="B2962" s="1179"/>
      <c r="C2962" s="1180"/>
      <c r="D2962" s="1180"/>
      <c r="E2962" s="1180"/>
      <c r="F2962" s="1181"/>
      <c r="G2962" s="295"/>
      <c r="H2962" s="294"/>
      <c r="I2962" s="1182"/>
      <c r="J2962" s="1183"/>
      <c r="K2962" s="290"/>
      <c r="L2962" s="1118"/>
      <c r="M2962" s="1119"/>
      <c r="N2962" s="290"/>
    </row>
    <row r="2963" spans="2:14" ht="13.5" thickBot="1">
      <c r="B2963" s="1179"/>
      <c r="C2963" s="1180"/>
      <c r="D2963" s="1180"/>
      <c r="E2963" s="1180"/>
      <c r="F2963" s="1181"/>
      <c r="G2963" s="295"/>
      <c r="H2963" s="294"/>
      <c r="I2963" s="1182"/>
      <c r="J2963" s="1183"/>
      <c r="K2963" s="290"/>
      <c r="L2963" s="1118"/>
      <c r="M2963" s="1119"/>
      <c r="N2963" s="290"/>
    </row>
    <row r="2964" spans="2:14" ht="13.5" thickBot="1">
      <c r="B2964" s="1100" t="s">
        <v>269</v>
      </c>
      <c r="C2964" s="1101"/>
      <c r="D2964" s="1101"/>
      <c r="E2964" s="1101"/>
      <c r="F2964" s="1101"/>
      <c r="G2964" s="1101"/>
      <c r="H2964" s="1101"/>
      <c r="I2964" s="1101"/>
      <c r="J2964" s="1101"/>
      <c r="K2964" s="1101"/>
      <c r="L2964" s="1101"/>
      <c r="M2964" s="1102"/>
      <c r="N2964" s="323">
        <f>+N2962</f>
        <v>0</v>
      </c>
    </row>
    <row r="2965" spans="2:14">
      <c r="B2965" s="1103" t="s">
        <v>270</v>
      </c>
      <c r="C2965" s="1104"/>
      <c r="D2965" s="1104"/>
      <c r="E2965" s="1104"/>
      <c r="F2965" s="1104"/>
      <c r="G2965" s="1104"/>
      <c r="H2965" s="1104"/>
      <c r="I2965" s="1104"/>
      <c r="J2965" s="1104"/>
      <c r="K2965" s="1104"/>
      <c r="L2965" s="1104"/>
      <c r="M2965" s="1104"/>
      <c r="N2965" s="1105"/>
    </row>
    <row r="2966" spans="2:14">
      <c r="B2966" s="1106"/>
      <c r="C2966" s="1107"/>
      <c r="D2966" s="1107"/>
      <c r="E2966" s="1107"/>
      <c r="F2966" s="1107"/>
      <c r="G2966" s="1107"/>
      <c r="H2966" s="1107"/>
      <c r="I2966" s="1107"/>
      <c r="J2966" s="1107"/>
      <c r="K2966" s="1107"/>
      <c r="L2966" s="1107"/>
      <c r="M2966" s="1107"/>
      <c r="N2966" s="1108"/>
    </row>
    <row r="2967" spans="2:14" ht="13.5" thickBot="1">
      <c r="B2967" s="1109"/>
      <c r="C2967" s="1110"/>
      <c r="D2967" s="1110"/>
      <c r="E2967" s="1110"/>
      <c r="F2967" s="1110"/>
      <c r="G2967" s="1110"/>
      <c r="H2967" s="1110"/>
      <c r="I2967" s="1110"/>
      <c r="J2967" s="1110"/>
      <c r="K2967" s="1110"/>
      <c r="L2967" s="1110"/>
      <c r="M2967" s="1110"/>
      <c r="N2967" s="1111"/>
    </row>
    <row r="2968" spans="2:14">
      <c r="B2968" s="1130" t="s">
        <v>258</v>
      </c>
      <c r="C2968" s="1139"/>
      <c r="D2968" s="1139"/>
      <c r="E2968" s="1139"/>
      <c r="F2968" s="1139"/>
      <c r="G2968" s="1139"/>
      <c r="H2968" s="1139"/>
      <c r="I2968" s="1136"/>
      <c r="J2968" s="299" t="s">
        <v>259</v>
      </c>
      <c r="K2968" s="288" t="s">
        <v>133</v>
      </c>
      <c r="L2968" s="1133" t="s">
        <v>271</v>
      </c>
      <c r="M2968" s="1136"/>
      <c r="N2968" s="289" t="s">
        <v>265</v>
      </c>
    </row>
    <row r="2969" spans="2:14">
      <c r="B2969" s="1112" t="s">
        <v>349</v>
      </c>
      <c r="C2969" s="1113"/>
      <c r="D2969" s="1113"/>
      <c r="E2969" s="1113"/>
      <c r="F2969" s="1113"/>
      <c r="G2969" s="1113"/>
      <c r="H2969" s="1113"/>
      <c r="I2969" s="1114"/>
      <c r="J2969" s="300" t="s">
        <v>147</v>
      </c>
      <c r="K2969" s="301">
        <v>0.46</v>
      </c>
      <c r="L2969" s="1144">
        <v>59537</v>
      </c>
      <c r="M2969" s="1145"/>
      <c r="N2969" s="363">
        <f>+K2969*L2969</f>
        <v>27387.02</v>
      </c>
    </row>
    <row r="2970" spans="2:14" ht="13.5" thickBot="1">
      <c r="B2970" s="1112" t="s">
        <v>348</v>
      </c>
      <c r="C2970" s="1113"/>
      <c r="D2970" s="1113"/>
      <c r="E2970" s="1113"/>
      <c r="F2970" s="1113"/>
      <c r="G2970" s="1113"/>
      <c r="H2970" s="1113"/>
      <c r="I2970" s="1114"/>
      <c r="J2970" s="303" t="s">
        <v>147</v>
      </c>
      <c r="K2970" s="304">
        <v>0.63</v>
      </c>
      <c r="L2970" s="1144">
        <v>369520</v>
      </c>
      <c r="M2970" s="1145"/>
      <c r="N2970" s="363">
        <f>+K2970*L2970</f>
        <v>232797.6</v>
      </c>
    </row>
    <row r="2971" spans="2:14" ht="13.5" thickBot="1">
      <c r="B2971" s="1100" t="s">
        <v>269</v>
      </c>
      <c r="C2971" s="1101"/>
      <c r="D2971" s="1101"/>
      <c r="E2971" s="1101"/>
      <c r="F2971" s="1101"/>
      <c r="G2971" s="1101"/>
      <c r="H2971" s="1101"/>
      <c r="I2971" s="1101"/>
      <c r="J2971" s="1101"/>
      <c r="K2971" s="1101"/>
      <c r="L2971" s="1101"/>
      <c r="M2971" s="1102"/>
      <c r="N2971" s="323">
        <f>+N2969+N2970</f>
        <v>260184.62</v>
      </c>
    </row>
    <row r="2972" spans="2:14">
      <c r="B2972" s="1103" t="s">
        <v>276</v>
      </c>
      <c r="C2972" s="1104"/>
      <c r="D2972" s="1104"/>
      <c r="E2972" s="1104"/>
      <c r="F2972" s="1104"/>
      <c r="G2972" s="1104"/>
      <c r="H2972" s="1104"/>
      <c r="I2972" s="1104"/>
      <c r="J2972" s="1104"/>
      <c r="K2972" s="1104"/>
      <c r="L2972" s="1104"/>
      <c r="M2972" s="1104"/>
      <c r="N2972" s="1105"/>
    </row>
    <row r="2973" spans="2:14">
      <c r="B2973" s="1106"/>
      <c r="C2973" s="1107"/>
      <c r="D2973" s="1107"/>
      <c r="E2973" s="1107"/>
      <c r="F2973" s="1107"/>
      <c r="G2973" s="1107"/>
      <c r="H2973" s="1107"/>
      <c r="I2973" s="1107"/>
      <c r="J2973" s="1107"/>
      <c r="K2973" s="1107"/>
      <c r="L2973" s="1107"/>
      <c r="M2973" s="1107"/>
      <c r="N2973" s="1108"/>
    </row>
    <row r="2974" spans="2:14" ht="13.5" thickBot="1">
      <c r="B2974" s="1109"/>
      <c r="C2974" s="1110"/>
      <c r="D2974" s="1110"/>
      <c r="E2974" s="1110"/>
      <c r="F2974" s="1110"/>
      <c r="G2974" s="1110"/>
      <c r="H2974" s="1110"/>
      <c r="I2974" s="1110"/>
      <c r="J2974" s="1110"/>
      <c r="K2974" s="1110"/>
      <c r="L2974" s="1110"/>
      <c r="M2974" s="1110"/>
      <c r="N2974" s="1111"/>
    </row>
    <row r="2975" spans="2:14">
      <c r="B2975" s="1130" t="s">
        <v>277</v>
      </c>
      <c r="C2975" s="1139"/>
      <c r="D2975" s="1139"/>
      <c r="E2975" s="1139"/>
      <c r="F2975" s="1139"/>
      <c r="G2975" s="1139"/>
      <c r="H2975" s="1139"/>
      <c r="I2975" s="288" t="s">
        <v>278</v>
      </c>
      <c r="J2975" s="306" t="s">
        <v>279</v>
      </c>
      <c r="K2975" s="307" t="s">
        <v>280</v>
      </c>
      <c r="L2975" s="1133" t="s">
        <v>281</v>
      </c>
      <c r="M2975" s="1136"/>
      <c r="N2975" s="289" t="s">
        <v>265</v>
      </c>
    </row>
    <row r="2976" spans="2:14" ht="13.5" thickBot="1">
      <c r="B2976" s="1112" t="s">
        <v>336</v>
      </c>
      <c r="C2976" s="1113"/>
      <c r="D2976" s="1113"/>
      <c r="E2976" s="1113"/>
      <c r="F2976" s="1113"/>
      <c r="G2976" s="1113"/>
      <c r="H2976" s="1113"/>
      <c r="I2976" s="393">
        <v>6</v>
      </c>
      <c r="J2976" s="309"/>
      <c r="K2976" s="308"/>
      <c r="L2976" s="1144">
        <v>1498</v>
      </c>
      <c r="M2976" s="1145"/>
      <c r="N2976" s="363">
        <f>+I2976*L2976</f>
        <v>8988</v>
      </c>
    </row>
    <row r="2977" spans="2:14" ht="13.5" thickBot="1">
      <c r="B2977" s="1100" t="s">
        <v>269</v>
      </c>
      <c r="C2977" s="1101"/>
      <c r="D2977" s="1101"/>
      <c r="E2977" s="1101"/>
      <c r="F2977" s="1101"/>
      <c r="G2977" s="1101"/>
      <c r="H2977" s="1101"/>
      <c r="I2977" s="1101"/>
      <c r="J2977" s="1101"/>
      <c r="K2977" s="1101"/>
      <c r="L2977" s="1101"/>
      <c r="M2977" s="1102"/>
      <c r="N2977" s="323">
        <f>+N2976</f>
        <v>8988</v>
      </c>
    </row>
    <row r="2978" spans="2:14">
      <c r="B2978" s="1103" t="s">
        <v>282</v>
      </c>
      <c r="C2978" s="1104"/>
      <c r="D2978" s="1104"/>
      <c r="E2978" s="1104"/>
      <c r="F2978" s="1104"/>
      <c r="G2978" s="1104"/>
      <c r="H2978" s="1104"/>
      <c r="I2978" s="1104"/>
      <c r="J2978" s="1104"/>
      <c r="K2978" s="1104"/>
      <c r="L2978" s="1104"/>
      <c r="M2978" s="1104"/>
      <c r="N2978" s="1105"/>
    </row>
    <row r="2979" spans="2:14">
      <c r="B2979" s="1106"/>
      <c r="C2979" s="1107"/>
      <c r="D2979" s="1107"/>
      <c r="E2979" s="1107"/>
      <c r="F2979" s="1107"/>
      <c r="G2979" s="1107"/>
      <c r="H2979" s="1107"/>
      <c r="I2979" s="1107"/>
      <c r="J2979" s="1107"/>
      <c r="K2979" s="1107"/>
      <c r="L2979" s="1107"/>
      <c r="M2979" s="1107"/>
      <c r="N2979" s="1108"/>
    </row>
    <row r="2980" spans="2:14" ht="13.5" thickBot="1">
      <c r="B2980" s="1109"/>
      <c r="C2980" s="1110"/>
      <c r="D2980" s="1110"/>
      <c r="E2980" s="1110"/>
      <c r="F2980" s="1110"/>
      <c r="G2980" s="1110"/>
      <c r="H2980" s="1110"/>
      <c r="I2980" s="1110"/>
      <c r="J2980" s="1110"/>
      <c r="K2980" s="1110"/>
      <c r="L2980" s="1110"/>
      <c r="M2980" s="1110"/>
      <c r="N2980" s="1111"/>
    </row>
    <row r="2981" spans="2:14">
      <c r="B2981" s="1130" t="s">
        <v>283</v>
      </c>
      <c r="C2981" s="1139"/>
      <c r="D2981" s="1139"/>
      <c r="E2981" s="1139"/>
      <c r="F2981" s="1139"/>
      <c r="G2981" s="1139"/>
      <c r="H2981" s="1139"/>
      <c r="I2981" s="288" t="s">
        <v>284</v>
      </c>
      <c r="J2981" s="314" t="s">
        <v>285</v>
      </c>
      <c r="K2981" s="315" t="s">
        <v>286</v>
      </c>
      <c r="L2981" s="1140" t="s">
        <v>264</v>
      </c>
      <c r="M2981" s="1141"/>
      <c r="N2981" s="316" t="s">
        <v>265</v>
      </c>
    </row>
    <row r="2982" spans="2:14" ht="13.5" thickBot="1">
      <c r="B2982" s="317" t="s">
        <v>344</v>
      </c>
      <c r="C2982" s="318"/>
      <c r="D2982" s="318"/>
      <c r="E2982" s="318"/>
      <c r="F2982" s="318"/>
      <c r="G2982" s="318"/>
      <c r="H2982" s="318"/>
      <c r="I2982" s="319">
        <v>153482</v>
      </c>
      <c r="J2982" s="321">
        <v>0</v>
      </c>
      <c r="K2982" s="321">
        <f>+I2982+J2982</f>
        <v>153482</v>
      </c>
      <c r="L2982" s="1157">
        <v>1.4999990000000001</v>
      </c>
      <c r="M2982" s="1158"/>
      <c r="N2982" s="322">
        <f>+K2982/L2982</f>
        <v>102321.40154760102</v>
      </c>
    </row>
    <row r="2983" spans="2:14" ht="13.5" thickBot="1">
      <c r="B2983" s="1100" t="s">
        <v>269</v>
      </c>
      <c r="C2983" s="1101"/>
      <c r="D2983" s="1101"/>
      <c r="E2983" s="1101"/>
      <c r="F2983" s="1101"/>
      <c r="G2983" s="1101"/>
      <c r="H2983" s="1101"/>
      <c r="I2983" s="1101"/>
      <c r="J2983" s="1101"/>
      <c r="K2983" s="1101"/>
      <c r="L2983" s="1101"/>
      <c r="M2983" s="1102"/>
      <c r="N2983" s="323">
        <f>+N2982</f>
        <v>102321.40154760102</v>
      </c>
    </row>
    <row r="2984" spans="2:14" ht="13.5" thickBot="1">
      <c r="B2984" s="324" t="s">
        <v>288</v>
      </c>
      <c r="C2984" s="325"/>
      <c r="D2984" s="325"/>
      <c r="E2984" s="325"/>
      <c r="F2984" s="325"/>
      <c r="G2984" s="325"/>
      <c r="H2984" s="325"/>
      <c r="I2984" s="326"/>
      <c r="J2984" s="327"/>
      <c r="K2984" s="328"/>
      <c r="L2984" s="329"/>
      <c r="M2984" s="329"/>
      <c r="N2984" s="330"/>
    </row>
    <row r="2985" spans="2:14">
      <c r="B2985" s="1130" t="s">
        <v>17</v>
      </c>
      <c r="C2985" s="1139"/>
      <c r="D2985" s="1139"/>
      <c r="E2985" s="1139"/>
      <c r="F2985" s="1139"/>
      <c r="G2985" s="1139"/>
      <c r="H2985" s="1139"/>
      <c r="I2985" s="1136"/>
      <c r="J2985" s="299" t="s">
        <v>259</v>
      </c>
      <c r="K2985" s="288" t="s">
        <v>133</v>
      </c>
      <c r="L2985" s="1133" t="s">
        <v>271</v>
      </c>
      <c r="M2985" s="1136"/>
      <c r="N2985" s="316" t="s">
        <v>265</v>
      </c>
    </row>
    <row r="2986" spans="2:14" ht="13.5" thickBot="1">
      <c r="B2986" s="331" t="s">
        <v>289</v>
      </c>
      <c r="C2986" s="332"/>
      <c r="D2986" s="332"/>
      <c r="E2986" s="332"/>
      <c r="F2986" s="332"/>
      <c r="G2986" s="332"/>
      <c r="H2986" s="332"/>
      <c r="I2986" s="333"/>
      <c r="J2986" s="334" t="s">
        <v>290</v>
      </c>
      <c r="K2986" s="335">
        <v>0.05</v>
      </c>
      <c r="L2986" s="1144">
        <f>+N2983</f>
        <v>102321.40154760102</v>
      </c>
      <c r="M2986" s="1145"/>
      <c r="N2986" s="322">
        <f>+K2986*L2986</f>
        <v>5116.0700773800518</v>
      </c>
    </row>
    <row r="2987" spans="2:14" ht="13.5" thickBot="1">
      <c r="B2987" s="1100" t="s">
        <v>269</v>
      </c>
      <c r="C2987" s="1101"/>
      <c r="D2987" s="1101"/>
      <c r="E2987" s="1101"/>
      <c r="F2987" s="1101"/>
      <c r="G2987" s="1101"/>
      <c r="H2987" s="1101"/>
      <c r="I2987" s="1101"/>
      <c r="J2987" s="1101"/>
      <c r="K2987" s="1101"/>
      <c r="L2987" s="1101"/>
      <c r="M2987" s="1102"/>
      <c r="N2987" s="323">
        <f>+N2986</f>
        <v>5116.0700773800518</v>
      </c>
    </row>
    <row r="2988" spans="2:14">
      <c r="B2988" s="280"/>
      <c r="C2988" s="281"/>
      <c r="D2988" s="281"/>
      <c r="E2988" s="281"/>
      <c r="F2988" s="281"/>
      <c r="G2988" s="281"/>
      <c r="H2988" s="281"/>
      <c r="I2988" s="281"/>
      <c r="J2988" s="281"/>
      <c r="K2988" s="281"/>
      <c r="L2988" s="281"/>
      <c r="M2988" s="281"/>
      <c r="N2988" s="282"/>
    </row>
    <row r="2989" spans="2:14" ht="13.5" thickBot="1">
      <c r="B2989" s="378"/>
      <c r="C2989" s="311"/>
      <c r="D2989" s="311"/>
      <c r="E2989" s="311"/>
      <c r="F2989" s="311"/>
      <c r="G2989" s="311"/>
      <c r="H2989" s="311"/>
      <c r="I2989" s="311"/>
      <c r="J2989" s="311"/>
      <c r="K2989" s="311"/>
      <c r="L2989" s="311"/>
      <c r="M2989" s="311"/>
      <c r="N2989" s="379"/>
    </row>
    <row r="2990" spans="2:14" ht="13.5" thickBot="1">
      <c r="B2990" s="1150" t="s">
        <v>291</v>
      </c>
      <c r="C2990" s="1151"/>
      <c r="D2990" s="1151"/>
      <c r="E2990" s="1151"/>
      <c r="F2990" s="1151"/>
      <c r="G2990" s="1151"/>
      <c r="H2990" s="1151"/>
      <c r="I2990" s="1151"/>
      <c r="J2990" s="1151"/>
      <c r="K2990" s="1151"/>
      <c r="L2990" s="1151"/>
      <c r="M2990" s="1152"/>
      <c r="N2990" s="336">
        <f>+N2964+N2971+N2977+N2983+N2987</f>
        <v>376610.09162498108</v>
      </c>
    </row>
    <row r="2991" spans="2:14">
      <c r="B2991" s="1103" t="s">
        <v>292</v>
      </c>
      <c r="C2991" s="1104"/>
      <c r="D2991" s="1104"/>
      <c r="E2991" s="1104"/>
      <c r="F2991" s="1104"/>
      <c r="G2991" s="1104"/>
      <c r="H2991" s="1104"/>
      <c r="I2991" s="1104"/>
      <c r="J2991" s="1104"/>
      <c r="K2991" s="1104"/>
      <c r="L2991" s="1104"/>
      <c r="M2991" s="1104"/>
      <c r="N2991" s="1105"/>
    </row>
    <row r="2992" spans="2:14">
      <c r="B2992" s="1106"/>
      <c r="C2992" s="1107"/>
      <c r="D2992" s="1107"/>
      <c r="E2992" s="1107"/>
      <c r="F2992" s="1107"/>
      <c r="G2992" s="1107"/>
      <c r="H2992" s="1107"/>
      <c r="I2992" s="1107"/>
      <c r="J2992" s="1107"/>
      <c r="K2992" s="1107"/>
      <c r="L2992" s="1107"/>
      <c r="M2992" s="1107"/>
      <c r="N2992" s="1108"/>
    </row>
    <row r="2993" spans="2:14" ht="13.5" thickBot="1">
      <c r="B2993" s="1109"/>
      <c r="C2993" s="1110"/>
      <c r="D2993" s="1110"/>
      <c r="E2993" s="1110"/>
      <c r="F2993" s="1110"/>
      <c r="G2993" s="1110"/>
      <c r="H2993" s="1110"/>
      <c r="I2993" s="1110"/>
      <c r="J2993" s="1110"/>
      <c r="K2993" s="1110"/>
      <c r="L2993" s="1110"/>
      <c r="M2993" s="1110"/>
      <c r="N2993" s="1111"/>
    </row>
    <row r="2994" spans="2:14">
      <c r="B2994" s="1130" t="s">
        <v>17</v>
      </c>
      <c r="C2994" s="1139"/>
      <c r="D2994" s="1139"/>
      <c r="E2994" s="1139"/>
      <c r="F2994" s="1139"/>
      <c r="G2994" s="1139"/>
      <c r="H2994" s="1139"/>
      <c r="I2994" s="306"/>
      <c r="J2994" s="337"/>
      <c r="K2994" s="315" t="s">
        <v>79</v>
      </c>
      <c r="L2994" s="1140" t="s">
        <v>11</v>
      </c>
      <c r="M2994" s="1141"/>
      <c r="N2994" s="316"/>
    </row>
    <row r="2995" spans="2:14">
      <c r="B2995" s="1112" t="s">
        <v>232</v>
      </c>
      <c r="C2995" s="1113"/>
      <c r="D2995" s="1113"/>
      <c r="E2995" s="1113"/>
      <c r="F2995" s="1113"/>
      <c r="G2995" s="1113"/>
      <c r="H2995" s="1113"/>
      <c r="I2995" s="338"/>
      <c r="J2995" s="339"/>
      <c r="K2995" s="340">
        <f>'PRESUPUESTO OFICIAL'!$K$100</f>
        <v>0</v>
      </c>
      <c r="L2995" s="1146">
        <f>K2995*N2990</f>
        <v>0</v>
      </c>
      <c r="M2995" s="1147"/>
      <c r="N2995" s="341"/>
    </row>
    <row r="2996" spans="2:14">
      <c r="B2996" s="292" t="s">
        <v>293</v>
      </c>
      <c r="C2996" s="293"/>
      <c r="D2996" s="293"/>
      <c r="E2996" s="293"/>
      <c r="F2996" s="293"/>
      <c r="G2996" s="293"/>
      <c r="H2996" s="293"/>
      <c r="I2996" s="338"/>
      <c r="J2996" s="339"/>
      <c r="K2996" s="340">
        <f>'PRESUPUESTO OFICIAL'!$K$101</f>
        <v>0</v>
      </c>
      <c r="L2996" s="1146">
        <f>K2996*N2990</f>
        <v>0</v>
      </c>
      <c r="M2996" s="1147"/>
      <c r="N2996" s="341"/>
    </row>
    <row r="2997" spans="2:14" ht="13.5" thickBot="1">
      <c r="B2997" s="277" t="s">
        <v>294</v>
      </c>
      <c r="C2997" s="278"/>
      <c r="D2997" s="278"/>
      <c r="E2997" s="278"/>
      <c r="F2997" s="278"/>
      <c r="G2997" s="278"/>
      <c r="H2997" s="278"/>
      <c r="I2997" s="342"/>
      <c r="J2997" s="343"/>
      <c r="K2997" s="340">
        <f>'PRESUPUESTO OFICIAL'!$K$102</f>
        <v>0</v>
      </c>
      <c r="L2997" s="1148">
        <f>K2997*N2990</f>
        <v>0</v>
      </c>
      <c r="M2997" s="1149"/>
      <c r="N2997" s="341"/>
    </row>
    <row r="2998" spans="2:14" ht="13.5" thickBot="1">
      <c r="B2998" s="1100" t="s">
        <v>269</v>
      </c>
      <c r="C2998" s="1101"/>
      <c r="D2998" s="1101"/>
      <c r="E2998" s="1101"/>
      <c r="F2998" s="1101"/>
      <c r="G2998" s="1101"/>
      <c r="H2998" s="1101"/>
      <c r="I2998" s="1101"/>
      <c r="J2998" s="1101"/>
      <c r="K2998" s="1101"/>
      <c r="L2998" s="1101"/>
      <c r="M2998" s="1102"/>
      <c r="N2998" s="344">
        <f>SUM(L2995:M2997)</f>
        <v>0</v>
      </c>
    </row>
    <row r="2999" spans="2:14" ht="13.5" thickBot="1">
      <c r="B2999" s="283"/>
      <c r="N2999" s="284"/>
    </row>
    <row r="3000" spans="2:14" ht="13.5" thickBot="1">
      <c r="B3000" s="1150" t="s">
        <v>295</v>
      </c>
      <c r="C3000" s="1151"/>
      <c r="D3000" s="1151"/>
      <c r="E3000" s="1151"/>
      <c r="F3000" s="1151"/>
      <c r="G3000" s="1151"/>
      <c r="H3000" s="1151"/>
      <c r="I3000" s="1151"/>
      <c r="J3000" s="1151"/>
      <c r="K3000" s="1151"/>
      <c r="L3000" s="1151"/>
      <c r="M3000" s="1152"/>
      <c r="N3000" s="345">
        <f>ROUND(N2990+N2998,0)</f>
        <v>376610</v>
      </c>
    </row>
    <row r="3001" spans="2:14">
      <c r="B3001" s="280"/>
      <c r="C3001" s="281"/>
      <c r="D3001" s="281"/>
      <c r="E3001" s="281"/>
      <c r="F3001" s="281"/>
      <c r="G3001" s="281"/>
      <c r="H3001" s="281"/>
      <c r="I3001" s="281"/>
      <c r="J3001" s="281"/>
      <c r="K3001" s="281"/>
      <c r="L3001" s="281"/>
      <c r="M3001" s="281"/>
      <c r="N3001" s="282"/>
    </row>
    <row r="3002" spans="2:14">
      <c r="B3002" s="283"/>
      <c r="N3002" s="284"/>
    </row>
    <row r="3003" spans="2:14">
      <c r="B3003" s="283"/>
      <c r="N3003" s="284"/>
    </row>
    <row r="3004" spans="2:14">
      <c r="B3004" s="283"/>
      <c r="G3004" s="346" t="s">
        <v>296</v>
      </c>
      <c r="H3004" s="346"/>
      <c r="I3004" s="346"/>
      <c r="J3004" s="346"/>
      <c r="N3004" s="284"/>
    </row>
    <row r="3005" spans="2:14">
      <c r="B3005" s="347"/>
      <c r="C3005" s="348"/>
      <c r="D3005" s="348"/>
      <c r="E3005" s="348"/>
      <c r="F3005" s="348"/>
      <c r="G3005" s="346" t="s">
        <v>297</v>
      </c>
      <c r="H3005" s="348"/>
      <c r="I3005" s="348"/>
      <c r="J3005" s="348"/>
      <c r="K3005" s="348"/>
      <c r="L3005" s="348"/>
      <c r="M3005" s="348"/>
      <c r="N3005" s="349"/>
    </row>
    <row r="3006" spans="2:14">
      <c r="B3006" s="347"/>
      <c r="C3006" s="348"/>
      <c r="D3006" s="348"/>
      <c r="E3006" s="348"/>
      <c r="F3006" s="348"/>
      <c r="G3006" s="346" t="s">
        <v>298</v>
      </c>
      <c r="J3006" s="348"/>
      <c r="K3006" s="348"/>
      <c r="L3006" s="348"/>
      <c r="M3006" s="348"/>
      <c r="N3006" s="349"/>
    </row>
    <row r="3007" spans="2:14">
      <c r="B3007" s="268"/>
      <c r="C3007" s="350"/>
      <c r="D3007" s="350"/>
      <c r="E3007" s="350"/>
      <c r="F3007" s="350"/>
      <c r="G3007" s="346" t="s">
        <v>299</v>
      </c>
      <c r="H3007" s="350"/>
      <c r="I3007" s="350"/>
      <c r="J3007" s="350"/>
      <c r="K3007" s="350"/>
      <c r="L3007" s="350"/>
      <c r="M3007" s="350"/>
      <c r="N3007" s="351"/>
    </row>
    <row r="3008" spans="2:14">
      <c r="B3008" s="283"/>
      <c r="G3008" s="258" t="s">
        <v>300</v>
      </c>
      <c r="N3008" s="284"/>
    </row>
    <row r="3009" spans="2:14">
      <c r="B3009" s="352" t="s">
        <v>301</v>
      </c>
      <c r="C3009" s="353"/>
      <c r="D3009" s="353"/>
      <c r="E3009" s="353"/>
      <c r="F3009" s="353"/>
      <c r="G3009" s="353"/>
      <c r="H3009" s="353"/>
      <c r="I3009" s="353"/>
      <c r="J3009" s="353"/>
      <c r="K3009" s="353"/>
      <c r="L3009" s="353"/>
      <c r="M3009" s="353"/>
      <c r="N3009" s="354"/>
    </row>
    <row r="3010" spans="2:14">
      <c r="B3010" s="1153"/>
      <c r="C3010" s="1154"/>
      <c r="D3010" s="1154"/>
      <c r="E3010" s="1154"/>
      <c r="F3010" s="1154"/>
      <c r="G3010" s="1154"/>
      <c r="H3010" s="1154"/>
      <c r="I3010" s="1154"/>
      <c r="J3010" s="1154"/>
      <c r="K3010" s="1154"/>
      <c r="L3010" s="1154"/>
      <c r="M3010" s="1154"/>
      <c r="N3010" s="1155"/>
    </row>
    <row r="3011" spans="2:14">
      <c r="B3011" s="1153"/>
      <c r="C3011" s="1154"/>
      <c r="D3011" s="1154"/>
      <c r="E3011" s="1154"/>
      <c r="F3011" s="1154"/>
      <c r="G3011" s="1154"/>
      <c r="H3011" s="1154"/>
      <c r="I3011" s="1154"/>
      <c r="J3011" s="1154"/>
      <c r="K3011" s="1154"/>
      <c r="L3011" s="1154"/>
      <c r="M3011" s="1154"/>
      <c r="N3011" s="1155"/>
    </row>
    <row r="3012" spans="2:14">
      <c r="B3012" s="268"/>
      <c r="C3012" s="350"/>
      <c r="D3012" s="350"/>
      <c r="E3012" s="350"/>
      <c r="F3012" s="350"/>
      <c r="G3012" s="350"/>
      <c r="H3012" s="350"/>
      <c r="I3012" s="350"/>
      <c r="J3012" s="350"/>
      <c r="K3012" s="350"/>
      <c r="L3012" s="350"/>
      <c r="M3012" s="350"/>
      <c r="N3012" s="351"/>
    </row>
    <row r="3013" spans="2:14">
      <c r="B3013" s="355" t="s">
        <v>302</v>
      </c>
      <c r="C3013" s="350"/>
      <c r="D3013" s="350"/>
      <c r="E3013" s="350"/>
      <c r="F3013" s="350"/>
      <c r="G3013" s="350"/>
      <c r="H3013" s="350"/>
      <c r="I3013" s="350"/>
      <c r="J3013" s="350"/>
      <c r="K3013" s="350"/>
      <c r="L3013" s="350"/>
      <c r="M3013" s="350"/>
      <c r="N3013" s="351"/>
    </row>
    <row r="3014" spans="2:14">
      <c r="B3014" s="1159" t="s">
        <v>303</v>
      </c>
      <c r="C3014" s="1160"/>
      <c r="D3014" s="1160"/>
      <c r="E3014" s="1160"/>
      <c r="F3014" s="1160"/>
      <c r="G3014" s="1160"/>
      <c r="H3014" s="1160"/>
      <c r="I3014" s="1160"/>
      <c r="J3014" s="1160"/>
      <c r="K3014" s="1160"/>
      <c r="L3014" s="1160"/>
      <c r="M3014" s="1160"/>
      <c r="N3014" s="1161"/>
    </row>
    <row r="3015" spans="2:14">
      <c r="B3015" s="1159"/>
      <c r="C3015" s="1160"/>
      <c r="D3015" s="1160"/>
      <c r="E3015" s="1160"/>
      <c r="F3015" s="1160"/>
      <c r="G3015" s="1160"/>
      <c r="H3015" s="1160"/>
      <c r="I3015" s="1160"/>
      <c r="J3015" s="1160"/>
      <c r="K3015" s="1160"/>
      <c r="L3015" s="1160"/>
      <c r="M3015" s="1160"/>
      <c r="N3015" s="1161"/>
    </row>
    <row r="3016" spans="2:14">
      <c r="B3016" s="1159" t="s">
        <v>304</v>
      </c>
      <c r="C3016" s="1160"/>
      <c r="D3016" s="1160"/>
      <c r="E3016" s="1160"/>
      <c r="F3016" s="1160"/>
      <c r="G3016" s="1160"/>
      <c r="H3016" s="1160"/>
      <c r="I3016" s="1160"/>
      <c r="J3016" s="1160"/>
      <c r="K3016" s="1160"/>
      <c r="L3016" s="1160"/>
      <c r="M3016" s="1160"/>
      <c r="N3016" s="1161"/>
    </row>
    <row r="3017" spans="2:14">
      <c r="B3017" s="1159"/>
      <c r="C3017" s="1160"/>
      <c r="D3017" s="1160"/>
      <c r="E3017" s="1160"/>
      <c r="F3017" s="1160"/>
      <c r="G3017" s="1160"/>
      <c r="H3017" s="1160"/>
      <c r="I3017" s="1160"/>
      <c r="J3017" s="1160"/>
      <c r="K3017" s="1160"/>
      <c r="L3017" s="1160"/>
      <c r="M3017" s="1160"/>
      <c r="N3017" s="1161"/>
    </row>
    <row r="3018" spans="2:14">
      <c r="B3018" s="268"/>
      <c r="C3018" s="350"/>
      <c r="D3018" s="350"/>
      <c r="E3018" s="350"/>
      <c r="F3018" s="350"/>
      <c r="G3018" s="350"/>
      <c r="H3018" s="350"/>
      <c r="I3018" s="350"/>
      <c r="J3018" s="350"/>
      <c r="K3018" s="350"/>
      <c r="L3018" s="350"/>
      <c r="M3018" s="350"/>
      <c r="N3018" s="351"/>
    </row>
    <row r="3019" spans="2:14">
      <c r="B3019" s="283"/>
      <c r="G3019" s="346" t="s">
        <v>296</v>
      </c>
      <c r="N3019" s="284"/>
    </row>
    <row r="3020" spans="2:14">
      <c r="B3020" s="283"/>
      <c r="G3020" s="258" t="s">
        <v>305</v>
      </c>
      <c r="H3020" s="293"/>
      <c r="I3020" s="293"/>
      <c r="J3020" s="293"/>
      <c r="N3020" s="284"/>
    </row>
    <row r="3021" spans="2:14">
      <c r="B3021" s="283"/>
      <c r="G3021" s="258" t="s">
        <v>306</v>
      </c>
      <c r="H3021" s="325"/>
      <c r="I3021" s="325"/>
      <c r="J3021" s="325"/>
      <c r="N3021" s="284"/>
    </row>
    <row r="3022" spans="2:14">
      <c r="B3022" s="356"/>
      <c r="C3022" s="350"/>
      <c r="D3022" s="350"/>
      <c r="E3022" s="350"/>
      <c r="F3022" s="350"/>
      <c r="G3022" s="258" t="s">
        <v>299</v>
      </c>
      <c r="K3022" s="350"/>
      <c r="L3022" s="350"/>
      <c r="M3022" s="350"/>
      <c r="N3022" s="351"/>
    </row>
    <row r="3023" spans="2:14">
      <c r="B3023" s="357"/>
      <c r="C3023" s="358"/>
      <c r="D3023" s="358"/>
      <c r="J3023" s="1162"/>
      <c r="K3023" s="1162"/>
      <c r="L3023" s="1162"/>
      <c r="M3023" s="1162"/>
      <c r="N3023" s="1163"/>
    </row>
    <row r="3024" spans="2:14" ht="13.5" thickBot="1">
      <c r="B3024" s="1166"/>
      <c r="C3024" s="1167"/>
      <c r="D3024" s="1167"/>
      <c r="E3024" s="311"/>
      <c r="F3024" s="311"/>
      <c r="G3024" s="311"/>
      <c r="H3024" s="311"/>
      <c r="I3024" s="311"/>
      <c r="J3024" s="1164"/>
      <c r="K3024" s="1164"/>
      <c r="L3024" s="1164"/>
      <c r="M3024" s="1164"/>
      <c r="N3024" s="1165"/>
    </row>
    <row r="3025" spans="2:14" ht="13.5" thickBot="1"/>
    <row r="3026" spans="2:14">
      <c r="B3026" s="1070"/>
      <c r="C3026" s="1072"/>
      <c r="D3026" s="1073"/>
      <c r="E3026" s="1073"/>
      <c r="F3026" s="1073"/>
      <c r="G3026" s="1073"/>
      <c r="H3026" s="1073"/>
      <c r="I3026" s="1073"/>
      <c r="J3026" s="1074"/>
      <c r="K3026" s="1075"/>
      <c r="L3026" s="1076"/>
      <c r="M3026" s="1076"/>
      <c r="N3026" s="1077"/>
    </row>
    <row r="3027" spans="2:14">
      <c r="B3027" s="1071"/>
      <c r="C3027" s="1062" t="s">
        <v>244</v>
      </c>
      <c r="D3027" s="1063"/>
      <c r="E3027" s="1063"/>
      <c r="F3027" s="1063"/>
      <c r="G3027" s="1063"/>
      <c r="H3027" s="1063"/>
      <c r="I3027" s="1063"/>
      <c r="J3027" s="1064"/>
      <c r="K3027" s="1078"/>
      <c r="L3027" s="1079"/>
      <c r="M3027" s="1079"/>
      <c r="N3027" s="1080"/>
    </row>
    <row r="3028" spans="2:14">
      <c r="B3028" s="1071"/>
      <c r="C3028" s="1081"/>
      <c r="D3028" s="1082"/>
      <c r="E3028" s="1082"/>
      <c r="F3028" s="1082"/>
      <c r="G3028" s="1082"/>
      <c r="H3028" s="1082"/>
      <c r="I3028" s="1082"/>
      <c r="J3028" s="1083"/>
      <c r="K3028" s="1058" t="s">
        <v>245</v>
      </c>
      <c r="L3028" s="1085"/>
      <c r="M3028" s="1086"/>
      <c r="N3028" s="1087"/>
    </row>
    <row r="3029" spans="2:14">
      <c r="B3029" s="1071"/>
      <c r="C3029" s="1062" t="s">
        <v>246</v>
      </c>
      <c r="D3029" s="1063"/>
      <c r="E3029" s="1063"/>
      <c r="F3029" s="1063"/>
      <c r="G3029" s="1063"/>
      <c r="H3029" s="1063"/>
      <c r="I3029" s="1063"/>
      <c r="J3029" s="1064"/>
      <c r="K3029" s="1084"/>
      <c r="L3029" s="1088"/>
      <c r="M3029" s="1089"/>
      <c r="N3029" s="1090"/>
    </row>
    <row r="3030" spans="2:14">
      <c r="B3030" s="1071"/>
      <c r="C3030" s="1091"/>
      <c r="D3030" s="1092"/>
      <c r="E3030" s="1092"/>
      <c r="F3030" s="1092"/>
      <c r="G3030" s="1092"/>
      <c r="H3030" s="1092"/>
      <c r="I3030" s="1092"/>
      <c r="J3030" s="1093"/>
      <c r="K3030" s="1058" t="s">
        <v>247</v>
      </c>
      <c r="L3030" s="1058">
        <v>34</v>
      </c>
      <c r="M3030" s="1058" t="s">
        <v>248</v>
      </c>
      <c r="N3030" s="1060">
        <v>80</v>
      </c>
    </row>
    <row r="3031" spans="2:14">
      <c r="B3031" s="1071"/>
      <c r="C3031" s="1091"/>
      <c r="D3031" s="1092"/>
      <c r="E3031" s="1092"/>
      <c r="F3031" s="1092"/>
      <c r="G3031" s="1092"/>
      <c r="H3031" s="1092"/>
      <c r="I3031" s="1092"/>
      <c r="J3031" s="1093"/>
      <c r="K3031" s="1059"/>
      <c r="L3031" s="1059"/>
      <c r="M3031" s="1059"/>
      <c r="N3031" s="1061"/>
    </row>
    <row r="3032" spans="2:14">
      <c r="B3032" s="1071"/>
      <c r="C3032" s="1062" t="s">
        <v>249</v>
      </c>
      <c r="D3032" s="1063"/>
      <c r="E3032" s="1063"/>
      <c r="F3032" s="1063"/>
      <c r="G3032" s="1063"/>
      <c r="H3032" s="1063"/>
      <c r="I3032" s="1063"/>
      <c r="J3032" s="1064"/>
      <c r="K3032" s="1059"/>
      <c r="L3032" s="1059"/>
      <c r="M3032" s="1059"/>
      <c r="N3032" s="1061"/>
    </row>
    <row r="3033" spans="2:14" ht="13.5" thickBot="1">
      <c r="B3033" s="259"/>
      <c r="C3033" s="260"/>
      <c r="D3033" s="260"/>
      <c r="E3033" s="260"/>
      <c r="F3033" s="260"/>
      <c r="G3033" s="260"/>
      <c r="H3033" s="260"/>
      <c r="I3033" s="260"/>
      <c r="J3033" s="260"/>
      <c r="K3033" s="260"/>
      <c r="L3033" s="261"/>
      <c r="M3033" s="261"/>
      <c r="N3033" s="262"/>
    </row>
    <row r="3034" spans="2:14">
      <c r="B3034" s="263"/>
      <c r="C3034" s="264"/>
      <c r="D3034" s="264"/>
      <c r="E3034" s="264"/>
      <c r="F3034" s="264"/>
      <c r="G3034" s="264"/>
      <c r="H3034" s="264"/>
      <c r="I3034" s="264"/>
      <c r="J3034" s="264"/>
      <c r="K3034" s="265" t="s">
        <v>250</v>
      </c>
      <c r="L3034" s="266" t="s">
        <v>251</v>
      </c>
      <c r="M3034" s="266" t="s">
        <v>252</v>
      </c>
      <c r="N3034" s="267" t="s">
        <v>253</v>
      </c>
    </row>
    <row r="3035" spans="2:14">
      <c r="B3035" s="268"/>
      <c r="C3035" s="269"/>
      <c r="D3035" s="269"/>
      <c r="E3035" s="269"/>
      <c r="F3035" s="269"/>
      <c r="G3035" s="269"/>
      <c r="H3035" s="269"/>
      <c r="I3035" s="269"/>
      <c r="J3035" s="269"/>
      <c r="K3035" s="270"/>
      <c r="L3035" s="271"/>
      <c r="M3035" s="271"/>
      <c r="N3035" s="272"/>
    </row>
    <row r="3036" spans="2:14">
      <c r="B3036" s="1065" t="s">
        <v>254</v>
      </c>
      <c r="C3036" s="1066"/>
      <c r="D3036" s="1066"/>
      <c r="E3036" s="1066"/>
      <c r="F3036" s="269"/>
      <c r="G3036" s="269"/>
      <c r="H3036" s="269" t="s">
        <v>255</v>
      </c>
      <c r="J3036" s="269"/>
      <c r="K3036" s="270"/>
      <c r="N3036" s="273"/>
    </row>
    <row r="3037" spans="2:14">
      <c r="B3037" s="274"/>
      <c r="C3037" s="275"/>
      <c r="D3037" s="275"/>
      <c r="E3037" s="275"/>
      <c r="F3037" s="275"/>
      <c r="G3037" s="275"/>
      <c r="H3037" s="275"/>
      <c r="I3037" s="275"/>
      <c r="J3037" s="275"/>
      <c r="K3037" s="275"/>
      <c r="L3037" s="275"/>
      <c r="M3037" s="275"/>
      <c r="N3037" s="276"/>
    </row>
    <row r="3038" spans="2:14" ht="13.5" thickBot="1">
      <c r="B3038" s="277"/>
      <c r="C3038" s="278"/>
      <c r="D3038" s="278"/>
      <c r="E3038" s="278"/>
      <c r="F3038" s="278"/>
      <c r="G3038" s="278"/>
      <c r="H3038" s="278"/>
      <c r="I3038" s="278"/>
      <c r="J3038" s="278"/>
      <c r="K3038" s="278"/>
      <c r="L3038" s="278"/>
      <c r="M3038" s="278"/>
      <c r="N3038" s="279"/>
    </row>
    <row r="3039" spans="2:14" ht="13.5" thickBot="1">
      <c r="B3039" s="280"/>
      <c r="C3039" s="281"/>
      <c r="D3039" s="281"/>
      <c r="E3039" s="281"/>
      <c r="F3039" s="281"/>
      <c r="G3039" s="281"/>
      <c r="J3039" s="281"/>
      <c r="K3039" s="281"/>
      <c r="L3039" s="281"/>
      <c r="M3039" s="281"/>
      <c r="N3039" s="282"/>
    </row>
    <row r="3040" spans="2:14">
      <c r="B3040" s="1067" t="s">
        <v>256</v>
      </c>
      <c r="C3040" s="1068"/>
      <c r="D3040" s="1068"/>
      <c r="E3040" s="1068"/>
      <c r="F3040" s="1068"/>
      <c r="G3040" s="1068"/>
      <c r="H3040" s="1068"/>
      <c r="I3040" s="1068"/>
      <c r="J3040" s="1068"/>
      <c r="K3040" s="1068"/>
      <c r="L3040" s="1068"/>
      <c r="M3040" s="1068"/>
      <c r="N3040" s="1069"/>
    </row>
    <row r="3041" spans="2:14" ht="13.5" thickBot="1">
      <c r="B3041" s="283"/>
      <c r="N3041" s="284"/>
    </row>
    <row r="3042" spans="2:14">
      <c r="B3042" s="285" t="s">
        <v>257</v>
      </c>
      <c r="C3042" s="1120" t="s">
        <v>258</v>
      </c>
      <c r="D3042" s="1121"/>
      <c r="E3042" s="1121"/>
      <c r="F3042" s="1121"/>
      <c r="G3042" s="1121"/>
      <c r="H3042" s="1121"/>
      <c r="I3042" s="1121"/>
      <c r="J3042" s="1121"/>
      <c r="K3042" s="1122"/>
      <c r="L3042" s="1123" t="s">
        <v>259</v>
      </c>
      <c r="M3042" s="1124"/>
      <c r="N3042" s="285" t="s">
        <v>133</v>
      </c>
    </row>
    <row r="3043" spans="2:14" ht="13.5" thickBot="1">
      <c r="B3043" s="286">
        <v>34</v>
      </c>
      <c r="C3043" s="1125" t="s">
        <v>175</v>
      </c>
      <c r="D3043" s="1126"/>
      <c r="E3043" s="1126"/>
      <c r="F3043" s="1126"/>
      <c r="G3043" s="1126"/>
      <c r="H3043" s="1126"/>
      <c r="I3043" s="1126"/>
      <c r="J3043" s="1126"/>
      <c r="K3043" s="1127"/>
      <c r="L3043" s="1128" t="s">
        <v>141</v>
      </c>
      <c r="M3043" s="1129"/>
      <c r="N3043" s="366">
        <v>500</v>
      </c>
    </row>
    <row r="3044" spans="2:14">
      <c r="B3044" s="1103" t="s">
        <v>260</v>
      </c>
      <c r="C3044" s="1104"/>
      <c r="D3044" s="1104"/>
      <c r="E3044" s="1104"/>
      <c r="F3044" s="1104"/>
      <c r="G3044" s="1104"/>
      <c r="H3044" s="1104"/>
      <c r="I3044" s="1104"/>
      <c r="J3044" s="1104"/>
      <c r="K3044" s="1104"/>
      <c r="L3044" s="1104"/>
      <c r="M3044" s="1104"/>
      <c r="N3044" s="1105"/>
    </row>
    <row r="3045" spans="2:14">
      <c r="B3045" s="1106"/>
      <c r="C3045" s="1107"/>
      <c r="D3045" s="1107"/>
      <c r="E3045" s="1107"/>
      <c r="F3045" s="1107"/>
      <c r="G3045" s="1107"/>
      <c r="H3045" s="1107"/>
      <c r="I3045" s="1107"/>
      <c r="J3045" s="1107"/>
      <c r="K3045" s="1107"/>
      <c r="L3045" s="1107"/>
      <c r="M3045" s="1107"/>
      <c r="N3045" s="1108"/>
    </row>
    <row r="3046" spans="2:14" ht="13.5" thickBot="1">
      <c r="B3046" s="1109"/>
      <c r="C3046" s="1110"/>
      <c r="D3046" s="1110"/>
      <c r="E3046" s="1110"/>
      <c r="F3046" s="1110"/>
      <c r="G3046" s="1110"/>
      <c r="H3046" s="1110"/>
      <c r="I3046" s="1110"/>
      <c r="J3046" s="1110"/>
      <c r="K3046" s="1110"/>
      <c r="L3046" s="1110"/>
      <c r="M3046" s="1110"/>
      <c r="N3046" s="1111"/>
    </row>
    <row r="3047" spans="2:14">
      <c r="B3047" s="1130" t="s">
        <v>258</v>
      </c>
      <c r="C3047" s="1131"/>
      <c r="D3047" s="1131"/>
      <c r="E3047" s="1131"/>
      <c r="F3047" s="1132"/>
      <c r="G3047" s="1133" t="s">
        <v>261</v>
      </c>
      <c r="H3047" s="1131"/>
      <c r="I3047" s="1134" t="s">
        <v>262</v>
      </c>
      <c r="J3047" s="1135"/>
      <c r="K3047" s="288" t="s">
        <v>263</v>
      </c>
      <c r="L3047" s="1133" t="s">
        <v>264</v>
      </c>
      <c r="M3047" s="1136"/>
      <c r="N3047" s="289" t="s">
        <v>265</v>
      </c>
    </row>
    <row r="3048" spans="2:14">
      <c r="B3048" s="1179"/>
      <c r="C3048" s="1180"/>
      <c r="D3048" s="1180"/>
      <c r="E3048" s="1180"/>
      <c r="F3048" s="1181"/>
      <c r="G3048" s="295"/>
      <c r="H3048" s="294"/>
      <c r="I3048" s="1182"/>
      <c r="J3048" s="1183"/>
      <c r="K3048" s="290"/>
      <c r="L3048" s="1118"/>
      <c r="M3048" s="1119"/>
      <c r="N3048" s="290"/>
    </row>
    <row r="3049" spans="2:14" ht="13.5" thickBot="1">
      <c r="B3049" s="1179"/>
      <c r="C3049" s="1180"/>
      <c r="D3049" s="1180"/>
      <c r="E3049" s="1180"/>
      <c r="F3049" s="1181"/>
      <c r="G3049" s="295"/>
      <c r="H3049" s="294"/>
      <c r="I3049" s="1182"/>
      <c r="J3049" s="1183"/>
      <c r="K3049" s="290"/>
      <c r="L3049" s="1118"/>
      <c r="M3049" s="1119"/>
      <c r="N3049" s="290"/>
    </row>
    <row r="3050" spans="2:14" ht="13.5" thickBot="1">
      <c r="B3050" s="1100" t="s">
        <v>269</v>
      </c>
      <c r="C3050" s="1101"/>
      <c r="D3050" s="1101"/>
      <c r="E3050" s="1101"/>
      <c r="F3050" s="1101"/>
      <c r="G3050" s="1101"/>
      <c r="H3050" s="1101"/>
      <c r="I3050" s="1101"/>
      <c r="J3050" s="1101"/>
      <c r="K3050" s="1101"/>
      <c r="L3050" s="1101"/>
      <c r="M3050" s="1102"/>
      <c r="N3050" s="323">
        <f>+N3048</f>
        <v>0</v>
      </c>
    </row>
    <row r="3051" spans="2:14">
      <c r="B3051" s="1103" t="s">
        <v>270</v>
      </c>
      <c r="C3051" s="1104"/>
      <c r="D3051" s="1104"/>
      <c r="E3051" s="1104"/>
      <c r="F3051" s="1104"/>
      <c r="G3051" s="1104"/>
      <c r="H3051" s="1104"/>
      <c r="I3051" s="1104"/>
      <c r="J3051" s="1104"/>
      <c r="K3051" s="1104"/>
      <c r="L3051" s="1104"/>
      <c r="M3051" s="1104"/>
      <c r="N3051" s="1105"/>
    </row>
    <row r="3052" spans="2:14">
      <c r="B3052" s="1106"/>
      <c r="C3052" s="1107"/>
      <c r="D3052" s="1107"/>
      <c r="E3052" s="1107"/>
      <c r="F3052" s="1107"/>
      <c r="G3052" s="1107"/>
      <c r="H3052" s="1107"/>
      <c r="I3052" s="1107"/>
      <c r="J3052" s="1107"/>
      <c r="K3052" s="1107"/>
      <c r="L3052" s="1107"/>
      <c r="M3052" s="1107"/>
      <c r="N3052" s="1108"/>
    </row>
    <row r="3053" spans="2:14" ht="13.5" thickBot="1">
      <c r="B3053" s="1109"/>
      <c r="C3053" s="1110"/>
      <c r="D3053" s="1110"/>
      <c r="E3053" s="1110"/>
      <c r="F3053" s="1110"/>
      <c r="G3053" s="1110"/>
      <c r="H3053" s="1110"/>
      <c r="I3053" s="1110"/>
      <c r="J3053" s="1110"/>
      <c r="K3053" s="1110"/>
      <c r="L3053" s="1110"/>
      <c r="M3053" s="1110"/>
      <c r="N3053" s="1111"/>
    </row>
    <row r="3054" spans="2:14">
      <c r="B3054" s="1130" t="s">
        <v>258</v>
      </c>
      <c r="C3054" s="1139"/>
      <c r="D3054" s="1139"/>
      <c r="E3054" s="1139"/>
      <c r="F3054" s="1139"/>
      <c r="G3054" s="1139"/>
      <c r="H3054" s="1139"/>
      <c r="I3054" s="1136"/>
      <c r="J3054" s="299" t="s">
        <v>259</v>
      </c>
      <c r="K3054" s="288" t="s">
        <v>133</v>
      </c>
      <c r="L3054" s="1133" t="s">
        <v>271</v>
      </c>
      <c r="M3054" s="1136"/>
      <c r="N3054" s="289" t="s">
        <v>265</v>
      </c>
    </row>
    <row r="3055" spans="2:14">
      <c r="B3055" s="1112" t="s">
        <v>350</v>
      </c>
      <c r="C3055" s="1113"/>
      <c r="D3055" s="1113"/>
      <c r="E3055" s="1113"/>
      <c r="F3055" s="1113"/>
      <c r="G3055" s="1113"/>
      <c r="H3055" s="1113"/>
      <c r="I3055" s="1114"/>
      <c r="J3055" s="300" t="s">
        <v>147</v>
      </c>
      <c r="K3055" s="301">
        <v>5.2499999999999998E-2</v>
      </c>
      <c r="L3055" s="1144">
        <v>310491</v>
      </c>
      <c r="M3055" s="1145"/>
      <c r="N3055" s="363">
        <f>+K3055*L3055</f>
        <v>16300.7775</v>
      </c>
    </row>
    <row r="3056" spans="2:14" ht="13.5" thickBot="1">
      <c r="B3056" s="1112"/>
      <c r="C3056" s="1113"/>
      <c r="D3056" s="1113"/>
      <c r="E3056" s="1113"/>
      <c r="F3056" s="1113"/>
      <c r="G3056" s="1113"/>
      <c r="H3056" s="1113"/>
      <c r="I3056" s="1114"/>
      <c r="J3056" s="303"/>
      <c r="K3056" s="304"/>
      <c r="L3056" s="1144"/>
      <c r="M3056" s="1145"/>
      <c r="N3056" s="363">
        <f>+K3056*L3056</f>
        <v>0</v>
      </c>
    </row>
    <row r="3057" spans="2:14" ht="13.5" thickBot="1">
      <c r="B3057" s="1100" t="s">
        <v>269</v>
      </c>
      <c r="C3057" s="1101"/>
      <c r="D3057" s="1101"/>
      <c r="E3057" s="1101"/>
      <c r="F3057" s="1101"/>
      <c r="G3057" s="1101"/>
      <c r="H3057" s="1101"/>
      <c r="I3057" s="1101"/>
      <c r="J3057" s="1101"/>
      <c r="K3057" s="1101"/>
      <c r="L3057" s="1101"/>
      <c r="M3057" s="1102"/>
      <c r="N3057" s="323">
        <f>+N3055+N3056</f>
        <v>16300.7775</v>
      </c>
    </row>
    <row r="3058" spans="2:14">
      <c r="B3058" s="1103" t="s">
        <v>276</v>
      </c>
      <c r="C3058" s="1104"/>
      <c r="D3058" s="1104"/>
      <c r="E3058" s="1104"/>
      <c r="F3058" s="1104"/>
      <c r="G3058" s="1104"/>
      <c r="H3058" s="1104"/>
      <c r="I3058" s="1104"/>
      <c r="J3058" s="1104"/>
      <c r="K3058" s="1104"/>
      <c r="L3058" s="1104"/>
      <c r="M3058" s="1104"/>
      <c r="N3058" s="1105"/>
    </row>
    <row r="3059" spans="2:14">
      <c r="B3059" s="1106"/>
      <c r="C3059" s="1107"/>
      <c r="D3059" s="1107"/>
      <c r="E3059" s="1107"/>
      <c r="F3059" s="1107"/>
      <c r="G3059" s="1107"/>
      <c r="H3059" s="1107"/>
      <c r="I3059" s="1107"/>
      <c r="J3059" s="1107"/>
      <c r="K3059" s="1107"/>
      <c r="L3059" s="1107"/>
      <c r="M3059" s="1107"/>
      <c r="N3059" s="1108"/>
    </row>
    <row r="3060" spans="2:14" ht="13.5" thickBot="1">
      <c r="B3060" s="1109"/>
      <c r="C3060" s="1110"/>
      <c r="D3060" s="1110"/>
      <c r="E3060" s="1110"/>
      <c r="F3060" s="1110"/>
      <c r="G3060" s="1110"/>
      <c r="H3060" s="1110"/>
      <c r="I3060" s="1110"/>
      <c r="J3060" s="1110"/>
      <c r="K3060" s="1110"/>
      <c r="L3060" s="1110"/>
      <c r="M3060" s="1110"/>
      <c r="N3060" s="1111"/>
    </row>
    <row r="3061" spans="2:14">
      <c r="B3061" s="1130" t="s">
        <v>277</v>
      </c>
      <c r="C3061" s="1139"/>
      <c r="D3061" s="1139"/>
      <c r="E3061" s="1139"/>
      <c r="F3061" s="1139"/>
      <c r="G3061" s="1139"/>
      <c r="H3061" s="1139"/>
      <c r="I3061" s="288" t="s">
        <v>278</v>
      </c>
      <c r="J3061" s="306" t="s">
        <v>279</v>
      </c>
      <c r="K3061" s="307" t="s">
        <v>280</v>
      </c>
      <c r="L3061" s="1133" t="s">
        <v>281</v>
      </c>
      <c r="M3061" s="1136"/>
      <c r="N3061" s="289" t="s">
        <v>265</v>
      </c>
    </row>
    <row r="3062" spans="2:14" ht="13.5" thickBot="1">
      <c r="B3062" s="1112"/>
      <c r="C3062" s="1113"/>
      <c r="D3062" s="1113"/>
      <c r="E3062" s="1113"/>
      <c r="F3062" s="1113"/>
      <c r="G3062" s="1113"/>
      <c r="H3062" s="1113"/>
      <c r="I3062" s="393"/>
      <c r="J3062" s="309"/>
      <c r="K3062" s="308"/>
      <c r="L3062" s="1144"/>
      <c r="M3062" s="1145"/>
      <c r="N3062" s="363"/>
    </row>
    <row r="3063" spans="2:14" ht="13.5" thickBot="1">
      <c r="B3063" s="1100" t="s">
        <v>269</v>
      </c>
      <c r="C3063" s="1101"/>
      <c r="D3063" s="1101"/>
      <c r="E3063" s="1101"/>
      <c r="F3063" s="1101"/>
      <c r="G3063" s="1101"/>
      <c r="H3063" s="1101"/>
      <c r="I3063" s="1101"/>
      <c r="J3063" s="1101"/>
      <c r="K3063" s="1101"/>
      <c r="L3063" s="1101"/>
      <c r="M3063" s="1102"/>
      <c r="N3063" s="323">
        <f>+N3062</f>
        <v>0</v>
      </c>
    </row>
    <row r="3064" spans="2:14">
      <c r="B3064" s="1103" t="s">
        <v>282</v>
      </c>
      <c r="C3064" s="1104"/>
      <c r="D3064" s="1104"/>
      <c r="E3064" s="1104"/>
      <c r="F3064" s="1104"/>
      <c r="G3064" s="1104"/>
      <c r="H3064" s="1104"/>
      <c r="I3064" s="1104"/>
      <c r="J3064" s="1104"/>
      <c r="K3064" s="1104"/>
      <c r="L3064" s="1104"/>
      <c r="M3064" s="1104"/>
      <c r="N3064" s="1105"/>
    </row>
    <row r="3065" spans="2:14">
      <c r="B3065" s="1106"/>
      <c r="C3065" s="1107"/>
      <c r="D3065" s="1107"/>
      <c r="E3065" s="1107"/>
      <c r="F3065" s="1107"/>
      <c r="G3065" s="1107"/>
      <c r="H3065" s="1107"/>
      <c r="I3065" s="1107"/>
      <c r="J3065" s="1107"/>
      <c r="K3065" s="1107"/>
      <c r="L3065" s="1107"/>
      <c r="M3065" s="1107"/>
      <c r="N3065" s="1108"/>
    </row>
    <row r="3066" spans="2:14" ht="13.5" thickBot="1">
      <c r="B3066" s="1109"/>
      <c r="C3066" s="1110"/>
      <c r="D3066" s="1110"/>
      <c r="E3066" s="1110"/>
      <c r="F3066" s="1110"/>
      <c r="G3066" s="1110"/>
      <c r="H3066" s="1110"/>
      <c r="I3066" s="1110"/>
      <c r="J3066" s="1110"/>
      <c r="K3066" s="1110"/>
      <c r="L3066" s="1110"/>
      <c r="M3066" s="1110"/>
      <c r="N3066" s="1111"/>
    </row>
    <row r="3067" spans="2:14">
      <c r="B3067" s="1130" t="s">
        <v>283</v>
      </c>
      <c r="C3067" s="1139"/>
      <c r="D3067" s="1139"/>
      <c r="E3067" s="1139"/>
      <c r="F3067" s="1139"/>
      <c r="G3067" s="1139"/>
      <c r="H3067" s="1139"/>
      <c r="I3067" s="288" t="s">
        <v>284</v>
      </c>
      <c r="J3067" s="314" t="s">
        <v>285</v>
      </c>
      <c r="K3067" s="315" t="s">
        <v>286</v>
      </c>
      <c r="L3067" s="1140" t="s">
        <v>264</v>
      </c>
      <c r="M3067" s="1141"/>
      <c r="N3067" s="316" t="s">
        <v>265</v>
      </c>
    </row>
    <row r="3068" spans="2:14" ht="13.5" thickBot="1">
      <c r="B3068" s="317" t="s">
        <v>344</v>
      </c>
      <c r="C3068" s="318"/>
      <c r="D3068" s="318"/>
      <c r="E3068" s="318"/>
      <c r="F3068" s="318"/>
      <c r="G3068" s="318"/>
      <c r="H3068" s="318"/>
      <c r="I3068" s="319">
        <v>153482</v>
      </c>
      <c r="J3068" s="321">
        <v>0</v>
      </c>
      <c r="K3068" s="321">
        <f>+I3068+J3068</f>
        <v>153482</v>
      </c>
      <c r="L3068" s="1157">
        <v>25</v>
      </c>
      <c r="M3068" s="1158"/>
      <c r="N3068" s="322">
        <f>+K3068/L3068</f>
        <v>6139.28</v>
      </c>
    </row>
    <row r="3069" spans="2:14" ht="13.5" thickBot="1">
      <c r="B3069" s="1100" t="s">
        <v>269</v>
      </c>
      <c r="C3069" s="1101"/>
      <c r="D3069" s="1101"/>
      <c r="E3069" s="1101"/>
      <c r="F3069" s="1101"/>
      <c r="G3069" s="1101"/>
      <c r="H3069" s="1101"/>
      <c r="I3069" s="1101"/>
      <c r="J3069" s="1101"/>
      <c r="K3069" s="1101"/>
      <c r="L3069" s="1101"/>
      <c r="M3069" s="1102"/>
      <c r="N3069" s="323">
        <f>+N3068</f>
        <v>6139.28</v>
      </c>
    </row>
    <row r="3070" spans="2:14" ht="13.5" thickBot="1">
      <c r="B3070" s="324" t="s">
        <v>288</v>
      </c>
      <c r="C3070" s="325"/>
      <c r="D3070" s="325"/>
      <c r="E3070" s="325"/>
      <c r="F3070" s="325"/>
      <c r="G3070" s="325"/>
      <c r="H3070" s="325"/>
      <c r="I3070" s="326"/>
      <c r="J3070" s="327"/>
      <c r="K3070" s="328"/>
      <c r="L3070" s="329"/>
      <c r="M3070" s="329"/>
      <c r="N3070" s="330"/>
    </row>
    <row r="3071" spans="2:14">
      <c r="B3071" s="1130" t="s">
        <v>17</v>
      </c>
      <c r="C3071" s="1139"/>
      <c r="D3071" s="1139"/>
      <c r="E3071" s="1139"/>
      <c r="F3071" s="1139"/>
      <c r="G3071" s="1139"/>
      <c r="H3071" s="1139"/>
      <c r="I3071" s="1136"/>
      <c r="J3071" s="299" t="s">
        <v>259</v>
      </c>
      <c r="K3071" s="288" t="s">
        <v>133</v>
      </c>
      <c r="L3071" s="1133" t="s">
        <v>271</v>
      </c>
      <c r="M3071" s="1136"/>
      <c r="N3071" s="316" t="s">
        <v>265</v>
      </c>
    </row>
    <row r="3072" spans="2:14" ht="13.5" thickBot="1">
      <c r="B3072" s="331" t="s">
        <v>289</v>
      </c>
      <c r="C3072" s="332"/>
      <c r="D3072" s="332"/>
      <c r="E3072" s="332"/>
      <c r="F3072" s="332"/>
      <c r="G3072" s="332"/>
      <c r="H3072" s="332"/>
      <c r="I3072" s="333"/>
      <c r="J3072" s="334" t="s">
        <v>290</v>
      </c>
      <c r="K3072" s="335">
        <v>5.2499999999999998E-2</v>
      </c>
      <c r="L3072" s="1144">
        <f>+N3069</f>
        <v>6139.28</v>
      </c>
      <c r="M3072" s="1145"/>
      <c r="N3072" s="322">
        <f>+K3072*L3072</f>
        <v>322.31219999999996</v>
      </c>
    </row>
    <row r="3073" spans="2:14" ht="13.5" thickBot="1">
      <c r="B3073" s="1100" t="s">
        <v>269</v>
      </c>
      <c r="C3073" s="1101"/>
      <c r="D3073" s="1101"/>
      <c r="E3073" s="1101"/>
      <c r="F3073" s="1101"/>
      <c r="G3073" s="1101"/>
      <c r="H3073" s="1101"/>
      <c r="I3073" s="1101"/>
      <c r="J3073" s="1101"/>
      <c r="K3073" s="1101"/>
      <c r="L3073" s="1101"/>
      <c r="M3073" s="1102"/>
      <c r="N3073" s="323">
        <f>+N3072</f>
        <v>322.31219999999996</v>
      </c>
    </row>
    <row r="3074" spans="2:14">
      <c r="B3074" s="280"/>
      <c r="C3074" s="281"/>
      <c r="D3074" s="281"/>
      <c r="E3074" s="281"/>
      <c r="F3074" s="281"/>
      <c r="G3074" s="281"/>
      <c r="H3074" s="281"/>
      <c r="I3074" s="281"/>
      <c r="J3074" s="281"/>
      <c r="K3074" s="281"/>
      <c r="L3074" s="281"/>
      <c r="M3074" s="281"/>
      <c r="N3074" s="282"/>
    </row>
    <row r="3075" spans="2:14" ht="13.5" thickBot="1">
      <c r="B3075" s="378"/>
      <c r="C3075" s="311"/>
      <c r="D3075" s="311"/>
      <c r="E3075" s="311"/>
      <c r="F3075" s="311"/>
      <c r="G3075" s="311"/>
      <c r="H3075" s="311"/>
      <c r="I3075" s="311"/>
      <c r="J3075" s="311"/>
      <c r="K3075" s="311"/>
      <c r="L3075" s="311"/>
      <c r="M3075" s="311"/>
      <c r="N3075" s="379"/>
    </row>
    <row r="3076" spans="2:14" ht="13.5" thickBot="1">
      <c r="B3076" s="1150" t="s">
        <v>291</v>
      </c>
      <c r="C3076" s="1151"/>
      <c r="D3076" s="1151"/>
      <c r="E3076" s="1151"/>
      <c r="F3076" s="1151"/>
      <c r="G3076" s="1151"/>
      <c r="H3076" s="1151"/>
      <c r="I3076" s="1151"/>
      <c r="J3076" s="1151"/>
      <c r="K3076" s="1151"/>
      <c r="L3076" s="1151"/>
      <c r="M3076" s="1152"/>
      <c r="N3076" s="336">
        <f>+N3050+N3057+N3063+N3069+N3073</f>
        <v>22762.369699999999</v>
      </c>
    </row>
    <row r="3077" spans="2:14">
      <c r="B3077" s="1103" t="s">
        <v>292</v>
      </c>
      <c r="C3077" s="1104"/>
      <c r="D3077" s="1104"/>
      <c r="E3077" s="1104"/>
      <c r="F3077" s="1104"/>
      <c r="G3077" s="1104"/>
      <c r="H3077" s="1104"/>
      <c r="I3077" s="1104"/>
      <c r="J3077" s="1104"/>
      <c r="K3077" s="1104"/>
      <c r="L3077" s="1104"/>
      <c r="M3077" s="1104"/>
      <c r="N3077" s="1105"/>
    </row>
    <row r="3078" spans="2:14">
      <c r="B3078" s="1106"/>
      <c r="C3078" s="1107"/>
      <c r="D3078" s="1107"/>
      <c r="E3078" s="1107"/>
      <c r="F3078" s="1107"/>
      <c r="G3078" s="1107"/>
      <c r="H3078" s="1107"/>
      <c r="I3078" s="1107"/>
      <c r="J3078" s="1107"/>
      <c r="K3078" s="1107"/>
      <c r="L3078" s="1107"/>
      <c r="M3078" s="1107"/>
      <c r="N3078" s="1108"/>
    </row>
    <row r="3079" spans="2:14" ht="13.5" thickBot="1">
      <c r="B3079" s="1109"/>
      <c r="C3079" s="1110"/>
      <c r="D3079" s="1110"/>
      <c r="E3079" s="1110"/>
      <c r="F3079" s="1110"/>
      <c r="G3079" s="1110"/>
      <c r="H3079" s="1110"/>
      <c r="I3079" s="1110"/>
      <c r="J3079" s="1110"/>
      <c r="K3079" s="1110"/>
      <c r="L3079" s="1110"/>
      <c r="M3079" s="1110"/>
      <c r="N3079" s="1111"/>
    </row>
    <row r="3080" spans="2:14">
      <c r="B3080" s="1130" t="s">
        <v>17</v>
      </c>
      <c r="C3080" s="1139"/>
      <c r="D3080" s="1139"/>
      <c r="E3080" s="1139"/>
      <c r="F3080" s="1139"/>
      <c r="G3080" s="1139"/>
      <c r="H3080" s="1139"/>
      <c r="I3080" s="306"/>
      <c r="J3080" s="337"/>
      <c r="K3080" s="315" t="s">
        <v>79</v>
      </c>
      <c r="L3080" s="1140" t="s">
        <v>11</v>
      </c>
      <c r="M3080" s="1141"/>
      <c r="N3080" s="316"/>
    </row>
    <row r="3081" spans="2:14">
      <c r="B3081" s="1112" t="s">
        <v>232</v>
      </c>
      <c r="C3081" s="1113"/>
      <c r="D3081" s="1113"/>
      <c r="E3081" s="1113"/>
      <c r="F3081" s="1113"/>
      <c r="G3081" s="1113"/>
      <c r="H3081" s="1113"/>
      <c r="I3081" s="338"/>
      <c r="J3081" s="339"/>
      <c r="K3081" s="340">
        <f>'PRESUPUESTO OFICIAL'!$K$100</f>
        <v>0</v>
      </c>
      <c r="L3081" s="1146">
        <f>K3081*N3076</f>
        <v>0</v>
      </c>
      <c r="M3081" s="1147"/>
      <c r="N3081" s="341"/>
    </row>
    <row r="3082" spans="2:14">
      <c r="B3082" s="292" t="s">
        <v>293</v>
      </c>
      <c r="C3082" s="293"/>
      <c r="D3082" s="293"/>
      <c r="E3082" s="293"/>
      <c r="F3082" s="293"/>
      <c r="G3082" s="293"/>
      <c r="H3082" s="293"/>
      <c r="I3082" s="338"/>
      <c r="J3082" s="339"/>
      <c r="K3082" s="340">
        <f>'PRESUPUESTO OFICIAL'!$K$101</f>
        <v>0</v>
      </c>
      <c r="L3082" s="1146">
        <f>K3082*N3076</f>
        <v>0</v>
      </c>
      <c r="M3082" s="1147"/>
      <c r="N3082" s="341"/>
    </row>
    <row r="3083" spans="2:14" ht="13.5" thickBot="1">
      <c r="B3083" s="277" t="s">
        <v>294</v>
      </c>
      <c r="C3083" s="278"/>
      <c r="D3083" s="278"/>
      <c r="E3083" s="278"/>
      <c r="F3083" s="278"/>
      <c r="G3083" s="278"/>
      <c r="H3083" s="278"/>
      <c r="I3083" s="342"/>
      <c r="J3083" s="343"/>
      <c r="K3083" s="340">
        <f>'PRESUPUESTO OFICIAL'!$K$102</f>
        <v>0</v>
      </c>
      <c r="L3083" s="1148">
        <f>K3083*N3076</f>
        <v>0</v>
      </c>
      <c r="M3083" s="1149"/>
      <c r="N3083" s="341"/>
    </row>
    <row r="3084" spans="2:14" ht="13.5" thickBot="1">
      <c r="B3084" s="1100" t="s">
        <v>269</v>
      </c>
      <c r="C3084" s="1101"/>
      <c r="D3084" s="1101"/>
      <c r="E3084" s="1101"/>
      <c r="F3084" s="1101"/>
      <c r="G3084" s="1101"/>
      <c r="H3084" s="1101"/>
      <c r="I3084" s="1101"/>
      <c r="J3084" s="1101"/>
      <c r="K3084" s="1101"/>
      <c r="L3084" s="1101"/>
      <c r="M3084" s="1102"/>
      <c r="N3084" s="344">
        <f>SUM(L3081:M3083)</f>
        <v>0</v>
      </c>
    </row>
    <row r="3085" spans="2:14" ht="13.5" thickBot="1">
      <c r="B3085" s="283"/>
      <c r="N3085" s="284"/>
    </row>
    <row r="3086" spans="2:14" ht="13.5" thickBot="1">
      <c r="B3086" s="1150" t="s">
        <v>295</v>
      </c>
      <c r="C3086" s="1151"/>
      <c r="D3086" s="1151"/>
      <c r="E3086" s="1151"/>
      <c r="F3086" s="1151"/>
      <c r="G3086" s="1151"/>
      <c r="H3086" s="1151"/>
      <c r="I3086" s="1151"/>
      <c r="J3086" s="1151"/>
      <c r="K3086" s="1151"/>
      <c r="L3086" s="1151"/>
      <c r="M3086" s="1152"/>
      <c r="N3086" s="345">
        <f>ROUND(N3076+N3084,0)</f>
        <v>22762</v>
      </c>
    </row>
    <row r="3087" spans="2:14">
      <c r="B3087" s="280"/>
      <c r="C3087" s="281"/>
      <c r="D3087" s="281"/>
      <c r="E3087" s="281"/>
      <c r="F3087" s="281"/>
      <c r="G3087" s="281"/>
      <c r="H3087" s="281"/>
      <c r="I3087" s="281"/>
      <c r="J3087" s="281"/>
      <c r="K3087" s="281"/>
      <c r="L3087" s="281"/>
      <c r="M3087" s="281"/>
      <c r="N3087" s="282"/>
    </row>
    <row r="3088" spans="2:14">
      <c r="B3088" s="283"/>
      <c r="N3088" s="284"/>
    </row>
    <row r="3089" spans="2:14">
      <c r="B3089" s="283"/>
      <c r="N3089" s="284"/>
    </row>
    <row r="3090" spans="2:14">
      <c r="B3090" s="283"/>
      <c r="G3090" s="346" t="s">
        <v>296</v>
      </c>
      <c r="H3090" s="346"/>
      <c r="I3090" s="346"/>
      <c r="J3090" s="346"/>
      <c r="N3090" s="284"/>
    </row>
    <row r="3091" spans="2:14">
      <c r="B3091" s="347"/>
      <c r="C3091" s="348"/>
      <c r="D3091" s="348"/>
      <c r="E3091" s="348"/>
      <c r="F3091" s="348"/>
      <c r="G3091" s="346" t="s">
        <v>297</v>
      </c>
      <c r="H3091" s="348"/>
      <c r="I3091" s="348"/>
      <c r="J3091" s="348"/>
      <c r="K3091" s="348"/>
      <c r="L3091" s="348"/>
      <c r="M3091" s="348"/>
      <c r="N3091" s="349"/>
    </row>
    <row r="3092" spans="2:14">
      <c r="B3092" s="347"/>
      <c r="C3092" s="348"/>
      <c r="D3092" s="348"/>
      <c r="E3092" s="348"/>
      <c r="F3092" s="348"/>
      <c r="G3092" s="346" t="s">
        <v>298</v>
      </c>
      <c r="J3092" s="348"/>
      <c r="K3092" s="348"/>
      <c r="L3092" s="348"/>
      <c r="M3092" s="348"/>
      <c r="N3092" s="349"/>
    </row>
    <row r="3093" spans="2:14">
      <c r="B3093" s="268"/>
      <c r="C3093" s="350"/>
      <c r="D3093" s="350"/>
      <c r="E3093" s="350"/>
      <c r="F3093" s="350"/>
      <c r="G3093" s="346" t="s">
        <v>299</v>
      </c>
      <c r="H3093" s="350"/>
      <c r="I3093" s="350"/>
      <c r="J3093" s="350"/>
      <c r="K3093" s="350"/>
      <c r="L3093" s="350"/>
      <c r="M3093" s="350"/>
      <c r="N3093" s="351"/>
    </row>
    <row r="3094" spans="2:14">
      <c r="B3094" s="283"/>
      <c r="G3094" s="258" t="s">
        <v>300</v>
      </c>
      <c r="N3094" s="284"/>
    </row>
    <row r="3095" spans="2:14">
      <c r="B3095" s="352" t="s">
        <v>301</v>
      </c>
      <c r="C3095" s="353"/>
      <c r="D3095" s="353"/>
      <c r="E3095" s="353"/>
      <c r="F3095" s="353"/>
      <c r="G3095" s="353"/>
      <c r="H3095" s="353"/>
      <c r="I3095" s="353"/>
      <c r="J3095" s="353"/>
      <c r="K3095" s="353"/>
      <c r="L3095" s="353"/>
      <c r="M3095" s="353"/>
      <c r="N3095" s="354"/>
    </row>
    <row r="3096" spans="2:14">
      <c r="B3096" s="1153"/>
      <c r="C3096" s="1154"/>
      <c r="D3096" s="1154"/>
      <c r="E3096" s="1154"/>
      <c r="F3096" s="1154"/>
      <c r="G3096" s="1154"/>
      <c r="H3096" s="1154"/>
      <c r="I3096" s="1154"/>
      <c r="J3096" s="1154"/>
      <c r="K3096" s="1154"/>
      <c r="L3096" s="1154"/>
      <c r="M3096" s="1154"/>
      <c r="N3096" s="1155"/>
    </row>
    <row r="3097" spans="2:14">
      <c r="B3097" s="1153"/>
      <c r="C3097" s="1154"/>
      <c r="D3097" s="1154"/>
      <c r="E3097" s="1154"/>
      <c r="F3097" s="1154"/>
      <c r="G3097" s="1154"/>
      <c r="H3097" s="1154"/>
      <c r="I3097" s="1154"/>
      <c r="J3097" s="1154"/>
      <c r="K3097" s="1154"/>
      <c r="L3097" s="1154"/>
      <c r="M3097" s="1154"/>
      <c r="N3097" s="1155"/>
    </row>
    <row r="3098" spans="2:14">
      <c r="B3098" s="268"/>
      <c r="C3098" s="350"/>
      <c r="D3098" s="350"/>
      <c r="E3098" s="350"/>
      <c r="F3098" s="350"/>
      <c r="G3098" s="350"/>
      <c r="H3098" s="350"/>
      <c r="I3098" s="350"/>
      <c r="J3098" s="350"/>
      <c r="K3098" s="350"/>
      <c r="L3098" s="350"/>
      <c r="M3098" s="350"/>
      <c r="N3098" s="351"/>
    </row>
    <row r="3099" spans="2:14">
      <c r="B3099" s="355" t="s">
        <v>302</v>
      </c>
      <c r="C3099" s="350"/>
      <c r="D3099" s="350"/>
      <c r="E3099" s="350"/>
      <c r="F3099" s="350"/>
      <c r="G3099" s="350"/>
      <c r="H3099" s="350"/>
      <c r="I3099" s="350"/>
      <c r="J3099" s="350"/>
      <c r="K3099" s="350"/>
      <c r="L3099" s="350"/>
      <c r="M3099" s="350"/>
      <c r="N3099" s="351"/>
    </row>
    <row r="3100" spans="2:14">
      <c r="B3100" s="1159" t="s">
        <v>303</v>
      </c>
      <c r="C3100" s="1160"/>
      <c r="D3100" s="1160"/>
      <c r="E3100" s="1160"/>
      <c r="F3100" s="1160"/>
      <c r="G3100" s="1160"/>
      <c r="H3100" s="1160"/>
      <c r="I3100" s="1160"/>
      <c r="J3100" s="1160"/>
      <c r="K3100" s="1160"/>
      <c r="L3100" s="1160"/>
      <c r="M3100" s="1160"/>
      <c r="N3100" s="1161"/>
    </row>
    <row r="3101" spans="2:14">
      <c r="B3101" s="1159"/>
      <c r="C3101" s="1160"/>
      <c r="D3101" s="1160"/>
      <c r="E3101" s="1160"/>
      <c r="F3101" s="1160"/>
      <c r="G3101" s="1160"/>
      <c r="H3101" s="1160"/>
      <c r="I3101" s="1160"/>
      <c r="J3101" s="1160"/>
      <c r="K3101" s="1160"/>
      <c r="L3101" s="1160"/>
      <c r="M3101" s="1160"/>
      <c r="N3101" s="1161"/>
    </row>
    <row r="3102" spans="2:14">
      <c r="B3102" s="1159" t="s">
        <v>304</v>
      </c>
      <c r="C3102" s="1160"/>
      <c r="D3102" s="1160"/>
      <c r="E3102" s="1160"/>
      <c r="F3102" s="1160"/>
      <c r="G3102" s="1160"/>
      <c r="H3102" s="1160"/>
      <c r="I3102" s="1160"/>
      <c r="J3102" s="1160"/>
      <c r="K3102" s="1160"/>
      <c r="L3102" s="1160"/>
      <c r="M3102" s="1160"/>
      <c r="N3102" s="1161"/>
    </row>
    <row r="3103" spans="2:14">
      <c r="B3103" s="1159"/>
      <c r="C3103" s="1160"/>
      <c r="D3103" s="1160"/>
      <c r="E3103" s="1160"/>
      <c r="F3103" s="1160"/>
      <c r="G3103" s="1160"/>
      <c r="H3103" s="1160"/>
      <c r="I3103" s="1160"/>
      <c r="J3103" s="1160"/>
      <c r="K3103" s="1160"/>
      <c r="L3103" s="1160"/>
      <c r="M3103" s="1160"/>
      <c r="N3103" s="1161"/>
    </row>
    <row r="3104" spans="2:14">
      <c r="B3104" s="268"/>
      <c r="C3104" s="350"/>
      <c r="D3104" s="350"/>
      <c r="E3104" s="350"/>
      <c r="F3104" s="350"/>
      <c r="G3104" s="350"/>
      <c r="H3104" s="350"/>
      <c r="I3104" s="350"/>
      <c r="J3104" s="350"/>
      <c r="K3104" s="350"/>
      <c r="L3104" s="350"/>
      <c r="M3104" s="350"/>
      <c r="N3104" s="351"/>
    </row>
    <row r="3105" spans="2:14">
      <c r="B3105" s="283"/>
      <c r="G3105" s="346" t="s">
        <v>296</v>
      </c>
      <c r="N3105" s="284"/>
    </row>
    <row r="3106" spans="2:14">
      <c r="B3106" s="283"/>
      <c r="G3106" s="258" t="s">
        <v>305</v>
      </c>
      <c r="H3106" s="293"/>
      <c r="I3106" s="293"/>
      <c r="J3106" s="293"/>
      <c r="N3106" s="284"/>
    </row>
    <row r="3107" spans="2:14">
      <c r="B3107" s="283"/>
      <c r="G3107" s="258" t="s">
        <v>306</v>
      </c>
      <c r="H3107" s="325"/>
      <c r="I3107" s="325"/>
      <c r="J3107" s="325"/>
      <c r="N3107" s="284"/>
    </row>
    <row r="3108" spans="2:14">
      <c r="B3108" s="356"/>
      <c r="C3108" s="350"/>
      <c r="D3108" s="350"/>
      <c r="E3108" s="350"/>
      <c r="F3108" s="350"/>
      <c r="G3108" s="258" t="s">
        <v>299</v>
      </c>
      <c r="K3108" s="350"/>
      <c r="L3108" s="350"/>
      <c r="M3108" s="350"/>
      <c r="N3108" s="351"/>
    </row>
    <row r="3109" spans="2:14">
      <c r="B3109" s="357"/>
      <c r="C3109" s="358"/>
      <c r="D3109" s="358"/>
      <c r="J3109" s="1162"/>
      <c r="K3109" s="1162"/>
      <c r="L3109" s="1162"/>
      <c r="M3109" s="1162"/>
      <c r="N3109" s="1163"/>
    </row>
    <row r="3110" spans="2:14" ht="13.5" thickBot="1">
      <c r="B3110" s="1166"/>
      <c r="C3110" s="1167"/>
      <c r="D3110" s="1167"/>
      <c r="E3110" s="311"/>
      <c r="F3110" s="311"/>
      <c r="G3110" s="311"/>
      <c r="H3110" s="311"/>
      <c r="I3110" s="311"/>
      <c r="J3110" s="1164"/>
      <c r="K3110" s="1164"/>
      <c r="L3110" s="1164"/>
      <c r="M3110" s="1164"/>
      <c r="N3110" s="1165"/>
    </row>
    <row r="3111" spans="2:14" ht="13.5" thickBot="1"/>
    <row r="3112" spans="2:14">
      <c r="B3112" s="1070"/>
      <c r="C3112" s="1072"/>
      <c r="D3112" s="1073"/>
      <c r="E3112" s="1073"/>
      <c r="F3112" s="1073"/>
      <c r="G3112" s="1073"/>
      <c r="H3112" s="1073"/>
      <c r="I3112" s="1073"/>
      <c r="J3112" s="1074"/>
      <c r="K3112" s="1075"/>
      <c r="L3112" s="1076"/>
      <c r="M3112" s="1076"/>
      <c r="N3112" s="1077"/>
    </row>
    <row r="3113" spans="2:14">
      <c r="B3113" s="1071"/>
      <c r="C3113" s="1062" t="s">
        <v>244</v>
      </c>
      <c r="D3113" s="1063"/>
      <c r="E3113" s="1063"/>
      <c r="F3113" s="1063"/>
      <c r="G3113" s="1063"/>
      <c r="H3113" s="1063"/>
      <c r="I3113" s="1063"/>
      <c r="J3113" s="1064"/>
      <c r="K3113" s="1078"/>
      <c r="L3113" s="1079"/>
      <c r="M3113" s="1079"/>
      <c r="N3113" s="1080"/>
    </row>
    <row r="3114" spans="2:14">
      <c r="B3114" s="1071"/>
      <c r="C3114" s="1081"/>
      <c r="D3114" s="1082"/>
      <c r="E3114" s="1082"/>
      <c r="F3114" s="1082"/>
      <c r="G3114" s="1082"/>
      <c r="H3114" s="1082"/>
      <c r="I3114" s="1082"/>
      <c r="J3114" s="1083"/>
      <c r="K3114" s="1058" t="s">
        <v>245</v>
      </c>
      <c r="L3114" s="1085"/>
      <c r="M3114" s="1086"/>
      <c r="N3114" s="1087"/>
    </row>
    <row r="3115" spans="2:14">
      <c r="B3115" s="1071"/>
      <c r="C3115" s="1062" t="s">
        <v>246</v>
      </c>
      <c r="D3115" s="1063"/>
      <c r="E3115" s="1063"/>
      <c r="F3115" s="1063"/>
      <c r="G3115" s="1063"/>
      <c r="H3115" s="1063"/>
      <c r="I3115" s="1063"/>
      <c r="J3115" s="1064"/>
      <c r="K3115" s="1084"/>
      <c r="L3115" s="1088"/>
      <c r="M3115" s="1089"/>
      <c r="N3115" s="1090"/>
    </row>
    <row r="3116" spans="2:14">
      <c r="B3116" s="1071"/>
      <c r="C3116" s="1091"/>
      <c r="D3116" s="1092"/>
      <c r="E3116" s="1092"/>
      <c r="F3116" s="1092"/>
      <c r="G3116" s="1092"/>
      <c r="H3116" s="1092"/>
      <c r="I3116" s="1092"/>
      <c r="J3116" s="1093"/>
      <c r="K3116" s="1058" t="s">
        <v>247</v>
      </c>
      <c r="L3116" s="1058">
        <v>35</v>
      </c>
      <c r="M3116" s="1058" t="s">
        <v>248</v>
      </c>
      <c r="N3116" s="1060">
        <v>80</v>
      </c>
    </row>
    <row r="3117" spans="2:14">
      <c r="B3117" s="1071"/>
      <c r="C3117" s="1091"/>
      <c r="D3117" s="1092"/>
      <c r="E3117" s="1092"/>
      <c r="F3117" s="1092"/>
      <c r="G3117" s="1092"/>
      <c r="H3117" s="1092"/>
      <c r="I3117" s="1092"/>
      <c r="J3117" s="1093"/>
      <c r="K3117" s="1059"/>
      <c r="L3117" s="1059"/>
      <c r="M3117" s="1059"/>
      <c r="N3117" s="1061"/>
    </row>
    <row r="3118" spans="2:14">
      <c r="B3118" s="1071"/>
      <c r="C3118" s="1062" t="s">
        <v>249</v>
      </c>
      <c r="D3118" s="1063"/>
      <c r="E3118" s="1063"/>
      <c r="F3118" s="1063"/>
      <c r="G3118" s="1063"/>
      <c r="H3118" s="1063"/>
      <c r="I3118" s="1063"/>
      <c r="J3118" s="1064"/>
      <c r="K3118" s="1059"/>
      <c r="L3118" s="1059"/>
      <c r="M3118" s="1059"/>
      <c r="N3118" s="1061"/>
    </row>
    <row r="3119" spans="2:14" ht="13.5" thickBot="1">
      <c r="B3119" s="259"/>
      <c r="C3119" s="260"/>
      <c r="D3119" s="260"/>
      <c r="E3119" s="260"/>
      <c r="F3119" s="260"/>
      <c r="G3119" s="260"/>
      <c r="H3119" s="260"/>
      <c r="I3119" s="260"/>
      <c r="J3119" s="260"/>
      <c r="K3119" s="260"/>
      <c r="L3119" s="261"/>
      <c r="M3119" s="261"/>
      <c r="N3119" s="262"/>
    </row>
    <row r="3120" spans="2:14">
      <c r="B3120" s="263"/>
      <c r="C3120" s="264"/>
      <c r="D3120" s="264"/>
      <c r="E3120" s="264"/>
      <c r="F3120" s="264"/>
      <c r="G3120" s="264"/>
      <c r="H3120" s="264"/>
      <c r="I3120" s="264"/>
      <c r="J3120" s="264"/>
      <c r="K3120" s="265" t="s">
        <v>250</v>
      </c>
      <c r="L3120" s="266" t="s">
        <v>251</v>
      </c>
      <c r="M3120" s="266" t="s">
        <v>252</v>
      </c>
      <c r="N3120" s="267" t="s">
        <v>253</v>
      </c>
    </row>
    <row r="3121" spans="2:14">
      <c r="B3121" s="268"/>
      <c r="C3121" s="269"/>
      <c r="D3121" s="269"/>
      <c r="E3121" s="269"/>
      <c r="F3121" s="269"/>
      <c r="G3121" s="269"/>
      <c r="H3121" s="269"/>
      <c r="I3121" s="269"/>
      <c r="J3121" s="269"/>
      <c r="K3121" s="270"/>
      <c r="L3121" s="271"/>
      <c r="M3121" s="271"/>
      <c r="N3121" s="272"/>
    </row>
    <row r="3122" spans="2:14">
      <c r="B3122" s="1065" t="s">
        <v>254</v>
      </c>
      <c r="C3122" s="1066"/>
      <c r="D3122" s="1066"/>
      <c r="E3122" s="1066"/>
      <c r="F3122" s="269"/>
      <c r="G3122" s="269"/>
      <c r="H3122" s="269" t="s">
        <v>255</v>
      </c>
      <c r="J3122" s="269"/>
      <c r="K3122" s="270"/>
      <c r="N3122" s="273"/>
    </row>
    <row r="3123" spans="2:14">
      <c r="B3123" s="274"/>
      <c r="C3123" s="275"/>
      <c r="D3123" s="275"/>
      <c r="E3123" s="275"/>
      <c r="F3123" s="275"/>
      <c r="G3123" s="275"/>
      <c r="H3123" s="275"/>
      <c r="I3123" s="275"/>
      <c r="J3123" s="275"/>
      <c r="K3123" s="275"/>
      <c r="L3123" s="275"/>
      <c r="M3123" s="275"/>
      <c r="N3123" s="276"/>
    </row>
    <row r="3124" spans="2:14" ht="13.5" thickBot="1">
      <c r="B3124" s="277"/>
      <c r="C3124" s="278"/>
      <c r="D3124" s="278"/>
      <c r="E3124" s="278"/>
      <c r="F3124" s="278"/>
      <c r="G3124" s="278"/>
      <c r="H3124" s="278"/>
      <c r="I3124" s="278"/>
      <c r="J3124" s="278"/>
      <c r="K3124" s="278"/>
      <c r="L3124" s="278"/>
      <c r="M3124" s="278"/>
      <c r="N3124" s="279"/>
    </row>
    <row r="3125" spans="2:14" ht="13.5" thickBot="1">
      <c r="B3125" s="280"/>
      <c r="C3125" s="281"/>
      <c r="D3125" s="281"/>
      <c r="E3125" s="281"/>
      <c r="F3125" s="281"/>
      <c r="G3125" s="281"/>
      <c r="J3125" s="281"/>
      <c r="K3125" s="281"/>
      <c r="L3125" s="281"/>
      <c r="M3125" s="281"/>
      <c r="N3125" s="282"/>
    </row>
    <row r="3126" spans="2:14">
      <c r="B3126" s="1067" t="s">
        <v>256</v>
      </c>
      <c r="C3126" s="1068"/>
      <c r="D3126" s="1068"/>
      <c r="E3126" s="1068"/>
      <c r="F3126" s="1068"/>
      <c r="G3126" s="1068"/>
      <c r="H3126" s="1068"/>
      <c r="I3126" s="1068"/>
      <c r="J3126" s="1068"/>
      <c r="K3126" s="1068"/>
      <c r="L3126" s="1068"/>
      <c r="M3126" s="1068"/>
      <c r="N3126" s="1069"/>
    </row>
    <row r="3127" spans="2:14" ht="13.5" thickBot="1">
      <c r="B3127" s="283"/>
      <c r="N3127" s="284"/>
    </row>
    <row r="3128" spans="2:14">
      <c r="B3128" s="285" t="s">
        <v>257</v>
      </c>
      <c r="C3128" s="1120" t="s">
        <v>258</v>
      </c>
      <c r="D3128" s="1121"/>
      <c r="E3128" s="1121"/>
      <c r="F3128" s="1121"/>
      <c r="G3128" s="1121"/>
      <c r="H3128" s="1121"/>
      <c r="I3128" s="1121"/>
      <c r="J3128" s="1121"/>
      <c r="K3128" s="1122"/>
      <c r="L3128" s="1123" t="s">
        <v>259</v>
      </c>
      <c r="M3128" s="1124"/>
      <c r="N3128" s="285" t="s">
        <v>133</v>
      </c>
    </row>
    <row r="3129" spans="2:14" ht="27" customHeight="1" thickBot="1">
      <c r="B3129" s="286">
        <v>35</v>
      </c>
      <c r="C3129" s="1125" t="s">
        <v>176</v>
      </c>
      <c r="D3129" s="1126"/>
      <c r="E3129" s="1126"/>
      <c r="F3129" s="1126"/>
      <c r="G3129" s="1126"/>
      <c r="H3129" s="1126"/>
      <c r="I3129" s="1126"/>
      <c r="J3129" s="1126"/>
      <c r="K3129" s="1127"/>
      <c r="L3129" s="1128" t="s">
        <v>147</v>
      </c>
      <c r="M3129" s="1129"/>
      <c r="N3129" s="366">
        <v>24</v>
      </c>
    </row>
    <row r="3130" spans="2:14">
      <c r="B3130" s="1103"/>
      <c r="C3130" s="1104"/>
      <c r="D3130" s="1104"/>
      <c r="E3130" s="1104"/>
      <c r="F3130" s="1104"/>
      <c r="G3130" s="1104"/>
      <c r="H3130" s="1104"/>
      <c r="I3130" s="1104"/>
      <c r="J3130" s="1104"/>
      <c r="K3130" s="1104"/>
      <c r="L3130" s="1104"/>
      <c r="M3130" s="1104"/>
      <c r="N3130" s="1105"/>
    </row>
    <row r="3131" spans="2:14">
      <c r="B3131" s="1106"/>
      <c r="C3131" s="1107"/>
      <c r="D3131" s="1107"/>
      <c r="E3131" s="1107"/>
      <c r="F3131" s="1107"/>
      <c r="G3131" s="1107"/>
      <c r="H3131" s="1107"/>
      <c r="I3131" s="1107"/>
      <c r="J3131" s="1107"/>
      <c r="K3131" s="1107"/>
      <c r="L3131" s="1107"/>
      <c r="M3131" s="1107"/>
      <c r="N3131" s="1108"/>
    </row>
    <row r="3132" spans="2:14" ht="13.5" thickBot="1">
      <c r="B3132" s="1109"/>
      <c r="C3132" s="1110"/>
      <c r="D3132" s="1110"/>
      <c r="E3132" s="1110"/>
      <c r="F3132" s="1110"/>
      <c r="G3132" s="1110"/>
      <c r="H3132" s="1110"/>
      <c r="I3132" s="1110"/>
      <c r="J3132" s="1110"/>
      <c r="K3132" s="1110"/>
      <c r="L3132" s="1110"/>
      <c r="M3132" s="1110"/>
      <c r="N3132" s="1111"/>
    </row>
    <row r="3133" spans="2:14">
      <c r="B3133" s="1130" t="s">
        <v>258</v>
      </c>
      <c r="C3133" s="1131"/>
      <c r="D3133" s="1131"/>
      <c r="E3133" s="1131"/>
      <c r="F3133" s="1132"/>
      <c r="G3133" s="1133" t="s">
        <v>261</v>
      </c>
      <c r="H3133" s="1131"/>
      <c r="I3133" s="1134" t="s">
        <v>262</v>
      </c>
      <c r="J3133" s="1135"/>
      <c r="K3133" s="288" t="s">
        <v>263</v>
      </c>
      <c r="L3133" s="1133" t="s">
        <v>264</v>
      </c>
      <c r="M3133" s="1136"/>
      <c r="N3133" s="289" t="s">
        <v>265</v>
      </c>
    </row>
    <row r="3134" spans="2:14">
      <c r="B3134" s="1179" t="s">
        <v>340</v>
      </c>
      <c r="C3134" s="1180"/>
      <c r="D3134" s="1180"/>
      <c r="E3134" s="1180"/>
      <c r="F3134" s="1181"/>
      <c r="G3134" s="295"/>
      <c r="H3134" s="294"/>
      <c r="I3134" s="1182" t="s">
        <v>267</v>
      </c>
      <c r="J3134" s="1183"/>
      <c r="K3134" s="290">
        <v>45220</v>
      </c>
      <c r="L3134" s="1118">
        <v>4</v>
      </c>
      <c r="M3134" s="1119"/>
      <c r="N3134" s="290">
        <f>+K3134/L3134</f>
        <v>11305</v>
      </c>
    </row>
    <row r="3135" spans="2:14" ht="13.5" thickBot="1">
      <c r="B3135" s="1179"/>
      <c r="C3135" s="1180"/>
      <c r="D3135" s="1180"/>
      <c r="E3135" s="1180"/>
      <c r="F3135" s="1181"/>
      <c r="G3135" s="295"/>
      <c r="H3135" s="294"/>
      <c r="I3135" s="1182"/>
      <c r="J3135" s="1183"/>
      <c r="K3135" s="290"/>
      <c r="L3135" s="1118"/>
      <c r="M3135" s="1119"/>
      <c r="N3135" s="290"/>
    </row>
    <row r="3136" spans="2:14" ht="13.5" thickBot="1">
      <c r="B3136" s="1100" t="s">
        <v>269</v>
      </c>
      <c r="C3136" s="1101"/>
      <c r="D3136" s="1101"/>
      <c r="E3136" s="1101"/>
      <c r="F3136" s="1101"/>
      <c r="G3136" s="1101"/>
      <c r="H3136" s="1101"/>
      <c r="I3136" s="1101"/>
      <c r="J3136" s="1101"/>
      <c r="K3136" s="1101"/>
      <c r="L3136" s="1101"/>
      <c r="M3136" s="1102"/>
      <c r="N3136" s="323">
        <f>+N3134</f>
        <v>11305</v>
      </c>
    </row>
    <row r="3137" spans="2:14">
      <c r="B3137" s="1103" t="s">
        <v>270</v>
      </c>
      <c r="C3137" s="1104"/>
      <c r="D3137" s="1104"/>
      <c r="E3137" s="1104"/>
      <c r="F3137" s="1104"/>
      <c r="G3137" s="1104"/>
      <c r="H3137" s="1104"/>
      <c r="I3137" s="1104"/>
      <c r="J3137" s="1104"/>
      <c r="K3137" s="1104"/>
      <c r="L3137" s="1104"/>
      <c r="M3137" s="1104"/>
      <c r="N3137" s="1105"/>
    </row>
    <row r="3138" spans="2:14">
      <c r="B3138" s="1106"/>
      <c r="C3138" s="1107"/>
      <c r="D3138" s="1107"/>
      <c r="E3138" s="1107"/>
      <c r="F3138" s="1107"/>
      <c r="G3138" s="1107"/>
      <c r="H3138" s="1107"/>
      <c r="I3138" s="1107"/>
      <c r="J3138" s="1107"/>
      <c r="K3138" s="1107"/>
      <c r="L3138" s="1107"/>
      <c r="M3138" s="1107"/>
      <c r="N3138" s="1108"/>
    </row>
    <row r="3139" spans="2:14" ht="13.5" thickBot="1">
      <c r="B3139" s="1109"/>
      <c r="C3139" s="1110"/>
      <c r="D3139" s="1110"/>
      <c r="E3139" s="1110"/>
      <c r="F3139" s="1110"/>
      <c r="G3139" s="1110"/>
      <c r="H3139" s="1110"/>
      <c r="I3139" s="1110"/>
      <c r="J3139" s="1110"/>
      <c r="K3139" s="1110"/>
      <c r="L3139" s="1110"/>
      <c r="M3139" s="1110"/>
      <c r="N3139" s="1111"/>
    </row>
    <row r="3140" spans="2:14">
      <c r="B3140" s="1130" t="s">
        <v>258</v>
      </c>
      <c r="C3140" s="1139"/>
      <c r="D3140" s="1139"/>
      <c r="E3140" s="1139"/>
      <c r="F3140" s="1139"/>
      <c r="G3140" s="1139"/>
      <c r="H3140" s="1139"/>
      <c r="I3140" s="1136"/>
      <c r="J3140" s="299" t="s">
        <v>259</v>
      </c>
      <c r="K3140" s="288" t="s">
        <v>133</v>
      </c>
      <c r="L3140" s="1133" t="s">
        <v>271</v>
      </c>
      <c r="M3140" s="1136"/>
      <c r="N3140" s="289" t="s">
        <v>265</v>
      </c>
    </row>
    <row r="3141" spans="2:14">
      <c r="B3141" s="1112" t="s">
        <v>351</v>
      </c>
      <c r="C3141" s="1113"/>
      <c r="D3141" s="1113"/>
      <c r="E3141" s="1113"/>
      <c r="F3141" s="1113"/>
      <c r="G3141" s="1113"/>
      <c r="H3141" s="1113"/>
      <c r="I3141" s="1114"/>
      <c r="J3141" s="300" t="s">
        <v>147</v>
      </c>
      <c r="K3141" s="301">
        <v>1.05</v>
      </c>
      <c r="L3141" s="1144">
        <v>400961</v>
      </c>
      <c r="M3141" s="1145"/>
      <c r="N3141" s="363">
        <f>+K3141*L3141</f>
        <v>421009.05000000005</v>
      </c>
    </row>
    <row r="3142" spans="2:14">
      <c r="B3142" s="402" t="s">
        <v>352</v>
      </c>
      <c r="C3142" s="353"/>
      <c r="D3142" s="353"/>
      <c r="E3142" s="353"/>
      <c r="F3142" s="353"/>
      <c r="G3142" s="353"/>
      <c r="H3142" s="353"/>
      <c r="I3142" s="403"/>
      <c r="J3142" s="303" t="s">
        <v>196</v>
      </c>
      <c r="K3142" s="392">
        <v>0.66</v>
      </c>
      <c r="L3142" s="1144">
        <v>21420</v>
      </c>
      <c r="M3142" s="1145"/>
      <c r="N3142" s="363">
        <f>+K3142*L3142</f>
        <v>14137.2</v>
      </c>
    </row>
    <row r="3143" spans="2:14">
      <c r="B3143" s="402" t="s">
        <v>353</v>
      </c>
      <c r="C3143" s="353"/>
      <c r="D3143" s="353"/>
      <c r="E3143" s="353"/>
      <c r="F3143" s="353"/>
      <c r="G3143" s="353"/>
      <c r="H3143" s="353"/>
      <c r="I3143" s="403"/>
      <c r="J3143" s="303" t="s">
        <v>196</v>
      </c>
      <c r="K3143" s="392">
        <v>0.27</v>
      </c>
      <c r="L3143" s="1144">
        <v>139230</v>
      </c>
      <c r="M3143" s="1145"/>
      <c r="N3143" s="363">
        <f>+K3143*L3143</f>
        <v>37592.100000000006</v>
      </c>
    </row>
    <row r="3144" spans="2:14" ht="13.5" thickBot="1">
      <c r="B3144" s="1112" t="s">
        <v>311</v>
      </c>
      <c r="C3144" s="1113"/>
      <c r="D3144" s="1113"/>
      <c r="E3144" s="1113"/>
      <c r="F3144" s="1113"/>
      <c r="G3144" s="1113"/>
      <c r="H3144" s="1113"/>
      <c r="I3144" s="1114"/>
      <c r="J3144" s="303" t="s">
        <v>275</v>
      </c>
      <c r="K3144" s="304">
        <v>0.2</v>
      </c>
      <c r="L3144" s="1144">
        <v>2540</v>
      </c>
      <c r="M3144" s="1145"/>
      <c r="N3144" s="363">
        <f>+K3144*L3144</f>
        <v>508</v>
      </c>
    </row>
    <row r="3145" spans="2:14" ht="13.5" thickBot="1">
      <c r="B3145" s="1100" t="s">
        <v>269</v>
      </c>
      <c r="C3145" s="1101"/>
      <c r="D3145" s="1101"/>
      <c r="E3145" s="1101"/>
      <c r="F3145" s="1101"/>
      <c r="G3145" s="1101"/>
      <c r="H3145" s="1101"/>
      <c r="I3145" s="1101"/>
      <c r="J3145" s="1101"/>
      <c r="K3145" s="1101"/>
      <c r="L3145" s="1101"/>
      <c r="M3145" s="1102"/>
      <c r="N3145" s="323">
        <f>+N3141+N3142+N3143+N3144</f>
        <v>473246.35000000009</v>
      </c>
    </row>
    <row r="3146" spans="2:14">
      <c r="B3146" s="1103" t="s">
        <v>276</v>
      </c>
      <c r="C3146" s="1104"/>
      <c r="D3146" s="1104"/>
      <c r="E3146" s="1104"/>
      <c r="F3146" s="1104"/>
      <c r="G3146" s="1104"/>
      <c r="H3146" s="1104"/>
      <c r="I3146" s="1104"/>
      <c r="J3146" s="1104"/>
      <c r="K3146" s="1104"/>
      <c r="L3146" s="1104"/>
      <c r="M3146" s="1104"/>
      <c r="N3146" s="1105"/>
    </row>
    <row r="3147" spans="2:14">
      <c r="B3147" s="1106"/>
      <c r="C3147" s="1107"/>
      <c r="D3147" s="1107"/>
      <c r="E3147" s="1107"/>
      <c r="F3147" s="1107"/>
      <c r="G3147" s="1107"/>
      <c r="H3147" s="1107"/>
      <c r="I3147" s="1107"/>
      <c r="J3147" s="1107"/>
      <c r="K3147" s="1107"/>
      <c r="L3147" s="1107"/>
      <c r="M3147" s="1107"/>
      <c r="N3147" s="1108"/>
    </row>
    <row r="3148" spans="2:14" ht="13.5" thickBot="1">
      <c r="B3148" s="1109"/>
      <c r="C3148" s="1110"/>
      <c r="D3148" s="1110"/>
      <c r="E3148" s="1110"/>
      <c r="F3148" s="1110"/>
      <c r="G3148" s="1110"/>
      <c r="H3148" s="1110"/>
      <c r="I3148" s="1110"/>
      <c r="J3148" s="1110"/>
      <c r="K3148" s="1110"/>
      <c r="L3148" s="1110"/>
      <c r="M3148" s="1110"/>
      <c r="N3148" s="1111"/>
    </row>
    <row r="3149" spans="2:14">
      <c r="B3149" s="1130" t="s">
        <v>277</v>
      </c>
      <c r="C3149" s="1139"/>
      <c r="D3149" s="1139"/>
      <c r="E3149" s="1139"/>
      <c r="F3149" s="1139"/>
      <c r="G3149" s="1139"/>
      <c r="H3149" s="1139"/>
      <c r="I3149" s="288" t="s">
        <v>278</v>
      </c>
      <c r="J3149" s="306" t="s">
        <v>279</v>
      </c>
      <c r="K3149" s="307" t="s">
        <v>280</v>
      </c>
      <c r="L3149" s="1133" t="s">
        <v>281</v>
      </c>
      <c r="M3149" s="1136"/>
      <c r="N3149" s="289" t="s">
        <v>265</v>
      </c>
    </row>
    <row r="3150" spans="2:14" ht="13.5" thickBot="1">
      <c r="B3150" s="1112"/>
      <c r="C3150" s="1113"/>
      <c r="D3150" s="1113"/>
      <c r="E3150" s="1113"/>
      <c r="F3150" s="1113"/>
      <c r="G3150" s="1113"/>
      <c r="H3150" s="1113"/>
      <c r="I3150" s="393"/>
      <c r="J3150" s="309"/>
      <c r="K3150" s="308"/>
      <c r="L3150" s="1144"/>
      <c r="M3150" s="1145"/>
      <c r="N3150" s="363"/>
    </row>
    <row r="3151" spans="2:14" ht="13.5" thickBot="1">
      <c r="B3151" s="1100" t="s">
        <v>269</v>
      </c>
      <c r="C3151" s="1101"/>
      <c r="D3151" s="1101"/>
      <c r="E3151" s="1101"/>
      <c r="F3151" s="1101"/>
      <c r="G3151" s="1101"/>
      <c r="H3151" s="1101"/>
      <c r="I3151" s="1101"/>
      <c r="J3151" s="1101"/>
      <c r="K3151" s="1101"/>
      <c r="L3151" s="1101"/>
      <c r="M3151" s="1102"/>
      <c r="N3151" s="323">
        <f>+N3150</f>
        <v>0</v>
      </c>
    </row>
    <row r="3152" spans="2:14">
      <c r="B3152" s="1103" t="s">
        <v>282</v>
      </c>
      <c r="C3152" s="1104"/>
      <c r="D3152" s="1104"/>
      <c r="E3152" s="1104"/>
      <c r="F3152" s="1104"/>
      <c r="G3152" s="1104"/>
      <c r="H3152" s="1104"/>
      <c r="I3152" s="1104"/>
      <c r="J3152" s="1104"/>
      <c r="K3152" s="1104"/>
      <c r="L3152" s="1104"/>
      <c r="M3152" s="1104"/>
      <c r="N3152" s="1105"/>
    </row>
    <row r="3153" spans="2:17">
      <c r="B3153" s="1106"/>
      <c r="C3153" s="1107"/>
      <c r="D3153" s="1107"/>
      <c r="E3153" s="1107"/>
      <c r="F3153" s="1107"/>
      <c r="G3153" s="1107"/>
      <c r="H3153" s="1107"/>
      <c r="I3153" s="1107"/>
      <c r="J3153" s="1107"/>
      <c r="K3153" s="1107"/>
      <c r="L3153" s="1107"/>
      <c r="M3153" s="1107"/>
      <c r="N3153" s="1108"/>
    </row>
    <row r="3154" spans="2:17" ht="13.5" thickBot="1">
      <c r="B3154" s="1109"/>
      <c r="C3154" s="1110"/>
      <c r="D3154" s="1110"/>
      <c r="E3154" s="1110"/>
      <c r="F3154" s="1110"/>
      <c r="G3154" s="1110"/>
      <c r="H3154" s="1110"/>
      <c r="I3154" s="1110"/>
      <c r="J3154" s="1110"/>
      <c r="K3154" s="1110"/>
      <c r="L3154" s="1110"/>
      <c r="M3154" s="1110"/>
      <c r="N3154" s="1111"/>
    </row>
    <row r="3155" spans="2:17">
      <c r="B3155" s="1130" t="s">
        <v>283</v>
      </c>
      <c r="C3155" s="1139"/>
      <c r="D3155" s="1139"/>
      <c r="E3155" s="1139"/>
      <c r="F3155" s="1139"/>
      <c r="G3155" s="1139"/>
      <c r="H3155" s="1139"/>
      <c r="I3155" s="288" t="s">
        <v>284</v>
      </c>
      <c r="J3155" s="314" t="s">
        <v>285</v>
      </c>
      <c r="K3155" s="315" t="s">
        <v>286</v>
      </c>
      <c r="L3155" s="1140" t="s">
        <v>264</v>
      </c>
      <c r="M3155" s="1141"/>
      <c r="N3155" s="316" t="s">
        <v>265</v>
      </c>
    </row>
    <row r="3156" spans="2:17" ht="13.5" thickBot="1">
      <c r="B3156" s="317" t="s">
        <v>344</v>
      </c>
      <c r="C3156" s="318"/>
      <c r="D3156" s="318"/>
      <c r="E3156" s="318"/>
      <c r="F3156" s="318"/>
      <c r="G3156" s="318"/>
      <c r="H3156" s="318"/>
      <c r="I3156" s="319">
        <v>153482</v>
      </c>
      <c r="J3156" s="321">
        <v>0</v>
      </c>
      <c r="K3156" s="321">
        <f>+I3156+J3156</f>
        <v>153482</v>
      </c>
      <c r="L3156" s="1157">
        <v>0.9</v>
      </c>
      <c r="M3156" s="1158"/>
      <c r="N3156" s="322">
        <f>+K3156/L3156</f>
        <v>170535.55555555556</v>
      </c>
    </row>
    <row r="3157" spans="2:17" ht="13.5" thickBot="1">
      <c r="B3157" s="1100" t="s">
        <v>269</v>
      </c>
      <c r="C3157" s="1101"/>
      <c r="D3157" s="1101"/>
      <c r="E3157" s="1101"/>
      <c r="F3157" s="1101"/>
      <c r="G3157" s="1101"/>
      <c r="H3157" s="1101"/>
      <c r="I3157" s="1101"/>
      <c r="J3157" s="1101"/>
      <c r="K3157" s="1101"/>
      <c r="L3157" s="1101"/>
      <c r="M3157" s="1102"/>
      <c r="N3157" s="323">
        <f>+N3156</f>
        <v>170535.55555555556</v>
      </c>
    </row>
    <row r="3158" spans="2:17" ht="13.5" thickBot="1">
      <c r="B3158" s="324" t="s">
        <v>288</v>
      </c>
      <c r="C3158" s="325"/>
      <c r="D3158" s="325"/>
      <c r="E3158" s="325"/>
      <c r="F3158" s="325"/>
      <c r="G3158" s="325"/>
      <c r="H3158" s="325"/>
      <c r="I3158" s="326"/>
      <c r="J3158" s="327"/>
      <c r="K3158" s="328"/>
      <c r="L3158" s="329"/>
      <c r="M3158" s="329"/>
      <c r="N3158" s="330"/>
    </row>
    <row r="3159" spans="2:17">
      <c r="B3159" s="1130" t="s">
        <v>17</v>
      </c>
      <c r="C3159" s="1139"/>
      <c r="D3159" s="1139"/>
      <c r="E3159" s="1139"/>
      <c r="F3159" s="1139"/>
      <c r="G3159" s="1139"/>
      <c r="H3159" s="1139"/>
      <c r="I3159" s="1136"/>
      <c r="J3159" s="299" t="s">
        <v>259</v>
      </c>
      <c r="K3159" s="288" t="s">
        <v>133</v>
      </c>
      <c r="L3159" s="1133" t="s">
        <v>271</v>
      </c>
      <c r="M3159" s="1136"/>
      <c r="N3159" s="316" t="s">
        <v>265</v>
      </c>
    </row>
    <row r="3160" spans="2:17" ht="13.5" thickBot="1">
      <c r="B3160" s="331" t="s">
        <v>289</v>
      </c>
      <c r="C3160" s="332"/>
      <c r="D3160" s="332"/>
      <c r="E3160" s="332"/>
      <c r="F3160" s="332"/>
      <c r="G3160" s="332"/>
      <c r="H3160" s="332"/>
      <c r="I3160" s="333"/>
      <c r="J3160" s="334" t="s">
        <v>290</v>
      </c>
      <c r="K3160" s="335">
        <v>0.05</v>
      </c>
      <c r="L3160" s="1144">
        <f>+N3157</f>
        <v>170535.55555555556</v>
      </c>
      <c r="M3160" s="1145"/>
      <c r="N3160" s="390">
        <f>+K3160*L3160</f>
        <v>8526.7777777777792</v>
      </c>
      <c r="P3160" s="404">
        <f>8953-426</f>
        <v>8527</v>
      </c>
      <c r="Q3160" s="404">
        <f>P3160-N3160</f>
        <v>0.22222222222080745</v>
      </c>
    </row>
    <row r="3161" spans="2:17" ht="13.5" thickBot="1">
      <c r="B3161" s="1100" t="s">
        <v>269</v>
      </c>
      <c r="C3161" s="1101"/>
      <c r="D3161" s="1101"/>
      <c r="E3161" s="1101"/>
      <c r="F3161" s="1101"/>
      <c r="G3161" s="1101"/>
      <c r="H3161" s="1101"/>
      <c r="I3161" s="1101"/>
      <c r="J3161" s="1101"/>
      <c r="K3161" s="1101"/>
      <c r="L3161" s="1101"/>
      <c r="M3161" s="1102"/>
      <c r="N3161" s="323">
        <f>+N3160</f>
        <v>8526.7777777777792</v>
      </c>
    </row>
    <row r="3162" spans="2:17">
      <c r="B3162" s="280"/>
      <c r="C3162" s="281"/>
      <c r="D3162" s="281"/>
      <c r="E3162" s="281"/>
      <c r="F3162" s="281"/>
      <c r="G3162" s="281"/>
      <c r="H3162" s="281"/>
      <c r="I3162" s="281"/>
      <c r="J3162" s="281"/>
      <c r="K3162" s="281"/>
      <c r="L3162" s="281"/>
      <c r="M3162" s="281"/>
      <c r="N3162" s="282"/>
      <c r="P3162" s="405"/>
    </row>
    <row r="3163" spans="2:17" ht="13.5" thickBot="1">
      <c r="B3163" s="378"/>
      <c r="C3163" s="311"/>
      <c r="D3163" s="311"/>
      <c r="E3163" s="311"/>
      <c r="F3163" s="311"/>
      <c r="G3163" s="311"/>
      <c r="H3163" s="311"/>
      <c r="I3163" s="311"/>
      <c r="J3163" s="311"/>
      <c r="K3163" s="311"/>
      <c r="L3163" s="311"/>
      <c r="M3163" s="311"/>
      <c r="N3163" s="379"/>
      <c r="P3163" s="405">
        <v>15926736</v>
      </c>
      <c r="Q3163" s="258">
        <f>P3163/24</f>
        <v>663614</v>
      </c>
    </row>
    <row r="3164" spans="2:17" ht="13.5" thickBot="1">
      <c r="B3164" s="1150" t="s">
        <v>291</v>
      </c>
      <c r="C3164" s="1151"/>
      <c r="D3164" s="1151"/>
      <c r="E3164" s="1151"/>
      <c r="F3164" s="1151"/>
      <c r="G3164" s="1151"/>
      <c r="H3164" s="1151"/>
      <c r="I3164" s="1151"/>
      <c r="J3164" s="1151"/>
      <c r="K3164" s="1151"/>
      <c r="L3164" s="1151"/>
      <c r="M3164" s="1152"/>
      <c r="N3164" s="406">
        <f>ROUND((N3136+N3145+N3151+N3157+N3161),0)</f>
        <v>663614</v>
      </c>
      <c r="P3164" s="405">
        <f>N3164*N3129</f>
        <v>15926736</v>
      </c>
      <c r="Q3164" s="404">
        <f>N3164-Q3163</f>
        <v>0</v>
      </c>
    </row>
    <row r="3165" spans="2:17">
      <c r="B3165" s="1103" t="s">
        <v>292</v>
      </c>
      <c r="C3165" s="1104"/>
      <c r="D3165" s="1104"/>
      <c r="E3165" s="1104"/>
      <c r="F3165" s="1104"/>
      <c r="G3165" s="1104"/>
      <c r="H3165" s="1104"/>
      <c r="I3165" s="1104"/>
      <c r="J3165" s="1104"/>
      <c r="K3165" s="1104"/>
      <c r="L3165" s="1104"/>
      <c r="M3165" s="1104"/>
      <c r="N3165" s="1105"/>
    </row>
    <row r="3166" spans="2:17">
      <c r="B3166" s="1106"/>
      <c r="C3166" s="1107"/>
      <c r="D3166" s="1107"/>
      <c r="E3166" s="1107"/>
      <c r="F3166" s="1107"/>
      <c r="G3166" s="1107"/>
      <c r="H3166" s="1107"/>
      <c r="I3166" s="1107"/>
      <c r="J3166" s="1107"/>
      <c r="K3166" s="1107"/>
      <c r="L3166" s="1107"/>
      <c r="M3166" s="1107"/>
      <c r="N3166" s="1108"/>
    </row>
    <row r="3167" spans="2:17" ht="13.5" thickBot="1">
      <c r="B3167" s="1109"/>
      <c r="C3167" s="1110"/>
      <c r="D3167" s="1110"/>
      <c r="E3167" s="1110"/>
      <c r="F3167" s="1110"/>
      <c r="G3167" s="1110"/>
      <c r="H3167" s="1110"/>
      <c r="I3167" s="1110"/>
      <c r="J3167" s="1110"/>
      <c r="K3167" s="1110"/>
      <c r="L3167" s="1110"/>
      <c r="M3167" s="1110"/>
      <c r="N3167" s="1111"/>
    </row>
    <row r="3168" spans="2:17">
      <c r="B3168" s="1130" t="s">
        <v>17</v>
      </c>
      <c r="C3168" s="1139"/>
      <c r="D3168" s="1139"/>
      <c r="E3168" s="1139"/>
      <c r="F3168" s="1139"/>
      <c r="G3168" s="1139"/>
      <c r="H3168" s="1139"/>
      <c r="I3168" s="306"/>
      <c r="J3168" s="337"/>
      <c r="K3168" s="315" t="s">
        <v>79</v>
      </c>
      <c r="L3168" s="1140" t="s">
        <v>11</v>
      </c>
      <c r="M3168" s="1141"/>
      <c r="N3168" s="316"/>
    </row>
    <row r="3169" spans="2:14">
      <c r="B3169" s="1112" t="s">
        <v>232</v>
      </c>
      <c r="C3169" s="1113"/>
      <c r="D3169" s="1113"/>
      <c r="E3169" s="1113"/>
      <c r="F3169" s="1113"/>
      <c r="G3169" s="1113"/>
      <c r="H3169" s="1113"/>
      <c r="I3169" s="338"/>
      <c r="J3169" s="339"/>
      <c r="K3169" s="340">
        <f>'PRESUPUESTO OFICIAL'!$K$100</f>
        <v>0</v>
      </c>
      <c r="L3169" s="1146">
        <f>K3169*N3164</f>
        <v>0</v>
      </c>
      <c r="M3169" s="1147"/>
      <c r="N3169" s="341"/>
    </row>
    <row r="3170" spans="2:14">
      <c r="B3170" s="292" t="s">
        <v>293</v>
      </c>
      <c r="C3170" s="293"/>
      <c r="D3170" s="293"/>
      <c r="E3170" s="293"/>
      <c r="F3170" s="293"/>
      <c r="G3170" s="293"/>
      <c r="H3170" s="293"/>
      <c r="I3170" s="338"/>
      <c r="J3170" s="339"/>
      <c r="K3170" s="340">
        <f>'PRESUPUESTO OFICIAL'!$K$101</f>
        <v>0</v>
      </c>
      <c r="L3170" s="1146">
        <f>K3170*N3164</f>
        <v>0</v>
      </c>
      <c r="M3170" s="1147"/>
      <c r="N3170" s="341"/>
    </row>
    <row r="3171" spans="2:14" ht="13.5" thickBot="1">
      <c r="B3171" s="277" t="s">
        <v>294</v>
      </c>
      <c r="C3171" s="278"/>
      <c r="D3171" s="278"/>
      <c r="E3171" s="278"/>
      <c r="F3171" s="278"/>
      <c r="G3171" s="278"/>
      <c r="H3171" s="278"/>
      <c r="I3171" s="342"/>
      <c r="J3171" s="343"/>
      <c r="K3171" s="340">
        <f>'PRESUPUESTO OFICIAL'!$K$102</f>
        <v>0</v>
      </c>
      <c r="L3171" s="1148">
        <f>K3171*N3164</f>
        <v>0</v>
      </c>
      <c r="M3171" s="1149"/>
      <c r="N3171" s="341"/>
    </row>
    <row r="3172" spans="2:14" ht="13.5" thickBot="1">
      <c r="B3172" s="1100" t="s">
        <v>269</v>
      </c>
      <c r="C3172" s="1101"/>
      <c r="D3172" s="1101"/>
      <c r="E3172" s="1101"/>
      <c r="F3172" s="1101"/>
      <c r="G3172" s="1101"/>
      <c r="H3172" s="1101"/>
      <c r="I3172" s="1101"/>
      <c r="J3172" s="1101"/>
      <c r="K3172" s="1101"/>
      <c r="L3172" s="1101"/>
      <c r="M3172" s="1102"/>
      <c r="N3172" s="344">
        <f>SUM(L3169:M3171)</f>
        <v>0</v>
      </c>
    </row>
    <row r="3173" spans="2:14" ht="13.5" thickBot="1">
      <c r="B3173" s="283"/>
      <c r="N3173" s="284"/>
    </row>
    <row r="3174" spans="2:14" ht="13.5" thickBot="1">
      <c r="B3174" s="1150" t="s">
        <v>295</v>
      </c>
      <c r="C3174" s="1151"/>
      <c r="D3174" s="1151"/>
      <c r="E3174" s="1151"/>
      <c r="F3174" s="1151"/>
      <c r="G3174" s="1151"/>
      <c r="H3174" s="1151"/>
      <c r="I3174" s="1151"/>
      <c r="J3174" s="1151"/>
      <c r="K3174" s="1151"/>
      <c r="L3174" s="1151"/>
      <c r="M3174" s="1152"/>
      <c r="N3174" s="345">
        <f>ROUND(N3164+N3172,0)</f>
        <v>663614</v>
      </c>
    </row>
    <row r="3175" spans="2:14">
      <c r="B3175" s="280"/>
      <c r="C3175" s="281"/>
      <c r="D3175" s="281"/>
      <c r="E3175" s="281"/>
      <c r="F3175" s="281"/>
      <c r="G3175" s="281"/>
      <c r="H3175" s="281"/>
      <c r="I3175" s="281"/>
      <c r="J3175" s="281"/>
      <c r="K3175" s="281"/>
      <c r="L3175" s="281"/>
      <c r="M3175" s="281"/>
      <c r="N3175" s="282"/>
    </row>
    <row r="3176" spans="2:14">
      <c r="B3176" s="283"/>
      <c r="N3176" s="284"/>
    </row>
    <row r="3177" spans="2:14">
      <c r="B3177" s="283"/>
      <c r="N3177" s="284"/>
    </row>
    <row r="3178" spans="2:14">
      <c r="B3178" s="283"/>
      <c r="G3178" s="346" t="s">
        <v>296</v>
      </c>
      <c r="H3178" s="346"/>
      <c r="I3178" s="346"/>
      <c r="J3178" s="346"/>
      <c r="N3178" s="284"/>
    </row>
    <row r="3179" spans="2:14">
      <c r="B3179" s="347"/>
      <c r="C3179" s="348"/>
      <c r="D3179" s="348"/>
      <c r="E3179" s="348"/>
      <c r="F3179" s="348"/>
      <c r="G3179" s="346" t="s">
        <v>297</v>
      </c>
      <c r="H3179" s="348"/>
      <c r="I3179" s="348"/>
      <c r="J3179" s="348"/>
      <c r="K3179" s="348"/>
      <c r="L3179" s="348"/>
      <c r="M3179" s="348"/>
      <c r="N3179" s="349"/>
    </row>
    <row r="3180" spans="2:14">
      <c r="B3180" s="347"/>
      <c r="C3180" s="348"/>
      <c r="D3180" s="348"/>
      <c r="E3180" s="348"/>
      <c r="F3180" s="348"/>
      <c r="G3180" s="346" t="s">
        <v>298</v>
      </c>
      <c r="J3180" s="348"/>
      <c r="K3180" s="348"/>
      <c r="L3180" s="348"/>
      <c r="M3180" s="348"/>
      <c r="N3180" s="349"/>
    </row>
    <row r="3181" spans="2:14">
      <c r="B3181" s="268"/>
      <c r="C3181" s="350"/>
      <c r="D3181" s="350"/>
      <c r="E3181" s="350"/>
      <c r="F3181" s="350"/>
      <c r="G3181" s="346" t="s">
        <v>299</v>
      </c>
      <c r="H3181" s="350"/>
      <c r="I3181" s="350"/>
      <c r="J3181" s="350"/>
      <c r="K3181" s="350"/>
      <c r="L3181" s="350"/>
      <c r="M3181" s="350"/>
      <c r="N3181" s="351"/>
    </row>
    <row r="3182" spans="2:14">
      <c r="B3182" s="283"/>
      <c r="G3182" s="258" t="s">
        <v>300</v>
      </c>
      <c r="N3182" s="284"/>
    </row>
    <row r="3183" spans="2:14">
      <c r="B3183" s="352" t="s">
        <v>301</v>
      </c>
      <c r="C3183" s="353"/>
      <c r="D3183" s="353"/>
      <c r="E3183" s="353"/>
      <c r="F3183" s="353"/>
      <c r="G3183" s="353"/>
      <c r="H3183" s="353"/>
      <c r="I3183" s="353"/>
      <c r="J3183" s="353"/>
      <c r="K3183" s="353"/>
      <c r="L3183" s="353"/>
      <c r="M3183" s="353"/>
      <c r="N3183" s="354"/>
    </row>
    <row r="3184" spans="2:14">
      <c r="B3184" s="1153"/>
      <c r="C3184" s="1154"/>
      <c r="D3184" s="1154"/>
      <c r="E3184" s="1154"/>
      <c r="F3184" s="1154"/>
      <c r="G3184" s="1154"/>
      <c r="H3184" s="1154"/>
      <c r="I3184" s="1154"/>
      <c r="J3184" s="1154"/>
      <c r="K3184" s="1154"/>
      <c r="L3184" s="1154"/>
      <c r="M3184" s="1154"/>
      <c r="N3184" s="1155"/>
    </row>
    <row r="3185" spans="2:14">
      <c r="B3185" s="1153"/>
      <c r="C3185" s="1154"/>
      <c r="D3185" s="1154"/>
      <c r="E3185" s="1154"/>
      <c r="F3185" s="1154"/>
      <c r="G3185" s="1154"/>
      <c r="H3185" s="1154"/>
      <c r="I3185" s="1154"/>
      <c r="J3185" s="1154"/>
      <c r="K3185" s="1154"/>
      <c r="L3185" s="1154"/>
      <c r="M3185" s="1154"/>
      <c r="N3185" s="1155"/>
    </row>
    <row r="3186" spans="2:14">
      <c r="B3186" s="268"/>
      <c r="C3186" s="350"/>
      <c r="D3186" s="350"/>
      <c r="E3186" s="350"/>
      <c r="F3186" s="350"/>
      <c r="G3186" s="350"/>
      <c r="H3186" s="350"/>
      <c r="I3186" s="350"/>
      <c r="J3186" s="350"/>
      <c r="K3186" s="350"/>
      <c r="L3186" s="350"/>
      <c r="M3186" s="350"/>
      <c r="N3186" s="351"/>
    </row>
    <row r="3187" spans="2:14">
      <c r="B3187" s="355" t="s">
        <v>302</v>
      </c>
      <c r="C3187" s="350"/>
      <c r="D3187" s="350"/>
      <c r="E3187" s="350"/>
      <c r="F3187" s="350"/>
      <c r="G3187" s="350"/>
      <c r="H3187" s="350"/>
      <c r="I3187" s="350"/>
      <c r="J3187" s="350"/>
      <c r="K3187" s="350"/>
      <c r="L3187" s="350"/>
      <c r="M3187" s="350"/>
      <c r="N3187" s="351"/>
    </row>
    <row r="3188" spans="2:14">
      <c r="B3188" s="1159" t="s">
        <v>303</v>
      </c>
      <c r="C3188" s="1160"/>
      <c r="D3188" s="1160"/>
      <c r="E3188" s="1160"/>
      <c r="F3188" s="1160"/>
      <c r="G3188" s="1160"/>
      <c r="H3188" s="1160"/>
      <c r="I3188" s="1160"/>
      <c r="J3188" s="1160"/>
      <c r="K3188" s="1160"/>
      <c r="L3188" s="1160"/>
      <c r="M3188" s="1160"/>
      <c r="N3188" s="1161"/>
    </row>
    <row r="3189" spans="2:14">
      <c r="B3189" s="1159"/>
      <c r="C3189" s="1160"/>
      <c r="D3189" s="1160"/>
      <c r="E3189" s="1160"/>
      <c r="F3189" s="1160"/>
      <c r="G3189" s="1160"/>
      <c r="H3189" s="1160"/>
      <c r="I3189" s="1160"/>
      <c r="J3189" s="1160"/>
      <c r="K3189" s="1160"/>
      <c r="L3189" s="1160"/>
      <c r="M3189" s="1160"/>
      <c r="N3189" s="1161"/>
    </row>
    <row r="3190" spans="2:14">
      <c r="B3190" s="1159" t="s">
        <v>304</v>
      </c>
      <c r="C3190" s="1160"/>
      <c r="D3190" s="1160"/>
      <c r="E3190" s="1160"/>
      <c r="F3190" s="1160"/>
      <c r="G3190" s="1160"/>
      <c r="H3190" s="1160"/>
      <c r="I3190" s="1160"/>
      <c r="J3190" s="1160"/>
      <c r="K3190" s="1160"/>
      <c r="L3190" s="1160"/>
      <c r="M3190" s="1160"/>
      <c r="N3190" s="1161"/>
    </row>
    <row r="3191" spans="2:14">
      <c r="B3191" s="1159"/>
      <c r="C3191" s="1160"/>
      <c r="D3191" s="1160"/>
      <c r="E3191" s="1160"/>
      <c r="F3191" s="1160"/>
      <c r="G3191" s="1160"/>
      <c r="H3191" s="1160"/>
      <c r="I3191" s="1160"/>
      <c r="J3191" s="1160"/>
      <c r="K3191" s="1160"/>
      <c r="L3191" s="1160"/>
      <c r="M3191" s="1160"/>
      <c r="N3191" s="1161"/>
    </row>
    <row r="3192" spans="2:14">
      <c r="B3192" s="268"/>
      <c r="C3192" s="350"/>
      <c r="D3192" s="350"/>
      <c r="E3192" s="350"/>
      <c r="F3192" s="350"/>
      <c r="G3192" s="350"/>
      <c r="H3192" s="350"/>
      <c r="I3192" s="350"/>
      <c r="J3192" s="350"/>
      <c r="K3192" s="350"/>
      <c r="L3192" s="350"/>
      <c r="M3192" s="350"/>
      <c r="N3192" s="351"/>
    </row>
    <row r="3193" spans="2:14">
      <c r="B3193" s="283"/>
      <c r="G3193" s="346" t="s">
        <v>296</v>
      </c>
      <c r="N3193" s="284"/>
    </row>
    <row r="3194" spans="2:14">
      <c r="B3194" s="283"/>
      <c r="G3194" s="258" t="s">
        <v>305</v>
      </c>
      <c r="H3194" s="293"/>
      <c r="I3194" s="293"/>
      <c r="J3194" s="293"/>
      <c r="N3194" s="284"/>
    </row>
    <row r="3195" spans="2:14">
      <c r="B3195" s="283"/>
      <c r="G3195" s="258" t="s">
        <v>306</v>
      </c>
      <c r="H3195" s="325"/>
      <c r="I3195" s="325"/>
      <c r="J3195" s="325"/>
      <c r="N3195" s="284"/>
    </row>
    <row r="3196" spans="2:14">
      <c r="B3196" s="356"/>
      <c r="C3196" s="350"/>
      <c r="D3196" s="350"/>
      <c r="E3196" s="350"/>
      <c r="F3196" s="350"/>
      <c r="G3196" s="258" t="s">
        <v>299</v>
      </c>
      <c r="K3196" s="350"/>
      <c r="L3196" s="350"/>
      <c r="M3196" s="350"/>
      <c r="N3196" s="351"/>
    </row>
    <row r="3197" spans="2:14">
      <c r="B3197" s="357"/>
      <c r="C3197" s="358"/>
      <c r="D3197" s="358"/>
      <c r="J3197" s="1162"/>
      <c r="K3197" s="1162"/>
      <c r="L3197" s="1162"/>
      <c r="M3197" s="1162"/>
      <c r="N3197" s="1163"/>
    </row>
    <row r="3198" spans="2:14" ht="13.5" thickBot="1">
      <c r="B3198" s="1166"/>
      <c r="C3198" s="1167"/>
      <c r="D3198" s="1167"/>
      <c r="E3198" s="311"/>
      <c r="F3198" s="311"/>
      <c r="G3198" s="311"/>
      <c r="H3198" s="311"/>
      <c r="I3198" s="311"/>
      <c r="J3198" s="1164"/>
      <c r="K3198" s="1164"/>
      <c r="L3198" s="1164"/>
      <c r="M3198" s="1164"/>
      <c r="N3198" s="1165"/>
    </row>
    <row r="3199" spans="2:14" ht="13.5" thickBot="1"/>
    <row r="3200" spans="2:14">
      <c r="B3200" s="1070"/>
      <c r="C3200" s="1072"/>
      <c r="D3200" s="1073"/>
      <c r="E3200" s="1073"/>
      <c r="F3200" s="1073"/>
      <c r="G3200" s="1073"/>
      <c r="H3200" s="1073"/>
      <c r="I3200" s="1073"/>
      <c r="J3200" s="1074"/>
      <c r="K3200" s="1075"/>
      <c r="L3200" s="1076"/>
      <c r="M3200" s="1076"/>
      <c r="N3200" s="1077"/>
    </row>
    <row r="3201" spans="2:14">
      <c r="B3201" s="1071"/>
      <c r="C3201" s="1062" t="s">
        <v>244</v>
      </c>
      <c r="D3201" s="1063"/>
      <c r="E3201" s="1063"/>
      <c r="F3201" s="1063"/>
      <c r="G3201" s="1063"/>
      <c r="H3201" s="1063"/>
      <c r="I3201" s="1063"/>
      <c r="J3201" s="1064"/>
      <c r="K3201" s="1078"/>
      <c r="L3201" s="1079"/>
      <c r="M3201" s="1079"/>
      <c r="N3201" s="1080"/>
    </row>
    <row r="3202" spans="2:14">
      <c r="B3202" s="1071"/>
      <c r="C3202" s="1081"/>
      <c r="D3202" s="1082"/>
      <c r="E3202" s="1082"/>
      <c r="F3202" s="1082"/>
      <c r="G3202" s="1082"/>
      <c r="H3202" s="1082"/>
      <c r="I3202" s="1082"/>
      <c r="J3202" s="1083"/>
      <c r="K3202" s="1058" t="s">
        <v>245</v>
      </c>
      <c r="L3202" s="1085"/>
      <c r="M3202" s="1086"/>
      <c r="N3202" s="1087"/>
    </row>
    <row r="3203" spans="2:14">
      <c r="B3203" s="1071"/>
      <c r="C3203" s="1062" t="s">
        <v>246</v>
      </c>
      <c r="D3203" s="1063"/>
      <c r="E3203" s="1063"/>
      <c r="F3203" s="1063"/>
      <c r="G3203" s="1063"/>
      <c r="H3203" s="1063"/>
      <c r="I3203" s="1063"/>
      <c r="J3203" s="1064"/>
      <c r="K3203" s="1084"/>
      <c r="L3203" s="1088"/>
      <c r="M3203" s="1089"/>
      <c r="N3203" s="1090"/>
    </row>
    <row r="3204" spans="2:14">
      <c r="B3204" s="1071"/>
      <c r="C3204" s="1091"/>
      <c r="D3204" s="1092"/>
      <c r="E3204" s="1092"/>
      <c r="F3204" s="1092"/>
      <c r="G3204" s="1092"/>
      <c r="H3204" s="1092"/>
      <c r="I3204" s="1092"/>
      <c r="J3204" s="1093"/>
      <c r="K3204" s="1058" t="s">
        <v>247</v>
      </c>
      <c r="L3204" s="1058">
        <v>36</v>
      </c>
      <c r="M3204" s="1058" t="s">
        <v>248</v>
      </c>
      <c r="N3204" s="1060">
        <v>80</v>
      </c>
    </row>
    <row r="3205" spans="2:14">
      <c r="B3205" s="1071"/>
      <c r="C3205" s="1091"/>
      <c r="D3205" s="1092"/>
      <c r="E3205" s="1092"/>
      <c r="F3205" s="1092"/>
      <c r="G3205" s="1092"/>
      <c r="H3205" s="1092"/>
      <c r="I3205" s="1092"/>
      <c r="J3205" s="1093"/>
      <c r="K3205" s="1059"/>
      <c r="L3205" s="1059"/>
      <c r="M3205" s="1059"/>
      <c r="N3205" s="1061"/>
    </row>
    <row r="3206" spans="2:14">
      <c r="B3206" s="1071"/>
      <c r="C3206" s="1062" t="s">
        <v>249</v>
      </c>
      <c r="D3206" s="1063"/>
      <c r="E3206" s="1063"/>
      <c r="F3206" s="1063"/>
      <c r="G3206" s="1063"/>
      <c r="H3206" s="1063"/>
      <c r="I3206" s="1063"/>
      <c r="J3206" s="1064"/>
      <c r="K3206" s="1059"/>
      <c r="L3206" s="1059"/>
      <c r="M3206" s="1059"/>
      <c r="N3206" s="1061"/>
    </row>
    <row r="3207" spans="2:14" ht="13.5" thickBot="1">
      <c r="B3207" s="259"/>
      <c r="C3207" s="260"/>
      <c r="D3207" s="260"/>
      <c r="E3207" s="260"/>
      <c r="F3207" s="260"/>
      <c r="G3207" s="260"/>
      <c r="H3207" s="260"/>
      <c r="I3207" s="260"/>
      <c r="J3207" s="260"/>
      <c r="K3207" s="260"/>
      <c r="L3207" s="261"/>
      <c r="M3207" s="261"/>
      <c r="N3207" s="262"/>
    </row>
    <row r="3208" spans="2:14">
      <c r="B3208" s="263"/>
      <c r="C3208" s="264"/>
      <c r="D3208" s="264"/>
      <c r="E3208" s="264"/>
      <c r="F3208" s="264"/>
      <c r="G3208" s="264"/>
      <c r="H3208" s="264"/>
      <c r="I3208" s="264"/>
      <c r="J3208" s="264"/>
      <c r="K3208" s="265" t="s">
        <v>250</v>
      </c>
      <c r="L3208" s="266" t="s">
        <v>251</v>
      </c>
      <c r="M3208" s="266" t="s">
        <v>252</v>
      </c>
      <c r="N3208" s="267" t="s">
        <v>253</v>
      </c>
    </row>
    <row r="3209" spans="2:14">
      <c r="B3209" s="268"/>
      <c r="C3209" s="269"/>
      <c r="D3209" s="269"/>
      <c r="E3209" s="269"/>
      <c r="F3209" s="269"/>
      <c r="G3209" s="269"/>
      <c r="H3209" s="269"/>
      <c r="I3209" s="269"/>
      <c r="J3209" s="269"/>
      <c r="K3209" s="270"/>
      <c r="L3209" s="271"/>
      <c r="M3209" s="271"/>
      <c r="N3209" s="272"/>
    </row>
    <row r="3210" spans="2:14">
      <c r="B3210" s="1065" t="s">
        <v>254</v>
      </c>
      <c r="C3210" s="1066"/>
      <c r="D3210" s="1066"/>
      <c r="E3210" s="1066"/>
      <c r="F3210" s="269"/>
      <c r="G3210" s="269"/>
      <c r="H3210" s="269" t="s">
        <v>255</v>
      </c>
      <c r="J3210" s="269"/>
      <c r="K3210" s="270"/>
      <c r="N3210" s="273"/>
    </row>
    <row r="3211" spans="2:14">
      <c r="B3211" s="274"/>
      <c r="C3211" s="275"/>
      <c r="D3211" s="275"/>
      <c r="E3211" s="275"/>
      <c r="F3211" s="275"/>
      <c r="G3211" s="275"/>
      <c r="H3211" s="275"/>
      <c r="I3211" s="275"/>
      <c r="J3211" s="275"/>
      <c r="K3211" s="275"/>
      <c r="L3211" s="275"/>
      <c r="M3211" s="275"/>
      <c r="N3211" s="276"/>
    </row>
    <row r="3212" spans="2:14" ht="13.5" thickBot="1">
      <c r="B3212" s="277"/>
      <c r="C3212" s="278"/>
      <c r="D3212" s="278"/>
      <c r="E3212" s="278"/>
      <c r="F3212" s="278"/>
      <c r="G3212" s="278"/>
      <c r="H3212" s="278"/>
      <c r="I3212" s="278"/>
      <c r="J3212" s="278"/>
      <c r="K3212" s="278"/>
      <c r="L3212" s="278"/>
      <c r="M3212" s="278"/>
      <c r="N3212" s="279"/>
    </row>
    <row r="3213" spans="2:14" ht="13.5" thickBot="1">
      <c r="B3213" s="280"/>
      <c r="C3213" s="281"/>
      <c r="D3213" s="281"/>
      <c r="E3213" s="281"/>
      <c r="F3213" s="281"/>
      <c r="G3213" s="281"/>
      <c r="J3213" s="281"/>
      <c r="K3213" s="281"/>
      <c r="L3213" s="281"/>
      <c r="M3213" s="281"/>
      <c r="N3213" s="282"/>
    </row>
    <row r="3214" spans="2:14">
      <c r="B3214" s="1067" t="s">
        <v>256</v>
      </c>
      <c r="C3214" s="1068"/>
      <c r="D3214" s="1068"/>
      <c r="E3214" s="1068"/>
      <c r="F3214" s="1068"/>
      <c r="G3214" s="1068"/>
      <c r="H3214" s="1068"/>
      <c r="I3214" s="1068"/>
      <c r="J3214" s="1068"/>
      <c r="K3214" s="1068"/>
      <c r="L3214" s="1068"/>
      <c r="M3214" s="1068"/>
      <c r="N3214" s="1069"/>
    </row>
    <row r="3215" spans="2:14" ht="13.5" thickBot="1">
      <c r="B3215" s="283"/>
      <c r="N3215" s="284"/>
    </row>
    <row r="3216" spans="2:14">
      <c r="B3216" s="285" t="s">
        <v>257</v>
      </c>
      <c r="C3216" s="1120" t="s">
        <v>258</v>
      </c>
      <c r="D3216" s="1121"/>
      <c r="E3216" s="1121"/>
      <c r="F3216" s="1121"/>
      <c r="G3216" s="1121"/>
      <c r="H3216" s="1121"/>
      <c r="I3216" s="1121"/>
      <c r="J3216" s="1121"/>
      <c r="K3216" s="1122"/>
      <c r="L3216" s="1123" t="s">
        <v>259</v>
      </c>
      <c r="M3216" s="1124"/>
      <c r="N3216" s="285" t="s">
        <v>133</v>
      </c>
    </row>
    <row r="3217" spans="2:14" ht="24.75" customHeight="1" thickBot="1">
      <c r="B3217" s="286">
        <v>36</v>
      </c>
      <c r="C3217" s="1125" t="s">
        <v>354</v>
      </c>
      <c r="D3217" s="1126"/>
      <c r="E3217" s="1126"/>
      <c r="F3217" s="1126"/>
      <c r="G3217" s="1126"/>
      <c r="H3217" s="1126"/>
      <c r="I3217" s="1126"/>
      <c r="J3217" s="1126"/>
      <c r="K3217" s="1127"/>
      <c r="L3217" s="1128" t="s">
        <v>147</v>
      </c>
      <c r="M3217" s="1129"/>
      <c r="N3217" s="366">
        <v>3</v>
      </c>
    </row>
    <row r="3218" spans="2:14">
      <c r="B3218" s="1103"/>
      <c r="C3218" s="1104"/>
      <c r="D3218" s="1104"/>
      <c r="E3218" s="1104"/>
      <c r="F3218" s="1104"/>
      <c r="G3218" s="1104"/>
      <c r="H3218" s="1104"/>
      <c r="I3218" s="1104"/>
      <c r="J3218" s="1104"/>
      <c r="K3218" s="1104"/>
      <c r="L3218" s="1104"/>
      <c r="M3218" s="1104"/>
      <c r="N3218" s="1105"/>
    </row>
    <row r="3219" spans="2:14">
      <c r="B3219" s="1106"/>
      <c r="C3219" s="1107"/>
      <c r="D3219" s="1107"/>
      <c r="E3219" s="1107"/>
      <c r="F3219" s="1107"/>
      <c r="G3219" s="1107"/>
      <c r="H3219" s="1107"/>
      <c r="I3219" s="1107"/>
      <c r="J3219" s="1107"/>
      <c r="K3219" s="1107"/>
      <c r="L3219" s="1107"/>
      <c r="M3219" s="1107"/>
      <c r="N3219" s="1108"/>
    </row>
    <row r="3220" spans="2:14" ht="13.5" thickBot="1">
      <c r="B3220" s="1109"/>
      <c r="C3220" s="1110"/>
      <c r="D3220" s="1110"/>
      <c r="E3220" s="1110"/>
      <c r="F3220" s="1110"/>
      <c r="G3220" s="1110"/>
      <c r="H3220" s="1110"/>
      <c r="I3220" s="1110"/>
      <c r="J3220" s="1110"/>
      <c r="K3220" s="1110"/>
      <c r="L3220" s="1110"/>
      <c r="M3220" s="1110"/>
      <c r="N3220" s="1111"/>
    </row>
    <row r="3221" spans="2:14">
      <c r="B3221" s="1130" t="s">
        <v>258</v>
      </c>
      <c r="C3221" s="1131"/>
      <c r="D3221" s="1131"/>
      <c r="E3221" s="1131"/>
      <c r="F3221" s="1132"/>
      <c r="G3221" s="1133" t="s">
        <v>261</v>
      </c>
      <c r="H3221" s="1131"/>
      <c r="I3221" s="1134" t="s">
        <v>262</v>
      </c>
      <c r="J3221" s="1135"/>
      <c r="K3221" s="288" t="s">
        <v>263</v>
      </c>
      <c r="L3221" s="1133" t="s">
        <v>264</v>
      </c>
      <c r="M3221" s="1136"/>
      <c r="N3221" s="289" t="s">
        <v>265</v>
      </c>
    </row>
    <row r="3222" spans="2:14">
      <c r="B3222" s="1179" t="s">
        <v>340</v>
      </c>
      <c r="C3222" s="1180"/>
      <c r="D3222" s="1180"/>
      <c r="E3222" s="1180"/>
      <c r="F3222" s="1181"/>
      <c r="G3222" s="295"/>
      <c r="H3222" s="294"/>
      <c r="I3222" s="1182" t="s">
        <v>267</v>
      </c>
      <c r="J3222" s="1183"/>
      <c r="K3222" s="290">
        <v>45220</v>
      </c>
      <c r="L3222" s="1118">
        <v>7.0000070000000001</v>
      </c>
      <c r="M3222" s="1119"/>
      <c r="N3222" s="290">
        <f>+K3222/L3222</f>
        <v>6459.9935400064596</v>
      </c>
    </row>
    <row r="3223" spans="2:14" ht="13.5" thickBot="1">
      <c r="B3223" s="1179"/>
      <c r="C3223" s="1180"/>
      <c r="D3223" s="1180"/>
      <c r="E3223" s="1180"/>
      <c r="F3223" s="1181"/>
      <c r="G3223" s="295"/>
      <c r="H3223" s="294"/>
      <c r="I3223" s="1182"/>
      <c r="J3223" s="1183"/>
      <c r="K3223" s="290"/>
      <c r="L3223" s="1118"/>
      <c r="M3223" s="1119"/>
      <c r="N3223" s="290"/>
    </row>
    <row r="3224" spans="2:14" ht="13.5" thickBot="1">
      <c r="B3224" s="1100" t="s">
        <v>269</v>
      </c>
      <c r="C3224" s="1101"/>
      <c r="D3224" s="1101"/>
      <c r="E3224" s="1101"/>
      <c r="F3224" s="1101"/>
      <c r="G3224" s="1101"/>
      <c r="H3224" s="1101"/>
      <c r="I3224" s="1101"/>
      <c r="J3224" s="1101"/>
      <c r="K3224" s="1101"/>
      <c r="L3224" s="1101"/>
      <c r="M3224" s="1102"/>
      <c r="N3224" s="323">
        <f>+N3222</f>
        <v>6459.9935400064596</v>
      </c>
    </row>
    <row r="3225" spans="2:14">
      <c r="B3225" s="1103" t="s">
        <v>270</v>
      </c>
      <c r="C3225" s="1104"/>
      <c r="D3225" s="1104"/>
      <c r="E3225" s="1104"/>
      <c r="F3225" s="1104"/>
      <c r="G3225" s="1104"/>
      <c r="H3225" s="1104"/>
      <c r="I3225" s="1104"/>
      <c r="J3225" s="1104"/>
      <c r="K3225" s="1104"/>
      <c r="L3225" s="1104"/>
      <c r="M3225" s="1104"/>
      <c r="N3225" s="1105"/>
    </row>
    <row r="3226" spans="2:14">
      <c r="B3226" s="1106"/>
      <c r="C3226" s="1107"/>
      <c r="D3226" s="1107"/>
      <c r="E3226" s="1107"/>
      <c r="F3226" s="1107"/>
      <c r="G3226" s="1107"/>
      <c r="H3226" s="1107"/>
      <c r="I3226" s="1107"/>
      <c r="J3226" s="1107"/>
      <c r="K3226" s="1107"/>
      <c r="L3226" s="1107"/>
      <c r="M3226" s="1107"/>
      <c r="N3226" s="1108"/>
    </row>
    <row r="3227" spans="2:14" ht="13.5" thickBot="1">
      <c r="B3227" s="1109"/>
      <c r="C3227" s="1110"/>
      <c r="D3227" s="1110"/>
      <c r="E3227" s="1110"/>
      <c r="F3227" s="1110"/>
      <c r="G3227" s="1110"/>
      <c r="H3227" s="1110"/>
      <c r="I3227" s="1110"/>
      <c r="J3227" s="1110"/>
      <c r="K3227" s="1110"/>
      <c r="L3227" s="1110"/>
      <c r="M3227" s="1110"/>
      <c r="N3227" s="1111"/>
    </row>
    <row r="3228" spans="2:14">
      <c r="B3228" s="1130" t="s">
        <v>258</v>
      </c>
      <c r="C3228" s="1139"/>
      <c r="D3228" s="1139"/>
      <c r="E3228" s="1139"/>
      <c r="F3228" s="1139"/>
      <c r="G3228" s="1139"/>
      <c r="H3228" s="1139"/>
      <c r="I3228" s="1136"/>
      <c r="J3228" s="299" t="s">
        <v>259</v>
      </c>
      <c r="K3228" s="288" t="s">
        <v>133</v>
      </c>
      <c r="L3228" s="1133" t="s">
        <v>271</v>
      </c>
      <c r="M3228" s="1136"/>
      <c r="N3228" s="289" t="s">
        <v>265</v>
      </c>
    </row>
    <row r="3229" spans="2:14">
      <c r="B3229" s="1112" t="s">
        <v>332</v>
      </c>
      <c r="C3229" s="1113"/>
      <c r="D3229" s="1113"/>
      <c r="E3229" s="1113"/>
      <c r="F3229" s="1113"/>
      <c r="G3229" s="1113"/>
      <c r="H3229" s="1113"/>
      <c r="I3229" s="1114"/>
      <c r="J3229" s="300" t="s">
        <v>196</v>
      </c>
      <c r="K3229" s="301">
        <v>4</v>
      </c>
      <c r="L3229" s="1144">
        <v>10710</v>
      </c>
      <c r="M3229" s="1145"/>
      <c r="N3229" s="363">
        <f>+K3229*L3229</f>
        <v>42840</v>
      </c>
    </row>
    <row r="3230" spans="2:14" ht="13.5" thickBot="1">
      <c r="B3230" s="402" t="s">
        <v>348</v>
      </c>
      <c r="C3230" s="353"/>
      <c r="D3230" s="353"/>
      <c r="E3230" s="353"/>
      <c r="F3230" s="353"/>
      <c r="G3230" s="353"/>
      <c r="H3230" s="353"/>
      <c r="I3230" s="403"/>
      <c r="J3230" s="303" t="s">
        <v>147</v>
      </c>
      <c r="K3230" s="392">
        <v>1.05</v>
      </c>
      <c r="L3230" s="1144">
        <v>369520</v>
      </c>
      <c r="M3230" s="1145"/>
      <c r="N3230" s="363">
        <f>+K3230*L3230</f>
        <v>387996</v>
      </c>
    </row>
    <row r="3231" spans="2:14" ht="13.5" thickBot="1">
      <c r="B3231" s="1100" t="s">
        <v>269</v>
      </c>
      <c r="C3231" s="1101"/>
      <c r="D3231" s="1101"/>
      <c r="E3231" s="1101"/>
      <c r="F3231" s="1101"/>
      <c r="G3231" s="1101"/>
      <c r="H3231" s="1101"/>
      <c r="I3231" s="1101"/>
      <c r="J3231" s="1101"/>
      <c r="K3231" s="1101"/>
      <c r="L3231" s="1101"/>
      <c r="M3231" s="1102"/>
      <c r="N3231" s="323">
        <f>+N3229+N3230</f>
        <v>430836</v>
      </c>
    </row>
    <row r="3232" spans="2:14">
      <c r="B3232" s="1103" t="s">
        <v>276</v>
      </c>
      <c r="C3232" s="1104"/>
      <c r="D3232" s="1104"/>
      <c r="E3232" s="1104"/>
      <c r="F3232" s="1104"/>
      <c r="G3232" s="1104"/>
      <c r="H3232" s="1104"/>
      <c r="I3232" s="1104"/>
      <c r="J3232" s="1104"/>
      <c r="K3232" s="1104"/>
      <c r="L3232" s="1104"/>
      <c r="M3232" s="1104"/>
      <c r="N3232" s="1105"/>
    </row>
    <row r="3233" spans="2:14">
      <c r="B3233" s="1106"/>
      <c r="C3233" s="1107"/>
      <c r="D3233" s="1107"/>
      <c r="E3233" s="1107"/>
      <c r="F3233" s="1107"/>
      <c r="G3233" s="1107"/>
      <c r="H3233" s="1107"/>
      <c r="I3233" s="1107"/>
      <c r="J3233" s="1107"/>
      <c r="K3233" s="1107"/>
      <c r="L3233" s="1107"/>
      <c r="M3233" s="1107"/>
      <c r="N3233" s="1108"/>
    </row>
    <row r="3234" spans="2:14" ht="13.5" thickBot="1">
      <c r="B3234" s="1109"/>
      <c r="C3234" s="1110"/>
      <c r="D3234" s="1110"/>
      <c r="E3234" s="1110"/>
      <c r="F3234" s="1110"/>
      <c r="G3234" s="1110"/>
      <c r="H3234" s="1110"/>
      <c r="I3234" s="1110"/>
      <c r="J3234" s="1110"/>
      <c r="K3234" s="1110"/>
      <c r="L3234" s="1110"/>
      <c r="M3234" s="1110"/>
      <c r="N3234" s="1111"/>
    </row>
    <row r="3235" spans="2:14">
      <c r="B3235" s="1130" t="s">
        <v>277</v>
      </c>
      <c r="C3235" s="1139"/>
      <c r="D3235" s="1139"/>
      <c r="E3235" s="1139"/>
      <c r="F3235" s="1139"/>
      <c r="G3235" s="1139"/>
      <c r="H3235" s="1139"/>
      <c r="I3235" s="288" t="s">
        <v>278</v>
      </c>
      <c r="J3235" s="306" t="s">
        <v>279</v>
      </c>
      <c r="K3235" s="307" t="s">
        <v>280</v>
      </c>
      <c r="L3235" s="1133" t="s">
        <v>281</v>
      </c>
      <c r="M3235" s="1136"/>
      <c r="N3235" s="289" t="s">
        <v>265</v>
      </c>
    </row>
    <row r="3236" spans="2:14" ht="13.5" thickBot="1">
      <c r="B3236" s="1112"/>
      <c r="C3236" s="1113"/>
      <c r="D3236" s="1113"/>
      <c r="E3236" s="1113"/>
      <c r="F3236" s="1113"/>
      <c r="G3236" s="1113"/>
      <c r="H3236" s="1113"/>
      <c r="I3236" s="393"/>
      <c r="J3236" s="309"/>
      <c r="K3236" s="308"/>
      <c r="L3236" s="1144"/>
      <c r="M3236" s="1145"/>
      <c r="N3236" s="363"/>
    </row>
    <row r="3237" spans="2:14" ht="13.5" thickBot="1">
      <c r="B3237" s="1100" t="s">
        <v>269</v>
      </c>
      <c r="C3237" s="1101"/>
      <c r="D3237" s="1101"/>
      <c r="E3237" s="1101"/>
      <c r="F3237" s="1101"/>
      <c r="G3237" s="1101"/>
      <c r="H3237" s="1101"/>
      <c r="I3237" s="1101"/>
      <c r="J3237" s="1101"/>
      <c r="K3237" s="1101"/>
      <c r="L3237" s="1101"/>
      <c r="M3237" s="1102"/>
      <c r="N3237" s="323">
        <f>+N3236</f>
        <v>0</v>
      </c>
    </row>
    <row r="3238" spans="2:14">
      <c r="B3238" s="1103" t="s">
        <v>282</v>
      </c>
      <c r="C3238" s="1104"/>
      <c r="D3238" s="1104"/>
      <c r="E3238" s="1104"/>
      <c r="F3238" s="1104"/>
      <c r="G3238" s="1104"/>
      <c r="H3238" s="1104"/>
      <c r="I3238" s="1104"/>
      <c r="J3238" s="1104"/>
      <c r="K3238" s="1104"/>
      <c r="L3238" s="1104"/>
      <c r="M3238" s="1104"/>
      <c r="N3238" s="1105"/>
    </row>
    <row r="3239" spans="2:14">
      <c r="B3239" s="1106"/>
      <c r="C3239" s="1107"/>
      <c r="D3239" s="1107"/>
      <c r="E3239" s="1107"/>
      <c r="F3239" s="1107"/>
      <c r="G3239" s="1107"/>
      <c r="H3239" s="1107"/>
      <c r="I3239" s="1107"/>
      <c r="J3239" s="1107"/>
      <c r="K3239" s="1107"/>
      <c r="L3239" s="1107"/>
      <c r="M3239" s="1107"/>
      <c r="N3239" s="1108"/>
    </row>
    <row r="3240" spans="2:14" ht="13.5" thickBot="1">
      <c r="B3240" s="1109"/>
      <c r="C3240" s="1110"/>
      <c r="D3240" s="1110"/>
      <c r="E3240" s="1110"/>
      <c r="F3240" s="1110"/>
      <c r="G3240" s="1110"/>
      <c r="H3240" s="1110"/>
      <c r="I3240" s="1110"/>
      <c r="J3240" s="1110"/>
      <c r="K3240" s="1110"/>
      <c r="L3240" s="1110"/>
      <c r="M3240" s="1110"/>
      <c r="N3240" s="1111"/>
    </row>
    <row r="3241" spans="2:14">
      <c r="B3241" s="1130" t="s">
        <v>283</v>
      </c>
      <c r="C3241" s="1139"/>
      <c r="D3241" s="1139"/>
      <c r="E3241" s="1139"/>
      <c r="F3241" s="1139"/>
      <c r="G3241" s="1139"/>
      <c r="H3241" s="1139"/>
      <c r="I3241" s="288" t="s">
        <v>284</v>
      </c>
      <c r="J3241" s="314" t="s">
        <v>285</v>
      </c>
      <c r="K3241" s="315" t="s">
        <v>286</v>
      </c>
      <c r="L3241" s="1140" t="s">
        <v>264</v>
      </c>
      <c r="M3241" s="1141"/>
      <c r="N3241" s="316" t="s">
        <v>265</v>
      </c>
    </row>
    <row r="3242" spans="2:14" ht="13.5" thickBot="1">
      <c r="B3242" s="317" t="s">
        <v>344</v>
      </c>
      <c r="C3242" s="318"/>
      <c r="D3242" s="318"/>
      <c r="E3242" s="318"/>
      <c r="F3242" s="318"/>
      <c r="G3242" s="318"/>
      <c r="H3242" s="318"/>
      <c r="I3242" s="319">
        <v>153482</v>
      </c>
      <c r="J3242" s="321">
        <v>0</v>
      </c>
      <c r="K3242" s="321">
        <f>+I3242+J3242</f>
        <v>153482</v>
      </c>
      <c r="L3242" s="1157">
        <v>1.4999990000000001</v>
      </c>
      <c r="M3242" s="1158"/>
      <c r="N3242" s="322">
        <f>+K3242/L3242</f>
        <v>102321.40154760102</v>
      </c>
    </row>
    <row r="3243" spans="2:14" ht="13.5" thickBot="1">
      <c r="B3243" s="1100" t="s">
        <v>269</v>
      </c>
      <c r="C3243" s="1101"/>
      <c r="D3243" s="1101"/>
      <c r="E3243" s="1101"/>
      <c r="F3243" s="1101"/>
      <c r="G3243" s="1101"/>
      <c r="H3243" s="1101"/>
      <c r="I3243" s="1101"/>
      <c r="J3243" s="1101"/>
      <c r="K3243" s="1101"/>
      <c r="L3243" s="1101"/>
      <c r="M3243" s="1102"/>
      <c r="N3243" s="323">
        <f>+N3242</f>
        <v>102321.40154760102</v>
      </c>
    </row>
    <row r="3244" spans="2:14" ht="13.5" thickBot="1">
      <c r="B3244" s="324" t="s">
        <v>288</v>
      </c>
      <c r="C3244" s="325"/>
      <c r="D3244" s="325"/>
      <c r="E3244" s="325"/>
      <c r="F3244" s="325"/>
      <c r="G3244" s="325"/>
      <c r="H3244" s="325"/>
      <c r="I3244" s="326"/>
      <c r="J3244" s="327"/>
      <c r="K3244" s="328"/>
      <c r="L3244" s="329"/>
      <c r="M3244" s="329"/>
      <c r="N3244" s="330"/>
    </row>
    <row r="3245" spans="2:14">
      <c r="B3245" s="1130" t="s">
        <v>17</v>
      </c>
      <c r="C3245" s="1139"/>
      <c r="D3245" s="1139"/>
      <c r="E3245" s="1139"/>
      <c r="F3245" s="1139"/>
      <c r="G3245" s="1139"/>
      <c r="H3245" s="1139"/>
      <c r="I3245" s="1136"/>
      <c r="J3245" s="299" t="s">
        <v>259</v>
      </c>
      <c r="K3245" s="288" t="s">
        <v>133</v>
      </c>
      <c r="L3245" s="1133" t="s">
        <v>271</v>
      </c>
      <c r="M3245" s="1136"/>
      <c r="N3245" s="316" t="s">
        <v>265</v>
      </c>
    </row>
    <row r="3246" spans="2:14" ht="13.5" thickBot="1">
      <c r="B3246" s="331" t="s">
        <v>289</v>
      </c>
      <c r="C3246" s="332"/>
      <c r="D3246" s="332"/>
      <c r="E3246" s="332"/>
      <c r="F3246" s="332"/>
      <c r="G3246" s="332"/>
      <c r="H3246" s="332"/>
      <c r="I3246" s="333"/>
      <c r="J3246" s="334" t="s">
        <v>290</v>
      </c>
      <c r="K3246" s="335">
        <v>0.05</v>
      </c>
      <c r="L3246" s="1144">
        <f>+N3243</f>
        <v>102321.40154760102</v>
      </c>
      <c r="M3246" s="1145"/>
      <c r="N3246" s="390">
        <f>+K3246*L3246</f>
        <v>5116.0700773800518</v>
      </c>
    </row>
    <row r="3247" spans="2:14" ht="13.5" thickBot="1">
      <c r="B3247" s="1100" t="s">
        <v>269</v>
      </c>
      <c r="C3247" s="1101"/>
      <c r="D3247" s="1101"/>
      <c r="E3247" s="1101"/>
      <c r="F3247" s="1101"/>
      <c r="G3247" s="1101"/>
      <c r="H3247" s="1101"/>
      <c r="I3247" s="1101"/>
      <c r="J3247" s="1101"/>
      <c r="K3247" s="1101"/>
      <c r="L3247" s="1101"/>
      <c r="M3247" s="1102"/>
      <c r="N3247" s="323">
        <f>+N3246</f>
        <v>5116.0700773800518</v>
      </c>
    </row>
    <row r="3248" spans="2:14">
      <c r="B3248" s="280"/>
      <c r="C3248" s="281"/>
      <c r="D3248" s="281"/>
      <c r="E3248" s="281"/>
      <c r="F3248" s="281"/>
      <c r="G3248" s="281"/>
      <c r="H3248" s="281"/>
      <c r="I3248" s="281"/>
      <c r="J3248" s="281"/>
      <c r="K3248" s="281"/>
      <c r="L3248" s="281"/>
      <c r="M3248" s="281"/>
      <c r="N3248" s="282"/>
    </row>
    <row r="3249" spans="2:17" ht="16" thickBot="1">
      <c r="B3249" s="378"/>
      <c r="C3249" s="311"/>
      <c r="D3249" s="311"/>
      <c r="E3249" s="311"/>
      <c r="F3249" s="311"/>
      <c r="G3249" s="311"/>
      <c r="H3249" s="311"/>
      <c r="I3249" s="311"/>
      <c r="J3249" s="311"/>
      <c r="K3249" s="311"/>
      <c r="L3249" s="311"/>
      <c r="M3249" s="311"/>
      <c r="N3249" s="379"/>
      <c r="P3249" s="407">
        <v>1634199</v>
      </c>
    </row>
    <row r="3250" spans="2:17" ht="13.5" thickBot="1">
      <c r="B3250" s="1150" t="s">
        <v>291</v>
      </c>
      <c r="C3250" s="1151"/>
      <c r="D3250" s="1151"/>
      <c r="E3250" s="1151"/>
      <c r="F3250" s="1151"/>
      <c r="G3250" s="1151"/>
      <c r="H3250" s="1151"/>
      <c r="I3250" s="1151"/>
      <c r="J3250" s="1151"/>
      <c r="K3250" s="1151"/>
      <c r="L3250" s="1151"/>
      <c r="M3250" s="1152"/>
      <c r="N3250" s="336">
        <f>+N3224+N3231+N3237+N3243+N3247</f>
        <v>544733.46516498749</v>
      </c>
      <c r="P3250" s="405">
        <f>N3250*N3217</f>
        <v>1634200.3954949626</v>
      </c>
      <c r="Q3250" s="405">
        <f>P3250-P3249</f>
        <v>1.3954949625767767</v>
      </c>
    </row>
    <row r="3251" spans="2:17">
      <c r="B3251" s="1103" t="s">
        <v>292</v>
      </c>
      <c r="C3251" s="1104"/>
      <c r="D3251" s="1104"/>
      <c r="E3251" s="1104"/>
      <c r="F3251" s="1104"/>
      <c r="G3251" s="1104"/>
      <c r="H3251" s="1104"/>
      <c r="I3251" s="1104"/>
      <c r="J3251" s="1104"/>
      <c r="K3251" s="1104"/>
      <c r="L3251" s="1104"/>
      <c r="M3251" s="1104"/>
      <c r="N3251" s="1105"/>
    </row>
    <row r="3252" spans="2:17">
      <c r="B3252" s="1106"/>
      <c r="C3252" s="1107"/>
      <c r="D3252" s="1107"/>
      <c r="E3252" s="1107"/>
      <c r="F3252" s="1107"/>
      <c r="G3252" s="1107"/>
      <c r="H3252" s="1107"/>
      <c r="I3252" s="1107"/>
      <c r="J3252" s="1107"/>
      <c r="K3252" s="1107"/>
      <c r="L3252" s="1107"/>
      <c r="M3252" s="1107"/>
      <c r="N3252" s="1108"/>
    </row>
    <row r="3253" spans="2:17" ht="13.5" thickBot="1">
      <c r="B3253" s="1109"/>
      <c r="C3253" s="1110"/>
      <c r="D3253" s="1110"/>
      <c r="E3253" s="1110"/>
      <c r="F3253" s="1110"/>
      <c r="G3253" s="1110"/>
      <c r="H3253" s="1110"/>
      <c r="I3253" s="1110"/>
      <c r="J3253" s="1110"/>
      <c r="K3253" s="1110"/>
      <c r="L3253" s="1110"/>
      <c r="M3253" s="1110"/>
      <c r="N3253" s="1111"/>
    </row>
    <row r="3254" spans="2:17">
      <c r="B3254" s="1130" t="s">
        <v>17</v>
      </c>
      <c r="C3254" s="1139"/>
      <c r="D3254" s="1139"/>
      <c r="E3254" s="1139"/>
      <c r="F3254" s="1139"/>
      <c r="G3254" s="1139"/>
      <c r="H3254" s="1139"/>
      <c r="I3254" s="306"/>
      <c r="J3254" s="337"/>
      <c r="K3254" s="315" t="s">
        <v>79</v>
      </c>
      <c r="L3254" s="1140" t="s">
        <v>11</v>
      </c>
      <c r="M3254" s="1141"/>
      <c r="N3254" s="316"/>
    </row>
    <row r="3255" spans="2:17">
      <c r="B3255" s="1112" t="s">
        <v>232</v>
      </c>
      <c r="C3255" s="1113"/>
      <c r="D3255" s="1113"/>
      <c r="E3255" s="1113"/>
      <c r="F3255" s="1113"/>
      <c r="G3255" s="1113"/>
      <c r="H3255" s="1113"/>
      <c r="I3255" s="338"/>
      <c r="J3255" s="339"/>
      <c r="K3255" s="340">
        <f>'PRESUPUESTO OFICIAL'!$K$100</f>
        <v>0</v>
      </c>
      <c r="L3255" s="1146">
        <f>K3255*N3250</f>
        <v>0</v>
      </c>
      <c r="M3255" s="1147"/>
      <c r="N3255" s="341"/>
    </row>
    <row r="3256" spans="2:17">
      <c r="B3256" s="292" t="s">
        <v>293</v>
      </c>
      <c r="C3256" s="293"/>
      <c r="D3256" s="293"/>
      <c r="E3256" s="293"/>
      <c r="F3256" s="293"/>
      <c r="G3256" s="293"/>
      <c r="H3256" s="293"/>
      <c r="I3256" s="338"/>
      <c r="J3256" s="339"/>
      <c r="K3256" s="340">
        <f>'PRESUPUESTO OFICIAL'!$K$101</f>
        <v>0</v>
      </c>
      <c r="L3256" s="1146">
        <f>K3256*N3250</f>
        <v>0</v>
      </c>
      <c r="M3256" s="1147"/>
      <c r="N3256" s="341"/>
    </row>
    <row r="3257" spans="2:17" ht="13.5" thickBot="1">
      <c r="B3257" s="277" t="s">
        <v>294</v>
      </c>
      <c r="C3257" s="278"/>
      <c r="D3257" s="278"/>
      <c r="E3257" s="278"/>
      <c r="F3257" s="278"/>
      <c r="G3257" s="278"/>
      <c r="H3257" s="278"/>
      <c r="I3257" s="342"/>
      <c r="J3257" s="343"/>
      <c r="K3257" s="340">
        <f>'PRESUPUESTO OFICIAL'!$K$102</f>
        <v>0</v>
      </c>
      <c r="L3257" s="1148">
        <f>K3257*N3250</f>
        <v>0</v>
      </c>
      <c r="M3257" s="1149"/>
      <c r="N3257" s="341"/>
    </row>
    <row r="3258" spans="2:17" ht="13.5" thickBot="1">
      <c r="B3258" s="1100" t="s">
        <v>269</v>
      </c>
      <c r="C3258" s="1101"/>
      <c r="D3258" s="1101"/>
      <c r="E3258" s="1101"/>
      <c r="F3258" s="1101"/>
      <c r="G3258" s="1101"/>
      <c r="H3258" s="1101"/>
      <c r="I3258" s="1101"/>
      <c r="J3258" s="1101"/>
      <c r="K3258" s="1101"/>
      <c r="L3258" s="1101"/>
      <c r="M3258" s="1102"/>
      <c r="N3258" s="344">
        <f>SUM(L3255:M3257)</f>
        <v>0</v>
      </c>
    </row>
    <row r="3259" spans="2:17" ht="13.5" thickBot="1">
      <c r="B3259" s="283"/>
      <c r="N3259" s="284"/>
    </row>
    <row r="3260" spans="2:17" ht="13.5" thickBot="1">
      <c r="B3260" s="1150" t="s">
        <v>295</v>
      </c>
      <c r="C3260" s="1151"/>
      <c r="D3260" s="1151"/>
      <c r="E3260" s="1151"/>
      <c r="F3260" s="1151"/>
      <c r="G3260" s="1151"/>
      <c r="H3260" s="1151"/>
      <c r="I3260" s="1151"/>
      <c r="J3260" s="1151"/>
      <c r="K3260" s="1151"/>
      <c r="L3260" s="1151"/>
      <c r="M3260" s="1152"/>
      <c r="N3260" s="345">
        <f>ROUND(N3250+N3258,0)</f>
        <v>544733</v>
      </c>
    </row>
    <row r="3261" spans="2:17">
      <c r="B3261" s="280"/>
      <c r="C3261" s="281"/>
      <c r="D3261" s="281"/>
      <c r="E3261" s="281"/>
      <c r="F3261" s="281"/>
      <c r="G3261" s="281"/>
      <c r="H3261" s="281"/>
      <c r="I3261" s="281"/>
      <c r="J3261" s="281"/>
      <c r="K3261" s="281"/>
      <c r="L3261" s="281"/>
      <c r="M3261" s="281"/>
      <c r="N3261" s="282"/>
    </row>
    <row r="3262" spans="2:17">
      <c r="B3262" s="283"/>
      <c r="N3262" s="284"/>
    </row>
    <row r="3263" spans="2:17">
      <c r="B3263" s="283"/>
      <c r="N3263" s="284"/>
    </row>
    <row r="3264" spans="2:17">
      <c r="B3264" s="283"/>
      <c r="G3264" s="346" t="s">
        <v>296</v>
      </c>
      <c r="H3264" s="346"/>
      <c r="I3264" s="346"/>
      <c r="J3264" s="346"/>
      <c r="N3264" s="284"/>
    </row>
    <row r="3265" spans="2:14">
      <c r="B3265" s="347"/>
      <c r="C3265" s="348"/>
      <c r="D3265" s="348"/>
      <c r="E3265" s="348"/>
      <c r="F3265" s="348"/>
      <c r="G3265" s="346" t="s">
        <v>297</v>
      </c>
      <c r="H3265" s="348"/>
      <c r="I3265" s="348"/>
      <c r="J3265" s="348"/>
      <c r="K3265" s="348"/>
      <c r="L3265" s="348"/>
      <c r="M3265" s="348"/>
      <c r="N3265" s="349"/>
    </row>
    <row r="3266" spans="2:14">
      <c r="B3266" s="347"/>
      <c r="C3266" s="348"/>
      <c r="D3266" s="348"/>
      <c r="E3266" s="348"/>
      <c r="F3266" s="348"/>
      <c r="G3266" s="346" t="s">
        <v>298</v>
      </c>
      <c r="J3266" s="348"/>
      <c r="K3266" s="348"/>
      <c r="L3266" s="348"/>
      <c r="M3266" s="348"/>
      <c r="N3266" s="349"/>
    </row>
    <row r="3267" spans="2:14">
      <c r="B3267" s="268"/>
      <c r="C3267" s="350"/>
      <c r="D3267" s="350"/>
      <c r="E3267" s="350"/>
      <c r="F3267" s="350"/>
      <c r="G3267" s="346" t="s">
        <v>299</v>
      </c>
      <c r="H3267" s="350"/>
      <c r="I3267" s="350"/>
      <c r="J3267" s="350"/>
      <c r="K3267" s="350"/>
      <c r="L3267" s="350"/>
      <c r="M3267" s="350"/>
      <c r="N3267" s="351"/>
    </row>
    <row r="3268" spans="2:14">
      <c r="B3268" s="283"/>
      <c r="G3268" s="258" t="s">
        <v>300</v>
      </c>
      <c r="N3268" s="284"/>
    </row>
    <row r="3269" spans="2:14">
      <c r="B3269" s="352" t="s">
        <v>301</v>
      </c>
      <c r="C3269" s="353"/>
      <c r="D3269" s="353"/>
      <c r="E3269" s="353"/>
      <c r="F3269" s="353"/>
      <c r="G3269" s="353"/>
      <c r="H3269" s="353"/>
      <c r="I3269" s="353"/>
      <c r="J3269" s="353"/>
      <c r="K3269" s="353"/>
      <c r="L3269" s="353"/>
      <c r="M3269" s="353"/>
      <c r="N3269" s="354"/>
    </row>
    <row r="3270" spans="2:14">
      <c r="B3270" s="1153"/>
      <c r="C3270" s="1154"/>
      <c r="D3270" s="1154"/>
      <c r="E3270" s="1154"/>
      <c r="F3270" s="1154"/>
      <c r="G3270" s="1154"/>
      <c r="H3270" s="1154"/>
      <c r="I3270" s="1154"/>
      <c r="J3270" s="1154"/>
      <c r="K3270" s="1154"/>
      <c r="L3270" s="1154"/>
      <c r="M3270" s="1154"/>
      <c r="N3270" s="1155"/>
    </row>
    <row r="3271" spans="2:14">
      <c r="B3271" s="1153"/>
      <c r="C3271" s="1154"/>
      <c r="D3271" s="1154"/>
      <c r="E3271" s="1154"/>
      <c r="F3271" s="1154"/>
      <c r="G3271" s="1154"/>
      <c r="H3271" s="1154"/>
      <c r="I3271" s="1154"/>
      <c r="J3271" s="1154"/>
      <c r="K3271" s="1154"/>
      <c r="L3271" s="1154"/>
      <c r="M3271" s="1154"/>
      <c r="N3271" s="1155"/>
    </row>
    <row r="3272" spans="2:14">
      <c r="B3272" s="268"/>
      <c r="C3272" s="350"/>
      <c r="D3272" s="350"/>
      <c r="E3272" s="350"/>
      <c r="F3272" s="350"/>
      <c r="G3272" s="350"/>
      <c r="H3272" s="350"/>
      <c r="I3272" s="350"/>
      <c r="J3272" s="350"/>
      <c r="K3272" s="350"/>
      <c r="L3272" s="350"/>
      <c r="M3272" s="350"/>
      <c r="N3272" s="351"/>
    </row>
    <row r="3273" spans="2:14">
      <c r="B3273" s="355" t="s">
        <v>302</v>
      </c>
      <c r="C3273" s="350"/>
      <c r="D3273" s="350"/>
      <c r="E3273" s="350"/>
      <c r="F3273" s="350"/>
      <c r="G3273" s="350"/>
      <c r="H3273" s="350"/>
      <c r="I3273" s="350"/>
      <c r="J3273" s="350"/>
      <c r="K3273" s="350"/>
      <c r="L3273" s="350"/>
      <c r="M3273" s="350"/>
      <c r="N3273" s="351"/>
    </row>
    <row r="3274" spans="2:14">
      <c r="B3274" s="1159" t="s">
        <v>303</v>
      </c>
      <c r="C3274" s="1160"/>
      <c r="D3274" s="1160"/>
      <c r="E3274" s="1160"/>
      <c r="F3274" s="1160"/>
      <c r="G3274" s="1160"/>
      <c r="H3274" s="1160"/>
      <c r="I3274" s="1160"/>
      <c r="J3274" s="1160"/>
      <c r="K3274" s="1160"/>
      <c r="L3274" s="1160"/>
      <c r="M3274" s="1160"/>
      <c r="N3274" s="1161"/>
    </row>
    <row r="3275" spans="2:14">
      <c r="B3275" s="1159"/>
      <c r="C3275" s="1160"/>
      <c r="D3275" s="1160"/>
      <c r="E3275" s="1160"/>
      <c r="F3275" s="1160"/>
      <c r="G3275" s="1160"/>
      <c r="H3275" s="1160"/>
      <c r="I3275" s="1160"/>
      <c r="J3275" s="1160"/>
      <c r="K3275" s="1160"/>
      <c r="L3275" s="1160"/>
      <c r="M3275" s="1160"/>
      <c r="N3275" s="1161"/>
    </row>
    <row r="3276" spans="2:14">
      <c r="B3276" s="1159" t="s">
        <v>304</v>
      </c>
      <c r="C3276" s="1160"/>
      <c r="D3276" s="1160"/>
      <c r="E3276" s="1160"/>
      <c r="F3276" s="1160"/>
      <c r="G3276" s="1160"/>
      <c r="H3276" s="1160"/>
      <c r="I3276" s="1160"/>
      <c r="J3276" s="1160"/>
      <c r="K3276" s="1160"/>
      <c r="L3276" s="1160"/>
      <c r="M3276" s="1160"/>
      <c r="N3276" s="1161"/>
    </row>
    <row r="3277" spans="2:14">
      <c r="B3277" s="1159"/>
      <c r="C3277" s="1160"/>
      <c r="D3277" s="1160"/>
      <c r="E3277" s="1160"/>
      <c r="F3277" s="1160"/>
      <c r="G3277" s="1160"/>
      <c r="H3277" s="1160"/>
      <c r="I3277" s="1160"/>
      <c r="J3277" s="1160"/>
      <c r="K3277" s="1160"/>
      <c r="L3277" s="1160"/>
      <c r="M3277" s="1160"/>
      <c r="N3277" s="1161"/>
    </row>
    <row r="3278" spans="2:14">
      <c r="B3278" s="268"/>
      <c r="C3278" s="350"/>
      <c r="D3278" s="350"/>
      <c r="E3278" s="350"/>
      <c r="F3278" s="350"/>
      <c r="G3278" s="350"/>
      <c r="H3278" s="350"/>
      <c r="I3278" s="350"/>
      <c r="J3278" s="350"/>
      <c r="K3278" s="350"/>
      <c r="L3278" s="350"/>
      <c r="M3278" s="350"/>
      <c r="N3278" s="351"/>
    </row>
    <row r="3279" spans="2:14">
      <c r="B3279" s="283"/>
      <c r="G3279" s="346" t="s">
        <v>296</v>
      </c>
      <c r="N3279" s="284"/>
    </row>
    <row r="3280" spans="2:14">
      <c r="B3280" s="283"/>
      <c r="G3280" s="258" t="s">
        <v>305</v>
      </c>
      <c r="H3280" s="293"/>
      <c r="I3280" s="293"/>
      <c r="J3280" s="293"/>
      <c r="N3280" s="284"/>
    </row>
    <row r="3281" spans="2:14">
      <c r="B3281" s="283"/>
      <c r="G3281" s="258" t="s">
        <v>306</v>
      </c>
      <c r="H3281" s="325"/>
      <c r="I3281" s="325"/>
      <c r="J3281" s="325"/>
      <c r="N3281" s="284"/>
    </row>
    <row r="3282" spans="2:14">
      <c r="B3282" s="356"/>
      <c r="C3282" s="350"/>
      <c r="D3282" s="350"/>
      <c r="E3282" s="350"/>
      <c r="F3282" s="350"/>
      <c r="G3282" s="258" t="s">
        <v>299</v>
      </c>
      <c r="K3282" s="350"/>
      <c r="L3282" s="350"/>
      <c r="M3282" s="350"/>
      <c r="N3282" s="351"/>
    </row>
    <row r="3283" spans="2:14">
      <c r="B3283" s="357"/>
      <c r="C3283" s="358"/>
      <c r="D3283" s="358"/>
      <c r="J3283" s="1162"/>
      <c r="K3283" s="1162"/>
      <c r="L3283" s="1162"/>
      <c r="M3283" s="1162"/>
      <c r="N3283" s="1163"/>
    </row>
    <row r="3284" spans="2:14" ht="13.5" thickBot="1">
      <c r="B3284" s="1166"/>
      <c r="C3284" s="1167"/>
      <c r="D3284" s="1167"/>
      <c r="E3284" s="311"/>
      <c r="F3284" s="311"/>
      <c r="G3284" s="311"/>
      <c r="H3284" s="311"/>
      <c r="I3284" s="311"/>
      <c r="J3284" s="1164"/>
      <c r="K3284" s="1164"/>
      <c r="L3284" s="1164"/>
      <c r="M3284" s="1164"/>
      <c r="N3284" s="1165"/>
    </row>
    <row r="3285" spans="2:14" ht="13.5" thickBot="1"/>
    <row r="3286" spans="2:14">
      <c r="B3286" s="1070"/>
      <c r="C3286" s="1072"/>
      <c r="D3286" s="1073"/>
      <c r="E3286" s="1073"/>
      <c r="F3286" s="1073"/>
      <c r="G3286" s="1073"/>
      <c r="H3286" s="1073"/>
      <c r="I3286" s="1073"/>
      <c r="J3286" s="1074"/>
      <c r="K3286" s="1075"/>
      <c r="L3286" s="1076"/>
      <c r="M3286" s="1076"/>
      <c r="N3286" s="1077"/>
    </row>
    <row r="3287" spans="2:14">
      <c r="B3287" s="1071"/>
      <c r="C3287" s="1062" t="s">
        <v>244</v>
      </c>
      <c r="D3287" s="1063"/>
      <c r="E3287" s="1063"/>
      <c r="F3287" s="1063"/>
      <c r="G3287" s="1063"/>
      <c r="H3287" s="1063"/>
      <c r="I3287" s="1063"/>
      <c r="J3287" s="1064"/>
      <c r="K3287" s="1078"/>
      <c r="L3287" s="1079"/>
      <c r="M3287" s="1079"/>
      <c r="N3287" s="1080"/>
    </row>
    <row r="3288" spans="2:14">
      <c r="B3288" s="1071"/>
      <c r="C3288" s="1081"/>
      <c r="D3288" s="1082"/>
      <c r="E3288" s="1082"/>
      <c r="F3288" s="1082"/>
      <c r="G3288" s="1082"/>
      <c r="H3288" s="1082"/>
      <c r="I3288" s="1082"/>
      <c r="J3288" s="1083"/>
      <c r="K3288" s="1058" t="s">
        <v>245</v>
      </c>
      <c r="L3288" s="1085"/>
      <c r="M3288" s="1086"/>
      <c r="N3288" s="1087"/>
    </row>
    <row r="3289" spans="2:14">
      <c r="B3289" s="1071"/>
      <c r="C3289" s="1062" t="s">
        <v>246</v>
      </c>
      <c r="D3289" s="1063"/>
      <c r="E3289" s="1063"/>
      <c r="F3289" s="1063"/>
      <c r="G3289" s="1063"/>
      <c r="H3289" s="1063"/>
      <c r="I3289" s="1063"/>
      <c r="J3289" s="1064"/>
      <c r="K3289" s="1084"/>
      <c r="L3289" s="1088"/>
      <c r="M3289" s="1089"/>
      <c r="N3289" s="1090"/>
    </row>
    <row r="3290" spans="2:14">
      <c r="B3290" s="1071"/>
      <c r="C3290" s="1091"/>
      <c r="D3290" s="1092"/>
      <c r="E3290" s="1092"/>
      <c r="F3290" s="1092"/>
      <c r="G3290" s="1092"/>
      <c r="H3290" s="1092"/>
      <c r="I3290" s="1092"/>
      <c r="J3290" s="1093"/>
      <c r="K3290" s="1058" t="s">
        <v>247</v>
      </c>
      <c r="L3290" s="1058">
        <v>37</v>
      </c>
      <c r="M3290" s="1058" t="s">
        <v>248</v>
      </c>
      <c r="N3290" s="1060">
        <v>80</v>
      </c>
    </row>
    <row r="3291" spans="2:14">
      <c r="B3291" s="1071"/>
      <c r="C3291" s="1091"/>
      <c r="D3291" s="1092"/>
      <c r="E3291" s="1092"/>
      <c r="F3291" s="1092"/>
      <c r="G3291" s="1092"/>
      <c r="H3291" s="1092"/>
      <c r="I3291" s="1092"/>
      <c r="J3291" s="1093"/>
      <c r="K3291" s="1059"/>
      <c r="L3291" s="1059"/>
      <c r="M3291" s="1059"/>
      <c r="N3291" s="1061"/>
    </row>
    <row r="3292" spans="2:14">
      <c r="B3292" s="1071"/>
      <c r="C3292" s="1062" t="s">
        <v>249</v>
      </c>
      <c r="D3292" s="1063"/>
      <c r="E3292" s="1063"/>
      <c r="F3292" s="1063"/>
      <c r="G3292" s="1063"/>
      <c r="H3292" s="1063"/>
      <c r="I3292" s="1063"/>
      <c r="J3292" s="1064"/>
      <c r="K3292" s="1059"/>
      <c r="L3292" s="1059"/>
      <c r="M3292" s="1059"/>
      <c r="N3292" s="1061"/>
    </row>
    <row r="3293" spans="2:14" ht="13.5" thickBot="1">
      <c r="B3293" s="259"/>
      <c r="C3293" s="260"/>
      <c r="D3293" s="260"/>
      <c r="E3293" s="260"/>
      <c r="F3293" s="260"/>
      <c r="G3293" s="260"/>
      <c r="H3293" s="260"/>
      <c r="I3293" s="260"/>
      <c r="J3293" s="260"/>
      <c r="K3293" s="260"/>
      <c r="L3293" s="261"/>
      <c r="M3293" s="261"/>
      <c r="N3293" s="262"/>
    </row>
    <row r="3294" spans="2:14">
      <c r="B3294" s="263"/>
      <c r="C3294" s="264"/>
      <c r="D3294" s="264"/>
      <c r="E3294" s="264"/>
      <c r="F3294" s="264"/>
      <c r="G3294" s="264"/>
      <c r="H3294" s="264"/>
      <c r="I3294" s="264"/>
      <c r="J3294" s="264"/>
      <c r="K3294" s="265" t="s">
        <v>250</v>
      </c>
      <c r="L3294" s="266" t="s">
        <v>251</v>
      </c>
      <c r="M3294" s="266" t="s">
        <v>252</v>
      </c>
      <c r="N3294" s="267" t="s">
        <v>253</v>
      </c>
    </row>
    <row r="3295" spans="2:14">
      <c r="B3295" s="268"/>
      <c r="C3295" s="269"/>
      <c r="D3295" s="269"/>
      <c r="E3295" s="269"/>
      <c r="F3295" s="269"/>
      <c r="G3295" s="269"/>
      <c r="H3295" s="269"/>
      <c r="I3295" s="269"/>
      <c r="J3295" s="269"/>
      <c r="K3295" s="270"/>
      <c r="L3295" s="271"/>
      <c r="M3295" s="271"/>
      <c r="N3295" s="272"/>
    </row>
    <row r="3296" spans="2:14">
      <c r="B3296" s="1065" t="s">
        <v>254</v>
      </c>
      <c r="C3296" s="1066"/>
      <c r="D3296" s="1066"/>
      <c r="E3296" s="1066"/>
      <c r="F3296" s="269"/>
      <c r="G3296" s="269"/>
      <c r="H3296" s="269" t="s">
        <v>255</v>
      </c>
      <c r="J3296" s="269"/>
      <c r="K3296" s="270"/>
      <c r="N3296" s="273"/>
    </row>
    <row r="3297" spans="2:14">
      <c r="B3297" s="274"/>
      <c r="C3297" s="275"/>
      <c r="D3297" s="275"/>
      <c r="E3297" s="275"/>
      <c r="F3297" s="275"/>
      <c r="G3297" s="275"/>
      <c r="H3297" s="275"/>
      <c r="I3297" s="275"/>
      <c r="J3297" s="275"/>
      <c r="K3297" s="275"/>
      <c r="L3297" s="275"/>
      <c r="M3297" s="275"/>
      <c r="N3297" s="276"/>
    </row>
    <row r="3298" spans="2:14" ht="13.5" thickBot="1">
      <c r="B3298" s="277"/>
      <c r="C3298" s="278"/>
      <c r="D3298" s="278"/>
      <c r="E3298" s="278"/>
      <c r="F3298" s="278"/>
      <c r="G3298" s="278"/>
      <c r="H3298" s="278"/>
      <c r="I3298" s="278"/>
      <c r="J3298" s="278"/>
      <c r="K3298" s="278"/>
      <c r="L3298" s="278"/>
      <c r="M3298" s="278"/>
      <c r="N3298" s="279"/>
    </row>
    <row r="3299" spans="2:14" ht="13.5" thickBot="1">
      <c r="B3299" s="280"/>
      <c r="C3299" s="281"/>
      <c r="D3299" s="281"/>
      <c r="E3299" s="281"/>
      <c r="F3299" s="281"/>
      <c r="G3299" s="281"/>
      <c r="J3299" s="281"/>
      <c r="K3299" s="281"/>
      <c r="L3299" s="281"/>
      <c r="M3299" s="281"/>
      <c r="N3299" s="282"/>
    </row>
    <row r="3300" spans="2:14">
      <c r="B3300" s="1067" t="s">
        <v>256</v>
      </c>
      <c r="C3300" s="1068"/>
      <c r="D3300" s="1068"/>
      <c r="E3300" s="1068"/>
      <c r="F3300" s="1068"/>
      <c r="G3300" s="1068"/>
      <c r="H3300" s="1068"/>
      <c r="I3300" s="1068"/>
      <c r="J3300" s="1068"/>
      <c r="K3300" s="1068"/>
      <c r="L3300" s="1068"/>
      <c r="M3300" s="1068"/>
      <c r="N3300" s="1069"/>
    </row>
    <row r="3301" spans="2:14" ht="13.5" thickBot="1">
      <c r="B3301" s="283"/>
      <c r="N3301" s="284"/>
    </row>
    <row r="3302" spans="2:14">
      <c r="B3302" s="285" t="s">
        <v>257</v>
      </c>
      <c r="C3302" s="1120" t="s">
        <v>258</v>
      </c>
      <c r="D3302" s="1121"/>
      <c r="E3302" s="1121"/>
      <c r="F3302" s="1121"/>
      <c r="G3302" s="1121"/>
      <c r="H3302" s="1121"/>
      <c r="I3302" s="1121"/>
      <c r="J3302" s="1121"/>
      <c r="K3302" s="1122"/>
      <c r="L3302" s="1123" t="s">
        <v>259</v>
      </c>
      <c r="M3302" s="1124"/>
      <c r="N3302" s="285" t="s">
        <v>133</v>
      </c>
    </row>
    <row r="3303" spans="2:14" ht="13.5" thickBot="1">
      <c r="B3303" s="286">
        <v>37</v>
      </c>
      <c r="C3303" s="1125" t="s">
        <v>178</v>
      </c>
      <c r="D3303" s="1126"/>
      <c r="E3303" s="1126"/>
      <c r="F3303" s="1126"/>
      <c r="G3303" s="1126"/>
      <c r="H3303" s="1126"/>
      <c r="I3303" s="1126"/>
      <c r="J3303" s="1126"/>
      <c r="K3303" s="1127"/>
      <c r="L3303" s="1128" t="s">
        <v>147</v>
      </c>
      <c r="M3303" s="1129"/>
      <c r="N3303" s="366">
        <v>8</v>
      </c>
    </row>
    <row r="3304" spans="2:14">
      <c r="B3304" s="1103"/>
      <c r="C3304" s="1104"/>
      <c r="D3304" s="1104"/>
      <c r="E3304" s="1104"/>
      <c r="F3304" s="1104"/>
      <c r="G3304" s="1104"/>
      <c r="H3304" s="1104"/>
      <c r="I3304" s="1104"/>
      <c r="J3304" s="1104"/>
      <c r="K3304" s="1104"/>
      <c r="L3304" s="1104"/>
      <c r="M3304" s="1104"/>
      <c r="N3304" s="1105"/>
    </row>
    <row r="3305" spans="2:14">
      <c r="B3305" s="1106"/>
      <c r="C3305" s="1107"/>
      <c r="D3305" s="1107"/>
      <c r="E3305" s="1107"/>
      <c r="F3305" s="1107"/>
      <c r="G3305" s="1107"/>
      <c r="H3305" s="1107"/>
      <c r="I3305" s="1107"/>
      <c r="J3305" s="1107"/>
      <c r="K3305" s="1107"/>
      <c r="L3305" s="1107"/>
      <c r="M3305" s="1107"/>
      <c r="N3305" s="1108"/>
    </row>
    <row r="3306" spans="2:14" ht="13.5" thickBot="1">
      <c r="B3306" s="1109"/>
      <c r="C3306" s="1110"/>
      <c r="D3306" s="1110"/>
      <c r="E3306" s="1110"/>
      <c r="F3306" s="1110"/>
      <c r="G3306" s="1110"/>
      <c r="H3306" s="1110"/>
      <c r="I3306" s="1110"/>
      <c r="J3306" s="1110"/>
      <c r="K3306" s="1110"/>
      <c r="L3306" s="1110"/>
      <c r="M3306" s="1110"/>
      <c r="N3306" s="1111"/>
    </row>
    <row r="3307" spans="2:14">
      <c r="B3307" s="1130" t="s">
        <v>258</v>
      </c>
      <c r="C3307" s="1131"/>
      <c r="D3307" s="1131"/>
      <c r="E3307" s="1131"/>
      <c r="F3307" s="1132"/>
      <c r="G3307" s="1133" t="s">
        <v>261</v>
      </c>
      <c r="H3307" s="1131"/>
      <c r="I3307" s="1134" t="s">
        <v>262</v>
      </c>
      <c r="J3307" s="1135"/>
      <c r="K3307" s="288" t="s">
        <v>263</v>
      </c>
      <c r="L3307" s="1133" t="s">
        <v>264</v>
      </c>
      <c r="M3307" s="1136"/>
      <c r="N3307" s="289" t="s">
        <v>265</v>
      </c>
    </row>
    <row r="3308" spans="2:14">
      <c r="B3308" s="1179" t="s">
        <v>355</v>
      </c>
      <c r="C3308" s="1180"/>
      <c r="D3308" s="1180"/>
      <c r="E3308" s="1180"/>
      <c r="F3308" s="1181"/>
      <c r="G3308" s="295"/>
      <c r="H3308" s="294"/>
      <c r="I3308" s="1182" t="s">
        <v>267</v>
      </c>
      <c r="J3308" s="1183"/>
      <c r="K3308" s="290">
        <v>333</v>
      </c>
      <c r="L3308" s="1118">
        <v>0.1666667</v>
      </c>
      <c r="M3308" s="1119"/>
      <c r="N3308" s="290">
        <f>+K3308/L3308</f>
        <v>1997.99960040008</v>
      </c>
    </row>
    <row r="3309" spans="2:14">
      <c r="B3309" s="1179" t="s">
        <v>356</v>
      </c>
      <c r="C3309" s="1180"/>
      <c r="D3309" s="1180"/>
      <c r="E3309" s="1180"/>
      <c r="F3309" s="1181"/>
      <c r="G3309" s="295"/>
      <c r="H3309" s="294"/>
      <c r="I3309" s="1182" t="s">
        <v>267</v>
      </c>
      <c r="J3309" s="1183"/>
      <c r="K3309" s="290">
        <v>186</v>
      </c>
      <c r="L3309" s="1118">
        <v>0.1666667</v>
      </c>
      <c r="M3309" s="1119"/>
      <c r="N3309" s="290">
        <f>+K3309/L3309</f>
        <v>1115.9997768000446</v>
      </c>
    </row>
    <row r="3310" spans="2:14">
      <c r="B3310" s="1179" t="s">
        <v>327</v>
      </c>
      <c r="C3310" s="1180"/>
      <c r="D3310" s="1180"/>
      <c r="E3310" s="1180"/>
      <c r="F3310" s="1181"/>
      <c r="G3310" s="295"/>
      <c r="H3310" s="294"/>
      <c r="I3310" s="1182" t="s">
        <v>267</v>
      </c>
      <c r="J3310" s="1183"/>
      <c r="K3310" s="290">
        <v>333</v>
      </c>
      <c r="L3310" s="1118">
        <v>0.5</v>
      </c>
      <c r="M3310" s="1119"/>
      <c r="N3310" s="290">
        <f>+K3310/L3310</f>
        <v>666</v>
      </c>
    </row>
    <row r="3311" spans="2:14">
      <c r="B3311" s="1179" t="s">
        <v>357</v>
      </c>
      <c r="C3311" s="1180"/>
      <c r="D3311" s="1180"/>
      <c r="E3311" s="1180"/>
      <c r="F3311" s="1181"/>
      <c r="G3311" s="295"/>
      <c r="H3311" s="294"/>
      <c r="I3311" s="1182" t="s">
        <v>267</v>
      </c>
      <c r="J3311" s="1183"/>
      <c r="K3311" s="290">
        <v>666</v>
      </c>
      <c r="L3311" s="1118">
        <v>1</v>
      </c>
      <c r="M3311" s="1119"/>
      <c r="N3311" s="290">
        <f>+K3311/L3311</f>
        <v>666</v>
      </c>
    </row>
    <row r="3312" spans="2:14" ht="13.5" thickBot="1">
      <c r="B3312" s="1179" t="s">
        <v>340</v>
      </c>
      <c r="C3312" s="1180"/>
      <c r="D3312" s="1180"/>
      <c r="E3312" s="1180"/>
      <c r="F3312" s="1181"/>
      <c r="G3312" s="295"/>
      <c r="H3312" s="294"/>
      <c r="I3312" s="1182" t="s">
        <v>267</v>
      </c>
      <c r="J3312" s="1183"/>
      <c r="K3312" s="290">
        <v>45220</v>
      </c>
      <c r="L3312" s="1118">
        <v>7.0000070000000001</v>
      </c>
      <c r="M3312" s="1119"/>
      <c r="N3312" s="290">
        <f>+K3312/L3312</f>
        <v>6459.9935400064596</v>
      </c>
    </row>
    <row r="3313" spans="2:17" ht="13.5" thickBot="1">
      <c r="B3313" s="1100" t="s">
        <v>269</v>
      </c>
      <c r="C3313" s="1101"/>
      <c r="D3313" s="1101"/>
      <c r="E3313" s="1101"/>
      <c r="F3313" s="1101"/>
      <c r="G3313" s="1101"/>
      <c r="H3313" s="1101"/>
      <c r="I3313" s="1101"/>
      <c r="J3313" s="1101"/>
      <c r="K3313" s="1101"/>
      <c r="L3313" s="1101"/>
      <c r="M3313" s="1102"/>
      <c r="N3313" s="323">
        <f>+N3308+N3309+N3310+N3311+N3312</f>
        <v>10905.992917206584</v>
      </c>
    </row>
    <row r="3314" spans="2:17">
      <c r="B3314" s="1103" t="s">
        <v>270</v>
      </c>
      <c r="C3314" s="1104"/>
      <c r="D3314" s="1104"/>
      <c r="E3314" s="1104"/>
      <c r="F3314" s="1104"/>
      <c r="G3314" s="1104"/>
      <c r="H3314" s="1104"/>
      <c r="I3314" s="1104"/>
      <c r="J3314" s="1104"/>
      <c r="K3314" s="1104"/>
      <c r="L3314" s="1104"/>
      <c r="M3314" s="1104"/>
      <c r="N3314" s="1105"/>
    </row>
    <row r="3315" spans="2:17">
      <c r="B3315" s="1106"/>
      <c r="C3315" s="1107"/>
      <c r="D3315" s="1107"/>
      <c r="E3315" s="1107"/>
      <c r="F3315" s="1107"/>
      <c r="G3315" s="1107"/>
      <c r="H3315" s="1107"/>
      <c r="I3315" s="1107"/>
      <c r="J3315" s="1107"/>
      <c r="K3315" s="1107"/>
      <c r="L3315" s="1107"/>
      <c r="M3315" s="1107"/>
      <c r="N3315" s="1108"/>
    </row>
    <row r="3316" spans="2:17" ht="13.5" thickBot="1">
      <c r="B3316" s="1109"/>
      <c r="C3316" s="1110"/>
      <c r="D3316" s="1110"/>
      <c r="E3316" s="1110"/>
      <c r="F3316" s="1110"/>
      <c r="G3316" s="1110"/>
      <c r="H3316" s="1110"/>
      <c r="I3316" s="1110"/>
      <c r="J3316" s="1110"/>
      <c r="K3316" s="1110"/>
      <c r="L3316" s="1110"/>
      <c r="M3316" s="1110"/>
      <c r="N3316" s="1111"/>
    </row>
    <row r="3317" spans="2:17">
      <c r="B3317" s="1130" t="s">
        <v>258</v>
      </c>
      <c r="C3317" s="1139"/>
      <c r="D3317" s="1139"/>
      <c r="E3317" s="1139"/>
      <c r="F3317" s="1139"/>
      <c r="G3317" s="1139"/>
      <c r="H3317" s="1139"/>
      <c r="I3317" s="1136"/>
      <c r="J3317" s="299" t="s">
        <v>259</v>
      </c>
      <c r="K3317" s="288" t="s">
        <v>133</v>
      </c>
      <c r="L3317" s="1133" t="s">
        <v>271</v>
      </c>
      <c r="M3317" s="1136"/>
      <c r="N3317" s="289" t="s">
        <v>265</v>
      </c>
    </row>
    <row r="3318" spans="2:17">
      <c r="B3318" s="1112" t="s">
        <v>353</v>
      </c>
      <c r="C3318" s="1113"/>
      <c r="D3318" s="1113"/>
      <c r="E3318" s="1113"/>
      <c r="F3318" s="1113"/>
      <c r="G3318" s="1113"/>
      <c r="H3318" s="1113"/>
      <c r="I3318" s="1114"/>
      <c r="J3318" s="300" t="s">
        <v>196</v>
      </c>
      <c r="K3318" s="301">
        <v>0.33</v>
      </c>
      <c r="L3318" s="1144">
        <v>139230</v>
      </c>
      <c r="M3318" s="1145"/>
      <c r="N3318" s="363">
        <f>+K3318*L3318</f>
        <v>45945.9</v>
      </c>
    </row>
    <row r="3319" spans="2:17" ht="13.5" thickBot="1">
      <c r="B3319" s="402" t="s">
        <v>348</v>
      </c>
      <c r="C3319" s="353"/>
      <c r="D3319" s="353"/>
      <c r="E3319" s="353"/>
      <c r="F3319" s="353"/>
      <c r="G3319" s="353"/>
      <c r="H3319" s="353"/>
      <c r="I3319" s="403"/>
      <c r="J3319" s="303" t="s">
        <v>147</v>
      </c>
      <c r="K3319" s="392">
        <v>1.05</v>
      </c>
      <c r="L3319" s="1144">
        <v>369520</v>
      </c>
      <c r="M3319" s="1145"/>
      <c r="N3319" s="363">
        <f>+K3319*L3319</f>
        <v>387996</v>
      </c>
    </row>
    <row r="3320" spans="2:17" ht="13.5" thickBot="1">
      <c r="B3320" s="1100" t="s">
        <v>269</v>
      </c>
      <c r="C3320" s="1101"/>
      <c r="D3320" s="1101"/>
      <c r="E3320" s="1101"/>
      <c r="F3320" s="1101"/>
      <c r="G3320" s="1101"/>
      <c r="H3320" s="1101"/>
      <c r="I3320" s="1101"/>
      <c r="J3320" s="1101"/>
      <c r="K3320" s="1101"/>
      <c r="L3320" s="1101"/>
      <c r="M3320" s="1102"/>
      <c r="N3320" s="323">
        <f>+N3318+N3319</f>
        <v>433941.9</v>
      </c>
    </row>
    <row r="3321" spans="2:17">
      <c r="B3321" s="1103" t="s">
        <v>276</v>
      </c>
      <c r="C3321" s="1104"/>
      <c r="D3321" s="1104"/>
      <c r="E3321" s="1104"/>
      <c r="F3321" s="1104"/>
      <c r="G3321" s="1104"/>
      <c r="H3321" s="1104"/>
      <c r="I3321" s="1104"/>
      <c r="J3321" s="1104"/>
      <c r="K3321" s="1104"/>
      <c r="L3321" s="1104"/>
      <c r="M3321" s="1104"/>
      <c r="N3321" s="1105"/>
    </row>
    <row r="3322" spans="2:17">
      <c r="B3322" s="1106"/>
      <c r="C3322" s="1107"/>
      <c r="D3322" s="1107"/>
      <c r="E3322" s="1107"/>
      <c r="F3322" s="1107"/>
      <c r="G3322" s="1107"/>
      <c r="H3322" s="1107"/>
      <c r="I3322" s="1107"/>
      <c r="J3322" s="1107"/>
      <c r="K3322" s="1107"/>
      <c r="L3322" s="1107"/>
      <c r="M3322" s="1107"/>
      <c r="N3322" s="1108"/>
    </row>
    <row r="3323" spans="2:17" ht="13.5" thickBot="1">
      <c r="B3323" s="1109"/>
      <c r="C3323" s="1110"/>
      <c r="D3323" s="1110"/>
      <c r="E3323" s="1110"/>
      <c r="F3323" s="1110"/>
      <c r="G3323" s="1110"/>
      <c r="H3323" s="1110"/>
      <c r="I3323" s="1110"/>
      <c r="J3323" s="1110"/>
      <c r="K3323" s="1110"/>
      <c r="L3323" s="1110"/>
      <c r="M3323" s="1110"/>
      <c r="N3323" s="1111"/>
      <c r="Q3323" s="408"/>
    </row>
    <row r="3324" spans="2:17">
      <c r="B3324" s="1130" t="s">
        <v>277</v>
      </c>
      <c r="C3324" s="1139"/>
      <c r="D3324" s="1139"/>
      <c r="E3324" s="1139"/>
      <c r="F3324" s="1139"/>
      <c r="G3324" s="1139"/>
      <c r="H3324" s="1139"/>
      <c r="I3324" s="288" t="s">
        <v>278</v>
      </c>
      <c r="J3324" s="306" t="s">
        <v>279</v>
      </c>
      <c r="K3324" s="307" t="s">
        <v>280</v>
      </c>
      <c r="L3324" s="1133" t="s">
        <v>281</v>
      </c>
      <c r="M3324" s="1136"/>
      <c r="N3324" s="289" t="s">
        <v>265</v>
      </c>
    </row>
    <row r="3325" spans="2:17" ht="13.5" thickBot="1">
      <c r="B3325" s="1112"/>
      <c r="C3325" s="1113"/>
      <c r="D3325" s="1113"/>
      <c r="E3325" s="1113"/>
      <c r="F3325" s="1113"/>
      <c r="G3325" s="1113"/>
      <c r="H3325" s="1113"/>
      <c r="I3325" s="393"/>
      <c r="J3325" s="309"/>
      <c r="K3325" s="308"/>
      <c r="L3325" s="1144"/>
      <c r="M3325" s="1145"/>
      <c r="N3325" s="363"/>
    </row>
    <row r="3326" spans="2:17" ht="13.5" thickBot="1">
      <c r="B3326" s="1100" t="s">
        <v>269</v>
      </c>
      <c r="C3326" s="1101"/>
      <c r="D3326" s="1101"/>
      <c r="E3326" s="1101"/>
      <c r="F3326" s="1101"/>
      <c r="G3326" s="1101"/>
      <c r="H3326" s="1101"/>
      <c r="I3326" s="1101"/>
      <c r="J3326" s="1101"/>
      <c r="K3326" s="1101"/>
      <c r="L3326" s="1101"/>
      <c r="M3326" s="1102"/>
      <c r="N3326" s="323">
        <f>+N3325</f>
        <v>0</v>
      </c>
    </row>
    <row r="3327" spans="2:17">
      <c r="B3327" s="1103" t="s">
        <v>282</v>
      </c>
      <c r="C3327" s="1104"/>
      <c r="D3327" s="1104"/>
      <c r="E3327" s="1104"/>
      <c r="F3327" s="1104"/>
      <c r="G3327" s="1104"/>
      <c r="H3327" s="1104"/>
      <c r="I3327" s="1104"/>
      <c r="J3327" s="1104"/>
      <c r="K3327" s="1104"/>
      <c r="L3327" s="1104"/>
      <c r="M3327" s="1104"/>
      <c r="N3327" s="1105"/>
    </row>
    <row r="3328" spans="2:17">
      <c r="B3328" s="1106"/>
      <c r="C3328" s="1107"/>
      <c r="D3328" s="1107"/>
      <c r="E3328" s="1107"/>
      <c r="F3328" s="1107"/>
      <c r="G3328" s="1107"/>
      <c r="H3328" s="1107"/>
      <c r="I3328" s="1107"/>
      <c r="J3328" s="1107"/>
      <c r="K3328" s="1107"/>
      <c r="L3328" s="1107"/>
      <c r="M3328" s="1107"/>
      <c r="N3328" s="1108"/>
    </row>
    <row r="3329" spans="2:17" ht="13.5" thickBot="1">
      <c r="B3329" s="1109"/>
      <c r="C3329" s="1110"/>
      <c r="D3329" s="1110"/>
      <c r="E3329" s="1110"/>
      <c r="F3329" s="1110"/>
      <c r="G3329" s="1110"/>
      <c r="H3329" s="1110"/>
      <c r="I3329" s="1110"/>
      <c r="J3329" s="1110"/>
      <c r="K3329" s="1110"/>
      <c r="L3329" s="1110"/>
      <c r="M3329" s="1110"/>
      <c r="N3329" s="1111"/>
      <c r="P3329" s="408"/>
    </row>
    <row r="3330" spans="2:17">
      <c r="B3330" s="1130" t="s">
        <v>283</v>
      </c>
      <c r="C3330" s="1139"/>
      <c r="D3330" s="1139"/>
      <c r="E3330" s="1139"/>
      <c r="F3330" s="1139"/>
      <c r="G3330" s="1139"/>
      <c r="H3330" s="1139"/>
      <c r="I3330" s="288" t="s">
        <v>284</v>
      </c>
      <c r="J3330" s="314" t="s">
        <v>285</v>
      </c>
      <c r="K3330" s="315" t="s">
        <v>286</v>
      </c>
      <c r="L3330" s="1140" t="s">
        <v>264</v>
      </c>
      <c r="M3330" s="1141"/>
      <c r="N3330" s="316" t="s">
        <v>265</v>
      </c>
    </row>
    <row r="3331" spans="2:17" ht="13.5" thickBot="1">
      <c r="B3331" s="317" t="s">
        <v>344</v>
      </c>
      <c r="C3331" s="318"/>
      <c r="D3331" s="318"/>
      <c r="E3331" s="318"/>
      <c r="F3331" s="318"/>
      <c r="G3331" s="318"/>
      <c r="H3331" s="318"/>
      <c r="I3331" s="319">
        <v>153482</v>
      </c>
      <c r="J3331" s="321">
        <v>0</v>
      </c>
      <c r="K3331" s="321">
        <f>+I3331+J3331</f>
        <v>153482</v>
      </c>
      <c r="L3331" s="1157">
        <v>1.5001500000000001</v>
      </c>
      <c r="M3331" s="1158"/>
      <c r="N3331" s="322">
        <f>+K3331/L3331</f>
        <v>102311.10222311101</v>
      </c>
    </row>
    <row r="3332" spans="2:17" ht="13.5" thickBot="1">
      <c r="B3332" s="1100" t="s">
        <v>269</v>
      </c>
      <c r="C3332" s="1101"/>
      <c r="D3332" s="1101"/>
      <c r="E3332" s="1101"/>
      <c r="F3332" s="1101"/>
      <c r="G3332" s="1101"/>
      <c r="H3332" s="1101"/>
      <c r="I3332" s="1101"/>
      <c r="J3332" s="1101"/>
      <c r="K3332" s="1101"/>
      <c r="L3332" s="1101"/>
      <c r="M3332" s="1102"/>
      <c r="N3332" s="323">
        <f>+N3331</f>
        <v>102311.10222311101</v>
      </c>
    </row>
    <row r="3333" spans="2:17" ht="13.5" thickBot="1">
      <c r="B3333" s="324" t="s">
        <v>288</v>
      </c>
      <c r="C3333" s="325"/>
      <c r="D3333" s="325"/>
      <c r="E3333" s="325"/>
      <c r="F3333" s="325"/>
      <c r="G3333" s="325"/>
      <c r="H3333" s="325"/>
      <c r="I3333" s="326"/>
      <c r="J3333" s="327"/>
      <c r="K3333" s="328"/>
      <c r="L3333" s="329"/>
      <c r="M3333" s="329"/>
      <c r="N3333" s="330"/>
    </row>
    <row r="3334" spans="2:17">
      <c r="B3334" s="1130" t="s">
        <v>17</v>
      </c>
      <c r="C3334" s="1139"/>
      <c r="D3334" s="1139"/>
      <c r="E3334" s="1139"/>
      <c r="F3334" s="1139"/>
      <c r="G3334" s="1139"/>
      <c r="H3334" s="1139"/>
      <c r="I3334" s="1136"/>
      <c r="J3334" s="299" t="s">
        <v>259</v>
      </c>
      <c r="K3334" s="288" t="s">
        <v>133</v>
      </c>
      <c r="L3334" s="1133" t="s">
        <v>271</v>
      </c>
      <c r="M3334" s="1136"/>
      <c r="N3334" s="316" t="s">
        <v>265</v>
      </c>
      <c r="P3334" s="408">
        <v>4418200</v>
      </c>
    </row>
    <row r="3335" spans="2:17" ht="13.5" thickBot="1">
      <c r="B3335" s="331" t="s">
        <v>289</v>
      </c>
      <c r="C3335" s="332"/>
      <c r="D3335" s="332"/>
      <c r="E3335" s="332"/>
      <c r="F3335" s="332"/>
      <c r="G3335" s="332"/>
      <c r="H3335" s="332"/>
      <c r="I3335" s="333"/>
      <c r="J3335" s="334" t="s">
        <v>290</v>
      </c>
      <c r="K3335" s="335">
        <v>0.05</v>
      </c>
      <c r="L3335" s="1144">
        <f>+N3332</f>
        <v>102311.10222311101</v>
      </c>
      <c r="M3335" s="1145"/>
      <c r="N3335" s="322">
        <f>+K3335*L3335</f>
        <v>5115.5551111555505</v>
      </c>
    </row>
    <row r="3336" spans="2:17" ht="13.5" thickBot="1">
      <c r="B3336" s="1100" t="s">
        <v>269</v>
      </c>
      <c r="C3336" s="1101"/>
      <c r="D3336" s="1101"/>
      <c r="E3336" s="1101"/>
      <c r="F3336" s="1101"/>
      <c r="G3336" s="1101"/>
      <c r="H3336" s="1101"/>
      <c r="I3336" s="1101"/>
      <c r="J3336" s="1101"/>
      <c r="K3336" s="1101"/>
      <c r="L3336" s="1101"/>
      <c r="M3336" s="1102"/>
      <c r="N3336" s="323">
        <f>+N3335</f>
        <v>5115.5551111555505</v>
      </c>
      <c r="P3336" s="258">
        <f>+N3339*N3303</f>
        <v>4418196.4020117847</v>
      </c>
      <c r="Q3336" s="408">
        <f>+P3336-P3334</f>
        <v>-3.5979882152751088</v>
      </c>
    </row>
    <row r="3337" spans="2:17">
      <c r="B3337" s="280"/>
      <c r="C3337" s="281"/>
      <c r="D3337" s="281"/>
      <c r="E3337" s="281"/>
      <c r="F3337" s="281"/>
      <c r="G3337" s="281"/>
      <c r="H3337" s="281"/>
      <c r="I3337" s="281"/>
      <c r="J3337" s="281"/>
      <c r="K3337" s="281"/>
      <c r="L3337" s="281"/>
      <c r="M3337" s="281"/>
      <c r="N3337" s="282"/>
    </row>
    <row r="3338" spans="2:17" ht="13.5" thickBot="1">
      <c r="B3338" s="378"/>
      <c r="C3338" s="311"/>
      <c r="D3338" s="311"/>
      <c r="E3338" s="311"/>
      <c r="F3338" s="311"/>
      <c r="G3338" s="311"/>
      <c r="H3338" s="311"/>
      <c r="I3338" s="311"/>
      <c r="J3338" s="311"/>
      <c r="K3338" s="311"/>
      <c r="L3338" s="311"/>
      <c r="M3338" s="311"/>
      <c r="N3338" s="379"/>
    </row>
    <row r="3339" spans="2:17" ht="13.5" thickBot="1">
      <c r="B3339" s="1150" t="s">
        <v>291</v>
      </c>
      <c r="C3339" s="1151"/>
      <c r="D3339" s="1151"/>
      <c r="E3339" s="1151"/>
      <c r="F3339" s="1151"/>
      <c r="G3339" s="1151"/>
      <c r="H3339" s="1151"/>
      <c r="I3339" s="1151"/>
      <c r="J3339" s="1151"/>
      <c r="K3339" s="1151"/>
      <c r="L3339" s="1151"/>
      <c r="M3339" s="1152"/>
      <c r="N3339" s="336">
        <f>+N3313+N3320+N3326+N3332+N3336</f>
        <v>552274.55025147309</v>
      </c>
    </row>
    <row r="3340" spans="2:17">
      <c r="B3340" s="1103" t="s">
        <v>292</v>
      </c>
      <c r="C3340" s="1104"/>
      <c r="D3340" s="1104"/>
      <c r="E3340" s="1104"/>
      <c r="F3340" s="1104"/>
      <c r="G3340" s="1104"/>
      <c r="H3340" s="1104"/>
      <c r="I3340" s="1104"/>
      <c r="J3340" s="1104"/>
      <c r="K3340" s="1104"/>
      <c r="L3340" s="1104"/>
      <c r="M3340" s="1104"/>
      <c r="N3340" s="1105"/>
    </row>
    <row r="3341" spans="2:17">
      <c r="B3341" s="1106"/>
      <c r="C3341" s="1107"/>
      <c r="D3341" s="1107"/>
      <c r="E3341" s="1107"/>
      <c r="F3341" s="1107"/>
      <c r="G3341" s="1107"/>
      <c r="H3341" s="1107"/>
      <c r="I3341" s="1107"/>
      <c r="J3341" s="1107"/>
      <c r="K3341" s="1107"/>
      <c r="L3341" s="1107"/>
      <c r="M3341" s="1107"/>
      <c r="N3341" s="1108"/>
    </row>
    <row r="3342" spans="2:17" ht="13.5" thickBot="1">
      <c r="B3342" s="1109"/>
      <c r="C3342" s="1110"/>
      <c r="D3342" s="1110"/>
      <c r="E3342" s="1110"/>
      <c r="F3342" s="1110"/>
      <c r="G3342" s="1110"/>
      <c r="H3342" s="1110"/>
      <c r="I3342" s="1110"/>
      <c r="J3342" s="1110"/>
      <c r="K3342" s="1110"/>
      <c r="L3342" s="1110"/>
      <c r="M3342" s="1110"/>
      <c r="N3342" s="1111"/>
    </row>
    <row r="3343" spans="2:17">
      <c r="B3343" s="1130" t="s">
        <v>17</v>
      </c>
      <c r="C3343" s="1139"/>
      <c r="D3343" s="1139"/>
      <c r="E3343" s="1139"/>
      <c r="F3343" s="1139"/>
      <c r="G3343" s="1139"/>
      <c r="H3343" s="1139"/>
      <c r="I3343" s="306"/>
      <c r="J3343" s="337"/>
      <c r="K3343" s="315" t="s">
        <v>79</v>
      </c>
      <c r="L3343" s="1140" t="s">
        <v>11</v>
      </c>
      <c r="M3343" s="1141"/>
      <c r="N3343" s="316"/>
    </row>
    <row r="3344" spans="2:17">
      <c r="B3344" s="1112" t="s">
        <v>232</v>
      </c>
      <c r="C3344" s="1113"/>
      <c r="D3344" s="1113"/>
      <c r="E3344" s="1113"/>
      <c r="F3344" s="1113"/>
      <c r="G3344" s="1113"/>
      <c r="H3344" s="1113"/>
      <c r="I3344" s="338"/>
      <c r="J3344" s="339"/>
      <c r="K3344" s="340">
        <f>'PRESUPUESTO OFICIAL'!$K$100</f>
        <v>0</v>
      </c>
      <c r="L3344" s="1146">
        <f>K3344*N3339</f>
        <v>0</v>
      </c>
      <c r="M3344" s="1147"/>
      <c r="N3344" s="341"/>
    </row>
    <row r="3345" spans="2:14">
      <c r="B3345" s="292" t="s">
        <v>293</v>
      </c>
      <c r="C3345" s="293"/>
      <c r="D3345" s="293"/>
      <c r="E3345" s="293"/>
      <c r="F3345" s="293"/>
      <c r="G3345" s="293"/>
      <c r="H3345" s="293"/>
      <c r="I3345" s="338"/>
      <c r="J3345" s="339"/>
      <c r="K3345" s="340">
        <f>'PRESUPUESTO OFICIAL'!$K$101</f>
        <v>0</v>
      </c>
      <c r="L3345" s="1146">
        <f>K3345*N3339</f>
        <v>0</v>
      </c>
      <c r="M3345" s="1147"/>
      <c r="N3345" s="341"/>
    </row>
    <row r="3346" spans="2:14" ht="13.5" thickBot="1">
      <c r="B3346" s="277" t="s">
        <v>294</v>
      </c>
      <c r="C3346" s="278"/>
      <c r="D3346" s="278"/>
      <c r="E3346" s="278"/>
      <c r="F3346" s="278"/>
      <c r="G3346" s="278"/>
      <c r="H3346" s="278"/>
      <c r="I3346" s="342"/>
      <c r="J3346" s="343"/>
      <c r="K3346" s="340">
        <f>'PRESUPUESTO OFICIAL'!$K$102</f>
        <v>0</v>
      </c>
      <c r="L3346" s="1148">
        <f>K3346*N3339</f>
        <v>0</v>
      </c>
      <c r="M3346" s="1149"/>
      <c r="N3346" s="341"/>
    </row>
    <row r="3347" spans="2:14" ht="13.5" thickBot="1">
      <c r="B3347" s="1100" t="s">
        <v>269</v>
      </c>
      <c r="C3347" s="1101"/>
      <c r="D3347" s="1101"/>
      <c r="E3347" s="1101"/>
      <c r="F3347" s="1101"/>
      <c r="G3347" s="1101"/>
      <c r="H3347" s="1101"/>
      <c r="I3347" s="1101"/>
      <c r="J3347" s="1101"/>
      <c r="K3347" s="1101"/>
      <c r="L3347" s="1101"/>
      <c r="M3347" s="1102"/>
      <c r="N3347" s="344">
        <f>SUM(L3344:M3346)</f>
        <v>0</v>
      </c>
    </row>
    <row r="3348" spans="2:14" ht="13.5" thickBot="1">
      <c r="B3348" s="283"/>
      <c r="N3348" s="284"/>
    </row>
    <row r="3349" spans="2:14" ht="13.5" thickBot="1">
      <c r="B3349" s="1150" t="s">
        <v>295</v>
      </c>
      <c r="C3349" s="1151"/>
      <c r="D3349" s="1151"/>
      <c r="E3349" s="1151"/>
      <c r="F3349" s="1151"/>
      <c r="G3349" s="1151"/>
      <c r="H3349" s="1151"/>
      <c r="I3349" s="1151"/>
      <c r="J3349" s="1151"/>
      <c r="K3349" s="1151"/>
      <c r="L3349" s="1151"/>
      <c r="M3349" s="1152"/>
      <c r="N3349" s="345">
        <f>ROUND(N3339+N3347,0)</f>
        <v>552275</v>
      </c>
    </row>
    <row r="3350" spans="2:14">
      <c r="B3350" s="280"/>
      <c r="C3350" s="281"/>
      <c r="D3350" s="281"/>
      <c r="E3350" s="281"/>
      <c r="F3350" s="281"/>
      <c r="G3350" s="281"/>
      <c r="H3350" s="281"/>
      <c r="I3350" s="281"/>
      <c r="J3350" s="281"/>
      <c r="K3350" s="281"/>
      <c r="L3350" s="281"/>
      <c r="M3350" s="281"/>
      <c r="N3350" s="282"/>
    </row>
    <row r="3351" spans="2:14">
      <c r="B3351" s="283"/>
      <c r="N3351" s="284"/>
    </row>
    <row r="3352" spans="2:14">
      <c r="B3352" s="283"/>
      <c r="N3352" s="284"/>
    </row>
    <row r="3353" spans="2:14">
      <c r="B3353" s="283"/>
      <c r="G3353" s="346" t="s">
        <v>296</v>
      </c>
      <c r="H3353" s="346"/>
      <c r="I3353" s="346"/>
      <c r="J3353" s="346"/>
      <c r="N3353" s="284"/>
    </row>
    <row r="3354" spans="2:14">
      <c r="B3354" s="347"/>
      <c r="C3354" s="348"/>
      <c r="D3354" s="348"/>
      <c r="E3354" s="348"/>
      <c r="F3354" s="348"/>
      <c r="G3354" s="346" t="s">
        <v>297</v>
      </c>
      <c r="H3354" s="348"/>
      <c r="I3354" s="348"/>
      <c r="J3354" s="348"/>
      <c r="K3354" s="348"/>
      <c r="L3354" s="348"/>
      <c r="M3354" s="348"/>
      <c r="N3354" s="349"/>
    </row>
    <row r="3355" spans="2:14">
      <c r="B3355" s="347"/>
      <c r="C3355" s="348"/>
      <c r="D3355" s="348"/>
      <c r="E3355" s="348"/>
      <c r="F3355" s="348"/>
      <c r="G3355" s="346" t="s">
        <v>298</v>
      </c>
      <c r="J3355" s="348"/>
      <c r="K3355" s="348"/>
      <c r="L3355" s="348"/>
      <c r="M3355" s="348"/>
      <c r="N3355" s="349"/>
    </row>
    <row r="3356" spans="2:14">
      <c r="B3356" s="268"/>
      <c r="C3356" s="350"/>
      <c r="D3356" s="350"/>
      <c r="E3356" s="350"/>
      <c r="F3356" s="350"/>
      <c r="G3356" s="346" t="s">
        <v>299</v>
      </c>
      <c r="H3356" s="350"/>
      <c r="I3356" s="350"/>
      <c r="J3356" s="350"/>
      <c r="K3356" s="350"/>
      <c r="L3356" s="350"/>
      <c r="M3356" s="350"/>
      <c r="N3356" s="351"/>
    </row>
    <row r="3357" spans="2:14">
      <c r="B3357" s="283"/>
      <c r="G3357" s="258" t="s">
        <v>300</v>
      </c>
      <c r="N3357" s="284"/>
    </row>
    <row r="3358" spans="2:14">
      <c r="B3358" s="352" t="s">
        <v>301</v>
      </c>
      <c r="C3358" s="353"/>
      <c r="D3358" s="353"/>
      <c r="E3358" s="353"/>
      <c r="F3358" s="353"/>
      <c r="G3358" s="353"/>
      <c r="H3358" s="353"/>
      <c r="I3358" s="353"/>
      <c r="J3358" s="353"/>
      <c r="K3358" s="353"/>
      <c r="L3358" s="353"/>
      <c r="M3358" s="353"/>
      <c r="N3358" s="354"/>
    </row>
    <row r="3359" spans="2:14">
      <c r="B3359" s="1153"/>
      <c r="C3359" s="1154"/>
      <c r="D3359" s="1154"/>
      <c r="E3359" s="1154"/>
      <c r="F3359" s="1154"/>
      <c r="G3359" s="1154"/>
      <c r="H3359" s="1154"/>
      <c r="I3359" s="1154"/>
      <c r="J3359" s="1154"/>
      <c r="K3359" s="1154"/>
      <c r="L3359" s="1154"/>
      <c r="M3359" s="1154"/>
      <c r="N3359" s="1155"/>
    </row>
    <row r="3360" spans="2:14">
      <c r="B3360" s="1153"/>
      <c r="C3360" s="1154"/>
      <c r="D3360" s="1154"/>
      <c r="E3360" s="1154"/>
      <c r="F3360" s="1154"/>
      <c r="G3360" s="1154"/>
      <c r="H3360" s="1154"/>
      <c r="I3360" s="1154"/>
      <c r="J3360" s="1154"/>
      <c r="K3360" s="1154"/>
      <c r="L3360" s="1154"/>
      <c r="M3360" s="1154"/>
      <c r="N3360" s="1155"/>
    </row>
    <row r="3361" spans="2:14">
      <c r="B3361" s="268"/>
      <c r="C3361" s="350"/>
      <c r="D3361" s="350"/>
      <c r="E3361" s="350"/>
      <c r="F3361" s="350"/>
      <c r="G3361" s="350"/>
      <c r="H3361" s="350"/>
      <c r="I3361" s="350"/>
      <c r="J3361" s="350"/>
      <c r="K3361" s="350"/>
      <c r="L3361" s="350"/>
      <c r="M3361" s="350"/>
      <c r="N3361" s="351"/>
    </row>
    <row r="3362" spans="2:14">
      <c r="B3362" s="355" t="s">
        <v>302</v>
      </c>
      <c r="C3362" s="350"/>
      <c r="D3362" s="350"/>
      <c r="E3362" s="350"/>
      <c r="F3362" s="350"/>
      <c r="G3362" s="350"/>
      <c r="H3362" s="350"/>
      <c r="I3362" s="350"/>
      <c r="J3362" s="350"/>
      <c r="K3362" s="350"/>
      <c r="L3362" s="350"/>
      <c r="M3362" s="350"/>
      <c r="N3362" s="351"/>
    </row>
    <row r="3363" spans="2:14">
      <c r="B3363" s="1159" t="s">
        <v>303</v>
      </c>
      <c r="C3363" s="1160"/>
      <c r="D3363" s="1160"/>
      <c r="E3363" s="1160"/>
      <c r="F3363" s="1160"/>
      <c r="G3363" s="1160"/>
      <c r="H3363" s="1160"/>
      <c r="I3363" s="1160"/>
      <c r="J3363" s="1160"/>
      <c r="K3363" s="1160"/>
      <c r="L3363" s="1160"/>
      <c r="M3363" s="1160"/>
      <c r="N3363" s="1161"/>
    </row>
    <row r="3364" spans="2:14">
      <c r="B3364" s="1159"/>
      <c r="C3364" s="1160"/>
      <c r="D3364" s="1160"/>
      <c r="E3364" s="1160"/>
      <c r="F3364" s="1160"/>
      <c r="G3364" s="1160"/>
      <c r="H3364" s="1160"/>
      <c r="I3364" s="1160"/>
      <c r="J3364" s="1160"/>
      <c r="K3364" s="1160"/>
      <c r="L3364" s="1160"/>
      <c r="M3364" s="1160"/>
      <c r="N3364" s="1161"/>
    </row>
    <row r="3365" spans="2:14">
      <c r="B3365" s="1159" t="s">
        <v>304</v>
      </c>
      <c r="C3365" s="1160"/>
      <c r="D3365" s="1160"/>
      <c r="E3365" s="1160"/>
      <c r="F3365" s="1160"/>
      <c r="G3365" s="1160"/>
      <c r="H3365" s="1160"/>
      <c r="I3365" s="1160"/>
      <c r="J3365" s="1160"/>
      <c r="K3365" s="1160"/>
      <c r="L3365" s="1160"/>
      <c r="M3365" s="1160"/>
      <c r="N3365" s="1161"/>
    </row>
    <row r="3366" spans="2:14">
      <c r="B3366" s="1159"/>
      <c r="C3366" s="1160"/>
      <c r="D3366" s="1160"/>
      <c r="E3366" s="1160"/>
      <c r="F3366" s="1160"/>
      <c r="G3366" s="1160"/>
      <c r="H3366" s="1160"/>
      <c r="I3366" s="1160"/>
      <c r="J3366" s="1160"/>
      <c r="K3366" s="1160"/>
      <c r="L3366" s="1160"/>
      <c r="M3366" s="1160"/>
      <c r="N3366" s="1161"/>
    </row>
    <row r="3367" spans="2:14">
      <c r="B3367" s="268"/>
      <c r="C3367" s="350"/>
      <c r="D3367" s="350"/>
      <c r="E3367" s="350"/>
      <c r="F3367" s="350"/>
      <c r="G3367" s="350"/>
      <c r="H3367" s="350"/>
      <c r="I3367" s="350"/>
      <c r="J3367" s="350"/>
      <c r="K3367" s="350"/>
      <c r="L3367" s="350"/>
      <c r="M3367" s="350"/>
      <c r="N3367" s="351"/>
    </row>
    <row r="3368" spans="2:14">
      <c r="B3368" s="283"/>
      <c r="G3368" s="346" t="s">
        <v>296</v>
      </c>
      <c r="N3368" s="284"/>
    </row>
    <row r="3369" spans="2:14">
      <c r="B3369" s="283"/>
      <c r="G3369" s="258" t="s">
        <v>305</v>
      </c>
      <c r="H3369" s="293"/>
      <c r="I3369" s="293"/>
      <c r="J3369" s="293"/>
      <c r="N3369" s="284"/>
    </row>
    <row r="3370" spans="2:14">
      <c r="B3370" s="283"/>
      <c r="G3370" s="258" t="s">
        <v>306</v>
      </c>
      <c r="H3370" s="325"/>
      <c r="I3370" s="325"/>
      <c r="J3370" s="325"/>
      <c r="N3370" s="284"/>
    </row>
    <row r="3371" spans="2:14">
      <c r="B3371" s="356"/>
      <c r="C3371" s="350"/>
      <c r="D3371" s="350"/>
      <c r="E3371" s="350"/>
      <c r="F3371" s="350"/>
      <c r="G3371" s="258" t="s">
        <v>299</v>
      </c>
      <c r="K3371" s="350"/>
      <c r="L3371" s="350"/>
      <c r="M3371" s="350"/>
      <c r="N3371" s="351"/>
    </row>
    <row r="3372" spans="2:14">
      <c r="B3372" s="357"/>
      <c r="C3372" s="358"/>
      <c r="D3372" s="358"/>
      <c r="J3372" s="1162"/>
      <c r="K3372" s="1162"/>
      <c r="L3372" s="1162"/>
      <c r="M3372" s="1162"/>
      <c r="N3372" s="1163"/>
    </row>
    <row r="3373" spans="2:14" ht="13.5" thickBot="1">
      <c r="B3373" s="1166"/>
      <c r="C3373" s="1167"/>
      <c r="D3373" s="1167"/>
      <c r="E3373" s="311"/>
      <c r="F3373" s="311"/>
      <c r="G3373" s="311"/>
      <c r="H3373" s="311"/>
      <c r="I3373" s="311"/>
      <c r="J3373" s="1164"/>
      <c r="K3373" s="1164"/>
      <c r="L3373" s="1164"/>
      <c r="M3373" s="1164"/>
      <c r="N3373" s="1165"/>
    </row>
    <row r="3374" spans="2:14" ht="13.5" thickBot="1"/>
    <row r="3375" spans="2:14">
      <c r="B3375" s="1070"/>
      <c r="C3375" s="1072"/>
      <c r="D3375" s="1073"/>
      <c r="E3375" s="1073"/>
      <c r="F3375" s="1073"/>
      <c r="G3375" s="1073"/>
      <c r="H3375" s="1073"/>
      <c r="I3375" s="1073"/>
      <c r="J3375" s="1074"/>
      <c r="K3375" s="1075"/>
      <c r="L3375" s="1076"/>
      <c r="M3375" s="1076"/>
      <c r="N3375" s="1077"/>
    </row>
    <row r="3376" spans="2:14">
      <c r="B3376" s="1071"/>
      <c r="C3376" s="1062" t="s">
        <v>244</v>
      </c>
      <c r="D3376" s="1063"/>
      <c r="E3376" s="1063"/>
      <c r="F3376" s="1063"/>
      <c r="G3376" s="1063"/>
      <c r="H3376" s="1063"/>
      <c r="I3376" s="1063"/>
      <c r="J3376" s="1064"/>
      <c r="K3376" s="1078"/>
      <c r="L3376" s="1079"/>
      <c r="M3376" s="1079"/>
      <c r="N3376" s="1080"/>
    </row>
    <row r="3377" spans="2:14">
      <c r="B3377" s="1071"/>
      <c r="C3377" s="1081"/>
      <c r="D3377" s="1082"/>
      <c r="E3377" s="1082"/>
      <c r="F3377" s="1082"/>
      <c r="G3377" s="1082"/>
      <c r="H3377" s="1082"/>
      <c r="I3377" s="1082"/>
      <c r="J3377" s="1083"/>
      <c r="K3377" s="1058" t="s">
        <v>245</v>
      </c>
      <c r="L3377" s="1085"/>
      <c r="M3377" s="1086"/>
      <c r="N3377" s="1087"/>
    </row>
    <row r="3378" spans="2:14">
      <c r="B3378" s="1071"/>
      <c r="C3378" s="1062" t="s">
        <v>246</v>
      </c>
      <c r="D3378" s="1063"/>
      <c r="E3378" s="1063"/>
      <c r="F3378" s="1063"/>
      <c r="G3378" s="1063"/>
      <c r="H3378" s="1063"/>
      <c r="I3378" s="1063"/>
      <c r="J3378" s="1064"/>
      <c r="K3378" s="1084"/>
      <c r="L3378" s="1088"/>
      <c r="M3378" s="1089"/>
      <c r="N3378" s="1090"/>
    </row>
    <row r="3379" spans="2:14">
      <c r="B3379" s="1071"/>
      <c r="C3379" s="1091"/>
      <c r="D3379" s="1092"/>
      <c r="E3379" s="1092"/>
      <c r="F3379" s="1092"/>
      <c r="G3379" s="1092"/>
      <c r="H3379" s="1092"/>
      <c r="I3379" s="1092"/>
      <c r="J3379" s="1093"/>
      <c r="K3379" s="1058" t="s">
        <v>247</v>
      </c>
      <c r="L3379" s="1058">
        <v>38</v>
      </c>
      <c r="M3379" s="1058" t="s">
        <v>248</v>
      </c>
      <c r="N3379" s="1060">
        <v>80</v>
      </c>
    </row>
    <row r="3380" spans="2:14">
      <c r="B3380" s="1071"/>
      <c r="C3380" s="1091"/>
      <c r="D3380" s="1092"/>
      <c r="E3380" s="1092"/>
      <c r="F3380" s="1092"/>
      <c r="G3380" s="1092"/>
      <c r="H3380" s="1092"/>
      <c r="I3380" s="1092"/>
      <c r="J3380" s="1093"/>
      <c r="K3380" s="1059"/>
      <c r="L3380" s="1059"/>
      <c r="M3380" s="1059"/>
      <c r="N3380" s="1061"/>
    </row>
    <row r="3381" spans="2:14">
      <c r="B3381" s="1071"/>
      <c r="C3381" s="1062" t="s">
        <v>249</v>
      </c>
      <c r="D3381" s="1063"/>
      <c r="E3381" s="1063"/>
      <c r="F3381" s="1063"/>
      <c r="G3381" s="1063"/>
      <c r="H3381" s="1063"/>
      <c r="I3381" s="1063"/>
      <c r="J3381" s="1064"/>
      <c r="K3381" s="1059"/>
      <c r="L3381" s="1059"/>
      <c r="M3381" s="1059"/>
      <c r="N3381" s="1061"/>
    </row>
    <row r="3382" spans="2:14" ht="13.5" thickBot="1">
      <c r="B3382" s="259"/>
      <c r="C3382" s="260"/>
      <c r="D3382" s="260"/>
      <c r="E3382" s="260"/>
      <c r="F3382" s="260"/>
      <c r="G3382" s="260"/>
      <c r="H3382" s="260"/>
      <c r="I3382" s="260"/>
      <c r="J3382" s="260"/>
      <c r="K3382" s="260"/>
      <c r="L3382" s="261"/>
      <c r="M3382" s="261"/>
      <c r="N3382" s="262"/>
    </row>
    <row r="3383" spans="2:14">
      <c r="B3383" s="263"/>
      <c r="C3383" s="264"/>
      <c r="D3383" s="264"/>
      <c r="E3383" s="264"/>
      <c r="F3383" s="264"/>
      <c r="G3383" s="264"/>
      <c r="H3383" s="264"/>
      <c r="I3383" s="264"/>
      <c r="J3383" s="264"/>
      <c r="K3383" s="265" t="s">
        <v>250</v>
      </c>
      <c r="L3383" s="266" t="s">
        <v>251</v>
      </c>
      <c r="M3383" s="266" t="s">
        <v>252</v>
      </c>
      <c r="N3383" s="267" t="s">
        <v>253</v>
      </c>
    </row>
    <row r="3384" spans="2:14">
      <c r="B3384" s="268"/>
      <c r="C3384" s="269"/>
      <c r="D3384" s="269"/>
      <c r="E3384" s="269"/>
      <c r="F3384" s="269"/>
      <c r="G3384" s="269"/>
      <c r="H3384" s="269"/>
      <c r="I3384" s="269"/>
      <c r="J3384" s="269"/>
      <c r="K3384" s="270"/>
      <c r="L3384" s="271"/>
      <c r="M3384" s="271"/>
      <c r="N3384" s="272"/>
    </row>
    <row r="3385" spans="2:14">
      <c r="B3385" s="1065" t="s">
        <v>254</v>
      </c>
      <c r="C3385" s="1066"/>
      <c r="D3385" s="1066"/>
      <c r="E3385" s="1066"/>
      <c r="F3385" s="269"/>
      <c r="G3385" s="269"/>
      <c r="H3385" s="269" t="s">
        <v>255</v>
      </c>
      <c r="J3385" s="269"/>
      <c r="K3385" s="270"/>
      <c r="N3385" s="273"/>
    </row>
    <row r="3386" spans="2:14">
      <c r="B3386" s="274"/>
      <c r="C3386" s="275"/>
      <c r="D3386" s="275"/>
      <c r="E3386" s="275"/>
      <c r="F3386" s="275"/>
      <c r="G3386" s="275"/>
      <c r="H3386" s="275"/>
      <c r="I3386" s="275"/>
      <c r="J3386" s="275"/>
      <c r="K3386" s="275"/>
      <c r="L3386" s="275"/>
      <c r="M3386" s="275"/>
      <c r="N3386" s="276"/>
    </row>
    <row r="3387" spans="2:14" ht="13.5" thickBot="1">
      <c r="B3387" s="277"/>
      <c r="C3387" s="278"/>
      <c r="D3387" s="278"/>
      <c r="E3387" s="278"/>
      <c r="F3387" s="278"/>
      <c r="G3387" s="278"/>
      <c r="H3387" s="278"/>
      <c r="I3387" s="278"/>
      <c r="J3387" s="278"/>
      <c r="K3387" s="278"/>
      <c r="L3387" s="278"/>
      <c r="M3387" s="278"/>
      <c r="N3387" s="279"/>
    </row>
    <row r="3388" spans="2:14" ht="13.5" thickBot="1">
      <c r="B3388" s="280"/>
      <c r="C3388" s="281"/>
      <c r="D3388" s="281"/>
      <c r="E3388" s="281"/>
      <c r="F3388" s="281"/>
      <c r="G3388" s="281"/>
      <c r="J3388" s="281"/>
      <c r="K3388" s="281"/>
      <c r="L3388" s="281"/>
      <c r="M3388" s="281"/>
      <c r="N3388" s="282"/>
    </row>
    <row r="3389" spans="2:14">
      <c r="B3389" s="1067" t="s">
        <v>256</v>
      </c>
      <c r="C3389" s="1068"/>
      <c r="D3389" s="1068"/>
      <c r="E3389" s="1068"/>
      <c r="F3389" s="1068"/>
      <c r="G3389" s="1068"/>
      <c r="H3389" s="1068"/>
      <c r="I3389" s="1068"/>
      <c r="J3389" s="1068"/>
      <c r="K3389" s="1068"/>
      <c r="L3389" s="1068"/>
      <c r="M3389" s="1068"/>
      <c r="N3389" s="1069"/>
    </row>
    <row r="3390" spans="2:14" ht="13.5" thickBot="1">
      <c r="B3390" s="283"/>
      <c r="N3390" s="284"/>
    </row>
    <row r="3391" spans="2:14">
      <c r="B3391" s="285" t="s">
        <v>257</v>
      </c>
      <c r="C3391" s="1120" t="s">
        <v>258</v>
      </c>
      <c r="D3391" s="1121"/>
      <c r="E3391" s="1121"/>
      <c r="F3391" s="1121"/>
      <c r="G3391" s="1121"/>
      <c r="H3391" s="1121"/>
      <c r="I3391" s="1121"/>
      <c r="J3391" s="1121"/>
      <c r="K3391" s="1122"/>
      <c r="L3391" s="1123" t="s">
        <v>259</v>
      </c>
      <c r="M3391" s="1124"/>
      <c r="N3391" s="285" t="s">
        <v>133</v>
      </c>
    </row>
    <row r="3392" spans="2:14" ht="13.5" thickBot="1">
      <c r="B3392" s="286">
        <v>38</v>
      </c>
      <c r="C3392" s="1125" t="s">
        <v>179</v>
      </c>
      <c r="D3392" s="1126"/>
      <c r="E3392" s="1126"/>
      <c r="F3392" s="1126"/>
      <c r="G3392" s="1126"/>
      <c r="H3392" s="1126"/>
      <c r="I3392" s="1126"/>
      <c r="J3392" s="1126"/>
      <c r="K3392" s="1127"/>
      <c r="L3392" s="1128" t="s">
        <v>147</v>
      </c>
      <c r="M3392" s="1129"/>
      <c r="N3392" s="366">
        <v>4</v>
      </c>
    </row>
    <row r="3393" spans="2:14">
      <c r="B3393" s="1103"/>
      <c r="C3393" s="1104"/>
      <c r="D3393" s="1104"/>
      <c r="E3393" s="1104"/>
      <c r="F3393" s="1104"/>
      <c r="G3393" s="1104"/>
      <c r="H3393" s="1104"/>
      <c r="I3393" s="1104"/>
      <c r="J3393" s="1104"/>
      <c r="K3393" s="1104"/>
      <c r="L3393" s="1104"/>
      <c r="M3393" s="1104"/>
      <c r="N3393" s="1105"/>
    </row>
    <row r="3394" spans="2:14">
      <c r="B3394" s="1106"/>
      <c r="C3394" s="1107"/>
      <c r="D3394" s="1107"/>
      <c r="E3394" s="1107"/>
      <c r="F3394" s="1107"/>
      <c r="G3394" s="1107"/>
      <c r="H3394" s="1107"/>
      <c r="I3394" s="1107"/>
      <c r="J3394" s="1107"/>
      <c r="K3394" s="1107"/>
      <c r="L3394" s="1107"/>
      <c r="M3394" s="1107"/>
      <c r="N3394" s="1108"/>
    </row>
    <row r="3395" spans="2:14" ht="13.5" thickBot="1">
      <c r="B3395" s="1109"/>
      <c r="C3395" s="1110"/>
      <c r="D3395" s="1110"/>
      <c r="E3395" s="1110"/>
      <c r="F3395" s="1110"/>
      <c r="G3395" s="1110"/>
      <c r="H3395" s="1110"/>
      <c r="I3395" s="1110"/>
      <c r="J3395" s="1110"/>
      <c r="K3395" s="1110"/>
      <c r="L3395" s="1110"/>
      <c r="M3395" s="1110"/>
      <c r="N3395" s="1111"/>
    </row>
    <row r="3396" spans="2:14">
      <c r="B3396" s="1130" t="s">
        <v>258</v>
      </c>
      <c r="C3396" s="1131"/>
      <c r="D3396" s="1131"/>
      <c r="E3396" s="1131"/>
      <c r="F3396" s="1132"/>
      <c r="G3396" s="1133" t="s">
        <v>261</v>
      </c>
      <c r="H3396" s="1131"/>
      <c r="I3396" s="1134" t="s">
        <v>262</v>
      </c>
      <c r="J3396" s="1135"/>
      <c r="K3396" s="288" t="s">
        <v>263</v>
      </c>
      <c r="L3396" s="1133" t="s">
        <v>264</v>
      </c>
      <c r="M3396" s="1136"/>
      <c r="N3396" s="289" t="s">
        <v>265</v>
      </c>
    </row>
    <row r="3397" spans="2:14">
      <c r="B3397" s="1179" t="s">
        <v>355</v>
      </c>
      <c r="C3397" s="1180"/>
      <c r="D3397" s="1180"/>
      <c r="E3397" s="1180"/>
      <c r="F3397" s="1181"/>
      <c r="G3397" s="295"/>
      <c r="H3397" s="294"/>
      <c r="I3397" s="1182" t="s">
        <v>267</v>
      </c>
      <c r="J3397" s="1183"/>
      <c r="K3397" s="290">
        <v>333</v>
      </c>
      <c r="L3397" s="1118">
        <v>0.1666667</v>
      </c>
      <c r="M3397" s="1119"/>
      <c r="N3397" s="290">
        <f>+K3397/L3397</f>
        <v>1997.99960040008</v>
      </c>
    </row>
    <row r="3398" spans="2:14">
      <c r="B3398" s="1179" t="s">
        <v>356</v>
      </c>
      <c r="C3398" s="1180"/>
      <c r="D3398" s="1180"/>
      <c r="E3398" s="1180"/>
      <c r="F3398" s="1181"/>
      <c r="G3398" s="295"/>
      <c r="H3398" s="294"/>
      <c r="I3398" s="1182" t="s">
        <v>267</v>
      </c>
      <c r="J3398" s="1183"/>
      <c r="K3398" s="290">
        <v>186</v>
      </c>
      <c r="L3398" s="1118">
        <v>0.1666667</v>
      </c>
      <c r="M3398" s="1119"/>
      <c r="N3398" s="290">
        <f>+K3398/L3398</f>
        <v>1115.9997768000446</v>
      </c>
    </row>
    <row r="3399" spans="2:14">
      <c r="B3399" s="1179" t="s">
        <v>327</v>
      </c>
      <c r="C3399" s="1180"/>
      <c r="D3399" s="1180"/>
      <c r="E3399" s="1180"/>
      <c r="F3399" s="1181"/>
      <c r="G3399" s="295"/>
      <c r="H3399" s="294"/>
      <c r="I3399" s="1182" t="s">
        <v>267</v>
      </c>
      <c r="J3399" s="1183"/>
      <c r="K3399" s="290">
        <v>333</v>
      </c>
      <c r="L3399" s="1118">
        <v>0.5</v>
      </c>
      <c r="M3399" s="1119"/>
      <c r="N3399" s="290">
        <f>+K3399/L3399</f>
        <v>666</v>
      </c>
    </row>
    <row r="3400" spans="2:14">
      <c r="B3400" s="1179" t="s">
        <v>357</v>
      </c>
      <c r="C3400" s="1180"/>
      <c r="D3400" s="1180"/>
      <c r="E3400" s="1180"/>
      <c r="F3400" s="1181"/>
      <c r="G3400" s="295"/>
      <c r="H3400" s="294"/>
      <c r="I3400" s="1182" t="s">
        <v>267</v>
      </c>
      <c r="J3400" s="1183"/>
      <c r="K3400" s="290">
        <v>666</v>
      </c>
      <c r="L3400" s="1118">
        <v>1</v>
      </c>
      <c r="M3400" s="1119"/>
      <c r="N3400" s="290">
        <f>+K3400/L3400</f>
        <v>666</v>
      </c>
    </row>
    <row r="3401" spans="2:14" ht="13.5" thickBot="1">
      <c r="B3401" s="1179" t="s">
        <v>340</v>
      </c>
      <c r="C3401" s="1180"/>
      <c r="D3401" s="1180"/>
      <c r="E3401" s="1180"/>
      <c r="F3401" s="1181"/>
      <c r="G3401" s="295"/>
      <c r="H3401" s="294"/>
      <c r="I3401" s="1182" t="s">
        <v>267</v>
      </c>
      <c r="J3401" s="1183"/>
      <c r="K3401" s="290">
        <v>45220</v>
      </c>
      <c r="L3401" s="1118">
        <v>7.0000070000000001</v>
      </c>
      <c r="M3401" s="1119"/>
      <c r="N3401" s="290">
        <f>+K3401/L3401</f>
        <v>6459.9935400064596</v>
      </c>
    </row>
    <row r="3402" spans="2:14" ht="13.5" thickBot="1">
      <c r="B3402" s="1100" t="s">
        <v>269</v>
      </c>
      <c r="C3402" s="1101"/>
      <c r="D3402" s="1101"/>
      <c r="E3402" s="1101"/>
      <c r="F3402" s="1101"/>
      <c r="G3402" s="1101"/>
      <c r="H3402" s="1101"/>
      <c r="I3402" s="1101"/>
      <c r="J3402" s="1101"/>
      <c r="K3402" s="1101"/>
      <c r="L3402" s="1101"/>
      <c r="M3402" s="1102"/>
      <c r="N3402" s="323">
        <f>+N3397+N3398+N3399+N3400+N3401</f>
        <v>10905.992917206584</v>
      </c>
    </row>
    <row r="3403" spans="2:14">
      <c r="B3403" s="1103" t="s">
        <v>270</v>
      </c>
      <c r="C3403" s="1104"/>
      <c r="D3403" s="1104"/>
      <c r="E3403" s="1104"/>
      <c r="F3403" s="1104"/>
      <c r="G3403" s="1104"/>
      <c r="H3403" s="1104"/>
      <c r="I3403" s="1104"/>
      <c r="J3403" s="1104"/>
      <c r="K3403" s="1104"/>
      <c r="L3403" s="1104"/>
      <c r="M3403" s="1104"/>
      <c r="N3403" s="1105"/>
    </row>
    <row r="3404" spans="2:14">
      <c r="B3404" s="1106"/>
      <c r="C3404" s="1107"/>
      <c r="D3404" s="1107"/>
      <c r="E3404" s="1107"/>
      <c r="F3404" s="1107"/>
      <c r="G3404" s="1107"/>
      <c r="H3404" s="1107"/>
      <c r="I3404" s="1107"/>
      <c r="J3404" s="1107"/>
      <c r="K3404" s="1107"/>
      <c r="L3404" s="1107"/>
      <c r="M3404" s="1107"/>
      <c r="N3404" s="1108"/>
    </row>
    <row r="3405" spans="2:14" ht="13.5" thickBot="1">
      <c r="B3405" s="1109"/>
      <c r="C3405" s="1110"/>
      <c r="D3405" s="1110"/>
      <c r="E3405" s="1110"/>
      <c r="F3405" s="1110"/>
      <c r="G3405" s="1110"/>
      <c r="H3405" s="1110"/>
      <c r="I3405" s="1110"/>
      <c r="J3405" s="1110"/>
      <c r="K3405" s="1110"/>
      <c r="L3405" s="1110"/>
      <c r="M3405" s="1110"/>
      <c r="N3405" s="1111"/>
    </row>
    <row r="3406" spans="2:14">
      <c r="B3406" s="1130" t="s">
        <v>258</v>
      </c>
      <c r="C3406" s="1139"/>
      <c r="D3406" s="1139"/>
      <c r="E3406" s="1139"/>
      <c r="F3406" s="1139"/>
      <c r="G3406" s="1139"/>
      <c r="H3406" s="1139"/>
      <c r="I3406" s="1136"/>
      <c r="J3406" s="299" t="s">
        <v>259</v>
      </c>
      <c r="K3406" s="288" t="s">
        <v>133</v>
      </c>
      <c r="L3406" s="1133" t="s">
        <v>271</v>
      </c>
      <c r="M3406" s="1136"/>
      <c r="N3406" s="289" t="s">
        <v>265</v>
      </c>
    </row>
    <row r="3407" spans="2:14">
      <c r="B3407" s="1112" t="s">
        <v>353</v>
      </c>
      <c r="C3407" s="1113"/>
      <c r="D3407" s="1113"/>
      <c r="E3407" s="1113"/>
      <c r="F3407" s="1113"/>
      <c r="G3407" s="1113"/>
      <c r="H3407" s="1113"/>
      <c r="I3407" s="1114"/>
      <c r="J3407" s="300" t="s">
        <v>196</v>
      </c>
      <c r="K3407" s="301">
        <v>0.375</v>
      </c>
      <c r="L3407" s="1144">
        <v>139230</v>
      </c>
      <c r="M3407" s="1145"/>
      <c r="N3407" s="363">
        <f>+K3407*L3407</f>
        <v>52211.25</v>
      </c>
    </row>
    <row r="3408" spans="2:14" ht="13.5" thickBot="1">
      <c r="B3408" s="402" t="s">
        <v>348</v>
      </c>
      <c r="C3408" s="353"/>
      <c r="D3408" s="353"/>
      <c r="E3408" s="353"/>
      <c r="F3408" s="353"/>
      <c r="G3408" s="353"/>
      <c r="H3408" s="353"/>
      <c r="I3408" s="403"/>
      <c r="J3408" s="303" t="s">
        <v>147</v>
      </c>
      <c r="K3408" s="392">
        <v>1.05</v>
      </c>
      <c r="L3408" s="1144">
        <v>369520</v>
      </c>
      <c r="M3408" s="1145"/>
      <c r="N3408" s="363">
        <f>+K3408*L3408</f>
        <v>387996</v>
      </c>
    </row>
    <row r="3409" spans="2:14" ht="13.5" thickBot="1">
      <c r="B3409" s="1100" t="s">
        <v>269</v>
      </c>
      <c r="C3409" s="1101"/>
      <c r="D3409" s="1101"/>
      <c r="E3409" s="1101"/>
      <c r="F3409" s="1101"/>
      <c r="G3409" s="1101"/>
      <c r="H3409" s="1101"/>
      <c r="I3409" s="1101"/>
      <c r="J3409" s="1101"/>
      <c r="K3409" s="1101"/>
      <c r="L3409" s="1101"/>
      <c r="M3409" s="1102"/>
      <c r="N3409" s="323">
        <f>+N3407+N3408</f>
        <v>440207.25</v>
      </c>
    </row>
    <row r="3410" spans="2:14">
      <c r="B3410" s="1103" t="s">
        <v>276</v>
      </c>
      <c r="C3410" s="1104"/>
      <c r="D3410" s="1104"/>
      <c r="E3410" s="1104"/>
      <c r="F3410" s="1104"/>
      <c r="G3410" s="1104"/>
      <c r="H3410" s="1104"/>
      <c r="I3410" s="1104"/>
      <c r="J3410" s="1104"/>
      <c r="K3410" s="1104"/>
      <c r="L3410" s="1104"/>
      <c r="M3410" s="1104"/>
      <c r="N3410" s="1105"/>
    </row>
    <row r="3411" spans="2:14">
      <c r="B3411" s="1106"/>
      <c r="C3411" s="1107"/>
      <c r="D3411" s="1107"/>
      <c r="E3411" s="1107"/>
      <c r="F3411" s="1107"/>
      <c r="G3411" s="1107"/>
      <c r="H3411" s="1107"/>
      <c r="I3411" s="1107"/>
      <c r="J3411" s="1107"/>
      <c r="K3411" s="1107"/>
      <c r="L3411" s="1107"/>
      <c r="M3411" s="1107"/>
      <c r="N3411" s="1108"/>
    </row>
    <row r="3412" spans="2:14" ht="13.5" thickBot="1">
      <c r="B3412" s="1109"/>
      <c r="C3412" s="1110"/>
      <c r="D3412" s="1110"/>
      <c r="E3412" s="1110"/>
      <c r="F3412" s="1110"/>
      <c r="G3412" s="1110"/>
      <c r="H3412" s="1110"/>
      <c r="I3412" s="1110"/>
      <c r="J3412" s="1110"/>
      <c r="K3412" s="1110"/>
      <c r="L3412" s="1110"/>
      <c r="M3412" s="1110"/>
      <c r="N3412" s="1111"/>
    </row>
    <row r="3413" spans="2:14">
      <c r="B3413" s="1130" t="s">
        <v>277</v>
      </c>
      <c r="C3413" s="1139"/>
      <c r="D3413" s="1139"/>
      <c r="E3413" s="1139"/>
      <c r="F3413" s="1139"/>
      <c r="G3413" s="1139"/>
      <c r="H3413" s="1139"/>
      <c r="I3413" s="288" t="s">
        <v>278</v>
      </c>
      <c r="J3413" s="306" t="s">
        <v>279</v>
      </c>
      <c r="K3413" s="307" t="s">
        <v>280</v>
      </c>
      <c r="L3413" s="1133" t="s">
        <v>281</v>
      </c>
      <c r="M3413" s="1136"/>
      <c r="N3413" s="289" t="s">
        <v>265</v>
      </c>
    </row>
    <row r="3414" spans="2:14" ht="13.5" thickBot="1">
      <c r="B3414" s="1112"/>
      <c r="C3414" s="1113"/>
      <c r="D3414" s="1113"/>
      <c r="E3414" s="1113"/>
      <c r="F3414" s="1113"/>
      <c r="G3414" s="1113"/>
      <c r="H3414" s="1113"/>
      <c r="I3414" s="393"/>
      <c r="J3414" s="309"/>
      <c r="K3414" s="308"/>
      <c r="L3414" s="1144"/>
      <c r="M3414" s="1145"/>
      <c r="N3414" s="363"/>
    </row>
    <row r="3415" spans="2:14" ht="13.5" thickBot="1">
      <c r="B3415" s="1100" t="s">
        <v>269</v>
      </c>
      <c r="C3415" s="1101"/>
      <c r="D3415" s="1101"/>
      <c r="E3415" s="1101"/>
      <c r="F3415" s="1101"/>
      <c r="G3415" s="1101"/>
      <c r="H3415" s="1101"/>
      <c r="I3415" s="1101"/>
      <c r="J3415" s="1101"/>
      <c r="K3415" s="1101"/>
      <c r="L3415" s="1101"/>
      <c r="M3415" s="1102"/>
      <c r="N3415" s="323">
        <f>+N3414</f>
        <v>0</v>
      </c>
    </row>
    <row r="3416" spans="2:14">
      <c r="B3416" s="1103" t="s">
        <v>282</v>
      </c>
      <c r="C3416" s="1104"/>
      <c r="D3416" s="1104"/>
      <c r="E3416" s="1104"/>
      <c r="F3416" s="1104"/>
      <c r="G3416" s="1104"/>
      <c r="H3416" s="1104"/>
      <c r="I3416" s="1104"/>
      <c r="J3416" s="1104"/>
      <c r="K3416" s="1104"/>
      <c r="L3416" s="1104"/>
      <c r="M3416" s="1104"/>
      <c r="N3416" s="1105"/>
    </row>
    <row r="3417" spans="2:14">
      <c r="B3417" s="1106"/>
      <c r="C3417" s="1107"/>
      <c r="D3417" s="1107"/>
      <c r="E3417" s="1107"/>
      <c r="F3417" s="1107"/>
      <c r="G3417" s="1107"/>
      <c r="H3417" s="1107"/>
      <c r="I3417" s="1107"/>
      <c r="J3417" s="1107"/>
      <c r="K3417" s="1107"/>
      <c r="L3417" s="1107"/>
      <c r="M3417" s="1107"/>
      <c r="N3417" s="1108"/>
    </row>
    <row r="3418" spans="2:14" ht="13.5" thickBot="1">
      <c r="B3418" s="1109"/>
      <c r="C3418" s="1110"/>
      <c r="D3418" s="1110"/>
      <c r="E3418" s="1110"/>
      <c r="F3418" s="1110"/>
      <c r="G3418" s="1110"/>
      <c r="H3418" s="1110"/>
      <c r="I3418" s="1110"/>
      <c r="J3418" s="1110"/>
      <c r="K3418" s="1110"/>
      <c r="L3418" s="1110"/>
      <c r="M3418" s="1110"/>
      <c r="N3418" s="1111"/>
    </row>
    <row r="3419" spans="2:14">
      <c r="B3419" s="1130" t="s">
        <v>283</v>
      </c>
      <c r="C3419" s="1139"/>
      <c r="D3419" s="1139"/>
      <c r="E3419" s="1139"/>
      <c r="F3419" s="1139"/>
      <c r="G3419" s="1139"/>
      <c r="H3419" s="1139"/>
      <c r="I3419" s="288" t="s">
        <v>284</v>
      </c>
      <c r="J3419" s="314" t="s">
        <v>285</v>
      </c>
      <c r="K3419" s="315" t="s">
        <v>286</v>
      </c>
      <c r="L3419" s="1140" t="s">
        <v>264</v>
      </c>
      <c r="M3419" s="1141"/>
      <c r="N3419" s="316" t="s">
        <v>265</v>
      </c>
    </row>
    <row r="3420" spans="2:14" ht="13.5" thickBot="1">
      <c r="B3420" s="317" t="s">
        <v>344</v>
      </c>
      <c r="C3420" s="318"/>
      <c r="D3420" s="318"/>
      <c r="E3420" s="318"/>
      <c r="F3420" s="318"/>
      <c r="G3420" s="318"/>
      <c r="H3420" s="318"/>
      <c r="I3420" s="319">
        <v>153482</v>
      </c>
      <c r="J3420" s="321">
        <v>0</v>
      </c>
      <c r="K3420" s="321">
        <f>+I3420+J3420</f>
        <v>153482</v>
      </c>
      <c r="L3420" s="1157">
        <v>1.5001500000000001</v>
      </c>
      <c r="M3420" s="1158"/>
      <c r="N3420" s="322">
        <f>+K3420/L3420</f>
        <v>102311.10222311101</v>
      </c>
    </row>
    <row r="3421" spans="2:14" ht="13.5" thickBot="1">
      <c r="B3421" s="1100" t="s">
        <v>269</v>
      </c>
      <c r="C3421" s="1101"/>
      <c r="D3421" s="1101"/>
      <c r="E3421" s="1101"/>
      <c r="F3421" s="1101"/>
      <c r="G3421" s="1101"/>
      <c r="H3421" s="1101"/>
      <c r="I3421" s="1101"/>
      <c r="J3421" s="1101"/>
      <c r="K3421" s="1101"/>
      <c r="L3421" s="1101"/>
      <c r="M3421" s="1102"/>
      <c r="N3421" s="323">
        <f>+N3420</f>
        <v>102311.10222311101</v>
      </c>
    </row>
    <row r="3422" spans="2:14" ht="13.5" thickBot="1">
      <c r="B3422" s="324" t="s">
        <v>288</v>
      </c>
      <c r="C3422" s="325"/>
      <c r="D3422" s="325"/>
      <c r="E3422" s="325"/>
      <c r="F3422" s="325"/>
      <c r="G3422" s="325"/>
      <c r="H3422" s="325"/>
      <c r="I3422" s="326"/>
      <c r="J3422" s="327"/>
      <c r="K3422" s="328"/>
      <c r="L3422" s="329"/>
      <c r="M3422" s="329"/>
      <c r="N3422" s="330"/>
    </row>
    <row r="3423" spans="2:14">
      <c r="B3423" s="1130" t="s">
        <v>17</v>
      </c>
      <c r="C3423" s="1139"/>
      <c r="D3423" s="1139"/>
      <c r="E3423" s="1139"/>
      <c r="F3423" s="1139"/>
      <c r="G3423" s="1139"/>
      <c r="H3423" s="1139"/>
      <c r="I3423" s="1136"/>
      <c r="J3423" s="299" t="s">
        <v>259</v>
      </c>
      <c r="K3423" s="288" t="s">
        <v>133</v>
      </c>
      <c r="L3423" s="1133" t="s">
        <v>271</v>
      </c>
      <c r="M3423" s="1136"/>
      <c r="N3423" s="316" t="s">
        <v>265</v>
      </c>
    </row>
    <row r="3424" spans="2:14" ht="13.5" thickBot="1">
      <c r="B3424" s="331" t="s">
        <v>289</v>
      </c>
      <c r="C3424" s="332"/>
      <c r="D3424" s="332"/>
      <c r="E3424" s="332"/>
      <c r="F3424" s="332"/>
      <c r="G3424" s="332"/>
      <c r="H3424" s="332"/>
      <c r="I3424" s="333"/>
      <c r="J3424" s="334" t="s">
        <v>290</v>
      </c>
      <c r="K3424" s="335">
        <v>0.05</v>
      </c>
      <c r="L3424" s="1144">
        <f>+N3421</f>
        <v>102311.10222311101</v>
      </c>
      <c r="M3424" s="1145"/>
      <c r="N3424" s="322">
        <f>+K3424*L3424</f>
        <v>5115.5551111555505</v>
      </c>
    </row>
    <row r="3425" spans="2:17" ht="13.5" thickBot="1">
      <c r="B3425" s="1100" t="s">
        <v>269</v>
      </c>
      <c r="C3425" s="1101"/>
      <c r="D3425" s="1101"/>
      <c r="E3425" s="1101"/>
      <c r="F3425" s="1101"/>
      <c r="G3425" s="1101"/>
      <c r="H3425" s="1101"/>
      <c r="I3425" s="1101"/>
      <c r="J3425" s="1101"/>
      <c r="K3425" s="1101"/>
      <c r="L3425" s="1101"/>
      <c r="M3425" s="1102"/>
      <c r="N3425" s="323">
        <f>+N3424</f>
        <v>5115.5551111555505</v>
      </c>
    </row>
    <row r="3426" spans="2:17">
      <c r="B3426" s="280"/>
      <c r="C3426" s="281"/>
      <c r="D3426" s="281"/>
      <c r="E3426" s="281"/>
      <c r="F3426" s="281"/>
      <c r="G3426" s="281"/>
      <c r="H3426" s="281"/>
      <c r="I3426" s="281"/>
      <c r="J3426" s="281"/>
      <c r="K3426" s="281"/>
      <c r="L3426" s="281"/>
      <c r="M3426" s="281"/>
      <c r="N3426" s="282"/>
    </row>
    <row r="3427" spans="2:17" ht="13.5" thickBot="1">
      <c r="B3427" s="378"/>
      <c r="C3427" s="311"/>
      <c r="D3427" s="311"/>
      <c r="E3427" s="311"/>
      <c r="F3427" s="311"/>
      <c r="G3427" s="311"/>
      <c r="H3427" s="311"/>
      <c r="I3427" s="311"/>
      <c r="J3427" s="311"/>
      <c r="K3427" s="311"/>
      <c r="L3427" s="311"/>
      <c r="M3427" s="311"/>
      <c r="N3427" s="379"/>
      <c r="P3427" s="408">
        <v>2234160</v>
      </c>
    </row>
    <row r="3428" spans="2:17" ht="13.5" thickBot="1">
      <c r="B3428" s="1150" t="s">
        <v>291</v>
      </c>
      <c r="C3428" s="1151"/>
      <c r="D3428" s="1151"/>
      <c r="E3428" s="1151"/>
      <c r="F3428" s="1151"/>
      <c r="G3428" s="1151"/>
      <c r="H3428" s="1151"/>
      <c r="I3428" s="1151"/>
      <c r="J3428" s="1151"/>
      <c r="K3428" s="1151"/>
      <c r="L3428" s="1151"/>
      <c r="M3428" s="1152"/>
      <c r="N3428" s="336">
        <f>+N3402+N3409+N3415+N3421+N3425</f>
        <v>558539.90025147307</v>
      </c>
      <c r="P3428" s="409">
        <f>+N3428*N3392</f>
        <v>2234159.6010058923</v>
      </c>
      <c r="Q3428" s="408">
        <f>+P3428-P3427</f>
        <v>-0.39899410773068666</v>
      </c>
    </row>
    <row r="3429" spans="2:17">
      <c r="B3429" s="1103" t="s">
        <v>292</v>
      </c>
      <c r="C3429" s="1104"/>
      <c r="D3429" s="1104"/>
      <c r="E3429" s="1104"/>
      <c r="F3429" s="1104"/>
      <c r="G3429" s="1104"/>
      <c r="H3429" s="1104"/>
      <c r="I3429" s="1104"/>
      <c r="J3429" s="1104"/>
      <c r="K3429" s="1104"/>
      <c r="L3429" s="1104"/>
      <c r="M3429" s="1104"/>
      <c r="N3429" s="1105"/>
    </row>
    <row r="3430" spans="2:17">
      <c r="B3430" s="1106"/>
      <c r="C3430" s="1107"/>
      <c r="D3430" s="1107"/>
      <c r="E3430" s="1107"/>
      <c r="F3430" s="1107"/>
      <c r="G3430" s="1107"/>
      <c r="H3430" s="1107"/>
      <c r="I3430" s="1107"/>
      <c r="J3430" s="1107"/>
      <c r="K3430" s="1107"/>
      <c r="L3430" s="1107"/>
      <c r="M3430" s="1107"/>
      <c r="N3430" s="1108"/>
    </row>
    <row r="3431" spans="2:17" ht="13.5" thickBot="1">
      <c r="B3431" s="1109"/>
      <c r="C3431" s="1110"/>
      <c r="D3431" s="1110"/>
      <c r="E3431" s="1110"/>
      <c r="F3431" s="1110"/>
      <c r="G3431" s="1110"/>
      <c r="H3431" s="1110"/>
      <c r="I3431" s="1110"/>
      <c r="J3431" s="1110"/>
      <c r="K3431" s="1110"/>
      <c r="L3431" s="1110"/>
      <c r="M3431" s="1110"/>
      <c r="N3431" s="1111"/>
    </row>
    <row r="3432" spans="2:17">
      <c r="B3432" s="1130" t="s">
        <v>17</v>
      </c>
      <c r="C3432" s="1139"/>
      <c r="D3432" s="1139"/>
      <c r="E3432" s="1139"/>
      <c r="F3432" s="1139"/>
      <c r="G3432" s="1139"/>
      <c r="H3432" s="1139"/>
      <c r="I3432" s="306"/>
      <c r="J3432" s="337"/>
      <c r="K3432" s="315" t="s">
        <v>79</v>
      </c>
      <c r="L3432" s="1140" t="s">
        <v>11</v>
      </c>
      <c r="M3432" s="1141"/>
      <c r="N3432" s="316"/>
    </row>
    <row r="3433" spans="2:17">
      <c r="B3433" s="1112" t="s">
        <v>232</v>
      </c>
      <c r="C3433" s="1113"/>
      <c r="D3433" s="1113"/>
      <c r="E3433" s="1113"/>
      <c r="F3433" s="1113"/>
      <c r="G3433" s="1113"/>
      <c r="H3433" s="1113"/>
      <c r="I3433" s="338"/>
      <c r="J3433" s="339"/>
      <c r="K3433" s="340">
        <f>'PRESUPUESTO OFICIAL'!$K$100</f>
        <v>0</v>
      </c>
      <c r="L3433" s="1146">
        <f>K3433*N3428</f>
        <v>0</v>
      </c>
      <c r="M3433" s="1147"/>
      <c r="N3433" s="341"/>
    </row>
    <row r="3434" spans="2:17">
      <c r="B3434" s="292" t="s">
        <v>293</v>
      </c>
      <c r="C3434" s="293"/>
      <c r="D3434" s="293"/>
      <c r="E3434" s="293"/>
      <c r="F3434" s="293"/>
      <c r="G3434" s="293"/>
      <c r="H3434" s="293"/>
      <c r="I3434" s="338"/>
      <c r="J3434" s="339"/>
      <c r="K3434" s="340">
        <f>'PRESUPUESTO OFICIAL'!$K$101</f>
        <v>0</v>
      </c>
      <c r="L3434" s="1146">
        <f>K3434*N3428</f>
        <v>0</v>
      </c>
      <c r="M3434" s="1147"/>
      <c r="N3434" s="341"/>
    </row>
    <row r="3435" spans="2:17" ht="13.5" thickBot="1">
      <c r="B3435" s="277" t="s">
        <v>294</v>
      </c>
      <c r="C3435" s="278"/>
      <c r="D3435" s="278"/>
      <c r="E3435" s="278"/>
      <c r="F3435" s="278"/>
      <c r="G3435" s="278"/>
      <c r="H3435" s="278"/>
      <c r="I3435" s="342"/>
      <c r="J3435" s="343"/>
      <c r="K3435" s="340">
        <f>'PRESUPUESTO OFICIAL'!$K$102</f>
        <v>0</v>
      </c>
      <c r="L3435" s="1148">
        <f>K3435*N3428</f>
        <v>0</v>
      </c>
      <c r="M3435" s="1149"/>
      <c r="N3435" s="341"/>
    </row>
    <row r="3436" spans="2:17" ht="13.5" thickBot="1">
      <c r="B3436" s="1100" t="s">
        <v>269</v>
      </c>
      <c r="C3436" s="1101"/>
      <c r="D3436" s="1101"/>
      <c r="E3436" s="1101"/>
      <c r="F3436" s="1101"/>
      <c r="G3436" s="1101"/>
      <c r="H3436" s="1101"/>
      <c r="I3436" s="1101"/>
      <c r="J3436" s="1101"/>
      <c r="K3436" s="1101"/>
      <c r="L3436" s="1101"/>
      <c r="M3436" s="1102"/>
      <c r="N3436" s="344">
        <f>SUM(L3433:M3435)</f>
        <v>0</v>
      </c>
    </row>
    <row r="3437" spans="2:17" ht="13.5" thickBot="1">
      <c r="B3437" s="283"/>
      <c r="N3437" s="284"/>
    </row>
    <row r="3438" spans="2:17" ht="13.5" thickBot="1">
      <c r="B3438" s="1150" t="s">
        <v>295</v>
      </c>
      <c r="C3438" s="1151"/>
      <c r="D3438" s="1151"/>
      <c r="E3438" s="1151"/>
      <c r="F3438" s="1151"/>
      <c r="G3438" s="1151"/>
      <c r="H3438" s="1151"/>
      <c r="I3438" s="1151"/>
      <c r="J3438" s="1151"/>
      <c r="K3438" s="1151"/>
      <c r="L3438" s="1151"/>
      <c r="M3438" s="1152"/>
      <c r="N3438" s="345">
        <f>ROUND(N3428+N3436,0)</f>
        <v>558540</v>
      </c>
    </row>
    <row r="3439" spans="2:17">
      <c r="B3439" s="280"/>
      <c r="C3439" s="281"/>
      <c r="D3439" s="281"/>
      <c r="E3439" s="281"/>
      <c r="F3439" s="281"/>
      <c r="G3439" s="281"/>
      <c r="H3439" s="281"/>
      <c r="I3439" s="281"/>
      <c r="J3439" s="281"/>
      <c r="K3439" s="281"/>
      <c r="L3439" s="281"/>
      <c r="M3439" s="281"/>
      <c r="N3439" s="282"/>
    </row>
    <row r="3440" spans="2:17">
      <c r="B3440" s="283"/>
      <c r="N3440" s="284"/>
    </row>
    <row r="3441" spans="2:14">
      <c r="B3441" s="283"/>
      <c r="N3441" s="284"/>
    </row>
    <row r="3442" spans="2:14">
      <c r="B3442" s="283"/>
      <c r="G3442" s="346" t="s">
        <v>296</v>
      </c>
      <c r="H3442" s="346"/>
      <c r="I3442" s="346"/>
      <c r="J3442" s="346"/>
      <c r="N3442" s="284"/>
    </row>
    <row r="3443" spans="2:14">
      <c r="B3443" s="347"/>
      <c r="C3443" s="348"/>
      <c r="D3443" s="348"/>
      <c r="E3443" s="348"/>
      <c r="F3443" s="348"/>
      <c r="G3443" s="346" t="s">
        <v>297</v>
      </c>
      <c r="H3443" s="348"/>
      <c r="I3443" s="348"/>
      <c r="J3443" s="348"/>
      <c r="K3443" s="348"/>
      <c r="L3443" s="348"/>
      <c r="M3443" s="348"/>
      <c r="N3443" s="349"/>
    </row>
    <row r="3444" spans="2:14">
      <c r="B3444" s="347"/>
      <c r="C3444" s="348"/>
      <c r="D3444" s="348"/>
      <c r="E3444" s="348"/>
      <c r="F3444" s="348"/>
      <c r="G3444" s="346" t="s">
        <v>298</v>
      </c>
      <c r="J3444" s="348"/>
      <c r="K3444" s="348"/>
      <c r="L3444" s="348"/>
      <c r="M3444" s="348"/>
      <c r="N3444" s="349"/>
    </row>
    <row r="3445" spans="2:14">
      <c r="B3445" s="268"/>
      <c r="C3445" s="350"/>
      <c r="D3445" s="350"/>
      <c r="E3445" s="350"/>
      <c r="F3445" s="350"/>
      <c r="G3445" s="346" t="s">
        <v>299</v>
      </c>
      <c r="H3445" s="350"/>
      <c r="I3445" s="350"/>
      <c r="J3445" s="350"/>
      <c r="K3445" s="350"/>
      <c r="L3445" s="350"/>
      <c r="M3445" s="350"/>
      <c r="N3445" s="351"/>
    </row>
    <row r="3446" spans="2:14">
      <c r="B3446" s="283"/>
      <c r="G3446" s="258" t="s">
        <v>300</v>
      </c>
      <c r="N3446" s="284"/>
    </row>
    <row r="3447" spans="2:14">
      <c r="B3447" s="352" t="s">
        <v>301</v>
      </c>
      <c r="C3447" s="353"/>
      <c r="D3447" s="353"/>
      <c r="E3447" s="353"/>
      <c r="F3447" s="353"/>
      <c r="G3447" s="353"/>
      <c r="H3447" s="353"/>
      <c r="I3447" s="353"/>
      <c r="J3447" s="353"/>
      <c r="K3447" s="353"/>
      <c r="L3447" s="353"/>
      <c r="M3447" s="353"/>
      <c r="N3447" s="354"/>
    </row>
    <row r="3448" spans="2:14">
      <c r="B3448" s="1153"/>
      <c r="C3448" s="1154"/>
      <c r="D3448" s="1154"/>
      <c r="E3448" s="1154"/>
      <c r="F3448" s="1154"/>
      <c r="G3448" s="1154"/>
      <c r="H3448" s="1154"/>
      <c r="I3448" s="1154"/>
      <c r="J3448" s="1154"/>
      <c r="K3448" s="1154"/>
      <c r="L3448" s="1154"/>
      <c r="M3448" s="1154"/>
      <c r="N3448" s="1155"/>
    </row>
    <row r="3449" spans="2:14">
      <c r="B3449" s="1153"/>
      <c r="C3449" s="1154"/>
      <c r="D3449" s="1154"/>
      <c r="E3449" s="1154"/>
      <c r="F3449" s="1154"/>
      <c r="G3449" s="1154"/>
      <c r="H3449" s="1154"/>
      <c r="I3449" s="1154"/>
      <c r="J3449" s="1154"/>
      <c r="K3449" s="1154"/>
      <c r="L3449" s="1154"/>
      <c r="M3449" s="1154"/>
      <c r="N3449" s="1155"/>
    </row>
    <row r="3450" spans="2:14">
      <c r="B3450" s="268"/>
      <c r="C3450" s="350"/>
      <c r="D3450" s="350"/>
      <c r="E3450" s="350"/>
      <c r="F3450" s="350"/>
      <c r="G3450" s="350"/>
      <c r="H3450" s="350"/>
      <c r="I3450" s="350"/>
      <c r="J3450" s="350"/>
      <c r="K3450" s="350"/>
      <c r="L3450" s="350"/>
      <c r="M3450" s="350"/>
      <c r="N3450" s="351"/>
    </row>
    <row r="3451" spans="2:14">
      <c r="B3451" s="355" t="s">
        <v>302</v>
      </c>
      <c r="C3451" s="350"/>
      <c r="D3451" s="350"/>
      <c r="E3451" s="350"/>
      <c r="F3451" s="350"/>
      <c r="G3451" s="350"/>
      <c r="H3451" s="350"/>
      <c r="I3451" s="350"/>
      <c r="J3451" s="350"/>
      <c r="K3451" s="350"/>
      <c r="L3451" s="350"/>
      <c r="M3451" s="350"/>
      <c r="N3451" s="351"/>
    </row>
    <row r="3452" spans="2:14">
      <c r="B3452" s="1159" t="s">
        <v>303</v>
      </c>
      <c r="C3452" s="1160"/>
      <c r="D3452" s="1160"/>
      <c r="E3452" s="1160"/>
      <c r="F3452" s="1160"/>
      <c r="G3452" s="1160"/>
      <c r="H3452" s="1160"/>
      <c r="I3452" s="1160"/>
      <c r="J3452" s="1160"/>
      <c r="K3452" s="1160"/>
      <c r="L3452" s="1160"/>
      <c r="M3452" s="1160"/>
      <c r="N3452" s="1161"/>
    </row>
    <row r="3453" spans="2:14">
      <c r="B3453" s="1159"/>
      <c r="C3453" s="1160"/>
      <c r="D3453" s="1160"/>
      <c r="E3453" s="1160"/>
      <c r="F3453" s="1160"/>
      <c r="G3453" s="1160"/>
      <c r="H3453" s="1160"/>
      <c r="I3453" s="1160"/>
      <c r="J3453" s="1160"/>
      <c r="K3453" s="1160"/>
      <c r="L3453" s="1160"/>
      <c r="M3453" s="1160"/>
      <c r="N3453" s="1161"/>
    </row>
    <row r="3454" spans="2:14">
      <c r="B3454" s="1159" t="s">
        <v>304</v>
      </c>
      <c r="C3454" s="1160"/>
      <c r="D3454" s="1160"/>
      <c r="E3454" s="1160"/>
      <c r="F3454" s="1160"/>
      <c r="G3454" s="1160"/>
      <c r="H3454" s="1160"/>
      <c r="I3454" s="1160"/>
      <c r="J3454" s="1160"/>
      <c r="K3454" s="1160"/>
      <c r="L3454" s="1160"/>
      <c r="M3454" s="1160"/>
      <c r="N3454" s="1161"/>
    </row>
    <row r="3455" spans="2:14">
      <c r="B3455" s="1159"/>
      <c r="C3455" s="1160"/>
      <c r="D3455" s="1160"/>
      <c r="E3455" s="1160"/>
      <c r="F3455" s="1160"/>
      <c r="G3455" s="1160"/>
      <c r="H3455" s="1160"/>
      <c r="I3455" s="1160"/>
      <c r="J3455" s="1160"/>
      <c r="K3455" s="1160"/>
      <c r="L3455" s="1160"/>
      <c r="M3455" s="1160"/>
      <c r="N3455" s="1161"/>
    </row>
    <row r="3456" spans="2:14">
      <c r="B3456" s="268"/>
      <c r="C3456" s="350"/>
      <c r="D3456" s="350"/>
      <c r="E3456" s="350"/>
      <c r="F3456" s="350"/>
      <c r="G3456" s="350"/>
      <c r="H3456" s="350"/>
      <c r="I3456" s="350"/>
      <c r="J3456" s="350"/>
      <c r="K3456" s="350"/>
      <c r="L3456" s="350"/>
      <c r="M3456" s="350"/>
      <c r="N3456" s="351"/>
    </row>
    <row r="3457" spans="2:14">
      <c r="B3457" s="283"/>
      <c r="G3457" s="346" t="s">
        <v>296</v>
      </c>
      <c r="N3457" s="284"/>
    </row>
    <row r="3458" spans="2:14">
      <c r="B3458" s="283"/>
      <c r="G3458" s="258" t="s">
        <v>305</v>
      </c>
      <c r="H3458" s="293"/>
      <c r="I3458" s="293"/>
      <c r="J3458" s="293"/>
      <c r="N3458" s="284"/>
    </row>
    <row r="3459" spans="2:14">
      <c r="B3459" s="283"/>
      <c r="G3459" s="258" t="s">
        <v>306</v>
      </c>
      <c r="H3459" s="325"/>
      <c r="I3459" s="325"/>
      <c r="J3459" s="325"/>
      <c r="N3459" s="284"/>
    </row>
    <row r="3460" spans="2:14">
      <c r="B3460" s="356"/>
      <c r="C3460" s="350"/>
      <c r="D3460" s="350"/>
      <c r="E3460" s="350"/>
      <c r="F3460" s="350"/>
      <c r="G3460" s="258" t="s">
        <v>299</v>
      </c>
      <c r="K3460" s="350"/>
      <c r="L3460" s="350"/>
      <c r="M3460" s="350"/>
      <c r="N3460" s="351"/>
    </row>
    <row r="3461" spans="2:14">
      <c r="B3461" s="357"/>
      <c r="C3461" s="358"/>
      <c r="D3461" s="358"/>
      <c r="J3461" s="1162"/>
      <c r="K3461" s="1162"/>
      <c r="L3461" s="1162"/>
      <c r="M3461" s="1162"/>
      <c r="N3461" s="1163"/>
    </row>
    <row r="3462" spans="2:14" ht="13.5" thickBot="1">
      <c r="B3462" s="1166"/>
      <c r="C3462" s="1167"/>
      <c r="D3462" s="1167"/>
      <c r="E3462" s="311"/>
      <c r="F3462" s="311"/>
      <c r="G3462" s="311"/>
      <c r="H3462" s="311"/>
      <c r="I3462" s="311"/>
      <c r="J3462" s="1164"/>
      <c r="K3462" s="1164"/>
      <c r="L3462" s="1164"/>
      <c r="M3462" s="1164"/>
      <c r="N3462" s="1165"/>
    </row>
    <row r="3463" spans="2:14" ht="13.5" thickBot="1"/>
    <row r="3464" spans="2:14">
      <c r="B3464" s="1070"/>
      <c r="C3464" s="1072"/>
      <c r="D3464" s="1073"/>
      <c r="E3464" s="1073"/>
      <c r="F3464" s="1073"/>
      <c r="G3464" s="1073"/>
      <c r="H3464" s="1073"/>
      <c r="I3464" s="1073"/>
      <c r="J3464" s="1074"/>
      <c r="K3464" s="1075"/>
      <c r="L3464" s="1076"/>
      <c r="M3464" s="1076"/>
      <c r="N3464" s="1077"/>
    </row>
    <row r="3465" spans="2:14">
      <c r="B3465" s="1071"/>
      <c r="C3465" s="1062" t="s">
        <v>244</v>
      </c>
      <c r="D3465" s="1063"/>
      <c r="E3465" s="1063"/>
      <c r="F3465" s="1063"/>
      <c r="G3465" s="1063"/>
      <c r="H3465" s="1063"/>
      <c r="I3465" s="1063"/>
      <c r="J3465" s="1064"/>
      <c r="K3465" s="1078"/>
      <c r="L3465" s="1079"/>
      <c r="M3465" s="1079"/>
      <c r="N3465" s="1080"/>
    </row>
    <row r="3466" spans="2:14">
      <c r="B3466" s="1071"/>
      <c r="C3466" s="1081"/>
      <c r="D3466" s="1082"/>
      <c r="E3466" s="1082"/>
      <c r="F3466" s="1082"/>
      <c r="G3466" s="1082"/>
      <c r="H3466" s="1082"/>
      <c r="I3466" s="1082"/>
      <c r="J3466" s="1083"/>
      <c r="K3466" s="1058" t="s">
        <v>245</v>
      </c>
      <c r="L3466" s="1085"/>
      <c r="M3466" s="1086"/>
      <c r="N3466" s="1087"/>
    </row>
    <row r="3467" spans="2:14">
      <c r="B3467" s="1071"/>
      <c r="C3467" s="1062" t="s">
        <v>246</v>
      </c>
      <c r="D3467" s="1063"/>
      <c r="E3467" s="1063"/>
      <c r="F3467" s="1063"/>
      <c r="G3467" s="1063"/>
      <c r="H3467" s="1063"/>
      <c r="I3467" s="1063"/>
      <c r="J3467" s="1064"/>
      <c r="K3467" s="1084"/>
      <c r="L3467" s="1088"/>
      <c r="M3467" s="1089"/>
      <c r="N3467" s="1090"/>
    </row>
    <row r="3468" spans="2:14">
      <c r="B3468" s="1071"/>
      <c r="C3468" s="1091"/>
      <c r="D3468" s="1092"/>
      <c r="E3468" s="1092"/>
      <c r="F3468" s="1092"/>
      <c r="G3468" s="1092"/>
      <c r="H3468" s="1092"/>
      <c r="I3468" s="1092"/>
      <c r="J3468" s="1093"/>
      <c r="K3468" s="1058" t="s">
        <v>247</v>
      </c>
      <c r="L3468" s="1058">
        <v>39</v>
      </c>
      <c r="M3468" s="1058" t="s">
        <v>248</v>
      </c>
      <c r="N3468" s="1060">
        <v>80</v>
      </c>
    </row>
    <row r="3469" spans="2:14">
      <c r="B3469" s="1071"/>
      <c r="C3469" s="1091"/>
      <c r="D3469" s="1092"/>
      <c r="E3469" s="1092"/>
      <c r="F3469" s="1092"/>
      <c r="G3469" s="1092"/>
      <c r="H3469" s="1092"/>
      <c r="I3469" s="1092"/>
      <c r="J3469" s="1093"/>
      <c r="K3469" s="1059"/>
      <c r="L3469" s="1059"/>
      <c r="M3469" s="1059"/>
      <c r="N3469" s="1061"/>
    </row>
    <row r="3470" spans="2:14">
      <c r="B3470" s="1071"/>
      <c r="C3470" s="1062" t="s">
        <v>249</v>
      </c>
      <c r="D3470" s="1063"/>
      <c r="E3470" s="1063"/>
      <c r="F3470" s="1063"/>
      <c r="G3470" s="1063"/>
      <c r="H3470" s="1063"/>
      <c r="I3470" s="1063"/>
      <c r="J3470" s="1064"/>
      <c r="K3470" s="1059"/>
      <c r="L3470" s="1059"/>
      <c r="M3470" s="1059"/>
      <c r="N3470" s="1061"/>
    </row>
    <row r="3471" spans="2:14" ht="13.5" thickBot="1">
      <c r="B3471" s="259"/>
      <c r="C3471" s="260"/>
      <c r="D3471" s="260"/>
      <c r="E3471" s="260"/>
      <c r="F3471" s="260"/>
      <c r="G3471" s="260"/>
      <c r="H3471" s="260"/>
      <c r="I3471" s="260"/>
      <c r="J3471" s="260"/>
      <c r="K3471" s="260"/>
      <c r="L3471" s="261"/>
      <c r="M3471" s="261"/>
      <c r="N3471" s="262"/>
    </row>
    <row r="3472" spans="2:14">
      <c r="B3472" s="263"/>
      <c r="C3472" s="264"/>
      <c r="D3472" s="264"/>
      <c r="E3472" s="264"/>
      <c r="F3472" s="264"/>
      <c r="G3472" s="264"/>
      <c r="H3472" s="264"/>
      <c r="I3472" s="264"/>
      <c r="J3472" s="264"/>
      <c r="K3472" s="265" t="s">
        <v>250</v>
      </c>
      <c r="L3472" s="266" t="s">
        <v>251</v>
      </c>
      <c r="M3472" s="266" t="s">
        <v>252</v>
      </c>
      <c r="N3472" s="267" t="s">
        <v>253</v>
      </c>
    </row>
    <row r="3473" spans="2:14">
      <c r="B3473" s="268"/>
      <c r="C3473" s="269"/>
      <c r="D3473" s="269"/>
      <c r="E3473" s="269"/>
      <c r="F3473" s="269"/>
      <c r="G3473" s="269"/>
      <c r="H3473" s="269"/>
      <c r="I3473" s="269"/>
      <c r="J3473" s="269"/>
      <c r="K3473" s="270"/>
      <c r="L3473" s="271"/>
      <c r="M3473" s="271"/>
      <c r="N3473" s="272"/>
    </row>
    <row r="3474" spans="2:14">
      <c r="B3474" s="1065" t="s">
        <v>254</v>
      </c>
      <c r="C3474" s="1066"/>
      <c r="D3474" s="1066"/>
      <c r="E3474" s="1066"/>
      <c r="F3474" s="269"/>
      <c r="G3474" s="269"/>
      <c r="H3474" s="269" t="s">
        <v>255</v>
      </c>
      <c r="J3474" s="269"/>
      <c r="K3474" s="270"/>
      <c r="N3474" s="273"/>
    </row>
    <row r="3475" spans="2:14">
      <c r="B3475" s="274"/>
      <c r="C3475" s="275"/>
      <c r="D3475" s="275"/>
      <c r="E3475" s="275"/>
      <c r="F3475" s="275"/>
      <c r="G3475" s="275"/>
      <c r="H3475" s="275"/>
      <c r="I3475" s="275"/>
      <c r="J3475" s="275"/>
      <c r="K3475" s="275"/>
      <c r="L3475" s="275"/>
      <c r="M3475" s="275"/>
      <c r="N3475" s="276"/>
    </row>
    <row r="3476" spans="2:14" ht="13.5" thickBot="1">
      <c r="B3476" s="277"/>
      <c r="C3476" s="278"/>
      <c r="D3476" s="278"/>
      <c r="E3476" s="278"/>
      <c r="F3476" s="278"/>
      <c r="G3476" s="278"/>
      <c r="H3476" s="278"/>
      <c r="I3476" s="278"/>
      <c r="J3476" s="278"/>
      <c r="K3476" s="278"/>
      <c r="L3476" s="278"/>
      <c r="M3476" s="278"/>
      <c r="N3476" s="279"/>
    </row>
    <row r="3477" spans="2:14" ht="13.5" thickBot="1">
      <c r="B3477" s="280"/>
      <c r="C3477" s="281"/>
      <c r="D3477" s="281"/>
      <c r="E3477" s="281"/>
      <c r="F3477" s="281"/>
      <c r="G3477" s="281"/>
      <c r="J3477" s="281"/>
      <c r="K3477" s="281"/>
      <c r="L3477" s="281"/>
      <c r="M3477" s="281"/>
      <c r="N3477" s="282"/>
    </row>
    <row r="3478" spans="2:14">
      <c r="B3478" s="1067" t="s">
        <v>256</v>
      </c>
      <c r="C3478" s="1068"/>
      <c r="D3478" s="1068"/>
      <c r="E3478" s="1068"/>
      <c r="F3478" s="1068"/>
      <c r="G3478" s="1068"/>
      <c r="H3478" s="1068"/>
      <c r="I3478" s="1068"/>
      <c r="J3478" s="1068"/>
      <c r="K3478" s="1068"/>
      <c r="L3478" s="1068"/>
      <c r="M3478" s="1068"/>
      <c r="N3478" s="1069"/>
    </row>
    <row r="3479" spans="2:14" ht="13.5" thickBot="1">
      <c r="B3479" s="283"/>
      <c r="N3479" s="284"/>
    </row>
    <row r="3480" spans="2:14">
      <c r="B3480" s="285" t="s">
        <v>257</v>
      </c>
      <c r="C3480" s="1120" t="s">
        <v>258</v>
      </c>
      <c r="D3480" s="1121"/>
      <c r="E3480" s="1121"/>
      <c r="F3480" s="1121"/>
      <c r="G3480" s="1121"/>
      <c r="H3480" s="1121"/>
      <c r="I3480" s="1121"/>
      <c r="J3480" s="1121"/>
      <c r="K3480" s="1122"/>
      <c r="L3480" s="1123" t="s">
        <v>259</v>
      </c>
      <c r="M3480" s="1124"/>
      <c r="N3480" s="285" t="s">
        <v>133</v>
      </c>
    </row>
    <row r="3481" spans="2:14" ht="32.5" customHeight="1" thickBot="1">
      <c r="B3481" s="286">
        <v>39</v>
      </c>
      <c r="C3481" s="1125" t="s">
        <v>180</v>
      </c>
      <c r="D3481" s="1126"/>
      <c r="E3481" s="1126"/>
      <c r="F3481" s="1126"/>
      <c r="G3481" s="1126"/>
      <c r="H3481" s="1126"/>
      <c r="I3481" s="1126"/>
      <c r="J3481" s="1126"/>
      <c r="K3481" s="1127"/>
      <c r="L3481" s="1128" t="s">
        <v>147</v>
      </c>
      <c r="M3481" s="1129"/>
      <c r="N3481" s="366">
        <v>4</v>
      </c>
    </row>
    <row r="3482" spans="2:14">
      <c r="B3482" s="1103"/>
      <c r="C3482" s="1104"/>
      <c r="D3482" s="1104"/>
      <c r="E3482" s="1104"/>
      <c r="F3482" s="1104"/>
      <c r="G3482" s="1104"/>
      <c r="H3482" s="1104"/>
      <c r="I3482" s="1104"/>
      <c r="J3482" s="1104"/>
      <c r="K3482" s="1104"/>
      <c r="L3482" s="1104"/>
      <c r="M3482" s="1104"/>
      <c r="N3482" s="1105"/>
    </row>
    <row r="3483" spans="2:14">
      <c r="B3483" s="1106"/>
      <c r="C3483" s="1107"/>
      <c r="D3483" s="1107"/>
      <c r="E3483" s="1107"/>
      <c r="F3483" s="1107"/>
      <c r="G3483" s="1107"/>
      <c r="H3483" s="1107"/>
      <c r="I3483" s="1107"/>
      <c r="J3483" s="1107"/>
      <c r="K3483" s="1107"/>
      <c r="L3483" s="1107"/>
      <c r="M3483" s="1107"/>
      <c r="N3483" s="1108"/>
    </row>
    <row r="3484" spans="2:14" ht="13.5" thickBot="1">
      <c r="B3484" s="1109"/>
      <c r="C3484" s="1110"/>
      <c r="D3484" s="1110"/>
      <c r="E3484" s="1110"/>
      <c r="F3484" s="1110"/>
      <c r="G3484" s="1110"/>
      <c r="H3484" s="1110"/>
      <c r="I3484" s="1110"/>
      <c r="J3484" s="1110"/>
      <c r="K3484" s="1110"/>
      <c r="L3484" s="1110"/>
      <c r="M3484" s="1110"/>
      <c r="N3484" s="1111"/>
    </row>
    <row r="3485" spans="2:14">
      <c r="B3485" s="1130" t="s">
        <v>258</v>
      </c>
      <c r="C3485" s="1131"/>
      <c r="D3485" s="1131"/>
      <c r="E3485" s="1131"/>
      <c r="F3485" s="1132"/>
      <c r="G3485" s="1133" t="s">
        <v>261</v>
      </c>
      <c r="H3485" s="1131"/>
      <c r="I3485" s="1134" t="s">
        <v>262</v>
      </c>
      <c r="J3485" s="1135"/>
      <c r="K3485" s="288" t="s">
        <v>263</v>
      </c>
      <c r="L3485" s="1133" t="s">
        <v>264</v>
      </c>
      <c r="M3485" s="1136"/>
      <c r="N3485" s="289" t="s">
        <v>265</v>
      </c>
    </row>
    <row r="3486" spans="2:14">
      <c r="B3486" s="1179" t="s">
        <v>355</v>
      </c>
      <c r="C3486" s="1180"/>
      <c r="D3486" s="1180"/>
      <c r="E3486" s="1180"/>
      <c r="F3486" s="1181"/>
      <c r="G3486" s="295"/>
      <c r="H3486" s="294"/>
      <c r="I3486" s="1182" t="s">
        <v>267</v>
      </c>
      <c r="J3486" s="1183"/>
      <c r="K3486" s="290">
        <v>333</v>
      </c>
      <c r="L3486" s="1118">
        <v>0.1666667</v>
      </c>
      <c r="M3486" s="1119"/>
      <c r="N3486" s="290">
        <f>+K3486/L3486</f>
        <v>1997.99960040008</v>
      </c>
    </row>
    <row r="3487" spans="2:14">
      <c r="B3487" s="1179" t="s">
        <v>356</v>
      </c>
      <c r="C3487" s="1180"/>
      <c r="D3487" s="1180"/>
      <c r="E3487" s="1180"/>
      <c r="F3487" s="1181"/>
      <c r="G3487" s="295"/>
      <c r="H3487" s="294"/>
      <c r="I3487" s="1182" t="s">
        <v>267</v>
      </c>
      <c r="J3487" s="1183"/>
      <c r="K3487" s="290">
        <v>186</v>
      </c>
      <c r="L3487" s="1118">
        <v>0.1666667</v>
      </c>
      <c r="M3487" s="1119"/>
      <c r="N3487" s="290">
        <f>+K3487/L3487</f>
        <v>1115.9997768000446</v>
      </c>
    </row>
    <row r="3488" spans="2:14">
      <c r="B3488" s="1179" t="s">
        <v>327</v>
      </c>
      <c r="C3488" s="1180"/>
      <c r="D3488" s="1180"/>
      <c r="E3488" s="1180"/>
      <c r="F3488" s="1181"/>
      <c r="G3488" s="295"/>
      <c r="H3488" s="294"/>
      <c r="I3488" s="1182" t="s">
        <v>267</v>
      </c>
      <c r="J3488" s="1183"/>
      <c r="K3488" s="290">
        <v>333</v>
      </c>
      <c r="L3488" s="1118">
        <v>0.5</v>
      </c>
      <c r="M3488" s="1119"/>
      <c r="N3488" s="290">
        <f>+K3488/L3488</f>
        <v>666</v>
      </c>
    </row>
    <row r="3489" spans="2:14">
      <c r="B3489" s="1179" t="s">
        <v>357</v>
      </c>
      <c r="C3489" s="1180"/>
      <c r="D3489" s="1180"/>
      <c r="E3489" s="1180"/>
      <c r="F3489" s="1181"/>
      <c r="G3489" s="295"/>
      <c r="H3489" s="294"/>
      <c r="I3489" s="1182" t="s">
        <v>267</v>
      </c>
      <c r="J3489" s="1183"/>
      <c r="K3489" s="290">
        <v>666</v>
      </c>
      <c r="L3489" s="1118">
        <v>1</v>
      </c>
      <c r="M3489" s="1119"/>
      <c r="N3489" s="290">
        <f>+K3489/L3489</f>
        <v>666</v>
      </c>
    </row>
    <row r="3490" spans="2:14" ht="13.5" thickBot="1">
      <c r="B3490" s="1179" t="s">
        <v>340</v>
      </c>
      <c r="C3490" s="1180"/>
      <c r="D3490" s="1180"/>
      <c r="E3490" s="1180"/>
      <c r="F3490" s="1181"/>
      <c r="G3490" s="295"/>
      <c r="H3490" s="294"/>
      <c r="I3490" s="1182" t="s">
        <v>267</v>
      </c>
      <c r="J3490" s="1183"/>
      <c r="K3490" s="290">
        <v>45220</v>
      </c>
      <c r="L3490" s="1118">
        <v>7.0000070000000001</v>
      </c>
      <c r="M3490" s="1119"/>
      <c r="N3490" s="290">
        <f>+K3490/L3490</f>
        <v>6459.9935400064596</v>
      </c>
    </row>
    <row r="3491" spans="2:14" ht="13.5" thickBot="1">
      <c r="B3491" s="1100" t="s">
        <v>269</v>
      </c>
      <c r="C3491" s="1101"/>
      <c r="D3491" s="1101"/>
      <c r="E3491" s="1101"/>
      <c r="F3491" s="1101"/>
      <c r="G3491" s="1101"/>
      <c r="H3491" s="1101"/>
      <c r="I3491" s="1101"/>
      <c r="J3491" s="1101"/>
      <c r="K3491" s="1101"/>
      <c r="L3491" s="1101"/>
      <c r="M3491" s="1102"/>
      <c r="N3491" s="323">
        <f>+N3486+N3487+N3488+N3489+N3490</f>
        <v>10905.992917206584</v>
      </c>
    </row>
    <row r="3492" spans="2:14">
      <c r="B3492" s="1103" t="s">
        <v>270</v>
      </c>
      <c r="C3492" s="1104"/>
      <c r="D3492" s="1104"/>
      <c r="E3492" s="1104"/>
      <c r="F3492" s="1104"/>
      <c r="G3492" s="1104"/>
      <c r="H3492" s="1104"/>
      <c r="I3492" s="1104"/>
      <c r="J3492" s="1104"/>
      <c r="K3492" s="1104"/>
      <c r="L3492" s="1104"/>
      <c r="M3492" s="1104"/>
      <c r="N3492" s="1105"/>
    </row>
    <row r="3493" spans="2:14">
      <c r="B3493" s="1106"/>
      <c r="C3493" s="1107"/>
      <c r="D3493" s="1107"/>
      <c r="E3493" s="1107"/>
      <c r="F3493" s="1107"/>
      <c r="G3493" s="1107"/>
      <c r="H3493" s="1107"/>
      <c r="I3493" s="1107"/>
      <c r="J3493" s="1107"/>
      <c r="K3493" s="1107"/>
      <c r="L3493" s="1107"/>
      <c r="M3493" s="1107"/>
      <c r="N3493" s="1108"/>
    </row>
    <row r="3494" spans="2:14" ht="13.5" thickBot="1">
      <c r="B3494" s="1109"/>
      <c r="C3494" s="1110"/>
      <c r="D3494" s="1110"/>
      <c r="E3494" s="1110"/>
      <c r="F3494" s="1110"/>
      <c r="G3494" s="1110"/>
      <c r="H3494" s="1110"/>
      <c r="I3494" s="1110"/>
      <c r="J3494" s="1110"/>
      <c r="K3494" s="1110"/>
      <c r="L3494" s="1110"/>
      <c r="M3494" s="1110"/>
      <c r="N3494" s="1111"/>
    </row>
    <row r="3495" spans="2:14">
      <c r="B3495" s="1130" t="s">
        <v>258</v>
      </c>
      <c r="C3495" s="1139"/>
      <c r="D3495" s="1139"/>
      <c r="E3495" s="1139"/>
      <c r="F3495" s="1139"/>
      <c r="G3495" s="1139"/>
      <c r="H3495" s="1139"/>
      <c r="I3495" s="1136"/>
      <c r="J3495" s="299" t="s">
        <v>259</v>
      </c>
      <c r="K3495" s="288" t="s">
        <v>133</v>
      </c>
      <c r="L3495" s="1133" t="s">
        <v>271</v>
      </c>
      <c r="M3495" s="1136"/>
      <c r="N3495" s="289" t="s">
        <v>265</v>
      </c>
    </row>
    <row r="3496" spans="2:14">
      <c r="B3496" s="1112" t="s">
        <v>353</v>
      </c>
      <c r="C3496" s="1113"/>
      <c r="D3496" s="1113"/>
      <c r="E3496" s="1113"/>
      <c r="F3496" s="1113"/>
      <c r="G3496" s="1113"/>
      <c r="H3496" s="1113"/>
      <c r="I3496" s="1114"/>
      <c r="J3496" s="300" t="s">
        <v>196</v>
      </c>
      <c r="K3496" s="301">
        <v>0.4289</v>
      </c>
      <c r="L3496" s="1144">
        <v>139230</v>
      </c>
      <c r="M3496" s="1145"/>
      <c r="N3496" s="363">
        <f>+K3496*L3496</f>
        <v>59715.747000000003</v>
      </c>
    </row>
    <row r="3497" spans="2:14" ht="13.5" thickBot="1">
      <c r="B3497" s="402" t="s">
        <v>348</v>
      </c>
      <c r="C3497" s="353"/>
      <c r="D3497" s="353"/>
      <c r="E3497" s="353"/>
      <c r="F3497" s="353"/>
      <c r="G3497" s="353"/>
      <c r="H3497" s="353"/>
      <c r="I3497" s="403"/>
      <c r="J3497" s="303" t="s">
        <v>147</v>
      </c>
      <c r="K3497" s="392">
        <v>1.05</v>
      </c>
      <c r="L3497" s="1144">
        <v>369520</v>
      </c>
      <c r="M3497" s="1145"/>
      <c r="N3497" s="363">
        <f>+K3497*L3497</f>
        <v>387996</v>
      </c>
    </row>
    <row r="3498" spans="2:14" ht="13.5" thickBot="1">
      <c r="B3498" s="1100" t="s">
        <v>269</v>
      </c>
      <c r="C3498" s="1101"/>
      <c r="D3498" s="1101"/>
      <c r="E3498" s="1101"/>
      <c r="F3498" s="1101"/>
      <c r="G3498" s="1101"/>
      <c r="H3498" s="1101"/>
      <c r="I3498" s="1101"/>
      <c r="J3498" s="1101"/>
      <c r="K3498" s="1101"/>
      <c r="L3498" s="1101"/>
      <c r="M3498" s="1102"/>
      <c r="N3498" s="323">
        <f>+N3496+N3497</f>
        <v>447711.74699999997</v>
      </c>
    </row>
    <row r="3499" spans="2:14">
      <c r="B3499" s="1103" t="s">
        <v>276</v>
      </c>
      <c r="C3499" s="1104"/>
      <c r="D3499" s="1104"/>
      <c r="E3499" s="1104"/>
      <c r="F3499" s="1104"/>
      <c r="G3499" s="1104"/>
      <c r="H3499" s="1104"/>
      <c r="I3499" s="1104"/>
      <c r="J3499" s="1104"/>
      <c r="K3499" s="1104"/>
      <c r="L3499" s="1104"/>
      <c r="M3499" s="1104"/>
      <c r="N3499" s="1105"/>
    </row>
    <row r="3500" spans="2:14">
      <c r="B3500" s="1106"/>
      <c r="C3500" s="1107"/>
      <c r="D3500" s="1107"/>
      <c r="E3500" s="1107"/>
      <c r="F3500" s="1107"/>
      <c r="G3500" s="1107"/>
      <c r="H3500" s="1107"/>
      <c r="I3500" s="1107"/>
      <c r="J3500" s="1107"/>
      <c r="K3500" s="1107"/>
      <c r="L3500" s="1107"/>
      <c r="M3500" s="1107"/>
      <c r="N3500" s="1108"/>
    </row>
    <row r="3501" spans="2:14" ht="13.5" thickBot="1">
      <c r="B3501" s="1109"/>
      <c r="C3501" s="1110"/>
      <c r="D3501" s="1110"/>
      <c r="E3501" s="1110"/>
      <c r="F3501" s="1110"/>
      <c r="G3501" s="1110"/>
      <c r="H3501" s="1110"/>
      <c r="I3501" s="1110"/>
      <c r="J3501" s="1110"/>
      <c r="K3501" s="1110"/>
      <c r="L3501" s="1110"/>
      <c r="M3501" s="1110"/>
      <c r="N3501" s="1111"/>
    </row>
    <row r="3502" spans="2:14">
      <c r="B3502" s="1130" t="s">
        <v>277</v>
      </c>
      <c r="C3502" s="1139"/>
      <c r="D3502" s="1139"/>
      <c r="E3502" s="1139"/>
      <c r="F3502" s="1139"/>
      <c r="G3502" s="1139"/>
      <c r="H3502" s="1139"/>
      <c r="I3502" s="288" t="s">
        <v>278</v>
      </c>
      <c r="J3502" s="306" t="s">
        <v>279</v>
      </c>
      <c r="K3502" s="307" t="s">
        <v>280</v>
      </c>
      <c r="L3502" s="1133" t="s">
        <v>281</v>
      </c>
      <c r="M3502" s="1136"/>
      <c r="N3502" s="289" t="s">
        <v>265</v>
      </c>
    </row>
    <row r="3503" spans="2:14" ht="13.5" thickBot="1">
      <c r="B3503" s="1112"/>
      <c r="C3503" s="1113"/>
      <c r="D3503" s="1113"/>
      <c r="E3503" s="1113"/>
      <c r="F3503" s="1113"/>
      <c r="G3503" s="1113"/>
      <c r="H3503" s="1113"/>
      <c r="I3503" s="393"/>
      <c r="J3503" s="309"/>
      <c r="K3503" s="308"/>
      <c r="L3503" s="1144"/>
      <c r="M3503" s="1145"/>
      <c r="N3503" s="363"/>
    </row>
    <row r="3504" spans="2:14" ht="13.5" thickBot="1">
      <c r="B3504" s="1100" t="s">
        <v>269</v>
      </c>
      <c r="C3504" s="1101"/>
      <c r="D3504" s="1101"/>
      <c r="E3504" s="1101"/>
      <c r="F3504" s="1101"/>
      <c r="G3504" s="1101"/>
      <c r="H3504" s="1101"/>
      <c r="I3504" s="1101"/>
      <c r="J3504" s="1101"/>
      <c r="K3504" s="1101"/>
      <c r="L3504" s="1101"/>
      <c r="M3504" s="1102"/>
      <c r="N3504" s="323">
        <f>+N3503</f>
        <v>0</v>
      </c>
    </row>
    <row r="3505" spans="2:17">
      <c r="B3505" s="1103" t="s">
        <v>282</v>
      </c>
      <c r="C3505" s="1104"/>
      <c r="D3505" s="1104"/>
      <c r="E3505" s="1104"/>
      <c r="F3505" s="1104"/>
      <c r="G3505" s="1104"/>
      <c r="H3505" s="1104"/>
      <c r="I3505" s="1104"/>
      <c r="J3505" s="1104"/>
      <c r="K3505" s="1104"/>
      <c r="L3505" s="1104"/>
      <c r="M3505" s="1104"/>
      <c r="N3505" s="1105"/>
    </row>
    <row r="3506" spans="2:17">
      <c r="B3506" s="1106"/>
      <c r="C3506" s="1107"/>
      <c r="D3506" s="1107"/>
      <c r="E3506" s="1107"/>
      <c r="F3506" s="1107"/>
      <c r="G3506" s="1107"/>
      <c r="H3506" s="1107"/>
      <c r="I3506" s="1107"/>
      <c r="J3506" s="1107"/>
      <c r="K3506" s="1107"/>
      <c r="L3506" s="1107"/>
      <c r="M3506" s="1107"/>
      <c r="N3506" s="1108"/>
    </row>
    <row r="3507" spans="2:17" ht="13.5" thickBot="1">
      <c r="B3507" s="1109"/>
      <c r="C3507" s="1110"/>
      <c r="D3507" s="1110"/>
      <c r="E3507" s="1110"/>
      <c r="F3507" s="1110"/>
      <c r="G3507" s="1110"/>
      <c r="H3507" s="1110"/>
      <c r="I3507" s="1110"/>
      <c r="J3507" s="1110"/>
      <c r="K3507" s="1110"/>
      <c r="L3507" s="1110"/>
      <c r="M3507" s="1110"/>
      <c r="N3507" s="1111"/>
    </row>
    <row r="3508" spans="2:17">
      <c r="B3508" s="1130" t="s">
        <v>283</v>
      </c>
      <c r="C3508" s="1139"/>
      <c r="D3508" s="1139"/>
      <c r="E3508" s="1139"/>
      <c r="F3508" s="1139"/>
      <c r="G3508" s="1139"/>
      <c r="H3508" s="1139"/>
      <c r="I3508" s="288" t="s">
        <v>284</v>
      </c>
      <c r="J3508" s="314" t="s">
        <v>285</v>
      </c>
      <c r="K3508" s="315" t="s">
        <v>286</v>
      </c>
      <c r="L3508" s="1140" t="s">
        <v>264</v>
      </c>
      <c r="M3508" s="1141"/>
      <c r="N3508" s="316" t="s">
        <v>265</v>
      </c>
    </row>
    <row r="3509" spans="2:17" ht="13.5" thickBot="1">
      <c r="B3509" s="317" t="s">
        <v>344</v>
      </c>
      <c r="C3509" s="318"/>
      <c r="D3509" s="318"/>
      <c r="E3509" s="318"/>
      <c r="F3509" s="318"/>
      <c r="G3509" s="318"/>
      <c r="H3509" s="318"/>
      <c r="I3509" s="319">
        <v>153482</v>
      </c>
      <c r="J3509" s="321">
        <v>0</v>
      </c>
      <c r="K3509" s="321">
        <f>+I3509+J3509</f>
        <v>153482</v>
      </c>
      <c r="L3509" s="1157">
        <v>1.5001500000000001</v>
      </c>
      <c r="M3509" s="1158"/>
      <c r="N3509" s="322">
        <f>+K3509/L3509</f>
        <v>102311.10222311101</v>
      </c>
    </row>
    <row r="3510" spans="2:17" ht="13.5" thickBot="1">
      <c r="B3510" s="1100" t="s">
        <v>269</v>
      </c>
      <c r="C3510" s="1101"/>
      <c r="D3510" s="1101"/>
      <c r="E3510" s="1101"/>
      <c r="F3510" s="1101"/>
      <c r="G3510" s="1101"/>
      <c r="H3510" s="1101"/>
      <c r="I3510" s="1101"/>
      <c r="J3510" s="1101"/>
      <c r="K3510" s="1101"/>
      <c r="L3510" s="1101"/>
      <c r="M3510" s="1102"/>
      <c r="N3510" s="323">
        <f>+N3509</f>
        <v>102311.10222311101</v>
      </c>
    </row>
    <row r="3511" spans="2:17" ht="13.5" thickBot="1">
      <c r="B3511" s="324" t="s">
        <v>288</v>
      </c>
      <c r="C3511" s="325"/>
      <c r="D3511" s="325"/>
      <c r="E3511" s="325"/>
      <c r="F3511" s="325"/>
      <c r="G3511" s="325"/>
      <c r="H3511" s="325"/>
      <c r="I3511" s="326"/>
      <c r="J3511" s="327"/>
      <c r="K3511" s="328"/>
      <c r="L3511" s="329"/>
      <c r="M3511" s="329"/>
      <c r="N3511" s="330"/>
    </row>
    <row r="3512" spans="2:17">
      <c r="B3512" s="1130" t="s">
        <v>17</v>
      </c>
      <c r="C3512" s="1139"/>
      <c r="D3512" s="1139"/>
      <c r="E3512" s="1139"/>
      <c r="F3512" s="1139"/>
      <c r="G3512" s="1139"/>
      <c r="H3512" s="1139"/>
      <c r="I3512" s="1136"/>
      <c r="J3512" s="299" t="s">
        <v>259</v>
      </c>
      <c r="K3512" s="288" t="s">
        <v>133</v>
      </c>
      <c r="L3512" s="1133" t="s">
        <v>271</v>
      </c>
      <c r="M3512" s="1136"/>
      <c r="N3512" s="316" t="s">
        <v>265</v>
      </c>
    </row>
    <row r="3513" spans="2:17" ht="13.5" thickBot="1">
      <c r="B3513" s="331" t="s">
        <v>289</v>
      </c>
      <c r="C3513" s="332"/>
      <c r="D3513" s="332"/>
      <c r="E3513" s="332"/>
      <c r="F3513" s="332"/>
      <c r="G3513" s="332"/>
      <c r="H3513" s="332"/>
      <c r="I3513" s="333"/>
      <c r="J3513" s="334" t="s">
        <v>290</v>
      </c>
      <c r="K3513" s="335">
        <v>0.05</v>
      </c>
      <c r="L3513" s="1144">
        <f>+N3510</f>
        <v>102311.10222311101</v>
      </c>
      <c r="M3513" s="1145"/>
      <c r="N3513" s="322">
        <f>+K3513*L3513</f>
        <v>5115.5551111555505</v>
      </c>
    </row>
    <row r="3514" spans="2:17" ht="13.5" thickBot="1">
      <c r="B3514" s="1100" t="s">
        <v>269</v>
      </c>
      <c r="C3514" s="1101"/>
      <c r="D3514" s="1101"/>
      <c r="E3514" s="1101"/>
      <c r="F3514" s="1101"/>
      <c r="G3514" s="1101"/>
      <c r="H3514" s="1101"/>
      <c r="I3514" s="1101"/>
      <c r="J3514" s="1101"/>
      <c r="K3514" s="1101"/>
      <c r="L3514" s="1101"/>
      <c r="M3514" s="1102"/>
      <c r="N3514" s="323">
        <f>+N3513</f>
        <v>5115.5551111555505</v>
      </c>
    </row>
    <row r="3515" spans="2:17" ht="15.5">
      <c r="B3515" s="280"/>
      <c r="C3515" s="281"/>
      <c r="D3515" s="281"/>
      <c r="E3515" s="281"/>
      <c r="F3515" s="281"/>
      <c r="G3515" s="281"/>
      <c r="H3515" s="281"/>
      <c r="I3515" s="281"/>
      <c r="J3515" s="281"/>
      <c r="K3515" s="281"/>
      <c r="L3515" s="281"/>
      <c r="M3515" s="281"/>
      <c r="N3515" s="282"/>
      <c r="P3515" s="410">
        <v>2264180</v>
      </c>
    </row>
    <row r="3516" spans="2:17" ht="13.5" thickBot="1">
      <c r="B3516" s="378"/>
      <c r="C3516" s="311"/>
      <c r="D3516" s="311"/>
      <c r="E3516" s="311"/>
      <c r="F3516" s="311"/>
      <c r="G3516" s="311"/>
      <c r="H3516" s="311"/>
      <c r="I3516" s="311"/>
      <c r="J3516" s="311"/>
      <c r="K3516" s="311"/>
      <c r="L3516" s="311"/>
      <c r="M3516" s="311"/>
      <c r="N3516" s="379"/>
    </row>
    <row r="3517" spans="2:17" ht="13.5" thickBot="1">
      <c r="B3517" s="1150" t="s">
        <v>291</v>
      </c>
      <c r="C3517" s="1151"/>
      <c r="D3517" s="1151"/>
      <c r="E3517" s="1151"/>
      <c r="F3517" s="1151"/>
      <c r="G3517" s="1151"/>
      <c r="H3517" s="1151"/>
      <c r="I3517" s="1151"/>
      <c r="J3517" s="1151"/>
      <c r="K3517" s="1151"/>
      <c r="L3517" s="1151"/>
      <c r="M3517" s="1152"/>
      <c r="N3517" s="336">
        <f>+N3491+N3498+N3504+N3510+N3514</f>
        <v>566044.39725147304</v>
      </c>
      <c r="P3517" s="411">
        <f>+N3517*N3481</f>
        <v>2264177.5890058922</v>
      </c>
      <c r="Q3517" s="412">
        <f>+P3517-P3515</f>
        <v>-2.4109941078349948</v>
      </c>
    </row>
    <row r="3518" spans="2:17">
      <c r="B3518" s="1103" t="s">
        <v>292</v>
      </c>
      <c r="C3518" s="1104"/>
      <c r="D3518" s="1104"/>
      <c r="E3518" s="1104"/>
      <c r="F3518" s="1104"/>
      <c r="G3518" s="1104"/>
      <c r="H3518" s="1104"/>
      <c r="I3518" s="1104"/>
      <c r="J3518" s="1104"/>
      <c r="K3518" s="1104"/>
      <c r="L3518" s="1104"/>
      <c r="M3518" s="1104"/>
      <c r="N3518" s="1105"/>
    </row>
    <row r="3519" spans="2:17">
      <c r="B3519" s="1106"/>
      <c r="C3519" s="1107"/>
      <c r="D3519" s="1107"/>
      <c r="E3519" s="1107"/>
      <c r="F3519" s="1107"/>
      <c r="G3519" s="1107"/>
      <c r="H3519" s="1107"/>
      <c r="I3519" s="1107"/>
      <c r="J3519" s="1107"/>
      <c r="K3519" s="1107"/>
      <c r="L3519" s="1107"/>
      <c r="M3519" s="1107"/>
      <c r="N3519" s="1108"/>
    </row>
    <row r="3520" spans="2:17" ht="13.5" thickBot="1">
      <c r="B3520" s="1109"/>
      <c r="C3520" s="1110"/>
      <c r="D3520" s="1110"/>
      <c r="E3520" s="1110"/>
      <c r="F3520" s="1110"/>
      <c r="G3520" s="1110"/>
      <c r="H3520" s="1110"/>
      <c r="I3520" s="1110"/>
      <c r="J3520" s="1110"/>
      <c r="K3520" s="1110"/>
      <c r="L3520" s="1110"/>
      <c r="M3520" s="1110"/>
      <c r="N3520" s="1111"/>
    </row>
    <row r="3521" spans="2:14">
      <c r="B3521" s="1130" t="s">
        <v>17</v>
      </c>
      <c r="C3521" s="1139"/>
      <c r="D3521" s="1139"/>
      <c r="E3521" s="1139"/>
      <c r="F3521" s="1139"/>
      <c r="G3521" s="1139"/>
      <c r="H3521" s="1139"/>
      <c r="I3521" s="306"/>
      <c r="J3521" s="337"/>
      <c r="K3521" s="315" t="s">
        <v>79</v>
      </c>
      <c r="L3521" s="1140" t="s">
        <v>11</v>
      </c>
      <c r="M3521" s="1141"/>
      <c r="N3521" s="316"/>
    </row>
    <row r="3522" spans="2:14">
      <c r="B3522" s="1112" t="s">
        <v>232</v>
      </c>
      <c r="C3522" s="1113"/>
      <c r="D3522" s="1113"/>
      <c r="E3522" s="1113"/>
      <c r="F3522" s="1113"/>
      <c r="G3522" s="1113"/>
      <c r="H3522" s="1113"/>
      <c r="I3522" s="338"/>
      <c r="J3522" s="339"/>
      <c r="K3522" s="340">
        <f>'PRESUPUESTO OFICIAL'!$K$100</f>
        <v>0</v>
      </c>
      <c r="L3522" s="1146">
        <f>K3522*N3517</f>
        <v>0</v>
      </c>
      <c r="M3522" s="1147"/>
      <c r="N3522" s="341"/>
    </row>
    <row r="3523" spans="2:14">
      <c r="B3523" s="292" t="s">
        <v>293</v>
      </c>
      <c r="C3523" s="293"/>
      <c r="D3523" s="293"/>
      <c r="E3523" s="293"/>
      <c r="F3523" s="293"/>
      <c r="G3523" s="293"/>
      <c r="H3523" s="293"/>
      <c r="I3523" s="338"/>
      <c r="J3523" s="339"/>
      <c r="K3523" s="340">
        <f>'PRESUPUESTO OFICIAL'!$K$101</f>
        <v>0</v>
      </c>
      <c r="L3523" s="1146">
        <f>K3523*N3517</f>
        <v>0</v>
      </c>
      <c r="M3523" s="1147"/>
      <c r="N3523" s="341"/>
    </row>
    <row r="3524" spans="2:14" ht="13.5" thickBot="1">
      <c r="B3524" s="277" t="s">
        <v>294</v>
      </c>
      <c r="C3524" s="278"/>
      <c r="D3524" s="278"/>
      <c r="E3524" s="278"/>
      <c r="F3524" s="278"/>
      <c r="G3524" s="278"/>
      <c r="H3524" s="278"/>
      <c r="I3524" s="342"/>
      <c r="J3524" s="343"/>
      <c r="K3524" s="340">
        <f>'PRESUPUESTO OFICIAL'!$K$102</f>
        <v>0</v>
      </c>
      <c r="L3524" s="1148">
        <f>K3524*N3517</f>
        <v>0</v>
      </c>
      <c r="M3524" s="1149"/>
      <c r="N3524" s="341"/>
    </row>
    <row r="3525" spans="2:14" ht="13.5" thickBot="1">
      <c r="B3525" s="1100" t="s">
        <v>269</v>
      </c>
      <c r="C3525" s="1101"/>
      <c r="D3525" s="1101"/>
      <c r="E3525" s="1101"/>
      <c r="F3525" s="1101"/>
      <c r="G3525" s="1101"/>
      <c r="H3525" s="1101"/>
      <c r="I3525" s="1101"/>
      <c r="J3525" s="1101"/>
      <c r="K3525" s="1101"/>
      <c r="L3525" s="1101"/>
      <c r="M3525" s="1102"/>
      <c r="N3525" s="344">
        <f>SUM(L3522:M3524)</f>
        <v>0</v>
      </c>
    </row>
    <row r="3526" spans="2:14" ht="13.5" thickBot="1">
      <c r="B3526" s="283"/>
      <c r="N3526" s="284"/>
    </row>
    <row r="3527" spans="2:14" ht="13.5" thickBot="1">
      <c r="B3527" s="1150" t="s">
        <v>295</v>
      </c>
      <c r="C3527" s="1151"/>
      <c r="D3527" s="1151"/>
      <c r="E3527" s="1151"/>
      <c r="F3527" s="1151"/>
      <c r="G3527" s="1151"/>
      <c r="H3527" s="1151"/>
      <c r="I3527" s="1151"/>
      <c r="J3527" s="1151"/>
      <c r="K3527" s="1151"/>
      <c r="L3527" s="1151"/>
      <c r="M3527" s="1152"/>
      <c r="N3527" s="345">
        <f>ROUND(N3517+N3525,0)</f>
        <v>566044</v>
      </c>
    </row>
    <row r="3528" spans="2:14">
      <c r="B3528" s="280"/>
      <c r="C3528" s="281"/>
      <c r="D3528" s="281"/>
      <c r="E3528" s="281"/>
      <c r="F3528" s="281"/>
      <c r="G3528" s="281"/>
      <c r="H3528" s="281"/>
      <c r="I3528" s="281"/>
      <c r="J3528" s="281"/>
      <c r="K3528" s="281"/>
      <c r="L3528" s="281"/>
      <c r="M3528" s="281"/>
      <c r="N3528" s="282"/>
    </row>
    <row r="3529" spans="2:14">
      <c r="B3529" s="283"/>
      <c r="N3529" s="284"/>
    </row>
    <row r="3530" spans="2:14">
      <c r="B3530" s="283"/>
      <c r="N3530" s="284"/>
    </row>
    <row r="3531" spans="2:14">
      <c r="B3531" s="283"/>
      <c r="G3531" s="346" t="s">
        <v>296</v>
      </c>
      <c r="H3531" s="346"/>
      <c r="I3531" s="346"/>
      <c r="J3531" s="346"/>
      <c r="N3531" s="284"/>
    </row>
    <row r="3532" spans="2:14">
      <c r="B3532" s="347"/>
      <c r="C3532" s="348"/>
      <c r="D3532" s="348"/>
      <c r="E3532" s="348"/>
      <c r="F3532" s="348"/>
      <c r="G3532" s="346" t="s">
        <v>297</v>
      </c>
      <c r="H3532" s="348"/>
      <c r="I3532" s="348"/>
      <c r="J3532" s="348"/>
      <c r="K3532" s="348"/>
      <c r="L3532" s="348"/>
      <c r="M3532" s="348"/>
      <c r="N3532" s="349"/>
    </row>
    <row r="3533" spans="2:14">
      <c r="B3533" s="347"/>
      <c r="C3533" s="348"/>
      <c r="D3533" s="348"/>
      <c r="E3533" s="348"/>
      <c r="F3533" s="348"/>
      <c r="G3533" s="346" t="s">
        <v>298</v>
      </c>
      <c r="J3533" s="348"/>
      <c r="K3533" s="348"/>
      <c r="L3533" s="348"/>
      <c r="M3533" s="348"/>
      <c r="N3533" s="349"/>
    </row>
    <row r="3534" spans="2:14">
      <c r="B3534" s="268"/>
      <c r="C3534" s="350"/>
      <c r="D3534" s="350"/>
      <c r="E3534" s="350"/>
      <c r="F3534" s="350"/>
      <c r="G3534" s="346" t="s">
        <v>299</v>
      </c>
      <c r="H3534" s="350"/>
      <c r="I3534" s="350"/>
      <c r="J3534" s="350"/>
      <c r="K3534" s="350"/>
      <c r="L3534" s="350"/>
      <c r="M3534" s="350"/>
      <c r="N3534" s="351"/>
    </row>
    <row r="3535" spans="2:14">
      <c r="B3535" s="283"/>
      <c r="G3535" s="258" t="s">
        <v>300</v>
      </c>
      <c r="N3535" s="284"/>
    </row>
    <row r="3536" spans="2:14">
      <c r="B3536" s="352" t="s">
        <v>301</v>
      </c>
      <c r="C3536" s="353"/>
      <c r="D3536" s="353"/>
      <c r="E3536" s="353"/>
      <c r="F3536" s="353"/>
      <c r="G3536" s="353"/>
      <c r="H3536" s="353"/>
      <c r="I3536" s="353"/>
      <c r="J3536" s="353"/>
      <c r="K3536" s="353"/>
      <c r="L3536" s="353"/>
      <c r="M3536" s="353"/>
      <c r="N3536" s="354"/>
    </row>
    <row r="3537" spans="2:14">
      <c r="B3537" s="1153"/>
      <c r="C3537" s="1154"/>
      <c r="D3537" s="1154"/>
      <c r="E3537" s="1154"/>
      <c r="F3537" s="1154"/>
      <c r="G3537" s="1154"/>
      <c r="H3537" s="1154"/>
      <c r="I3537" s="1154"/>
      <c r="J3537" s="1154"/>
      <c r="K3537" s="1154"/>
      <c r="L3537" s="1154"/>
      <c r="M3537" s="1154"/>
      <c r="N3537" s="1155"/>
    </row>
    <row r="3538" spans="2:14">
      <c r="B3538" s="1153"/>
      <c r="C3538" s="1154"/>
      <c r="D3538" s="1154"/>
      <c r="E3538" s="1154"/>
      <c r="F3538" s="1154"/>
      <c r="G3538" s="1154"/>
      <c r="H3538" s="1154"/>
      <c r="I3538" s="1154"/>
      <c r="J3538" s="1154"/>
      <c r="K3538" s="1154"/>
      <c r="L3538" s="1154"/>
      <c r="M3538" s="1154"/>
      <c r="N3538" s="1155"/>
    </row>
    <row r="3539" spans="2:14">
      <c r="B3539" s="268"/>
      <c r="C3539" s="350"/>
      <c r="D3539" s="350"/>
      <c r="E3539" s="350"/>
      <c r="F3539" s="350"/>
      <c r="G3539" s="350"/>
      <c r="H3539" s="350"/>
      <c r="I3539" s="350"/>
      <c r="J3539" s="350"/>
      <c r="K3539" s="350"/>
      <c r="L3539" s="350"/>
      <c r="M3539" s="350"/>
      <c r="N3539" s="351"/>
    </row>
    <row r="3540" spans="2:14">
      <c r="B3540" s="355" t="s">
        <v>302</v>
      </c>
      <c r="C3540" s="350"/>
      <c r="D3540" s="350"/>
      <c r="E3540" s="350"/>
      <c r="F3540" s="350"/>
      <c r="G3540" s="350"/>
      <c r="H3540" s="350"/>
      <c r="I3540" s="350"/>
      <c r="J3540" s="350"/>
      <c r="K3540" s="350"/>
      <c r="L3540" s="350"/>
      <c r="M3540" s="350"/>
      <c r="N3540" s="351"/>
    </row>
    <row r="3541" spans="2:14">
      <c r="B3541" s="1159" t="s">
        <v>303</v>
      </c>
      <c r="C3541" s="1160"/>
      <c r="D3541" s="1160"/>
      <c r="E3541" s="1160"/>
      <c r="F3541" s="1160"/>
      <c r="G3541" s="1160"/>
      <c r="H3541" s="1160"/>
      <c r="I3541" s="1160"/>
      <c r="J3541" s="1160"/>
      <c r="K3541" s="1160"/>
      <c r="L3541" s="1160"/>
      <c r="M3541" s="1160"/>
      <c r="N3541" s="1161"/>
    </row>
    <row r="3542" spans="2:14">
      <c r="B3542" s="1159"/>
      <c r="C3542" s="1160"/>
      <c r="D3542" s="1160"/>
      <c r="E3542" s="1160"/>
      <c r="F3542" s="1160"/>
      <c r="G3542" s="1160"/>
      <c r="H3542" s="1160"/>
      <c r="I3542" s="1160"/>
      <c r="J3542" s="1160"/>
      <c r="K3542" s="1160"/>
      <c r="L3542" s="1160"/>
      <c r="M3542" s="1160"/>
      <c r="N3542" s="1161"/>
    </row>
    <row r="3543" spans="2:14">
      <c r="B3543" s="1159" t="s">
        <v>304</v>
      </c>
      <c r="C3543" s="1160"/>
      <c r="D3543" s="1160"/>
      <c r="E3543" s="1160"/>
      <c r="F3543" s="1160"/>
      <c r="G3543" s="1160"/>
      <c r="H3543" s="1160"/>
      <c r="I3543" s="1160"/>
      <c r="J3543" s="1160"/>
      <c r="K3543" s="1160"/>
      <c r="L3543" s="1160"/>
      <c r="M3543" s="1160"/>
      <c r="N3543" s="1161"/>
    </row>
    <row r="3544" spans="2:14">
      <c r="B3544" s="1159"/>
      <c r="C3544" s="1160"/>
      <c r="D3544" s="1160"/>
      <c r="E3544" s="1160"/>
      <c r="F3544" s="1160"/>
      <c r="G3544" s="1160"/>
      <c r="H3544" s="1160"/>
      <c r="I3544" s="1160"/>
      <c r="J3544" s="1160"/>
      <c r="K3544" s="1160"/>
      <c r="L3544" s="1160"/>
      <c r="M3544" s="1160"/>
      <c r="N3544" s="1161"/>
    </row>
    <row r="3545" spans="2:14">
      <c r="B3545" s="268"/>
      <c r="C3545" s="350"/>
      <c r="D3545" s="350"/>
      <c r="E3545" s="350"/>
      <c r="F3545" s="350"/>
      <c r="G3545" s="350"/>
      <c r="H3545" s="350"/>
      <c r="I3545" s="350"/>
      <c r="J3545" s="350"/>
      <c r="K3545" s="350"/>
      <c r="L3545" s="350"/>
      <c r="M3545" s="350"/>
      <c r="N3545" s="351"/>
    </row>
    <row r="3546" spans="2:14">
      <c r="B3546" s="283"/>
      <c r="G3546" s="346" t="s">
        <v>296</v>
      </c>
      <c r="N3546" s="284"/>
    </row>
    <row r="3547" spans="2:14">
      <c r="B3547" s="283"/>
      <c r="G3547" s="258" t="s">
        <v>305</v>
      </c>
      <c r="H3547" s="293"/>
      <c r="I3547" s="293"/>
      <c r="J3547" s="293"/>
      <c r="N3547" s="284"/>
    </row>
    <row r="3548" spans="2:14">
      <c r="B3548" s="283"/>
      <c r="G3548" s="258" t="s">
        <v>306</v>
      </c>
      <c r="H3548" s="325"/>
      <c r="I3548" s="325"/>
      <c r="J3548" s="325"/>
      <c r="N3548" s="284"/>
    </row>
    <row r="3549" spans="2:14">
      <c r="B3549" s="356"/>
      <c r="C3549" s="350"/>
      <c r="D3549" s="350"/>
      <c r="E3549" s="350"/>
      <c r="F3549" s="350"/>
      <c r="G3549" s="258" t="s">
        <v>299</v>
      </c>
      <c r="K3549" s="350"/>
      <c r="L3549" s="350"/>
      <c r="M3549" s="350"/>
      <c r="N3549" s="351"/>
    </row>
    <row r="3550" spans="2:14">
      <c r="B3550" s="357"/>
      <c r="C3550" s="358"/>
      <c r="D3550" s="358"/>
      <c r="J3550" s="1162"/>
      <c r="K3550" s="1162"/>
      <c r="L3550" s="1162"/>
      <c r="M3550" s="1162"/>
      <c r="N3550" s="1163"/>
    </row>
    <row r="3551" spans="2:14" ht="13.5" thickBot="1">
      <c r="B3551" s="1166"/>
      <c r="C3551" s="1167"/>
      <c r="D3551" s="1167"/>
      <c r="E3551" s="311"/>
      <c r="F3551" s="311"/>
      <c r="G3551" s="311"/>
      <c r="H3551" s="311"/>
      <c r="I3551" s="311"/>
      <c r="J3551" s="1164"/>
      <c r="K3551" s="1164"/>
      <c r="L3551" s="1164"/>
      <c r="M3551" s="1164"/>
      <c r="N3551" s="1165"/>
    </row>
    <row r="3552" spans="2:14" ht="13.5" thickBot="1"/>
    <row r="3553" spans="2:14">
      <c r="B3553" s="1070"/>
      <c r="C3553" s="1072"/>
      <c r="D3553" s="1073"/>
      <c r="E3553" s="1073"/>
      <c r="F3553" s="1073"/>
      <c r="G3553" s="1073"/>
      <c r="H3553" s="1073"/>
      <c r="I3553" s="1073"/>
      <c r="J3553" s="1074"/>
      <c r="K3553" s="1075"/>
      <c r="L3553" s="1076"/>
      <c r="M3553" s="1076"/>
      <c r="N3553" s="1077"/>
    </row>
    <row r="3554" spans="2:14">
      <c r="B3554" s="1071"/>
      <c r="C3554" s="1062" t="s">
        <v>244</v>
      </c>
      <c r="D3554" s="1063"/>
      <c r="E3554" s="1063"/>
      <c r="F3554" s="1063"/>
      <c r="G3554" s="1063"/>
      <c r="H3554" s="1063"/>
      <c r="I3554" s="1063"/>
      <c r="J3554" s="1064"/>
      <c r="K3554" s="1078"/>
      <c r="L3554" s="1079"/>
      <c r="M3554" s="1079"/>
      <c r="N3554" s="1080"/>
    </row>
    <row r="3555" spans="2:14">
      <c r="B3555" s="1071"/>
      <c r="C3555" s="1081"/>
      <c r="D3555" s="1082"/>
      <c r="E3555" s="1082"/>
      <c r="F3555" s="1082"/>
      <c r="G3555" s="1082"/>
      <c r="H3555" s="1082"/>
      <c r="I3555" s="1082"/>
      <c r="J3555" s="1083"/>
      <c r="K3555" s="1058" t="s">
        <v>245</v>
      </c>
      <c r="L3555" s="1085"/>
      <c r="M3555" s="1086"/>
      <c r="N3555" s="1087"/>
    </row>
    <row r="3556" spans="2:14">
      <c r="B3556" s="1071"/>
      <c r="C3556" s="1062" t="s">
        <v>246</v>
      </c>
      <c r="D3556" s="1063"/>
      <c r="E3556" s="1063"/>
      <c r="F3556" s="1063"/>
      <c r="G3556" s="1063"/>
      <c r="H3556" s="1063"/>
      <c r="I3556" s="1063"/>
      <c r="J3556" s="1064"/>
      <c r="K3556" s="1084"/>
      <c r="L3556" s="1088"/>
      <c r="M3556" s="1089"/>
      <c r="N3556" s="1090"/>
    </row>
    <row r="3557" spans="2:14">
      <c r="B3557" s="1071"/>
      <c r="C3557" s="1091"/>
      <c r="D3557" s="1092"/>
      <c r="E3557" s="1092"/>
      <c r="F3557" s="1092"/>
      <c r="G3557" s="1092"/>
      <c r="H3557" s="1092"/>
      <c r="I3557" s="1092"/>
      <c r="J3557" s="1093"/>
      <c r="K3557" s="1058" t="s">
        <v>247</v>
      </c>
      <c r="L3557" s="1058">
        <v>40</v>
      </c>
      <c r="M3557" s="1058" t="s">
        <v>248</v>
      </c>
      <c r="N3557" s="1060">
        <v>80</v>
      </c>
    </row>
    <row r="3558" spans="2:14">
      <c r="B3558" s="1071"/>
      <c r="C3558" s="1091"/>
      <c r="D3558" s="1092"/>
      <c r="E3558" s="1092"/>
      <c r="F3558" s="1092"/>
      <c r="G3558" s="1092"/>
      <c r="H3558" s="1092"/>
      <c r="I3558" s="1092"/>
      <c r="J3558" s="1093"/>
      <c r="K3558" s="1059"/>
      <c r="L3558" s="1059"/>
      <c r="M3558" s="1059"/>
      <c r="N3558" s="1061"/>
    </row>
    <row r="3559" spans="2:14">
      <c r="B3559" s="1071"/>
      <c r="C3559" s="1062" t="s">
        <v>249</v>
      </c>
      <c r="D3559" s="1063"/>
      <c r="E3559" s="1063"/>
      <c r="F3559" s="1063"/>
      <c r="G3559" s="1063"/>
      <c r="H3559" s="1063"/>
      <c r="I3559" s="1063"/>
      <c r="J3559" s="1064"/>
      <c r="K3559" s="1059"/>
      <c r="L3559" s="1059"/>
      <c r="M3559" s="1059"/>
      <c r="N3559" s="1061"/>
    </row>
    <row r="3560" spans="2:14" ht="13.5" thickBot="1">
      <c r="B3560" s="259"/>
      <c r="C3560" s="260"/>
      <c r="D3560" s="260"/>
      <c r="E3560" s="260"/>
      <c r="F3560" s="260"/>
      <c r="G3560" s="260"/>
      <c r="H3560" s="260"/>
      <c r="I3560" s="260"/>
      <c r="J3560" s="260"/>
      <c r="K3560" s="260"/>
      <c r="L3560" s="261"/>
      <c r="M3560" s="261"/>
      <c r="N3560" s="262"/>
    </row>
    <row r="3561" spans="2:14">
      <c r="B3561" s="263"/>
      <c r="C3561" s="264"/>
      <c r="D3561" s="264"/>
      <c r="E3561" s="264"/>
      <c r="F3561" s="264"/>
      <c r="G3561" s="264"/>
      <c r="H3561" s="264"/>
      <c r="I3561" s="264"/>
      <c r="J3561" s="264"/>
      <c r="K3561" s="265" t="s">
        <v>250</v>
      </c>
      <c r="L3561" s="266" t="s">
        <v>251</v>
      </c>
      <c r="M3561" s="266" t="s">
        <v>252</v>
      </c>
      <c r="N3561" s="267" t="s">
        <v>253</v>
      </c>
    </row>
    <row r="3562" spans="2:14">
      <c r="B3562" s="268"/>
      <c r="C3562" s="269"/>
      <c r="D3562" s="269"/>
      <c r="E3562" s="269"/>
      <c r="F3562" s="269"/>
      <c r="G3562" s="269"/>
      <c r="H3562" s="269"/>
      <c r="I3562" s="269"/>
      <c r="J3562" s="269"/>
      <c r="K3562" s="270"/>
      <c r="L3562" s="271"/>
      <c r="M3562" s="271"/>
      <c r="N3562" s="272"/>
    </row>
    <row r="3563" spans="2:14">
      <c r="B3563" s="1065" t="s">
        <v>254</v>
      </c>
      <c r="C3563" s="1066"/>
      <c r="D3563" s="1066"/>
      <c r="E3563" s="1066"/>
      <c r="F3563" s="269"/>
      <c r="G3563" s="269"/>
      <c r="H3563" s="269" t="s">
        <v>255</v>
      </c>
      <c r="J3563" s="269"/>
      <c r="K3563" s="270"/>
      <c r="N3563" s="273"/>
    </row>
    <row r="3564" spans="2:14">
      <c r="B3564" s="274"/>
      <c r="C3564" s="275"/>
      <c r="D3564" s="275"/>
      <c r="E3564" s="275"/>
      <c r="F3564" s="275"/>
      <c r="G3564" s="275"/>
      <c r="H3564" s="275"/>
      <c r="I3564" s="275"/>
      <c r="J3564" s="275"/>
      <c r="K3564" s="275"/>
      <c r="L3564" s="275"/>
      <c r="M3564" s="275"/>
      <c r="N3564" s="276"/>
    </row>
    <row r="3565" spans="2:14" ht="13.5" thickBot="1">
      <c r="B3565" s="277"/>
      <c r="C3565" s="278"/>
      <c r="D3565" s="278"/>
      <c r="E3565" s="278"/>
      <c r="F3565" s="278"/>
      <c r="G3565" s="278"/>
      <c r="H3565" s="278"/>
      <c r="I3565" s="278"/>
      <c r="J3565" s="278"/>
      <c r="K3565" s="278"/>
      <c r="L3565" s="278"/>
      <c r="M3565" s="278"/>
      <c r="N3565" s="279"/>
    </row>
    <row r="3566" spans="2:14" ht="13.5" thickBot="1">
      <c r="B3566" s="280"/>
      <c r="C3566" s="281"/>
      <c r="D3566" s="281"/>
      <c r="E3566" s="281"/>
      <c r="F3566" s="281"/>
      <c r="G3566" s="281"/>
      <c r="J3566" s="281"/>
      <c r="K3566" s="281"/>
      <c r="L3566" s="281"/>
      <c r="M3566" s="281"/>
      <c r="N3566" s="282"/>
    </row>
    <row r="3567" spans="2:14">
      <c r="B3567" s="1067" t="s">
        <v>256</v>
      </c>
      <c r="C3567" s="1068"/>
      <c r="D3567" s="1068"/>
      <c r="E3567" s="1068"/>
      <c r="F3567" s="1068"/>
      <c r="G3567" s="1068"/>
      <c r="H3567" s="1068"/>
      <c r="I3567" s="1068"/>
      <c r="J3567" s="1068"/>
      <c r="K3567" s="1068"/>
      <c r="L3567" s="1068"/>
      <c r="M3567" s="1068"/>
      <c r="N3567" s="1069"/>
    </row>
    <row r="3568" spans="2:14" ht="13.5" thickBot="1">
      <c r="B3568" s="283"/>
      <c r="N3568" s="284"/>
    </row>
    <row r="3569" spans="2:14">
      <c r="B3569" s="285" t="s">
        <v>257</v>
      </c>
      <c r="C3569" s="1120" t="s">
        <v>258</v>
      </c>
      <c r="D3569" s="1121"/>
      <c r="E3569" s="1121"/>
      <c r="F3569" s="1121"/>
      <c r="G3569" s="1121"/>
      <c r="H3569" s="1121"/>
      <c r="I3569" s="1121"/>
      <c r="J3569" s="1121"/>
      <c r="K3569" s="1122"/>
      <c r="L3569" s="1123" t="s">
        <v>259</v>
      </c>
      <c r="M3569" s="1124"/>
      <c r="N3569" s="285" t="s">
        <v>133</v>
      </c>
    </row>
    <row r="3570" spans="2:14" ht="28.15" customHeight="1" thickBot="1">
      <c r="B3570" s="286">
        <v>40</v>
      </c>
      <c r="C3570" s="1125" t="s">
        <v>181</v>
      </c>
      <c r="D3570" s="1126"/>
      <c r="E3570" s="1126"/>
      <c r="F3570" s="1126"/>
      <c r="G3570" s="1126"/>
      <c r="H3570" s="1126"/>
      <c r="I3570" s="1126"/>
      <c r="J3570" s="1126"/>
      <c r="K3570" s="1127"/>
      <c r="L3570" s="1128" t="s">
        <v>147</v>
      </c>
      <c r="M3570" s="1129"/>
      <c r="N3570" s="366">
        <v>21</v>
      </c>
    </row>
    <row r="3571" spans="2:14">
      <c r="B3571" s="1103"/>
      <c r="C3571" s="1104"/>
      <c r="D3571" s="1104"/>
      <c r="E3571" s="1104"/>
      <c r="F3571" s="1104"/>
      <c r="G3571" s="1104"/>
      <c r="H3571" s="1104"/>
      <c r="I3571" s="1104"/>
      <c r="J3571" s="1104"/>
      <c r="K3571" s="1104"/>
      <c r="L3571" s="1104"/>
      <c r="M3571" s="1104"/>
      <c r="N3571" s="1105"/>
    </row>
    <row r="3572" spans="2:14">
      <c r="B3572" s="1106"/>
      <c r="C3572" s="1107"/>
      <c r="D3572" s="1107"/>
      <c r="E3572" s="1107"/>
      <c r="F3572" s="1107"/>
      <c r="G3572" s="1107"/>
      <c r="H3572" s="1107"/>
      <c r="I3572" s="1107"/>
      <c r="J3572" s="1107"/>
      <c r="K3572" s="1107"/>
      <c r="L3572" s="1107"/>
      <c r="M3572" s="1107"/>
      <c r="N3572" s="1108"/>
    </row>
    <row r="3573" spans="2:14" ht="13.5" thickBot="1">
      <c r="B3573" s="1109"/>
      <c r="C3573" s="1110"/>
      <c r="D3573" s="1110"/>
      <c r="E3573" s="1110"/>
      <c r="F3573" s="1110"/>
      <c r="G3573" s="1110"/>
      <c r="H3573" s="1110"/>
      <c r="I3573" s="1110"/>
      <c r="J3573" s="1110"/>
      <c r="K3573" s="1110"/>
      <c r="L3573" s="1110"/>
      <c r="M3573" s="1110"/>
      <c r="N3573" s="1111"/>
    </row>
    <row r="3574" spans="2:14">
      <c r="B3574" s="1130" t="s">
        <v>258</v>
      </c>
      <c r="C3574" s="1131"/>
      <c r="D3574" s="1131"/>
      <c r="E3574" s="1131"/>
      <c r="F3574" s="1132"/>
      <c r="G3574" s="1133" t="s">
        <v>261</v>
      </c>
      <c r="H3574" s="1131"/>
      <c r="I3574" s="1134" t="s">
        <v>262</v>
      </c>
      <c r="J3574" s="1135"/>
      <c r="K3574" s="288" t="s">
        <v>263</v>
      </c>
      <c r="L3574" s="1133" t="s">
        <v>264</v>
      </c>
      <c r="M3574" s="1136"/>
      <c r="N3574" s="289" t="s">
        <v>265</v>
      </c>
    </row>
    <row r="3575" spans="2:14">
      <c r="B3575" s="1179" t="s">
        <v>355</v>
      </c>
      <c r="C3575" s="1180"/>
      <c r="D3575" s="1180"/>
      <c r="E3575" s="1180"/>
      <c r="F3575" s="1181"/>
      <c r="G3575" s="295"/>
      <c r="H3575" s="294"/>
      <c r="I3575" s="1182" t="s">
        <v>267</v>
      </c>
      <c r="J3575" s="1183"/>
      <c r="K3575" s="290">
        <v>333</v>
      </c>
      <c r="L3575" s="1118">
        <v>0.1666667</v>
      </c>
      <c r="M3575" s="1119"/>
      <c r="N3575" s="290">
        <f>+K3575/L3575</f>
        <v>1997.99960040008</v>
      </c>
    </row>
    <row r="3576" spans="2:14">
      <c r="B3576" s="1179" t="s">
        <v>356</v>
      </c>
      <c r="C3576" s="1180"/>
      <c r="D3576" s="1180"/>
      <c r="E3576" s="1180"/>
      <c r="F3576" s="1181"/>
      <c r="G3576" s="295"/>
      <c r="H3576" s="294"/>
      <c r="I3576" s="1182" t="s">
        <v>267</v>
      </c>
      <c r="J3576" s="1183"/>
      <c r="K3576" s="290">
        <v>186</v>
      </c>
      <c r="L3576" s="1118">
        <v>0.1666667</v>
      </c>
      <c r="M3576" s="1119"/>
      <c r="N3576" s="290">
        <f>+K3576/L3576</f>
        <v>1115.9997768000446</v>
      </c>
    </row>
    <row r="3577" spans="2:14">
      <c r="B3577" s="1179" t="s">
        <v>327</v>
      </c>
      <c r="C3577" s="1180"/>
      <c r="D3577" s="1180"/>
      <c r="E3577" s="1180"/>
      <c r="F3577" s="1181"/>
      <c r="G3577" s="295"/>
      <c r="H3577" s="294"/>
      <c r="I3577" s="1182" t="s">
        <v>267</v>
      </c>
      <c r="J3577" s="1183"/>
      <c r="K3577" s="290">
        <v>333</v>
      </c>
      <c r="L3577" s="1118">
        <v>0.5</v>
      </c>
      <c r="M3577" s="1119"/>
      <c r="N3577" s="290">
        <f>+K3577/L3577</f>
        <v>666</v>
      </c>
    </row>
    <row r="3578" spans="2:14">
      <c r="B3578" s="1179" t="s">
        <v>357</v>
      </c>
      <c r="C3578" s="1180"/>
      <c r="D3578" s="1180"/>
      <c r="E3578" s="1180"/>
      <c r="F3578" s="1181"/>
      <c r="G3578" s="295"/>
      <c r="H3578" s="294"/>
      <c r="I3578" s="1182" t="s">
        <v>267</v>
      </c>
      <c r="J3578" s="1183"/>
      <c r="K3578" s="290">
        <v>666</v>
      </c>
      <c r="L3578" s="1118">
        <v>1</v>
      </c>
      <c r="M3578" s="1119"/>
      <c r="N3578" s="290">
        <f>+K3578/L3578</f>
        <v>666</v>
      </c>
    </row>
    <row r="3579" spans="2:14" ht="13.5" thickBot="1">
      <c r="B3579" s="1179" t="s">
        <v>340</v>
      </c>
      <c r="C3579" s="1180"/>
      <c r="D3579" s="1180"/>
      <c r="E3579" s="1180"/>
      <c r="F3579" s="1181"/>
      <c r="G3579" s="295"/>
      <c r="H3579" s="294"/>
      <c r="I3579" s="1182" t="s">
        <v>267</v>
      </c>
      <c r="J3579" s="1183"/>
      <c r="K3579" s="290">
        <v>45220</v>
      </c>
      <c r="L3579" s="1118">
        <v>7.0000070000000001</v>
      </c>
      <c r="M3579" s="1119"/>
      <c r="N3579" s="290">
        <f>+K3579/L3579</f>
        <v>6459.9935400064596</v>
      </c>
    </row>
    <row r="3580" spans="2:14" ht="13.5" thickBot="1">
      <c r="B3580" s="1100" t="s">
        <v>269</v>
      </c>
      <c r="C3580" s="1101"/>
      <c r="D3580" s="1101"/>
      <c r="E3580" s="1101"/>
      <c r="F3580" s="1101"/>
      <c r="G3580" s="1101"/>
      <c r="H3580" s="1101"/>
      <c r="I3580" s="1101"/>
      <c r="J3580" s="1101"/>
      <c r="K3580" s="1101"/>
      <c r="L3580" s="1101"/>
      <c r="M3580" s="1102"/>
      <c r="N3580" s="323">
        <f>+N3575+N3576+N3577+N3578+N3579</f>
        <v>10905.992917206584</v>
      </c>
    </row>
    <row r="3581" spans="2:14">
      <c r="B3581" s="1103" t="s">
        <v>270</v>
      </c>
      <c r="C3581" s="1104"/>
      <c r="D3581" s="1104"/>
      <c r="E3581" s="1104"/>
      <c r="F3581" s="1104"/>
      <c r="G3581" s="1104"/>
      <c r="H3581" s="1104"/>
      <c r="I3581" s="1104"/>
      <c r="J3581" s="1104"/>
      <c r="K3581" s="1104"/>
      <c r="L3581" s="1104"/>
      <c r="M3581" s="1104"/>
      <c r="N3581" s="1105"/>
    </row>
    <row r="3582" spans="2:14">
      <c r="B3582" s="1106"/>
      <c r="C3582" s="1107"/>
      <c r="D3582" s="1107"/>
      <c r="E3582" s="1107"/>
      <c r="F3582" s="1107"/>
      <c r="G3582" s="1107"/>
      <c r="H3582" s="1107"/>
      <c r="I3582" s="1107"/>
      <c r="J3582" s="1107"/>
      <c r="K3582" s="1107"/>
      <c r="L3582" s="1107"/>
      <c r="M3582" s="1107"/>
      <c r="N3582" s="1108"/>
    </row>
    <row r="3583" spans="2:14" ht="13.5" thickBot="1">
      <c r="B3583" s="1109"/>
      <c r="C3583" s="1110"/>
      <c r="D3583" s="1110"/>
      <c r="E3583" s="1110"/>
      <c r="F3583" s="1110"/>
      <c r="G3583" s="1110"/>
      <c r="H3583" s="1110"/>
      <c r="I3583" s="1110"/>
      <c r="J3583" s="1110"/>
      <c r="K3583" s="1110"/>
      <c r="L3583" s="1110"/>
      <c r="M3583" s="1110"/>
      <c r="N3583" s="1111"/>
    </row>
    <row r="3584" spans="2:14">
      <c r="B3584" s="1130" t="s">
        <v>258</v>
      </c>
      <c r="C3584" s="1139"/>
      <c r="D3584" s="1139"/>
      <c r="E3584" s="1139"/>
      <c r="F3584" s="1139"/>
      <c r="G3584" s="1139"/>
      <c r="H3584" s="1139"/>
      <c r="I3584" s="1136"/>
      <c r="J3584" s="299" t="s">
        <v>259</v>
      </c>
      <c r="K3584" s="288" t="s">
        <v>133</v>
      </c>
      <c r="L3584" s="1133" t="s">
        <v>271</v>
      </c>
      <c r="M3584" s="1136"/>
      <c r="N3584" s="289" t="s">
        <v>265</v>
      </c>
    </row>
    <row r="3585" spans="2:14">
      <c r="B3585" s="1112" t="s">
        <v>353</v>
      </c>
      <c r="C3585" s="1113"/>
      <c r="D3585" s="1113"/>
      <c r="E3585" s="1113"/>
      <c r="F3585" s="1113"/>
      <c r="G3585" s="1113"/>
      <c r="H3585" s="1113"/>
      <c r="I3585" s="1114"/>
      <c r="J3585" s="300" t="s">
        <v>196</v>
      </c>
      <c r="K3585" s="301">
        <v>0.42849999999999999</v>
      </c>
      <c r="L3585" s="1144">
        <v>139230</v>
      </c>
      <c r="M3585" s="1145"/>
      <c r="N3585" s="363">
        <f>+K3585*L3585</f>
        <v>59660.055</v>
      </c>
    </row>
    <row r="3586" spans="2:14" ht="13.5" thickBot="1">
      <c r="B3586" s="402" t="s">
        <v>348</v>
      </c>
      <c r="C3586" s="353"/>
      <c r="D3586" s="353"/>
      <c r="E3586" s="353"/>
      <c r="F3586" s="353"/>
      <c r="G3586" s="353"/>
      <c r="H3586" s="353"/>
      <c r="I3586" s="403"/>
      <c r="J3586" s="303" t="s">
        <v>147</v>
      </c>
      <c r="K3586" s="392">
        <v>1.05</v>
      </c>
      <c r="L3586" s="1144">
        <v>369520</v>
      </c>
      <c r="M3586" s="1145"/>
      <c r="N3586" s="363">
        <f>+K3586*L3586</f>
        <v>387996</v>
      </c>
    </row>
    <row r="3587" spans="2:14" ht="13.5" thickBot="1">
      <c r="B3587" s="1100" t="s">
        <v>269</v>
      </c>
      <c r="C3587" s="1101"/>
      <c r="D3587" s="1101"/>
      <c r="E3587" s="1101"/>
      <c r="F3587" s="1101"/>
      <c r="G3587" s="1101"/>
      <c r="H3587" s="1101"/>
      <c r="I3587" s="1101"/>
      <c r="J3587" s="1101"/>
      <c r="K3587" s="1101"/>
      <c r="L3587" s="1101"/>
      <c r="M3587" s="1102"/>
      <c r="N3587" s="323">
        <f>+N3585+N3586</f>
        <v>447656.05499999999</v>
      </c>
    </row>
    <row r="3588" spans="2:14">
      <c r="B3588" s="1103" t="s">
        <v>276</v>
      </c>
      <c r="C3588" s="1104"/>
      <c r="D3588" s="1104"/>
      <c r="E3588" s="1104"/>
      <c r="F3588" s="1104"/>
      <c r="G3588" s="1104"/>
      <c r="H3588" s="1104"/>
      <c r="I3588" s="1104"/>
      <c r="J3588" s="1104"/>
      <c r="K3588" s="1104"/>
      <c r="L3588" s="1104"/>
      <c r="M3588" s="1104"/>
      <c r="N3588" s="1105"/>
    </row>
    <row r="3589" spans="2:14">
      <c r="B3589" s="1106"/>
      <c r="C3589" s="1107"/>
      <c r="D3589" s="1107"/>
      <c r="E3589" s="1107"/>
      <c r="F3589" s="1107"/>
      <c r="G3589" s="1107"/>
      <c r="H3589" s="1107"/>
      <c r="I3589" s="1107"/>
      <c r="J3589" s="1107"/>
      <c r="K3589" s="1107"/>
      <c r="L3589" s="1107"/>
      <c r="M3589" s="1107"/>
      <c r="N3589" s="1108"/>
    </row>
    <row r="3590" spans="2:14" ht="13.5" thickBot="1">
      <c r="B3590" s="1109"/>
      <c r="C3590" s="1110"/>
      <c r="D3590" s="1110"/>
      <c r="E3590" s="1110"/>
      <c r="F3590" s="1110"/>
      <c r="G3590" s="1110"/>
      <c r="H3590" s="1110"/>
      <c r="I3590" s="1110"/>
      <c r="J3590" s="1110"/>
      <c r="K3590" s="1110"/>
      <c r="L3590" s="1110"/>
      <c r="M3590" s="1110"/>
      <c r="N3590" s="1111"/>
    </row>
    <row r="3591" spans="2:14">
      <c r="B3591" s="1130" t="s">
        <v>277</v>
      </c>
      <c r="C3591" s="1139"/>
      <c r="D3591" s="1139"/>
      <c r="E3591" s="1139"/>
      <c r="F3591" s="1139"/>
      <c r="G3591" s="1139"/>
      <c r="H3591" s="1139"/>
      <c r="I3591" s="288" t="s">
        <v>278</v>
      </c>
      <c r="J3591" s="306" t="s">
        <v>279</v>
      </c>
      <c r="K3591" s="307" t="s">
        <v>280</v>
      </c>
      <c r="L3591" s="1133" t="s">
        <v>281</v>
      </c>
      <c r="M3591" s="1136"/>
      <c r="N3591" s="289" t="s">
        <v>265</v>
      </c>
    </row>
    <row r="3592" spans="2:14" ht="13.5" thickBot="1">
      <c r="B3592" s="1112"/>
      <c r="C3592" s="1113"/>
      <c r="D3592" s="1113"/>
      <c r="E3592" s="1113"/>
      <c r="F3592" s="1113"/>
      <c r="G3592" s="1113"/>
      <c r="H3592" s="1113"/>
      <c r="I3592" s="393"/>
      <c r="J3592" s="309"/>
      <c r="K3592" s="308"/>
      <c r="L3592" s="1144"/>
      <c r="M3592" s="1145"/>
      <c r="N3592" s="363"/>
    </row>
    <row r="3593" spans="2:14" ht="13.5" thickBot="1">
      <c r="B3593" s="1100" t="s">
        <v>269</v>
      </c>
      <c r="C3593" s="1101"/>
      <c r="D3593" s="1101"/>
      <c r="E3593" s="1101"/>
      <c r="F3593" s="1101"/>
      <c r="G3593" s="1101"/>
      <c r="H3593" s="1101"/>
      <c r="I3593" s="1101"/>
      <c r="J3593" s="1101"/>
      <c r="K3593" s="1101"/>
      <c r="L3593" s="1101"/>
      <c r="M3593" s="1102"/>
      <c r="N3593" s="323">
        <f>+N3592</f>
        <v>0</v>
      </c>
    </row>
    <row r="3594" spans="2:14">
      <c r="B3594" s="1103" t="s">
        <v>282</v>
      </c>
      <c r="C3594" s="1104"/>
      <c r="D3594" s="1104"/>
      <c r="E3594" s="1104"/>
      <c r="F3594" s="1104"/>
      <c r="G3594" s="1104"/>
      <c r="H3594" s="1104"/>
      <c r="I3594" s="1104"/>
      <c r="J3594" s="1104"/>
      <c r="K3594" s="1104"/>
      <c r="L3594" s="1104"/>
      <c r="M3594" s="1104"/>
      <c r="N3594" s="1105"/>
    </row>
    <row r="3595" spans="2:14">
      <c r="B3595" s="1106"/>
      <c r="C3595" s="1107"/>
      <c r="D3595" s="1107"/>
      <c r="E3595" s="1107"/>
      <c r="F3595" s="1107"/>
      <c r="G3595" s="1107"/>
      <c r="H3595" s="1107"/>
      <c r="I3595" s="1107"/>
      <c r="J3595" s="1107"/>
      <c r="K3595" s="1107"/>
      <c r="L3595" s="1107"/>
      <c r="M3595" s="1107"/>
      <c r="N3595" s="1108"/>
    </row>
    <row r="3596" spans="2:14" ht="13.5" thickBot="1">
      <c r="B3596" s="1109"/>
      <c r="C3596" s="1110"/>
      <c r="D3596" s="1110"/>
      <c r="E3596" s="1110"/>
      <c r="F3596" s="1110"/>
      <c r="G3596" s="1110"/>
      <c r="H3596" s="1110"/>
      <c r="I3596" s="1110"/>
      <c r="J3596" s="1110"/>
      <c r="K3596" s="1110"/>
      <c r="L3596" s="1110"/>
      <c r="M3596" s="1110"/>
      <c r="N3596" s="1111"/>
    </row>
    <row r="3597" spans="2:14">
      <c r="B3597" s="1130" t="s">
        <v>283</v>
      </c>
      <c r="C3597" s="1139"/>
      <c r="D3597" s="1139"/>
      <c r="E3597" s="1139"/>
      <c r="F3597" s="1139"/>
      <c r="G3597" s="1139"/>
      <c r="H3597" s="1139"/>
      <c r="I3597" s="288" t="s">
        <v>284</v>
      </c>
      <c r="J3597" s="314" t="s">
        <v>285</v>
      </c>
      <c r="K3597" s="315" t="s">
        <v>286</v>
      </c>
      <c r="L3597" s="1140" t="s">
        <v>264</v>
      </c>
      <c r="M3597" s="1141"/>
      <c r="N3597" s="316" t="s">
        <v>265</v>
      </c>
    </row>
    <row r="3598" spans="2:14" ht="13.5" thickBot="1">
      <c r="B3598" s="317" t="s">
        <v>344</v>
      </c>
      <c r="C3598" s="318"/>
      <c r="D3598" s="318"/>
      <c r="E3598" s="318"/>
      <c r="F3598" s="318"/>
      <c r="G3598" s="318"/>
      <c r="H3598" s="318"/>
      <c r="I3598" s="319">
        <v>153482</v>
      </c>
      <c r="J3598" s="321">
        <v>0</v>
      </c>
      <c r="K3598" s="321">
        <f>+I3598+J3598</f>
        <v>153482</v>
      </c>
      <c r="L3598" s="1157">
        <v>1.5001500000000001</v>
      </c>
      <c r="M3598" s="1158"/>
      <c r="N3598" s="322">
        <f>+K3598/L3598</f>
        <v>102311.10222311101</v>
      </c>
    </row>
    <row r="3599" spans="2:14" ht="13.5" thickBot="1">
      <c r="B3599" s="1100" t="s">
        <v>269</v>
      </c>
      <c r="C3599" s="1101"/>
      <c r="D3599" s="1101"/>
      <c r="E3599" s="1101"/>
      <c r="F3599" s="1101"/>
      <c r="G3599" s="1101"/>
      <c r="H3599" s="1101"/>
      <c r="I3599" s="1101"/>
      <c r="J3599" s="1101"/>
      <c r="K3599" s="1101"/>
      <c r="L3599" s="1101"/>
      <c r="M3599" s="1102"/>
      <c r="N3599" s="323">
        <f>+N3598</f>
        <v>102311.10222311101</v>
      </c>
    </row>
    <row r="3600" spans="2:14" ht="13.5" thickBot="1">
      <c r="B3600" s="324" t="s">
        <v>288</v>
      </c>
      <c r="C3600" s="325"/>
      <c r="D3600" s="325"/>
      <c r="E3600" s="325"/>
      <c r="F3600" s="325"/>
      <c r="G3600" s="325"/>
      <c r="H3600" s="325"/>
      <c r="I3600" s="326"/>
      <c r="J3600" s="327"/>
      <c r="K3600" s="328"/>
      <c r="L3600" s="329"/>
      <c r="M3600" s="329"/>
      <c r="N3600" s="330"/>
    </row>
    <row r="3601" spans="2:17">
      <c r="B3601" s="1130" t="s">
        <v>17</v>
      </c>
      <c r="C3601" s="1139"/>
      <c r="D3601" s="1139"/>
      <c r="E3601" s="1139"/>
      <c r="F3601" s="1139"/>
      <c r="G3601" s="1139"/>
      <c r="H3601" s="1139"/>
      <c r="I3601" s="1136"/>
      <c r="J3601" s="299" t="s">
        <v>259</v>
      </c>
      <c r="K3601" s="288" t="s">
        <v>133</v>
      </c>
      <c r="L3601" s="1133" t="s">
        <v>271</v>
      </c>
      <c r="M3601" s="1136"/>
      <c r="N3601" s="316" t="s">
        <v>265</v>
      </c>
    </row>
    <row r="3602" spans="2:17" ht="13.5" thickBot="1">
      <c r="B3602" s="331" t="s">
        <v>289</v>
      </c>
      <c r="C3602" s="332"/>
      <c r="D3602" s="332"/>
      <c r="E3602" s="332"/>
      <c r="F3602" s="332"/>
      <c r="G3602" s="332"/>
      <c r="H3602" s="332"/>
      <c r="I3602" s="333"/>
      <c r="J3602" s="334" t="s">
        <v>290</v>
      </c>
      <c r="K3602" s="335">
        <v>0.05</v>
      </c>
      <c r="L3602" s="1144">
        <f>+N3599</f>
        <v>102311.10222311101</v>
      </c>
      <c r="M3602" s="1145"/>
      <c r="N3602" s="322">
        <f>+K3602*L3602</f>
        <v>5115.5551111555505</v>
      </c>
    </row>
    <row r="3603" spans="2:17" ht="13.5" thickBot="1">
      <c r="B3603" s="1100" t="s">
        <v>269</v>
      </c>
      <c r="C3603" s="1101"/>
      <c r="D3603" s="1101"/>
      <c r="E3603" s="1101"/>
      <c r="F3603" s="1101"/>
      <c r="G3603" s="1101"/>
      <c r="H3603" s="1101"/>
      <c r="I3603" s="1101"/>
      <c r="J3603" s="1101"/>
      <c r="K3603" s="1101"/>
      <c r="L3603" s="1101"/>
      <c r="M3603" s="1102"/>
      <c r="N3603" s="323">
        <f>+N3602</f>
        <v>5115.5551111555505</v>
      </c>
    </row>
    <row r="3604" spans="2:17">
      <c r="B3604" s="280"/>
      <c r="C3604" s="281"/>
      <c r="D3604" s="281"/>
      <c r="E3604" s="281"/>
      <c r="F3604" s="281"/>
      <c r="G3604" s="281"/>
      <c r="H3604" s="281"/>
      <c r="I3604" s="281"/>
      <c r="J3604" s="281"/>
      <c r="K3604" s="281"/>
      <c r="L3604" s="281"/>
      <c r="M3604" s="281"/>
      <c r="N3604" s="282"/>
      <c r="P3604" s="408">
        <v>12043647</v>
      </c>
    </row>
    <row r="3605" spans="2:17" ht="13.5" thickBot="1">
      <c r="B3605" s="378"/>
      <c r="C3605" s="311"/>
      <c r="D3605" s="311"/>
      <c r="E3605" s="311"/>
      <c r="F3605" s="311"/>
      <c r="G3605" s="311"/>
      <c r="H3605" s="311"/>
      <c r="I3605" s="311"/>
      <c r="J3605" s="311"/>
      <c r="K3605" s="311"/>
      <c r="L3605" s="311"/>
      <c r="M3605" s="311"/>
      <c r="N3605" s="379"/>
    </row>
    <row r="3606" spans="2:17" ht="13.5" thickBot="1">
      <c r="B3606" s="1150" t="s">
        <v>291</v>
      </c>
      <c r="C3606" s="1151"/>
      <c r="D3606" s="1151"/>
      <c r="E3606" s="1151"/>
      <c r="F3606" s="1151"/>
      <c r="G3606" s="1151"/>
      <c r="H3606" s="1151"/>
      <c r="I3606" s="1151"/>
      <c r="J3606" s="1151"/>
      <c r="K3606" s="1151"/>
      <c r="L3606" s="1151"/>
      <c r="M3606" s="1152"/>
      <c r="N3606" s="336">
        <f>+N3580+N3587+N3593+N3599+N3603</f>
        <v>565988.70525147312</v>
      </c>
      <c r="P3606" s="409">
        <f>+N3606*N3570</f>
        <v>11885762.810280936</v>
      </c>
      <c r="Q3606" s="413">
        <f>+P3606-P3604</f>
        <v>-157884.18971906416</v>
      </c>
    </row>
    <row r="3607" spans="2:17">
      <c r="B3607" s="1103" t="s">
        <v>292</v>
      </c>
      <c r="C3607" s="1104"/>
      <c r="D3607" s="1104"/>
      <c r="E3607" s="1104"/>
      <c r="F3607" s="1104"/>
      <c r="G3607" s="1104"/>
      <c r="H3607" s="1104"/>
      <c r="I3607" s="1104"/>
      <c r="J3607" s="1104"/>
      <c r="K3607" s="1104"/>
      <c r="L3607" s="1104"/>
      <c r="M3607" s="1104"/>
      <c r="N3607" s="1105"/>
    </row>
    <row r="3608" spans="2:17">
      <c r="B3608" s="1106"/>
      <c r="C3608" s="1107"/>
      <c r="D3608" s="1107"/>
      <c r="E3608" s="1107"/>
      <c r="F3608" s="1107"/>
      <c r="G3608" s="1107"/>
      <c r="H3608" s="1107"/>
      <c r="I3608" s="1107"/>
      <c r="J3608" s="1107"/>
      <c r="K3608" s="1107"/>
      <c r="L3608" s="1107"/>
      <c r="M3608" s="1107"/>
      <c r="N3608" s="1108"/>
    </row>
    <row r="3609" spans="2:17" ht="13.5" thickBot="1">
      <c r="B3609" s="1109"/>
      <c r="C3609" s="1110"/>
      <c r="D3609" s="1110"/>
      <c r="E3609" s="1110"/>
      <c r="F3609" s="1110"/>
      <c r="G3609" s="1110"/>
      <c r="H3609" s="1110"/>
      <c r="I3609" s="1110"/>
      <c r="J3609" s="1110"/>
      <c r="K3609" s="1110"/>
      <c r="L3609" s="1110"/>
      <c r="M3609" s="1110"/>
      <c r="N3609" s="1111"/>
    </row>
    <row r="3610" spans="2:17">
      <c r="B3610" s="1130" t="s">
        <v>17</v>
      </c>
      <c r="C3610" s="1139"/>
      <c r="D3610" s="1139"/>
      <c r="E3610" s="1139"/>
      <c r="F3610" s="1139"/>
      <c r="G3610" s="1139"/>
      <c r="H3610" s="1139"/>
      <c r="I3610" s="306"/>
      <c r="J3610" s="337"/>
      <c r="K3610" s="315" t="s">
        <v>79</v>
      </c>
      <c r="L3610" s="1140" t="s">
        <v>11</v>
      </c>
      <c r="M3610" s="1141"/>
      <c r="N3610" s="316"/>
    </row>
    <row r="3611" spans="2:17">
      <c r="B3611" s="1112" t="s">
        <v>232</v>
      </c>
      <c r="C3611" s="1113"/>
      <c r="D3611" s="1113"/>
      <c r="E3611" s="1113"/>
      <c r="F3611" s="1113"/>
      <c r="G3611" s="1113"/>
      <c r="H3611" s="1113"/>
      <c r="I3611" s="338"/>
      <c r="J3611" s="339"/>
      <c r="K3611" s="340">
        <f>'PRESUPUESTO OFICIAL'!$K$100</f>
        <v>0</v>
      </c>
      <c r="L3611" s="1146">
        <f>K3611*N3606</f>
        <v>0</v>
      </c>
      <c r="M3611" s="1147"/>
      <c r="N3611" s="341"/>
    </row>
    <row r="3612" spans="2:17">
      <c r="B3612" s="292" t="s">
        <v>293</v>
      </c>
      <c r="C3612" s="293"/>
      <c r="D3612" s="293"/>
      <c r="E3612" s="293"/>
      <c r="F3612" s="293"/>
      <c r="G3612" s="293"/>
      <c r="H3612" s="293"/>
      <c r="I3612" s="338"/>
      <c r="J3612" s="339"/>
      <c r="K3612" s="340">
        <f>'PRESUPUESTO OFICIAL'!$K$101</f>
        <v>0</v>
      </c>
      <c r="L3612" s="1146">
        <f>K3612*N3606</f>
        <v>0</v>
      </c>
      <c r="M3612" s="1147"/>
      <c r="N3612" s="341"/>
    </row>
    <row r="3613" spans="2:17" ht="13.5" thickBot="1">
      <c r="B3613" s="277" t="s">
        <v>294</v>
      </c>
      <c r="C3613" s="278"/>
      <c r="D3613" s="278"/>
      <c r="E3613" s="278"/>
      <c r="F3613" s="278"/>
      <c r="G3613" s="278"/>
      <c r="H3613" s="278"/>
      <c r="I3613" s="342"/>
      <c r="J3613" s="343"/>
      <c r="K3613" s="340">
        <f>'PRESUPUESTO OFICIAL'!$K$102</f>
        <v>0</v>
      </c>
      <c r="L3613" s="1148">
        <f>K3613*N3606</f>
        <v>0</v>
      </c>
      <c r="M3613" s="1149"/>
      <c r="N3613" s="341"/>
    </row>
    <row r="3614" spans="2:17" ht="13.5" thickBot="1">
      <c r="B3614" s="1100" t="s">
        <v>269</v>
      </c>
      <c r="C3614" s="1101"/>
      <c r="D3614" s="1101"/>
      <c r="E3614" s="1101"/>
      <c r="F3614" s="1101"/>
      <c r="G3614" s="1101"/>
      <c r="H3614" s="1101"/>
      <c r="I3614" s="1101"/>
      <c r="J3614" s="1101"/>
      <c r="K3614" s="1101"/>
      <c r="L3614" s="1101"/>
      <c r="M3614" s="1102"/>
      <c r="N3614" s="344">
        <f>SUM(L3611:M3613)</f>
        <v>0</v>
      </c>
    </row>
    <row r="3615" spans="2:17" ht="13.5" thickBot="1">
      <c r="B3615" s="283"/>
      <c r="N3615" s="284"/>
    </row>
    <row r="3616" spans="2:17" ht="13.5" thickBot="1">
      <c r="B3616" s="1150" t="s">
        <v>295</v>
      </c>
      <c r="C3616" s="1151"/>
      <c r="D3616" s="1151"/>
      <c r="E3616" s="1151"/>
      <c r="F3616" s="1151"/>
      <c r="G3616" s="1151"/>
      <c r="H3616" s="1151"/>
      <c r="I3616" s="1151"/>
      <c r="J3616" s="1151"/>
      <c r="K3616" s="1151"/>
      <c r="L3616" s="1151"/>
      <c r="M3616" s="1152"/>
      <c r="N3616" s="345">
        <f>ROUND(N3606+N3614,0)</f>
        <v>565989</v>
      </c>
    </row>
    <row r="3617" spans="2:14">
      <c r="B3617" s="280"/>
      <c r="C3617" s="281"/>
      <c r="D3617" s="281"/>
      <c r="E3617" s="281"/>
      <c r="F3617" s="281"/>
      <c r="G3617" s="281"/>
      <c r="H3617" s="281"/>
      <c r="I3617" s="281"/>
      <c r="J3617" s="281"/>
      <c r="K3617" s="281"/>
      <c r="L3617" s="281"/>
      <c r="M3617" s="281"/>
      <c r="N3617" s="282"/>
    </row>
    <row r="3618" spans="2:14">
      <c r="B3618" s="283"/>
      <c r="N3618" s="284"/>
    </row>
    <row r="3619" spans="2:14">
      <c r="B3619" s="283"/>
      <c r="N3619" s="284"/>
    </row>
    <row r="3620" spans="2:14">
      <c r="B3620" s="283"/>
      <c r="G3620" s="346" t="s">
        <v>296</v>
      </c>
      <c r="H3620" s="346"/>
      <c r="I3620" s="346"/>
      <c r="J3620" s="346"/>
      <c r="N3620" s="284"/>
    </row>
    <row r="3621" spans="2:14">
      <c r="B3621" s="347"/>
      <c r="C3621" s="348"/>
      <c r="D3621" s="348"/>
      <c r="E3621" s="348"/>
      <c r="F3621" s="348"/>
      <c r="G3621" s="346" t="s">
        <v>297</v>
      </c>
      <c r="H3621" s="348"/>
      <c r="I3621" s="348"/>
      <c r="J3621" s="348"/>
      <c r="K3621" s="348"/>
      <c r="L3621" s="348"/>
      <c r="M3621" s="348"/>
      <c r="N3621" s="349"/>
    </row>
    <row r="3622" spans="2:14">
      <c r="B3622" s="347"/>
      <c r="C3622" s="348"/>
      <c r="D3622" s="348"/>
      <c r="E3622" s="348"/>
      <c r="F3622" s="348"/>
      <c r="G3622" s="346" t="s">
        <v>298</v>
      </c>
      <c r="J3622" s="348"/>
      <c r="K3622" s="348"/>
      <c r="L3622" s="348"/>
      <c r="M3622" s="348"/>
      <c r="N3622" s="349"/>
    </row>
    <row r="3623" spans="2:14">
      <c r="B3623" s="268"/>
      <c r="C3623" s="350"/>
      <c r="D3623" s="350"/>
      <c r="E3623" s="350"/>
      <c r="F3623" s="350"/>
      <c r="G3623" s="346" t="s">
        <v>299</v>
      </c>
      <c r="H3623" s="350"/>
      <c r="I3623" s="350"/>
      <c r="J3623" s="350"/>
      <c r="K3623" s="350"/>
      <c r="L3623" s="350"/>
      <c r="M3623" s="350"/>
      <c r="N3623" s="351"/>
    </row>
    <row r="3624" spans="2:14">
      <c r="B3624" s="283"/>
      <c r="G3624" s="258" t="s">
        <v>300</v>
      </c>
      <c r="N3624" s="284"/>
    </row>
    <row r="3625" spans="2:14">
      <c r="B3625" s="352" t="s">
        <v>301</v>
      </c>
      <c r="C3625" s="353"/>
      <c r="D3625" s="353"/>
      <c r="E3625" s="353"/>
      <c r="F3625" s="353"/>
      <c r="G3625" s="353"/>
      <c r="H3625" s="353"/>
      <c r="I3625" s="353"/>
      <c r="J3625" s="353"/>
      <c r="K3625" s="353"/>
      <c r="L3625" s="353"/>
      <c r="M3625" s="353"/>
      <c r="N3625" s="354"/>
    </row>
    <row r="3626" spans="2:14">
      <c r="B3626" s="1153"/>
      <c r="C3626" s="1154"/>
      <c r="D3626" s="1154"/>
      <c r="E3626" s="1154"/>
      <c r="F3626" s="1154"/>
      <c r="G3626" s="1154"/>
      <c r="H3626" s="1154"/>
      <c r="I3626" s="1154"/>
      <c r="J3626" s="1154"/>
      <c r="K3626" s="1154"/>
      <c r="L3626" s="1154"/>
      <c r="M3626" s="1154"/>
      <c r="N3626" s="1155"/>
    </row>
    <row r="3627" spans="2:14">
      <c r="B3627" s="1153"/>
      <c r="C3627" s="1154"/>
      <c r="D3627" s="1154"/>
      <c r="E3627" s="1154"/>
      <c r="F3627" s="1154"/>
      <c r="G3627" s="1154"/>
      <c r="H3627" s="1154"/>
      <c r="I3627" s="1154"/>
      <c r="J3627" s="1154"/>
      <c r="K3627" s="1154"/>
      <c r="L3627" s="1154"/>
      <c r="M3627" s="1154"/>
      <c r="N3627" s="1155"/>
    </row>
    <row r="3628" spans="2:14">
      <c r="B3628" s="268"/>
      <c r="C3628" s="350"/>
      <c r="D3628" s="350"/>
      <c r="E3628" s="350"/>
      <c r="F3628" s="350"/>
      <c r="G3628" s="350"/>
      <c r="H3628" s="350"/>
      <c r="I3628" s="350"/>
      <c r="J3628" s="350"/>
      <c r="K3628" s="350"/>
      <c r="L3628" s="350"/>
      <c r="M3628" s="350"/>
      <c r="N3628" s="351"/>
    </row>
    <row r="3629" spans="2:14">
      <c r="B3629" s="355" t="s">
        <v>302</v>
      </c>
      <c r="C3629" s="350"/>
      <c r="D3629" s="350"/>
      <c r="E3629" s="350"/>
      <c r="F3629" s="350"/>
      <c r="G3629" s="350"/>
      <c r="H3629" s="350"/>
      <c r="I3629" s="350"/>
      <c r="J3629" s="350"/>
      <c r="K3629" s="350"/>
      <c r="L3629" s="350"/>
      <c r="M3629" s="350"/>
      <c r="N3629" s="351"/>
    </row>
    <row r="3630" spans="2:14">
      <c r="B3630" s="1159" t="s">
        <v>303</v>
      </c>
      <c r="C3630" s="1160"/>
      <c r="D3630" s="1160"/>
      <c r="E3630" s="1160"/>
      <c r="F3630" s="1160"/>
      <c r="G3630" s="1160"/>
      <c r="H3630" s="1160"/>
      <c r="I3630" s="1160"/>
      <c r="J3630" s="1160"/>
      <c r="K3630" s="1160"/>
      <c r="L3630" s="1160"/>
      <c r="M3630" s="1160"/>
      <c r="N3630" s="1161"/>
    </row>
    <row r="3631" spans="2:14">
      <c r="B3631" s="1159"/>
      <c r="C3631" s="1160"/>
      <c r="D3631" s="1160"/>
      <c r="E3631" s="1160"/>
      <c r="F3631" s="1160"/>
      <c r="G3631" s="1160"/>
      <c r="H3631" s="1160"/>
      <c r="I3631" s="1160"/>
      <c r="J3631" s="1160"/>
      <c r="K3631" s="1160"/>
      <c r="L3631" s="1160"/>
      <c r="M3631" s="1160"/>
      <c r="N3631" s="1161"/>
    </row>
    <row r="3632" spans="2:14">
      <c r="B3632" s="1159" t="s">
        <v>304</v>
      </c>
      <c r="C3632" s="1160"/>
      <c r="D3632" s="1160"/>
      <c r="E3632" s="1160"/>
      <c r="F3632" s="1160"/>
      <c r="G3632" s="1160"/>
      <c r="H3632" s="1160"/>
      <c r="I3632" s="1160"/>
      <c r="J3632" s="1160"/>
      <c r="K3632" s="1160"/>
      <c r="L3632" s="1160"/>
      <c r="M3632" s="1160"/>
      <c r="N3632" s="1161"/>
    </row>
    <row r="3633" spans="2:14">
      <c r="B3633" s="1159"/>
      <c r="C3633" s="1160"/>
      <c r="D3633" s="1160"/>
      <c r="E3633" s="1160"/>
      <c r="F3633" s="1160"/>
      <c r="G3633" s="1160"/>
      <c r="H3633" s="1160"/>
      <c r="I3633" s="1160"/>
      <c r="J3633" s="1160"/>
      <c r="K3633" s="1160"/>
      <c r="L3633" s="1160"/>
      <c r="M3633" s="1160"/>
      <c r="N3633" s="1161"/>
    </row>
    <row r="3634" spans="2:14">
      <c r="B3634" s="268"/>
      <c r="C3634" s="350"/>
      <c r="D3634" s="350"/>
      <c r="E3634" s="350"/>
      <c r="F3634" s="350"/>
      <c r="G3634" s="350"/>
      <c r="H3634" s="350"/>
      <c r="I3634" s="350"/>
      <c r="J3634" s="350"/>
      <c r="K3634" s="350"/>
      <c r="L3634" s="350"/>
      <c r="M3634" s="350"/>
      <c r="N3634" s="351"/>
    </row>
    <row r="3635" spans="2:14">
      <c r="B3635" s="283"/>
      <c r="G3635" s="346" t="s">
        <v>296</v>
      </c>
      <c r="N3635" s="284"/>
    </row>
    <row r="3636" spans="2:14">
      <c r="B3636" s="283"/>
      <c r="G3636" s="258" t="s">
        <v>305</v>
      </c>
      <c r="H3636" s="293"/>
      <c r="I3636" s="293"/>
      <c r="J3636" s="293"/>
      <c r="N3636" s="284"/>
    </row>
    <row r="3637" spans="2:14">
      <c r="B3637" s="283"/>
      <c r="G3637" s="258" t="s">
        <v>306</v>
      </c>
      <c r="H3637" s="325"/>
      <c r="I3637" s="325"/>
      <c r="J3637" s="325"/>
      <c r="N3637" s="284"/>
    </row>
    <row r="3638" spans="2:14">
      <c r="B3638" s="356"/>
      <c r="C3638" s="350"/>
      <c r="D3638" s="350"/>
      <c r="E3638" s="350"/>
      <c r="F3638" s="350"/>
      <c r="G3638" s="258" t="s">
        <v>299</v>
      </c>
      <c r="K3638" s="350"/>
      <c r="L3638" s="350"/>
      <c r="M3638" s="350"/>
      <c r="N3638" s="351"/>
    </row>
    <row r="3639" spans="2:14">
      <c r="B3639" s="357"/>
      <c r="C3639" s="358"/>
      <c r="D3639" s="358"/>
      <c r="J3639" s="1162"/>
      <c r="K3639" s="1162"/>
      <c r="L3639" s="1162"/>
      <c r="M3639" s="1162"/>
      <c r="N3639" s="1163"/>
    </row>
    <row r="3640" spans="2:14" ht="13.5" thickBot="1">
      <c r="B3640" s="1166"/>
      <c r="C3640" s="1167"/>
      <c r="D3640" s="1167"/>
      <c r="E3640" s="311"/>
      <c r="F3640" s="311"/>
      <c r="G3640" s="311"/>
      <c r="H3640" s="311"/>
      <c r="I3640" s="311"/>
      <c r="J3640" s="1164"/>
      <c r="K3640" s="1164"/>
      <c r="L3640" s="1164"/>
      <c r="M3640" s="1164"/>
      <c r="N3640" s="1165"/>
    </row>
    <row r="3641" spans="2:14" ht="13.5" thickBot="1"/>
    <row r="3642" spans="2:14">
      <c r="B3642" s="1070"/>
      <c r="C3642" s="1072"/>
      <c r="D3642" s="1073"/>
      <c r="E3642" s="1073"/>
      <c r="F3642" s="1073"/>
      <c r="G3642" s="1073"/>
      <c r="H3642" s="1073"/>
      <c r="I3642" s="1073"/>
      <c r="J3642" s="1074"/>
      <c r="K3642" s="1075"/>
      <c r="L3642" s="1076"/>
      <c r="M3642" s="1076"/>
      <c r="N3642" s="1077"/>
    </row>
    <row r="3643" spans="2:14">
      <c r="B3643" s="1071"/>
      <c r="C3643" s="1062" t="s">
        <v>244</v>
      </c>
      <c r="D3643" s="1063"/>
      <c r="E3643" s="1063"/>
      <c r="F3643" s="1063"/>
      <c r="G3643" s="1063"/>
      <c r="H3643" s="1063"/>
      <c r="I3643" s="1063"/>
      <c r="J3643" s="1064"/>
      <c r="K3643" s="1078"/>
      <c r="L3643" s="1079"/>
      <c r="M3643" s="1079"/>
      <c r="N3643" s="1080"/>
    </row>
    <row r="3644" spans="2:14">
      <c r="B3644" s="1071"/>
      <c r="C3644" s="1081"/>
      <c r="D3644" s="1082"/>
      <c r="E3644" s="1082"/>
      <c r="F3644" s="1082"/>
      <c r="G3644" s="1082"/>
      <c r="H3644" s="1082"/>
      <c r="I3644" s="1082"/>
      <c r="J3644" s="1083"/>
      <c r="K3644" s="1058" t="s">
        <v>245</v>
      </c>
      <c r="L3644" s="1085"/>
      <c r="M3644" s="1086"/>
      <c r="N3644" s="1087"/>
    </row>
    <row r="3645" spans="2:14">
      <c r="B3645" s="1071"/>
      <c r="C3645" s="1062" t="s">
        <v>246</v>
      </c>
      <c r="D3645" s="1063"/>
      <c r="E3645" s="1063"/>
      <c r="F3645" s="1063"/>
      <c r="G3645" s="1063"/>
      <c r="H3645" s="1063"/>
      <c r="I3645" s="1063"/>
      <c r="J3645" s="1064"/>
      <c r="K3645" s="1084"/>
      <c r="L3645" s="1088"/>
      <c r="M3645" s="1089"/>
      <c r="N3645" s="1090"/>
    </row>
    <row r="3646" spans="2:14">
      <c r="B3646" s="1071"/>
      <c r="C3646" s="1091"/>
      <c r="D3646" s="1092"/>
      <c r="E3646" s="1092"/>
      <c r="F3646" s="1092"/>
      <c r="G3646" s="1092"/>
      <c r="H3646" s="1092"/>
      <c r="I3646" s="1092"/>
      <c r="J3646" s="1093"/>
      <c r="K3646" s="1058" t="s">
        <v>247</v>
      </c>
      <c r="L3646" s="1058">
        <v>41</v>
      </c>
      <c r="M3646" s="1058" t="s">
        <v>248</v>
      </c>
      <c r="N3646" s="1060">
        <v>80</v>
      </c>
    </row>
    <row r="3647" spans="2:14">
      <c r="B3647" s="1071"/>
      <c r="C3647" s="1091"/>
      <c r="D3647" s="1092"/>
      <c r="E3647" s="1092"/>
      <c r="F3647" s="1092"/>
      <c r="G3647" s="1092"/>
      <c r="H3647" s="1092"/>
      <c r="I3647" s="1092"/>
      <c r="J3647" s="1093"/>
      <c r="K3647" s="1059"/>
      <c r="L3647" s="1059"/>
      <c r="M3647" s="1059"/>
      <c r="N3647" s="1061"/>
    </row>
    <row r="3648" spans="2:14">
      <c r="B3648" s="1071"/>
      <c r="C3648" s="1062" t="s">
        <v>249</v>
      </c>
      <c r="D3648" s="1063"/>
      <c r="E3648" s="1063"/>
      <c r="F3648" s="1063"/>
      <c r="G3648" s="1063"/>
      <c r="H3648" s="1063"/>
      <c r="I3648" s="1063"/>
      <c r="J3648" s="1064"/>
      <c r="K3648" s="1059"/>
      <c r="L3648" s="1059"/>
      <c r="M3648" s="1059"/>
      <c r="N3648" s="1061"/>
    </row>
    <row r="3649" spans="2:14" ht="13.5" thickBot="1">
      <c r="B3649" s="259"/>
      <c r="C3649" s="260"/>
      <c r="D3649" s="260"/>
      <c r="E3649" s="260"/>
      <c r="F3649" s="260"/>
      <c r="G3649" s="260"/>
      <c r="H3649" s="260"/>
      <c r="I3649" s="260"/>
      <c r="J3649" s="260"/>
      <c r="K3649" s="260"/>
      <c r="L3649" s="261"/>
      <c r="M3649" s="261"/>
      <c r="N3649" s="262"/>
    </row>
    <row r="3650" spans="2:14">
      <c r="B3650" s="263"/>
      <c r="C3650" s="264"/>
      <c r="D3650" s="264"/>
      <c r="E3650" s="264"/>
      <c r="F3650" s="264"/>
      <c r="G3650" s="264"/>
      <c r="H3650" s="264"/>
      <c r="I3650" s="264"/>
      <c r="J3650" s="264"/>
      <c r="K3650" s="265" t="s">
        <v>250</v>
      </c>
      <c r="L3650" s="266" t="s">
        <v>251</v>
      </c>
      <c r="M3650" s="266" t="s">
        <v>252</v>
      </c>
      <c r="N3650" s="267" t="s">
        <v>253</v>
      </c>
    </row>
    <row r="3651" spans="2:14">
      <c r="B3651" s="268"/>
      <c r="C3651" s="269"/>
      <c r="D3651" s="269"/>
      <c r="E3651" s="269"/>
      <c r="F3651" s="269"/>
      <c r="G3651" s="269"/>
      <c r="H3651" s="269"/>
      <c r="I3651" s="269"/>
      <c r="J3651" s="269"/>
      <c r="K3651" s="270"/>
      <c r="L3651" s="271"/>
      <c r="M3651" s="271"/>
      <c r="N3651" s="272"/>
    </row>
    <row r="3652" spans="2:14">
      <c r="B3652" s="1065" t="s">
        <v>254</v>
      </c>
      <c r="C3652" s="1066"/>
      <c r="D3652" s="1066"/>
      <c r="E3652" s="1066"/>
      <c r="F3652" s="269"/>
      <c r="G3652" s="269"/>
      <c r="H3652" s="269" t="s">
        <v>255</v>
      </c>
      <c r="J3652" s="269"/>
      <c r="K3652" s="270"/>
      <c r="N3652" s="273"/>
    </row>
    <row r="3653" spans="2:14">
      <c r="B3653" s="274"/>
      <c r="C3653" s="275"/>
      <c r="D3653" s="275"/>
      <c r="E3653" s="275"/>
      <c r="F3653" s="275"/>
      <c r="G3653" s="275"/>
      <c r="H3653" s="275"/>
      <c r="I3653" s="275"/>
      <c r="J3653" s="275"/>
      <c r="K3653" s="275"/>
      <c r="L3653" s="275"/>
      <c r="M3653" s="275"/>
      <c r="N3653" s="276"/>
    </row>
    <row r="3654" spans="2:14" ht="13.5" thickBot="1">
      <c r="B3654" s="277"/>
      <c r="C3654" s="278"/>
      <c r="D3654" s="278"/>
      <c r="E3654" s="278"/>
      <c r="F3654" s="278"/>
      <c r="G3654" s="278"/>
      <c r="H3654" s="278"/>
      <c r="I3654" s="278"/>
      <c r="J3654" s="278"/>
      <c r="K3654" s="278"/>
      <c r="L3654" s="278"/>
      <c r="M3654" s="278"/>
      <c r="N3654" s="279"/>
    </row>
    <row r="3655" spans="2:14" ht="13.5" thickBot="1">
      <c r="B3655" s="280"/>
      <c r="C3655" s="281"/>
      <c r="D3655" s="281"/>
      <c r="E3655" s="281"/>
      <c r="F3655" s="281"/>
      <c r="G3655" s="281"/>
      <c r="J3655" s="281"/>
      <c r="K3655" s="281"/>
      <c r="L3655" s="281"/>
      <c r="M3655" s="281"/>
      <c r="N3655" s="282"/>
    </row>
    <row r="3656" spans="2:14">
      <c r="B3656" s="1067" t="s">
        <v>256</v>
      </c>
      <c r="C3656" s="1068"/>
      <c r="D3656" s="1068"/>
      <c r="E3656" s="1068"/>
      <c r="F3656" s="1068"/>
      <c r="G3656" s="1068"/>
      <c r="H3656" s="1068"/>
      <c r="I3656" s="1068"/>
      <c r="J3656" s="1068"/>
      <c r="K3656" s="1068"/>
      <c r="L3656" s="1068"/>
      <c r="M3656" s="1068"/>
      <c r="N3656" s="1069"/>
    </row>
    <row r="3657" spans="2:14" ht="13.5" thickBot="1">
      <c r="B3657" s="283"/>
      <c r="N3657" s="284"/>
    </row>
    <row r="3658" spans="2:14">
      <c r="B3658" s="285" t="s">
        <v>257</v>
      </c>
      <c r="C3658" s="1120" t="s">
        <v>258</v>
      </c>
      <c r="D3658" s="1121"/>
      <c r="E3658" s="1121"/>
      <c r="F3658" s="1121"/>
      <c r="G3658" s="1121"/>
      <c r="H3658" s="1121"/>
      <c r="I3658" s="1121"/>
      <c r="J3658" s="1121"/>
      <c r="K3658" s="1122"/>
      <c r="L3658" s="1123" t="s">
        <v>259</v>
      </c>
      <c r="M3658" s="1124"/>
      <c r="N3658" s="285" t="s">
        <v>133</v>
      </c>
    </row>
    <row r="3659" spans="2:14" ht="24" customHeight="1" thickBot="1">
      <c r="B3659" s="286">
        <v>41</v>
      </c>
      <c r="C3659" s="1125" t="s">
        <v>182</v>
      </c>
      <c r="D3659" s="1126"/>
      <c r="E3659" s="1126"/>
      <c r="F3659" s="1126"/>
      <c r="G3659" s="1126"/>
      <c r="H3659" s="1126"/>
      <c r="I3659" s="1126"/>
      <c r="J3659" s="1126"/>
      <c r="K3659" s="1127"/>
      <c r="L3659" s="1128" t="s">
        <v>147</v>
      </c>
      <c r="M3659" s="1129"/>
      <c r="N3659" s="366">
        <v>200</v>
      </c>
    </row>
    <row r="3660" spans="2:14">
      <c r="B3660" s="1103"/>
      <c r="C3660" s="1104"/>
      <c r="D3660" s="1104"/>
      <c r="E3660" s="1104"/>
      <c r="F3660" s="1104"/>
      <c r="G3660" s="1104"/>
      <c r="H3660" s="1104"/>
      <c r="I3660" s="1104"/>
      <c r="J3660" s="1104"/>
      <c r="K3660" s="1104"/>
      <c r="L3660" s="1104"/>
      <c r="M3660" s="1104"/>
      <c r="N3660" s="1105"/>
    </row>
    <row r="3661" spans="2:14">
      <c r="B3661" s="1106"/>
      <c r="C3661" s="1107"/>
      <c r="D3661" s="1107"/>
      <c r="E3661" s="1107"/>
      <c r="F3661" s="1107"/>
      <c r="G3661" s="1107"/>
      <c r="H3661" s="1107"/>
      <c r="I3661" s="1107"/>
      <c r="J3661" s="1107"/>
      <c r="K3661" s="1107"/>
      <c r="L3661" s="1107"/>
      <c r="M3661" s="1107"/>
      <c r="N3661" s="1108"/>
    </row>
    <row r="3662" spans="2:14" ht="13.5" thickBot="1">
      <c r="B3662" s="1109"/>
      <c r="C3662" s="1110"/>
      <c r="D3662" s="1110"/>
      <c r="E3662" s="1110"/>
      <c r="F3662" s="1110"/>
      <c r="G3662" s="1110"/>
      <c r="H3662" s="1110"/>
      <c r="I3662" s="1110"/>
      <c r="J3662" s="1110"/>
      <c r="K3662" s="1110"/>
      <c r="L3662" s="1110"/>
      <c r="M3662" s="1110"/>
      <c r="N3662" s="1111"/>
    </row>
    <row r="3663" spans="2:14">
      <c r="B3663" s="1130" t="s">
        <v>258</v>
      </c>
      <c r="C3663" s="1131"/>
      <c r="D3663" s="1131"/>
      <c r="E3663" s="1131"/>
      <c r="F3663" s="1132"/>
      <c r="G3663" s="1133" t="s">
        <v>261</v>
      </c>
      <c r="H3663" s="1131"/>
      <c r="I3663" s="1134" t="s">
        <v>262</v>
      </c>
      <c r="J3663" s="1135"/>
      <c r="K3663" s="288" t="s">
        <v>263</v>
      </c>
      <c r="L3663" s="1133" t="s">
        <v>264</v>
      </c>
      <c r="M3663" s="1136"/>
      <c r="N3663" s="289" t="s">
        <v>265</v>
      </c>
    </row>
    <row r="3664" spans="2:14">
      <c r="B3664" s="1179" t="s">
        <v>356</v>
      </c>
      <c r="C3664" s="1180"/>
      <c r="D3664" s="1180"/>
      <c r="E3664" s="1180"/>
      <c r="F3664" s="1181"/>
      <c r="G3664" s="295"/>
      <c r="H3664" s="294"/>
      <c r="I3664" s="1182" t="s">
        <v>267</v>
      </c>
      <c r="J3664" s="1183"/>
      <c r="K3664" s="290">
        <v>186</v>
      </c>
      <c r="L3664" s="1118">
        <v>0.769231</v>
      </c>
      <c r="M3664" s="1119"/>
      <c r="N3664" s="290">
        <f>+K3664/L3664</f>
        <v>241.79992746002176</v>
      </c>
    </row>
    <row r="3665" spans="2:14">
      <c r="B3665" s="1179" t="s">
        <v>358</v>
      </c>
      <c r="C3665" s="1180"/>
      <c r="D3665" s="1180"/>
      <c r="E3665" s="1180"/>
      <c r="F3665" s="1181"/>
      <c r="G3665" s="295"/>
      <c r="H3665" s="294"/>
      <c r="I3665" s="1182" t="s">
        <v>267</v>
      </c>
      <c r="J3665" s="1183"/>
      <c r="K3665" s="290">
        <v>91</v>
      </c>
      <c r="L3665" s="1118">
        <v>0.2</v>
      </c>
      <c r="M3665" s="1119"/>
      <c r="N3665" s="290">
        <f>+K3665/L3665</f>
        <v>455</v>
      </c>
    </row>
    <row r="3666" spans="2:14">
      <c r="B3666" s="1179" t="s">
        <v>359</v>
      </c>
      <c r="C3666" s="1180"/>
      <c r="D3666" s="1180"/>
      <c r="E3666" s="1180"/>
      <c r="F3666" s="1181"/>
      <c r="G3666" s="295"/>
      <c r="H3666" s="294"/>
      <c r="I3666" s="1182" t="s">
        <v>267</v>
      </c>
      <c r="J3666" s="1183"/>
      <c r="K3666" s="290">
        <v>650</v>
      </c>
      <c r="L3666" s="1118">
        <v>2.3810000000000001E-2</v>
      </c>
      <c r="M3666" s="1119"/>
      <c r="N3666" s="290">
        <f>+K3666/L3666</f>
        <v>27299.454010919781</v>
      </c>
    </row>
    <row r="3667" spans="2:14">
      <c r="B3667" s="1179" t="s">
        <v>360</v>
      </c>
      <c r="C3667" s="1180"/>
      <c r="D3667" s="1180"/>
      <c r="E3667" s="1180"/>
      <c r="F3667" s="1181"/>
      <c r="G3667" s="295"/>
      <c r="H3667" s="294"/>
      <c r="I3667" s="1182" t="s">
        <v>267</v>
      </c>
      <c r="J3667" s="1183"/>
      <c r="K3667" s="290">
        <v>120</v>
      </c>
      <c r="L3667" s="1118">
        <v>0.2</v>
      </c>
      <c r="M3667" s="1119"/>
      <c r="N3667" s="290">
        <f>+K3667/L3667</f>
        <v>600</v>
      </c>
    </row>
    <row r="3668" spans="2:14" ht="13.5" thickBot="1">
      <c r="B3668" s="1179" t="s">
        <v>340</v>
      </c>
      <c r="C3668" s="1180"/>
      <c r="D3668" s="1180"/>
      <c r="E3668" s="1180"/>
      <c r="F3668" s="1181"/>
      <c r="G3668" s="295"/>
      <c r="H3668" s="294"/>
      <c r="I3668" s="1182" t="s">
        <v>267</v>
      </c>
      <c r="J3668" s="1183"/>
      <c r="K3668" s="290">
        <v>45220</v>
      </c>
      <c r="L3668" s="1118">
        <v>2</v>
      </c>
      <c r="M3668" s="1119"/>
      <c r="N3668" s="290">
        <f>+K3668/L3668</f>
        <v>22610</v>
      </c>
    </row>
    <row r="3669" spans="2:14" ht="13.5" thickBot="1">
      <c r="B3669" s="1100" t="s">
        <v>269</v>
      </c>
      <c r="C3669" s="1101"/>
      <c r="D3669" s="1101"/>
      <c r="E3669" s="1101"/>
      <c r="F3669" s="1101"/>
      <c r="G3669" s="1101"/>
      <c r="H3669" s="1101"/>
      <c r="I3669" s="1101"/>
      <c r="J3669" s="1101"/>
      <c r="K3669" s="1101"/>
      <c r="L3669" s="1101"/>
      <c r="M3669" s="1102"/>
      <c r="N3669" s="323">
        <f>+N3664+N3665+N3666+N3667+N3668</f>
        <v>51206.253938379799</v>
      </c>
    </row>
    <row r="3670" spans="2:14">
      <c r="B3670" s="1103" t="s">
        <v>270</v>
      </c>
      <c r="C3670" s="1104"/>
      <c r="D3670" s="1104"/>
      <c r="E3670" s="1104"/>
      <c r="F3670" s="1104"/>
      <c r="G3670" s="1104"/>
      <c r="H3670" s="1104"/>
      <c r="I3670" s="1104"/>
      <c r="J3670" s="1104"/>
      <c r="K3670" s="1104"/>
      <c r="L3670" s="1104"/>
      <c r="M3670" s="1104"/>
      <c r="N3670" s="1105"/>
    </row>
    <row r="3671" spans="2:14">
      <c r="B3671" s="1106"/>
      <c r="C3671" s="1107"/>
      <c r="D3671" s="1107"/>
      <c r="E3671" s="1107"/>
      <c r="F3671" s="1107"/>
      <c r="G3671" s="1107"/>
      <c r="H3671" s="1107"/>
      <c r="I3671" s="1107"/>
      <c r="J3671" s="1107"/>
      <c r="K3671" s="1107"/>
      <c r="L3671" s="1107"/>
      <c r="M3671" s="1107"/>
      <c r="N3671" s="1108"/>
    </row>
    <row r="3672" spans="2:14" ht="13.5" thickBot="1">
      <c r="B3672" s="1109"/>
      <c r="C3672" s="1110"/>
      <c r="D3672" s="1110"/>
      <c r="E3672" s="1110"/>
      <c r="F3672" s="1110"/>
      <c r="G3672" s="1110"/>
      <c r="H3672" s="1110"/>
      <c r="I3672" s="1110"/>
      <c r="J3672" s="1110"/>
      <c r="K3672" s="1110"/>
      <c r="L3672" s="1110"/>
      <c r="M3672" s="1110"/>
      <c r="N3672" s="1111"/>
    </row>
    <row r="3673" spans="2:14">
      <c r="B3673" s="1130" t="s">
        <v>258</v>
      </c>
      <c r="C3673" s="1139"/>
      <c r="D3673" s="1139"/>
      <c r="E3673" s="1139"/>
      <c r="F3673" s="1139"/>
      <c r="G3673" s="1139"/>
      <c r="H3673" s="1139"/>
      <c r="I3673" s="1136"/>
      <c r="J3673" s="299" t="s">
        <v>259</v>
      </c>
      <c r="K3673" s="288" t="s">
        <v>133</v>
      </c>
      <c r="L3673" s="1133" t="s">
        <v>271</v>
      </c>
      <c r="M3673" s="1136"/>
      <c r="N3673" s="289" t="s">
        <v>265</v>
      </c>
    </row>
    <row r="3674" spans="2:14">
      <c r="B3674" s="1112" t="s">
        <v>348</v>
      </c>
      <c r="C3674" s="1113"/>
      <c r="D3674" s="1113"/>
      <c r="E3674" s="1113"/>
      <c r="F3674" s="1113"/>
      <c r="G3674" s="1113"/>
      <c r="H3674" s="1113"/>
      <c r="I3674" s="1114"/>
      <c r="J3674" s="300" t="s">
        <v>147</v>
      </c>
      <c r="K3674" s="301">
        <v>1.05</v>
      </c>
      <c r="L3674" s="1144">
        <v>369520</v>
      </c>
      <c r="M3674" s="1145"/>
      <c r="N3674" s="363">
        <f>+K3674*L3674</f>
        <v>387996</v>
      </c>
    </row>
    <row r="3675" spans="2:14">
      <c r="B3675" s="402" t="s">
        <v>353</v>
      </c>
      <c r="C3675" s="353"/>
      <c r="D3675" s="353"/>
      <c r="E3675" s="353"/>
      <c r="F3675" s="353"/>
      <c r="G3675" s="353"/>
      <c r="H3675" s="353"/>
      <c r="I3675" s="403"/>
      <c r="J3675" s="303" t="s">
        <v>196</v>
      </c>
      <c r="K3675" s="392">
        <v>0.54</v>
      </c>
      <c r="L3675" s="1144">
        <v>139230</v>
      </c>
      <c r="M3675" s="1145"/>
      <c r="N3675" s="363">
        <f>+K3675*L3675</f>
        <v>75184.200000000012</v>
      </c>
    </row>
    <row r="3676" spans="2:14">
      <c r="B3676" s="402" t="s">
        <v>361</v>
      </c>
      <c r="C3676" s="353"/>
      <c r="D3676" s="353"/>
      <c r="E3676" s="353"/>
      <c r="F3676" s="353"/>
      <c r="G3676" s="353"/>
      <c r="H3676" s="353"/>
      <c r="I3676" s="403"/>
      <c r="J3676" s="303" t="s">
        <v>143</v>
      </c>
      <c r="K3676" s="392">
        <v>2</v>
      </c>
      <c r="L3676" s="1144">
        <v>13295</v>
      </c>
      <c r="M3676" s="1145"/>
      <c r="N3676" s="363">
        <f>+K3676*L3676</f>
        <v>26590</v>
      </c>
    </row>
    <row r="3677" spans="2:14">
      <c r="B3677" s="402" t="s">
        <v>332</v>
      </c>
      <c r="C3677" s="353"/>
      <c r="D3677" s="353"/>
      <c r="E3677" s="353"/>
      <c r="F3677" s="353"/>
      <c r="G3677" s="353"/>
      <c r="H3677" s="353"/>
      <c r="I3677" s="403"/>
      <c r="J3677" s="303" t="s">
        <v>196</v>
      </c>
      <c r="K3677" s="392">
        <v>0.6</v>
      </c>
      <c r="L3677" s="1144">
        <v>10710</v>
      </c>
      <c r="M3677" s="1145"/>
      <c r="N3677" s="363">
        <f>+K3677*L3677</f>
        <v>6426</v>
      </c>
    </row>
    <row r="3678" spans="2:14" ht="13.5" thickBot="1">
      <c r="B3678" s="402"/>
      <c r="C3678" s="353"/>
      <c r="D3678" s="353"/>
      <c r="E3678" s="353"/>
      <c r="F3678" s="353"/>
      <c r="G3678" s="353"/>
      <c r="H3678" s="353"/>
      <c r="I3678" s="403"/>
      <c r="J3678" s="303"/>
      <c r="K3678" s="392"/>
      <c r="L3678" s="1189"/>
      <c r="M3678" s="1190"/>
      <c r="N3678" s="363">
        <f>+K3678*L3678</f>
        <v>0</v>
      </c>
    </row>
    <row r="3679" spans="2:14" ht="13.5" thickBot="1">
      <c r="B3679" s="1100" t="s">
        <v>269</v>
      </c>
      <c r="C3679" s="1101"/>
      <c r="D3679" s="1101"/>
      <c r="E3679" s="1101"/>
      <c r="F3679" s="1101"/>
      <c r="G3679" s="1101"/>
      <c r="H3679" s="1101"/>
      <c r="I3679" s="1101"/>
      <c r="J3679" s="1101"/>
      <c r="K3679" s="1101"/>
      <c r="L3679" s="1101"/>
      <c r="M3679" s="1102"/>
      <c r="N3679" s="323">
        <f>+N3674+N3675+N3676+N3677</f>
        <v>496196.2</v>
      </c>
    </row>
    <row r="3680" spans="2:14">
      <c r="B3680" s="1103" t="s">
        <v>276</v>
      </c>
      <c r="C3680" s="1104"/>
      <c r="D3680" s="1104"/>
      <c r="E3680" s="1104"/>
      <c r="F3680" s="1104"/>
      <c r="G3680" s="1104"/>
      <c r="H3680" s="1104"/>
      <c r="I3680" s="1104"/>
      <c r="J3680" s="1104"/>
      <c r="K3680" s="1104"/>
      <c r="L3680" s="1104"/>
      <c r="M3680" s="1104"/>
      <c r="N3680" s="1105"/>
    </row>
    <row r="3681" spans="2:16">
      <c r="B3681" s="1106"/>
      <c r="C3681" s="1107"/>
      <c r="D3681" s="1107"/>
      <c r="E3681" s="1107"/>
      <c r="F3681" s="1107"/>
      <c r="G3681" s="1107"/>
      <c r="H3681" s="1107"/>
      <c r="I3681" s="1107"/>
      <c r="J3681" s="1107"/>
      <c r="K3681" s="1107"/>
      <c r="L3681" s="1107"/>
      <c r="M3681" s="1107"/>
      <c r="N3681" s="1108"/>
    </row>
    <row r="3682" spans="2:16" ht="13.5" thickBot="1">
      <c r="B3682" s="1109"/>
      <c r="C3682" s="1110"/>
      <c r="D3682" s="1110"/>
      <c r="E3682" s="1110"/>
      <c r="F3682" s="1110"/>
      <c r="G3682" s="1110"/>
      <c r="H3682" s="1110"/>
      <c r="I3682" s="1110"/>
      <c r="J3682" s="1110"/>
      <c r="K3682" s="1110"/>
      <c r="L3682" s="1110"/>
      <c r="M3682" s="1110"/>
      <c r="N3682" s="1111"/>
    </row>
    <row r="3683" spans="2:16">
      <c r="B3683" s="1130" t="s">
        <v>277</v>
      </c>
      <c r="C3683" s="1139"/>
      <c r="D3683" s="1139"/>
      <c r="E3683" s="1139"/>
      <c r="F3683" s="1139"/>
      <c r="G3683" s="1139"/>
      <c r="H3683" s="1139"/>
      <c r="I3683" s="288" t="s">
        <v>278</v>
      </c>
      <c r="J3683" s="306" t="s">
        <v>279</v>
      </c>
      <c r="K3683" s="307" t="s">
        <v>280</v>
      </c>
      <c r="L3683" s="1133" t="s">
        <v>281</v>
      </c>
      <c r="M3683" s="1136"/>
      <c r="N3683" s="289" t="s">
        <v>265</v>
      </c>
    </row>
    <row r="3684" spans="2:16" ht="13.5" thickBot="1">
      <c r="B3684" s="1112"/>
      <c r="C3684" s="1113"/>
      <c r="D3684" s="1113"/>
      <c r="E3684" s="1113"/>
      <c r="F3684" s="1113"/>
      <c r="G3684" s="1113"/>
      <c r="H3684" s="1113"/>
      <c r="I3684" s="393"/>
      <c r="J3684" s="309"/>
      <c r="K3684" s="308"/>
      <c r="L3684" s="1144"/>
      <c r="M3684" s="1145"/>
      <c r="N3684" s="363"/>
    </row>
    <row r="3685" spans="2:16" ht="13.5" thickBot="1">
      <c r="B3685" s="1100" t="s">
        <v>269</v>
      </c>
      <c r="C3685" s="1101"/>
      <c r="D3685" s="1101"/>
      <c r="E3685" s="1101"/>
      <c r="F3685" s="1101"/>
      <c r="G3685" s="1101"/>
      <c r="H3685" s="1101"/>
      <c r="I3685" s="1101"/>
      <c r="J3685" s="1101"/>
      <c r="K3685" s="1101"/>
      <c r="L3685" s="1101"/>
      <c r="M3685" s="1102"/>
      <c r="N3685" s="323">
        <f>+N3684</f>
        <v>0</v>
      </c>
    </row>
    <row r="3686" spans="2:16">
      <c r="B3686" s="1103" t="s">
        <v>282</v>
      </c>
      <c r="C3686" s="1104"/>
      <c r="D3686" s="1104"/>
      <c r="E3686" s="1104"/>
      <c r="F3686" s="1104"/>
      <c r="G3686" s="1104"/>
      <c r="H3686" s="1104"/>
      <c r="I3686" s="1104"/>
      <c r="J3686" s="1104"/>
      <c r="K3686" s="1104"/>
      <c r="L3686" s="1104"/>
      <c r="M3686" s="1104"/>
      <c r="N3686" s="1105"/>
    </row>
    <row r="3687" spans="2:16">
      <c r="B3687" s="1106"/>
      <c r="C3687" s="1107"/>
      <c r="D3687" s="1107"/>
      <c r="E3687" s="1107"/>
      <c r="F3687" s="1107"/>
      <c r="G3687" s="1107"/>
      <c r="H3687" s="1107"/>
      <c r="I3687" s="1107"/>
      <c r="J3687" s="1107"/>
      <c r="K3687" s="1107"/>
      <c r="L3687" s="1107"/>
      <c r="M3687" s="1107"/>
      <c r="N3687" s="1108"/>
    </row>
    <row r="3688" spans="2:16" ht="13.5" thickBot="1">
      <c r="B3688" s="1109"/>
      <c r="C3688" s="1110"/>
      <c r="D3688" s="1110"/>
      <c r="E3688" s="1110"/>
      <c r="F3688" s="1110"/>
      <c r="G3688" s="1110"/>
      <c r="H3688" s="1110"/>
      <c r="I3688" s="1110"/>
      <c r="J3688" s="1110"/>
      <c r="K3688" s="1110"/>
      <c r="L3688" s="1110"/>
      <c r="M3688" s="1110"/>
      <c r="N3688" s="1111"/>
    </row>
    <row r="3689" spans="2:16">
      <c r="B3689" s="1130" t="s">
        <v>283</v>
      </c>
      <c r="C3689" s="1139"/>
      <c r="D3689" s="1139"/>
      <c r="E3689" s="1139"/>
      <c r="F3689" s="1139"/>
      <c r="G3689" s="1139"/>
      <c r="H3689" s="1139"/>
      <c r="I3689" s="288" t="s">
        <v>284</v>
      </c>
      <c r="J3689" s="314" t="s">
        <v>285</v>
      </c>
      <c r="K3689" s="315" t="s">
        <v>286</v>
      </c>
      <c r="L3689" s="1140" t="s">
        <v>264</v>
      </c>
      <c r="M3689" s="1141"/>
      <c r="N3689" s="316" t="s">
        <v>265</v>
      </c>
    </row>
    <row r="3690" spans="2:16" ht="13.5" thickBot="1">
      <c r="B3690" s="317" t="s">
        <v>344</v>
      </c>
      <c r="C3690" s="318"/>
      <c r="D3690" s="318"/>
      <c r="E3690" s="318"/>
      <c r="F3690" s="318"/>
      <c r="G3690" s="318"/>
      <c r="H3690" s="318"/>
      <c r="I3690" s="319">
        <v>153482</v>
      </c>
      <c r="J3690" s="321">
        <v>0</v>
      </c>
      <c r="K3690" s="321">
        <f>+I3690+J3690</f>
        <v>153482</v>
      </c>
      <c r="L3690" s="1157">
        <v>0.8</v>
      </c>
      <c r="M3690" s="1158"/>
      <c r="N3690" s="322">
        <f>+K3690/L3690</f>
        <v>191852.5</v>
      </c>
    </row>
    <row r="3691" spans="2:16" ht="13.5" thickBot="1">
      <c r="B3691" s="1100" t="s">
        <v>269</v>
      </c>
      <c r="C3691" s="1101"/>
      <c r="D3691" s="1101"/>
      <c r="E3691" s="1101"/>
      <c r="F3691" s="1101"/>
      <c r="G3691" s="1101"/>
      <c r="H3691" s="1101"/>
      <c r="I3691" s="1101"/>
      <c r="J3691" s="1101"/>
      <c r="K3691" s="1101"/>
      <c r="L3691" s="1101"/>
      <c r="M3691" s="1102"/>
      <c r="N3691" s="323">
        <f>+N3690</f>
        <v>191852.5</v>
      </c>
    </row>
    <row r="3692" spans="2:16" ht="13.5" thickBot="1">
      <c r="B3692" s="324" t="s">
        <v>288</v>
      </c>
      <c r="C3692" s="325"/>
      <c r="D3692" s="325"/>
      <c r="E3692" s="325"/>
      <c r="F3692" s="325"/>
      <c r="G3692" s="325"/>
      <c r="H3692" s="325"/>
      <c r="I3692" s="326"/>
      <c r="J3692" s="327"/>
      <c r="K3692" s="328"/>
      <c r="L3692" s="329"/>
      <c r="M3692" s="329"/>
      <c r="N3692" s="330"/>
    </row>
    <row r="3693" spans="2:16">
      <c r="B3693" s="1130" t="s">
        <v>17</v>
      </c>
      <c r="C3693" s="1139"/>
      <c r="D3693" s="1139"/>
      <c r="E3693" s="1139"/>
      <c r="F3693" s="1139"/>
      <c r="G3693" s="1139"/>
      <c r="H3693" s="1139"/>
      <c r="I3693" s="1136"/>
      <c r="J3693" s="299" t="s">
        <v>259</v>
      </c>
      <c r="K3693" s="288" t="s">
        <v>133</v>
      </c>
      <c r="L3693" s="1133" t="s">
        <v>271</v>
      </c>
      <c r="M3693" s="1136"/>
      <c r="N3693" s="316" t="s">
        <v>265</v>
      </c>
    </row>
    <row r="3694" spans="2:16" ht="13.5" thickBot="1">
      <c r="B3694" s="331" t="s">
        <v>289</v>
      </c>
      <c r="C3694" s="332"/>
      <c r="D3694" s="332"/>
      <c r="E3694" s="332"/>
      <c r="F3694" s="332"/>
      <c r="G3694" s="332"/>
      <c r="H3694" s="332"/>
      <c r="I3694" s="333"/>
      <c r="J3694" s="334" t="s">
        <v>290</v>
      </c>
      <c r="K3694" s="335">
        <v>0.05</v>
      </c>
      <c r="L3694" s="1144">
        <f>+N3691</f>
        <v>191852.5</v>
      </c>
      <c r="M3694" s="1145"/>
      <c r="N3694" s="322">
        <f>+K3694*L3694</f>
        <v>9592.625</v>
      </c>
    </row>
    <row r="3695" spans="2:16" ht="13.5" thickBot="1">
      <c r="B3695" s="1100" t="s">
        <v>269</v>
      </c>
      <c r="C3695" s="1101"/>
      <c r="D3695" s="1101"/>
      <c r="E3695" s="1101"/>
      <c r="F3695" s="1101"/>
      <c r="G3695" s="1101"/>
      <c r="H3695" s="1101"/>
      <c r="I3695" s="1101"/>
      <c r="J3695" s="1101"/>
      <c r="K3695" s="1101"/>
      <c r="L3695" s="1101"/>
      <c r="M3695" s="1102"/>
      <c r="N3695" s="323">
        <f>+N3694</f>
        <v>9592.625</v>
      </c>
    </row>
    <row r="3696" spans="2:16">
      <c r="B3696" s="280"/>
      <c r="C3696" s="281"/>
      <c r="D3696" s="281"/>
      <c r="E3696" s="281"/>
      <c r="F3696" s="281"/>
      <c r="G3696" s="281"/>
      <c r="H3696" s="281"/>
      <c r="I3696" s="281"/>
      <c r="J3696" s="281"/>
      <c r="K3696" s="281"/>
      <c r="L3696" s="281"/>
      <c r="M3696" s="281"/>
      <c r="N3696" s="282"/>
      <c r="P3696" s="408">
        <v>149769800</v>
      </c>
    </row>
    <row r="3697" spans="2:17" ht="13.5" thickBot="1">
      <c r="B3697" s="378"/>
      <c r="C3697" s="311"/>
      <c r="D3697" s="311"/>
      <c r="E3697" s="311"/>
      <c r="F3697" s="311"/>
      <c r="G3697" s="311"/>
      <c r="H3697" s="311"/>
      <c r="I3697" s="311"/>
      <c r="J3697" s="311"/>
      <c r="K3697" s="311"/>
      <c r="L3697" s="311"/>
      <c r="M3697" s="311"/>
      <c r="N3697" s="379"/>
    </row>
    <row r="3698" spans="2:17" ht="13.5" thickBot="1">
      <c r="B3698" s="1150" t="s">
        <v>291</v>
      </c>
      <c r="C3698" s="1151"/>
      <c r="D3698" s="1151"/>
      <c r="E3698" s="1151"/>
      <c r="F3698" s="1151"/>
      <c r="G3698" s="1151"/>
      <c r="H3698" s="1151"/>
      <c r="I3698" s="1151"/>
      <c r="J3698" s="1151"/>
      <c r="K3698" s="1151"/>
      <c r="L3698" s="1151"/>
      <c r="M3698" s="1152"/>
      <c r="N3698" s="336">
        <f>+N3669+N3679+N3685+N3691+N3695</f>
        <v>748847.57893837977</v>
      </c>
      <c r="P3698" s="409">
        <f>+N3698*N3659</f>
        <v>149769515.78767595</v>
      </c>
      <c r="Q3698" s="413">
        <f>+P3698-P3696</f>
        <v>-284.21232405304909</v>
      </c>
    </row>
    <row r="3699" spans="2:17">
      <c r="B3699" s="1103" t="s">
        <v>292</v>
      </c>
      <c r="C3699" s="1104"/>
      <c r="D3699" s="1104"/>
      <c r="E3699" s="1104"/>
      <c r="F3699" s="1104"/>
      <c r="G3699" s="1104"/>
      <c r="H3699" s="1104"/>
      <c r="I3699" s="1104"/>
      <c r="J3699" s="1104"/>
      <c r="K3699" s="1104"/>
      <c r="L3699" s="1104"/>
      <c r="M3699" s="1104"/>
      <c r="N3699" s="1105"/>
    </row>
    <row r="3700" spans="2:17">
      <c r="B3700" s="1106"/>
      <c r="C3700" s="1107"/>
      <c r="D3700" s="1107"/>
      <c r="E3700" s="1107"/>
      <c r="F3700" s="1107"/>
      <c r="G3700" s="1107"/>
      <c r="H3700" s="1107"/>
      <c r="I3700" s="1107"/>
      <c r="J3700" s="1107"/>
      <c r="K3700" s="1107"/>
      <c r="L3700" s="1107"/>
      <c r="M3700" s="1107"/>
      <c r="N3700" s="1108"/>
    </row>
    <row r="3701" spans="2:17" ht="13.5" thickBot="1">
      <c r="B3701" s="1109"/>
      <c r="C3701" s="1110"/>
      <c r="D3701" s="1110"/>
      <c r="E3701" s="1110"/>
      <c r="F3701" s="1110"/>
      <c r="G3701" s="1110"/>
      <c r="H3701" s="1110"/>
      <c r="I3701" s="1110"/>
      <c r="J3701" s="1110"/>
      <c r="K3701" s="1110"/>
      <c r="L3701" s="1110"/>
      <c r="M3701" s="1110"/>
      <c r="N3701" s="1111"/>
    </row>
    <row r="3702" spans="2:17">
      <c r="B3702" s="1130" t="s">
        <v>17</v>
      </c>
      <c r="C3702" s="1139"/>
      <c r="D3702" s="1139"/>
      <c r="E3702" s="1139"/>
      <c r="F3702" s="1139"/>
      <c r="G3702" s="1139"/>
      <c r="H3702" s="1139"/>
      <c r="I3702" s="306"/>
      <c r="J3702" s="337"/>
      <c r="K3702" s="315" t="s">
        <v>79</v>
      </c>
      <c r="L3702" s="1140" t="s">
        <v>11</v>
      </c>
      <c r="M3702" s="1141"/>
      <c r="N3702" s="316"/>
    </row>
    <row r="3703" spans="2:17">
      <c r="B3703" s="1112" t="s">
        <v>232</v>
      </c>
      <c r="C3703" s="1113"/>
      <c r="D3703" s="1113"/>
      <c r="E3703" s="1113"/>
      <c r="F3703" s="1113"/>
      <c r="G3703" s="1113"/>
      <c r="H3703" s="1113"/>
      <c r="I3703" s="338"/>
      <c r="J3703" s="339"/>
      <c r="K3703" s="340">
        <f>'PRESUPUESTO OFICIAL'!$K$100</f>
        <v>0</v>
      </c>
      <c r="L3703" s="1146">
        <f>K3703*N3698</f>
        <v>0</v>
      </c>
      <c r="M3703" s="1147"/>
      <c r="N3703" s="341"/>
    </row>
    <row r="3704" spans="2:17">
      <c r="B3704" s="292" t="s">
        <v>293</v>
      </c>
      <c r="C3704" s="293"/>
      <c r="D3704" s="293"/>
      <c r="E3704" s="293"/>
      <c r="F3704" s="293"/>
      <c r="G3704" s="293"/>
      <c r="H3704" s="293"/>
      <c r="I3704" s="338"/>
      <c r="J3704" s="339"/>
      <c r="K3704" s="340">
        <f>'PRESUPUESTO OFICIAL'!$K$101</f>
        <v>0</v>
      </c>
      <c r="L3704" s="1146">
        <f>K3704*N3698</f>
        <v>0</v>
      </c>
      <c r="M3704" s="1147"/>
      <c r="N3704" s="341"/>
    </row>
    <row r="3705" spans="2:17" ht="13.5" thickBot="1">
      <c r="B3705" s="277" t="s">
        <v>294</v>
      </c>
      <c r="C3705" s="278"/>
      <c r="D3705" s="278"/>
      <c r="E3705" s="278"/>
      <c r="F3705" s="278"/>
      <c r="G3705" s="278"/>
      <c r="H3705" s="278"/>
      <c r="I3705" s="342"/>
      <c r="J3705" s="343"/>
      <c r="K3705" s="340">
        <f>'PRESUPUESTO OFICIAL'!$K$102</f>
        <v>0</v>
      </c>
      <c r="L3705" s="1148">
        <f>K3705*N3698</f>
        <v>0</v>
      </c>
      <c r="M3705" s="1149"/>
      <c r="N3705" s="341"/>
    </row>
    <row r="3706" spans="2:17" ht="13.5" thickBot="1">
      <c r="B3706" s="1100" t="s">
        <v>269</v>
      </c>
      <c r="C3706" s="1101"/>
      <c r="D3706" s="1101"/>
      <c r="E3706" s="1101"/>
      <c r="F3706" s="1101"/>
      <c r="G3706" s="1101"/>
      <c r="H3706" s="1101"/>
      <c r="I3706" s="1101"/>
      <c r="J3706" s="1101"/>
      <c r="K3706" s="1101"/>
      <c r="L3706" s="1101"/>
      <c r="M3706" s="1102"/>
      <c r="N3706" s="344">
        <f>SUM(L3703:M3705)</f>
        <v>0</v>
      </c>
    </row>
    <row r="3707" spans="2:17" ht="13.5" thickBot="1">
      <c r="B3707" s="283"/>
      <c r="N3707" s="284"/>
    </row>
    <row r="3708" spans="2:17" ht="13.5" thickBot="1">
      <c r="B3708" s="1150" t="s">
        <v>295</v>
      </c>
      <c r="C3708" s="1151"/>
      <c r="D3708" s="1151"/>
      <c r="E3708" s="1151"/>
      <c r="F3708" s="1151"/>
      <c r="G3708" s="1151"/>
      <c r="H3708" s="1151"/>
      <c r="I3708" s="1151"/>
      <c r="J3708" s="1151"/>
      <c r="K3708" s="1151"/>
      <c r="L3708" s="1151"/>
      <c r="M3708" s="1152"/>
      <c r="N3708" s="345">
        <f>ROUND(N3698+N3706,0)</f>
        <v>748848</v>
      </c>
    </row>
    <row r="3709" spans="2:17">
      <c r="B3709" s="280"/>
      <c r="C3709" s="281"/>
      <c r="D3709" s="281"/>
      <c r="E3709" s="281"/>
      <c r="F3709" s="281"/>
      <c r="G3709" s="281"/>
      <c r="H3709" s="281"/>
      <c r="I3709" s="281"/>
      <c r="J3709" s="281"/>
      <c r="K3709" s="281"/>
      <c r="L3709" s="281"/>
      <c r="M3709" s="281"/>
      <c r="N3709" s="282"/>
    </row>
    <row r="3710" spans="2:17">
      <c r="B3710" s="283"/>
      <c r="N3710" s="284"/>
    </row>
    <row r="3711" spans="2:17">
      <c r="B3711" s="283"/>
      <c r="N3711" s="284"/>
    </row>
    <row r="3712" spans="2:17">
      <c r="B3712" s="283"/>
      <c r="G3712" s="346" t="s">
        <v>296</v>
      </c>
      <c r="H3712" s="346"/>
      <c r="I3712" s="346"/>
      <c r="J3712" s="346"/>
      <c r="N3712" s="284"/>
    </row>
    <row r="3713" spans="2:14">
      <c r="B3713" s="347"/>
      <c r="C3713" s="348"/>
      <c r="D3713" s="348"/>
      <c r="E3713" s="348"/>
      <c r="F3713" s="348"/>
      <c r="G3713" s="346" t="s">
        <v>297</v>
      </c>
      <c r="H3713" s="348"/>
      <c r="I3713" s="348"/>
      <c r="J3713" s="348"/>
      <c r="K3713" s="348"/>
      <c r="L3713" s="348"/>
      <c r="M3713" s="348"/>
      <c r="N3713" s="349"/>
    </row>
    <row r="3714" spans="2:14">
      <c r="B3714" s="347"/>
      <c r="C3714" s="348"/>
      <c r="D3714" s="348"/>
      <c r="E3714" s="348"/>
      <c r="F3714" s="348"/>
      <c r="G3714" s="346" t="s">
        <v>298</v>
      </c>
      <c r="J3714" s="348"/>
      <c r="K3714" s="348"/>
      <c r="L3714" s="348"/>
      <c r="M3714" s="348"/>
      <c r="N3714" s="349"/>
    </row>
    <row r="3715" spans="2:14">
      <c r="B3715" s="268"/>
      <c r="C3715" s="350"/>
      <c r="D3715" s="350"/>
      <c r="E3715" s="350"/>
      <c r="F3715" s="350"/>
      <c r="G3715" s="346" t="s">
        <v>299</v>
      </c>
      <c r="H3715" s="350"/>
      <c r="I3715" s="350"/>
      <c r="J3715" s="350"/>
      <c r="K3715" s="350"/>
      <c r="L3715" s="350"/>
      <c r="M3715" s="350"/>
      <c r="N3715" s="351"/>
    </row>
    <row r="3716" spans="2:14">
      <c r="B3716" s="283"/>
      <c r="G3716" s="258" t="s">
        <v>300</v>
      </c>
      <c r="N3716" s="284"/>
    </row>
    <row r="3717" spans="2:14">
      <c r="B3717" s="352" t="s">
        <v>301</v>
      </c>
      <c r="C3717" s="353"/>
      <c r="D3717" s="353"/>
      <c r="E3717" s="353"/>
      <c r="F3717" s="353"/>
      <c r="G3717" s="353"/>
      <c r="H3717" s="353"/>
      <c r="I3717" s="353"/>
      <c r="J3717" s="353"/>
      <c r="K3717" s="353"/>
      <c r="L3717" s="353"/>
      <c r="M3717" s="353"/>
      <c r="N3717" s="354"/>
    </row>
    <row r="3718" spans="2:14">
      <c r="B3718" s="1153"/>
      <c r="C3718" s="1154"/>
      <c r="D3718" s="1154"/>
      <c r="E3718" s="1154"/>
      <c r="F3718" s="1154"/>
      <c r="G3718" s="1154"/>
      <c r="H3718" s="1154"/>
      <c r="I3718" s="1154"/>
      <c r="J3718" s="1154"/>
      <c r="K3718" s="1154"/>
      <c r="L3718" s="1154"/>
      <c r="M3718" s="1154"/>
      <c r="N3718" s="1155"/>
    </row>
    <row r="3719" spans="2:14">
      <c r="B3719" s="1153"/>
      <c r="C3719" s="1154"/>
      <c r="D3719" s="1154"/>
      <c r="E3719" s="1154"/>
      <c r="F3719" s="1154"/>
      <c r="G3719" s="1154"/>
      <c r="H3719" s="1154"/>
      <c r="I3719" s="1154"/>
      <c r="J3719" s="1154"/>
      <c r="K3719" s="1154"/>
      <c r="L3719" s="1154"/>
      <c r="M3719" s="1154"/>
      <c r="N3719" s="1155"/>
    </row>
    <row r="3720" spans="2:14">
      <c r="B3720" s="268"/>
      <c r="C3720" s="350"/>
      <c r="D3720" s="350"/>
      <c r="E3720" s="350"/>
      <c r="F3720" s="350"/>
      <c r="G3720" s="350"/>
      <c r="H3720" s="350"/>
      <c r="I3720" s="350"/>
      <c r="J3720" s="350"/>
      <c r="K3720" s="350"/>
      <c r="L3720" s="350"/>
      <c r="M3720" s="350"/>
      <c r="N3720" s="351"/>
    </row>
    <row r="3721" spans="2:14">
      <c r="B3721" s="355" t="s">
        <v>302</v>
      </c>
      <c r="C3721" s="350"/>
      <c r="D3721" s="350"/>
      <c r="E3721" s="350"/>
      <c r="F3721" s="350"/>
      <c r="G3721" s="350"/>
      <c r="H3721" s="350"/>
      <c r="I3721" s="350"/>
      <c r="J3721" s="350"/>
      <c r="K3721" s="350"/>
      <c r="L3721" s="350"/>
      <c r="M3721" s="350"/>
      <c r="N3721" s="351"/>
    </row>
    <row r="3722" spans="2:14">
      <c r="B3722" s="1159" t="s">
        <v>303</v>
      </c>
      <c r="C3722" s="1160"/>
      <c r="D3722" s="1160"/>
      <c r="E3722" s="1160"/>
      <c r="F3722" s="1160"/>
      <c r="G3722" s="1160"/>
      <c r="H3722" s="1160"/>
      <c r="I3722" s="1160"/>
      <c r="J3722" s="1160"/>
      <c r="K3722" s="1160"/>
      <c r="L3722" s="1160"/>
      <c r="M3722" s="1160"/>
      <c r="N3722" s="1161"/>
    </row>
    <row r="3723" spans="2:14">
      <c r="B3723" s="1159"/>
      <c r="C3723" s="1160"/>
      <c r="D3723" s="1160"/>
      <c r="E3723" s="1160"/>
      <c r="F3723" s="1160"/>
      <c r="G3723" s="1160"/>
      <c r="H3723" s="1160"/>
      <c r="I3723" s="1160"/>
      <c r="J3723" s="1160"/>
      <c r="K3723" s="1160"/>
      <c r="L3723" s="1160"/>
      <c r="M3723" s="1160"/>
      <c r="N3723" s="1161"/>
    </row>
    <row r="3724" spans="2:14">
      <c r="B3724" s="1159" t="s">
        <v>304</v>
      </c>
      <c r="C3724" s="1160"/>
      <c r="D3724" s="1160"/>
      <c r="E3724" s="1160"/>
      <c r="F3724" s="1160"/>
      <c r="G3724" s="1160"/>
      <c r="H3724" s="1160"/>
      <c r="I3724" s="1160"/>
      <c r="J3724" s="1160"/>
      <c r="K3724" s="1160"/>
      <c r="L3724" s="1160"/>
      <c r="M3724" s="1160"/>
      <c r="N3724" s="1161"/>
    </row>
    <row r="3725" spans="2:14">
      <c r="B3725" s="1159"/>
      <c r="C3725" s="1160"/>
      <c r="D3725" s="1160"/>
      <c r="E3725" s="1160"/>
      <c r="F3725" s="1160"/>
      <c r="G3725" s="1160"/>
      <c r="H3725" s="1160"/>
      <c r="I3725" s="1160"/>
      <c r="J3725" s="1160"/>
      <c r="K3725" s="1160"/>
      <c r="L3725" s="1160"/>
      <c r="M3725" s="1160"/>
      <c r="N3725" s="1161"/>
    </row>
    <row r="3726" spans="2:14">
      <c r="B3726" s="268"/>
      <c r="C3726" s="350"/>
      <c r="D3726" s="350"/>
      <c r="E3726" s="350"/>
      <c r="F3726" s="350"/>
      <c r="G3726" s="350"/>
      <c r="H3726" s="350"/>
      <c r="I3726" s="350"/>
      <c r="J3726" s="350"/>
      <c r="K3726" s="350"/>
      <c r="L3726" s="350"/>
      <c r="M3726" s="350"/>
      <c r="N3726" s="351"/>
    </row>
    <row r="3727" spans="2:14">
      <c r="B3727" s="283"/>
      <c r="G3727" s="346" t="s">
        <v>296</v>
      </c>
      <c r="N3727" s="284"/>
    </row>
    <row r="3728" spans="2:14">
      <c r="B3728" s="283"/>
      <c r="G3728" s="258" t="s">
        <v>305</v>
      </c>
      <c r="H3728" s="293"/>
      <c r="I3728" s="293"/>
      <c r="J3728" s="293"/>
      <c r="N3728" s="284"/>
    </row>
    <row r="3729" spans="2:14">
      <c r="B3729" s="283"/>
      <c r="G3729" s="258" t="s">
        <v>306</v>
      </c>
      <c r="H3729" s="325"/>
      <c r="I3729" s="325"/>
      <c r="J3729" s="325"/>
      <c r="N3729" s="284"/>
    </row>
    <row r="3730" spans="2:14">
      <c r="B3730" s="356"/>
      <c r="C3730" s="350"/>
      <c r="D3730" s="350"/>
      <c r="E3730" s="350"/>
      <c r="F3730" s="350"/>
      <c r="G3730" s="258" t="s">
        <v>299</v>
      </c>
      <c r="K3730" s="350"/>
      <c r="L3730" s="350"/>
      <c r="M3730" s="350"/>
      <c r="N3730" s="351"/>
    </row>
    <row r="3731" spans="2:14">
      <c r="B3731" s="357"/>
      <c r="C3731" s="358"/>
      <c r="D3731" s="358"/>
      <c r="J3731" s="1162"/>
      <c r="K3731" s="1162"/>
      <c r="L3731" s="1162"/>
      <c r="M3731" s="1162"/>
      <c r="N3731" s="1163"/>
    </row>
    <row r="3732" spans="2:14" ht="13.5" thickBot="1">
      <c r="B3732" s="1166"/>
      <c r="C3732" s="1167"/>
      <c r="D3732" s="1167"/>
      <c r="E3732" s="311"/>
      <c r="F3732" s="311"/>
      <c r="G3732" s="311"/>
      <c r="H3732" s="311"/>
      <c r="I3732" s="311"/>
      <c r="J3732" s="1164"/>
      <c r="K3732" s="1164"/>
      <c r="L3732" s="1164"/>
      <c r="M3732" s="1164"/>
      <c r="N3732" s="1165"/>
    </row>
    <row r="3733" spans="2:14" ht="13.5" thickBot="1"/>
    <row r="3734" spans="2:14">
      <c r="B3734" s="1070"/>
      <c r="C3734" s="1072"/>
      <c r="D3734" s="1073"/>
      <c r="E3734" s="1073"/>
      <c r="F3734" s="1073"/>
      <c r="G3734" s="1073"/>
      <c r="H3734" s="1073"/>
      <c r="I3734" s="1073"/>
      <c r="J3734" s="1074"/>
      <c r="K3734" s="1075"/>
      <c r="L3734" s="1076"/>
      <c r="M3734" s="1076"/>
      <c r="N3734" s="1077"/>
    </row>
    <row r="3735" spans="2:14">
      <c r="B3735" s="1071"/>
      <c r="C3735" s="1062" t="s">
        <v>244</v>
      </c>
      <c r="D3735" s="1063"/>
      <c r="E3735" s="1063"/>
      <c r="F3735" s="1063"/>
      <c r="G3735" s="1063"/>
      <c r="H3735" s="1063"/>
      <c r="I3735" s="1063"/>
      <c r="J3735" s="1064"/>
      <c r="K3735" s="1078"/>
      <c r="L3735" s="1079"/>
      <c r="M3735" s="1079"/>
      <c r="N3735" s="1080"/>
    </row>
    <row r="3736" spans="2:14">
      <c r="B3736" s="1071"/>
      <c r="C3736" s="1081"/>
      <c r="D3736" s="1082"/>
      <c r="E3736" s="1082"/>
      <c r="F3736" s="1082"/>
      <c r="G3736" s="1082"/>
      <c r="H3736" s="1082"/>
      <c r="I3736" s="1082"/>
      <c r="J3736" s="1083"/>
      <c r="K3736" s="1058" t="s">
        <v>245</v>
      </c>
      <c r="L3736" s="1085"/>
      <c r="M3736" s="1086"/>
      <c r="N3736" s="1087"/>
    </row>
    <row r="3737" spans="2:14">
      <c r="B3737" s="1071"/>
      <c r="C3737" s="1062" t="s">
        <v>246</v>
      </c>
      <c r="D3737" s="1063"/>
      <c r="E3737" s="1063"/>
      <c r="F3737" s="1063"/>
      <c r="G3737" s="1063"/>
      <c r="H3737" s="1063"/>
      <c r="I3737" s="1063"/>
      <c r="J3737" s="1064"/>
      <c r="K3737" s="1084"/>
      <c r="L3737" s="1088"/>
      <c r="M3737" s="1089"/>
      <c r="N3737" s="1090"/>
    </row>
    <row r="3738" spans="2:14">
      <c r="B3738" s="1071"/>
      <c r="C3738" s="1091"/>
      <c r="D3738" s="1092"/>
      <c r="E3738" s="1092"/>
      <c r="F3738" s="1092"/>
      <c r="G3738" s="1092"/>
      <c r="H3738" s="1092"/>
      <c r="I3738" s="1092"/>
      <c r="J3738" s="1093"/>
      <c r="K3738" s="1058" t="s">
        <v>247</v>
      </c>
      <c r="L3738" s="1058">
        <v>42</v>
      </c>
      <c r="M3738" s="1058" t="s">
        <v>248</v>
      </c>
      <c r="N3738" s="1060">
        <v>80</v>
      </c>
    </row>
    <row r="3739" spans="2:14">
      <c r="B3739" s="1071"/>
      <c r="C3739" s="1091"/>
      <c r="D3739" s="1092"/>
      <c r="E3739" s="1092"/>
      <c r="F3739" s="1092"/>
      <c r="G3739" s="1092"/>
      <c r="H3739" s="1092"/>
      <c r="I3739" s="1092"/>
      <c r="J3739" s="1093"/>
      <c r="K3739" s="1059"/>
      <c r="L3739" s="1059"/>
      <c r="M3739" s="1059"/>
      <c r="N3739" s="1061"/>
    </row>
    <row r="3740" spans="2:14">
      <c r="B3740" s="1071"/>
      <c r="C3740" s="1062" t="s">
        <v>249</v>
      </c>
      <c r="D3740" s="1063"/>
      <c r="E3740" s="1063"/>
      <c r="F3740" s="1063"/>
      <c r="G3740" s="1063"/>
      <c r="H3740" s="1063"/>
      <c r="I3740" s="1063"/>
      <c r="J3740" s="1064"/>
      <c r="K3740" s="1059"/>
      <c r="L3740" s="1059"/>
      <c r="M3740" s="1059"/>
      <c r="N3740" s="1061"/>
    </row>
    <row r="3741" spans="2:14" ht="13.5" thickBot="1">
      <c r="B3741" s="259"/>
      <c r="C3741" s="260"/>
      <c r="D3741" s="260"/>
      <c r="E3741" s="260"/>
      <c r="F3741" s="260"/>
      <c r="G3741" s="260"/>
      <c r="H3741" s="260"/>
      <c r="I3741" s="260"/>
      <c r="J3741" s="260"/>
      <c r="K3741" s="260"/>
      <c r="L3741" s="261"/>
      <c r="M3741" s="261"/>
      <c r="N3741" s="262"/>
    </row>
    <row r="3742" spans="2:14">
      <c r="B3742" s="263"/>
      <c r="C3742" s="264"/>
      <c r="D3742" s="264"/>
      <c r="E3742" s="264"/>
      <c r="F3742" s="264"/>
      <c r="G3742" s="264"/>
      <c r="H3742" s="264"/>
      <c r="I3742" s="264"/>
      <c r="J3742" s="264"/>
      <c r="K3742" s="265" t="s">
        <v>250</v>
      </c>
      <c r="L3742" s="266" t="s">
        <v>251</v>
      </c>
      <c r="M3742" s="266" t="s">
        <v>252</v>
      </c>
      <c r="N3742" s="267" t="s">
        <v>253</v>
      </c>
    </row>
    <row r="3743" spans="2:14">
      <c r="B3743" s="268"/>
      <c r="C3743" s="269"/>
      <c r="D3743" s="269"/>
      <c r="E3743" s="269"/>
      <c r="F3743" s="269"/>
      <c r="G3743" s="269"/>
      <c r="H3743" s="269"/>
      <c r="I3743" s="269"/>
      <c r="J3743" s="269"/>
      <c r="K3743" s="270"/>
      <c r="L3743" s="271"/>
      <c r="M3743" s="271"/>
      <c r="N3743" s="272"/>
    </row>
    <row r="3744" spans="2:14">
      <c r="B3744" s="1065" t="s">
        <v>254</v>
      </c>
      <c r="C3744" s="1066"/>
      <c r="D3744" s="1066"/>
      <c r="E3744" s="1066"/>
      <c r="F3744" s="269"/>
      <c r="G3744" s="269"/>
      <c r="H3744" s="269" t="s">
        <v>255</v>
      </c>
      <c r="J3744" s="269"/>
      <c r="K3744" s="270"/>
      <c r="N3744" s="273"/>
    </row>
    <row r="3745" spans="2:14">
      <c r="B3745" s="274"/>
      <c r="C3745" s="275"/>
      <c r="D3745" s="275"/>
      <c r="E3745" s="275"/>
      <c r="F3745" s="275"/>
      <c r="G3745" s="275"/>
      <c r="H3745" s="275"/>
      <c r="I3745" s="275"/>
      <c r="J3745" s="275"/>
      <c r="K3745" s="275"/>
      <c r="L3745" s="275"/>
      <c r="M3745" s="275"/>
      <c r="N3745" s="276"/>
    </row>
    <row r="3746" spans="2:14" ht="13.5" thickBot="1">
      <c r="B3746" s="277"/>
      <c r="C3746" s="278"/>
      <c r="D3746" s="278"/>
      <c r="E3746" s="278"/>
      <c r="F3746" s="278"/>
      <c r="G3746" s="278"/>
      <c r="H3746" s="278"/>
      <c r="I3746" s="278"/>
      <c r="J3746" s="278"/>
      <c r="K3746" s="278"/>
      <c r="L3746" s="278"/>
      <c r="M3746" s="278"/>
      <c r="N3746" s="279"/>
    </row>
    <row r="3747" spans="2:14" ht="13.5" thickBot="1">
      <c r="B3747" s="280"/>
      <c r="C3747" s="281"/>
      <c r="D3747" s="281"/>
      <c r="E3747" s="281"/>
      <c r="F3747" s="281"/>
      <c r="G3747" s="281"/>
      <c r="J3747" s="281"/>
      <c r="K3747" s="281"/>
      <c r="L3747" s="281"/>
      <c r="M3747" s="281"/>
      <c r="N3747" s="282"/>
    </row>
    <row r="3748" spans="2:14">
      <c r="B3748" s="1067" t="s">
        <v>256</v>
      </c>
      <c r="C3748" s="1068"/>
      <c r="D3748" s="1068"/>
      <c r="E3748" s="1068"/>
      <c r="F3748" s="1068"/>
      <c r="G3748" s="1068"/>
      <c r="H3748" s="1068"/>
      <c r="I3748" s="1068"/>
      <c r="J3748" s="1068"/>
      <c r="K3748" s="1068"/>
      <c r="L3748" s="1068"/>
      <c r="M3748" s="1068"/>
      <c r="N3748" s="1069"/>
    </row>
    <row r="3749" spans="2:14" ht="13.5" thickBot="1">
      <c r="B3749" s="283"/>
      <c r="N3749" s="284"/>
    </row>
    <row r="3750" spans="2:14">
      <c r="B3750" s="285" t="s">
        <v>257</v>
      </c>
      <c r="C3750" s="1120" t="s">
        <v>258</v>
      </c>
      <c r="D3750" s="1121"/>
      <c r="E3750" s="1121"/>
      <c r="F3750" s="1121"/>
      <c r="G3750" s="1121"/>
      <c r="H3750" s="1121"/>
      <c r="I3750" s="1121"/>
      <c r="J3750" s="1121"/>
      <c r="K3750" s="1122"/>
      <c r="L3750" s="1123" t="s">
        <v>259</v>
      </c>
      <c r="M3750" s="1124"/>
      <c r="N3750" s="285" t="s">
        <v>133</v>
      </c>
    </row>
    <row r="3751" spans="2:14" ht="26.5" customHeight="1" thickBot="1">
      <c r="B3751" s="286">
        <v>42</v>
      </c>
      <c r="C3751" s="1125" t="s">
        <v>362</v>
      </c>
      <c r="D3751" s="1126"/>
      <c r="E3751" s="1126"/>
      <c r="F3751" s="1126"/>
      <c r="G3751" s="1126"/>
      <c r="H3751" s="1126"/>
      <c r="I3751" s="1126"/>
      <c r="J3751" s="1126"/>
      <c r="K3751" s="1127"/>
      <c r="L3751" s="1128" t="s">
        <v>147</v>
      </c>
      <c r="M3751" s="1129"/>
      <c r="N3751" s="366">
        <v>150</v>
      </c>
    </row>
    <row r="3752" spans="2:14">
      <c r="B3752" s="1103"/>
      <c r="C3752" s="1104"/>
      <c r="D3752" s="1104"/>
      <c r="E3752" s="1104"/>
      <c r="F3752" s="1104"/>
      <c r="G3752" s="1104"/>
      <c r="H3752" s="1104"/>
      <c r="I3752" s="1104"/>
      <c r="J3752" s="1104"/>
      <c r="K3752" s="1104"/>
      <c r="L3752" s="1104"/>
      <c r="M3752" s="1104"/>
      <c r="N3752" s="1105"/>
    </row>
    <row r="3753" spans="2:14">
      <c r="B3753" s="1106"/>
      <c r="C3753" s="1107"/>
      <c r="D3753" s="1107"/>
      <c r="E3753" s="1107"/>
      <c r="F3753" s="1107"/>
      <c r="G3753" s="1107"/>
      <c r="H3753" s="1107"/>
      <c r="I3753" s="1107"/>
      <c r="J3753" s="1107"/>
      <c r="K3753" s="1107"/>
      <c r="L3753" s="1107"/>
      <c r="M3753" s="1107"/>
      <c r="N3753" s="1108"/>
    </row>
    <row r="3754" spans="2:14" ht="13.5" thickBot="1">
      <c r="B3754" s="1109"/>
      <c r="C3754" s="1110"/>
      <c r="D3754" s="1110"/>
      <c r="E3754" s="1110"/>
      <c r="F3754" s="1110"/>
      <c r="G3754" s="1110"/>
      <c r="H3754" s="1110"/>
      <c r="I3754" s="1110"/>
      <c r="J3754" s="1110"/>
      <c r="K3754" s="1110"/>
      <c r="L3754" s="1110"/>
      <c r="M3754" s="1110"/>
      <c r="N3754" s="1111"/>
    </row>
    <row r="3755" spans="2:14">
      <c r="B3755" s="1130" t="s">
        <v>258</v>
      </c>
      <c r="C3755" s="1131"/>
      <c r="D3755" s="1131"/>
      <c r="E3755" s="1131"/>
      <c r="F3755" s="1132"/>
      <c r="G3755" s="1133" t="s">
        <v>261</v>
      </c>
      <c r="H3755" s="1131"/>
      <c r="I3755" s="1134" t="s">
        <v>262</v>
      </c>
      <c r="J3755" s="1135"/>
      <c r="K3755" s="288" t="s">
        <v>263</v>
      </c>
      <c r="L3755" s="1133" t="s">
        <v>264</v>
      </c>
      <c r="M3755" s="1136"/>
      <c r="N3755" s="289" t="s">
        <v>265</v>
      </c>
    </row>
    <row r="3756" spans="2:14" ht="13.5" thickBot="1">
      <c r="B3756" s="1179" t="s">
        <v>340</v>
      </c>
      <c r="C3756" s="1180"/>
      <c r="D3756" s="1180"/>
      <c r="E3756" s="1180"/>
      <c r="F3756" s="1181"/>
      <c r="G3756" s="295"/>
      <c r="H3756" s="294"/>
      <c r="I3756" s="1182" t="s">
        <v>267</v>
      </c>
      <c r="J3756" s="1183"/>
      <c r="K3756" s="290">
        <v>45220</v>
      </c>
      <c r="L3756" s="1118">
        <v>7.0000070000000001</v>
      </c>
      <c r="M3756" s="1119"/>
      <c r="N3756" s="290">
        <f>+K3756/L3756</f>
        <v>6459.9935400064596</v>
      </c>
    </row>
    <row r="3757" spans="2:14" ht="13.5" thickBot="1">
      <c r="B3757" s="1100" t="s">
        <v>269</v>
      </c>
      <c r="C3757" s="1101"/>
      <c r="D3757" s="1101"/>
      <c r="E3757" s="1101"/>
      <c r="F3757" s="1101"/>
      <c r="G3757" s="1101"/>
      <c r="H3757" s="1101"/>
      <c r="I3757" s="1101"/>
      <c r="J3757" s="1101"/>
      <c r="K3757" s="1101"/>
      <c r="L3757" s="1101"/>
      <c r="M3757" s="1102"/>
      <c r="N3757" s="323">
        <f>+N3756</f>
        <v>6459.9935400064596</v>
      </c>
    </row>
    <row r="3758" spans="2:14">
      <c r="B3758" s="1103" t="s">
        <v>270</v>
      </c>
      <c r="C3758" s="1104"/>
      <c r="D3758" s="1104"/>
      <c r="E3758" s="1104"/>
      <c r="F3758" s="1104"/>
      <c r="G3758" s="1104"/>
      <c r="H3758" s="1104"/>
      <c r="I3758" s="1104"/>
      <c r="J3758" s="1104"/>
      <c r="K3758" s="1104"/>
      <c r="L3758" s="1104"/>
      <c r="M3758" s="1104"/>
      <c r="N3758" s="1105"/>
    </row>
    <row r="3759" spans="2:14">
      <c r="B3759" s="1106"/>
      <c r="C3759" s="1107"/>
      <c r="D3759" s="1107"/>
      <c r="E3759" s="1107"/>
      <c r="F3759" s="1107"/>
      <c r="G3759" s="1107"/>
      <c r="H3759" s="1107"/>
      <c r="I3759" s="1107"/>
      <c r="J3759" s="1107"/>
      <c r="K3759" s="1107"/>
      <c r="L3759" s="1107"/>
      <c r="M3759" s="1107"/>
      <c r="N3759" s="1108"/>
    </row>
    <row r="3760" spans="2:14" ht="13.5" thickBot="1">
      <c r="B3760" s="1109"/>
      <c r="C3760" s="1110"/>
      <c r="D3760" s="1110"/>
      <c r="E3760" s="1110"/>
      <c r="F3760" s="1110"/>
      <c r="G3760" s="1110"/>
      <c r="H3760" s="1110"/>
      <c r="I3760" s="1110"/>
      <c r="J3760" s="1110"/>
      <c r="K3760" s="1110"/>
      <c r="L3760" s="1110"/>
      <c r="M3760" s="1110"/>
      <c r="N3760" s="1111"/>
    </row>
    <row r="3761" spans="2:14">
      <c r="B3761" s="1130" t="s">
        <v>258</v>
      </c>
      <c r="C3761" s="1139"/>
      <c r="D3761" s="1139"/>
      <c r="E3761" s="1139"/>
      <c r="F3761" s="1139"/>
      <c r="G3761" s="1139"/>
      <c r="H3761" s="1139"/>
      <c r="I3761" s="1136"/>
      <c r="J3761" s="299" t="s">
        <v>259</v>
      </c>
      <c r="K3761" s="288" t="s">
        <v>133</v>
      </c>
      <c r="L3761" s="1133" t="s">
        <v>271</v>
      </c>
      <c r="M3761" s="1136"/>
      <c r="N3761" s="289" t="s">
        <v>265</v>
      </c>
    </row>
    <row r="3762" spans="2:14">
      <c r="B3762" s="402" t="s">
        <v>353</v>
      </c>
      <c r="C3762" s="353"/>
      <c r="D3762" s="353"/>
      <c r="E3762" s="353"/>
      <c r="F3762" s="353"/>
      <c r="G3762" s="353"/>
      <c r="H3762" s="353"/>
      <c r="I3762" s="403"/>
      <c r="J3762" s="303" t="s">
        <v>196</v>
      </c>
      <c r="K3762" s="392">
        <v>0.33</v>
      </c>
      <c r="L3762" s="1144">
        <v>139230</v>
      </c>
      <c r="M3762" s="1145"/>
      <c r="N3762" s="363">
        <f>+K3762*L3762</f>
        <v>45945.9</v>
      </c>
    </row>
    <row r="3763" spans="2:14">
      <c r="B3763" s="1112" t="s">
        <v>348</v>
      </c>
      <c r="C3763" s="1113"/>
      <c r="D3763" s="1113"/>
      <c r="E3763" s="1113"/>
      <c r="F3763" s="1113"/>
      <c r="G3763" s="1113"/>
      <c r="H3763" s="1113"/>
      <c r="I3763" s="1114"/>
      <c r="J3763" s="300" t="s">
        <v>147</v>
      </c>
      <c r="K3763" s="301">
        <v>1.05</v>
      </c>
      <c r="L3763" s="1144">
        <v>369520</v>
      </c>
      <c r="M3763" s="1145"/>
      <c r="N3763" s="363">
        <f>+K3763*L3763</f>
        <v>387996</v>
      </c>
    </row>
    <row r="3764" spans="2:14" ht="13.5" thickBot="1">
      <c r="B3764" s="402"/>
      <c r="C3764" s="353"/>
      <c r="D3764" s="353"/>
      <c r="E3764" s="353"/>
      <c r="F3764" s="353"/>
      <c r="G3764" s="353"/>
      <c r="H3764" s="353"/>
      <c r="I3764" s="403"/>
      <c r="J3764" s="303"/>
      <c r="K3764" s="392"/>
      <c r="L3764" s="1189"/>
      <c r="M3764" s="1190"/>
      <c r="N3764" s="363">
        <f>+K3764*L3764</f>
        <v>0</v>
      </c>
    </row>
    <row r="3765" spans="2:14" ht="13.5" thickBot="1">
      <c r="B3765" s="1100" t="s">
        <v>269</v>
      </c>
      <c r="C3765" s="1101"/>
      <c r="D3765" s="1101"/>
      <c r="E3765" s="1101"/>
      <c r="F3765" s="1101"/>
      <c r="G3765" s="1101"/>
      <c r="H3765" s="1101"/>
      <c r="I3765" s="1101"/>
      <c r="J3765" s="1101"/>
      <c r="K3765" s="1101"/>
      <c r="L3765" s="1101"/>
      <c r="M3765" s="1102"/>
      <c r="N3765" s="323">
        <f>+N3762+N3763</f>
        <v>433941.9</v>
      </c>
    </row>
    <row r="3766" spans="2:14">
      <c r="B3766" s="1103" t="s">
        <v>276</v>
      </c>
      <c r="C3766" s="1104"/>
      <c r="D3766" s="1104"/>
      <c r="E3766" s="1104"/>
      <c r="F3766" s="1104"/>
      <c r="G3766" s="1104"/>
      <c r="H3766" s="1104"/>
      <c r="I3766" s="1104"/>
      <c r="J3766" s="1104"/>
      <c r="K3766" s="1104"/>
      <c r="L3766" s="1104"/>
      <c r="M3766" s="1104"/>
      <c r="N3766" s="1105"/>
    </row>
    <row r="3767" spans="2:14">
      <c r="B3767" s="1106"/>
      <c r="C3767" s="1107"/>
      <c r="D3767" s="1107"/>
      <c r="E3767" s="1107"/>
      <c r="F3767" s="1107"/>
      <c r="G3767" s="1107"/>
      <c r="H3767" s="1107"/>
      <c r="I3767" s="1107"/>
      <c r="J3767" s="1107"/>
      <c r="K3767" s="1107"/>
      <c r="L3767" s="1107"/>
      <c r="M3767" s="1107"/>
      <c r="N3767" s="1108"/>
    </row>
    <row r="3768" spans="2:14" ht="13.5" thickBot="1">
      <c r="B3768" s="1109"/>
      <c r="C3768" s="1110"/>
      <c r="D3768" s="1110"/>
      <c r="E3768" s="1110"/>
      <c r="F3768" s="1110"/>
      <c r="G3768" s="1110"/>
      <c r="H3768" s="1110"/>
      <c r="I3768" s="1110"/>
      <c r="J3768" s="1110"/>
      <c r="K3768" s="1110"/>
      <c r="L3768" s="1110"/>
      <c r="M3768" s="1110"/>
      <c r="N3768" s="1111"/>
    </row>
    <row r="3769" spans="2:14">
      <c r="B3769" s="1130" t="s">
        <v>277</v>
      </c>
      <c r="C3769" s="1139"/>
      <c r="D3769" s="1139"/>
      <c r="E3769" s="1139"/>
      <c r="F3769" s="1139"/>
      <c r="G3769" s="1139"/>
      <c r="H3769" s="1139"/>
      <c r="I3769" s="288" t="s">
        <v>278</v>
      </c>
      <c r="J3769" s="306" t="s">
        <v>279</v>
      </c>
      <c r="K3769" s="307" t="s">
        <v>280</v>
      </c>
      <c r="L3769" s="1133" t="s">
        <v>281</v>
      </c>
      <c r="M3769" s="1136"/>
      <c r="N3769" s="289" t="s">
        <v>265</v>
      </c>
    </row>
    <row r="3770" spans="2:14" ht="13.5" thickBot="1">
      <c r="B3770" s="1112"/>
      <c r="C3770" s="1113"/>
      <c r="D3770" s="1113"/>
      <c r="E3770" s="1113"/>
      <c r="F3770" s="1113"/>
      <c r="G3770" s="1113"/>
      <c r="H3770" s="1113"/>
      <c r="I3770" s="393"/>
      <c r="J3770" s="309"/>
      <c r="K3770" s="308"/>
      <c r="L3770" s="1144"/>
      <c r="M3770" s="1145"/>
      <c r="N3770" s="363"/>
    </row>
    <row r="3771" spans="2:14" ht="13.5" thickBot="1">
      <c r="B3771" s="1100" t="s">
        <v>269</v>
      </c>
      <c r="C3771" s="1101"/>
      <c r="D3771" s="1101"/>
      <c r="E3771" s="1101"/>
      <c r="F3771" s="1101"/>
      <c r="G3771" s="1101"/>
      <c r="H3771" s="1101"/>
      <c r="I3771" s="1101"/>
      <c r="J3771" s="1101"/>
      <c r="K3771" s="1101"/>
      <c r="L3771" s="1101"/>
      <c r="M3771" s="1102"/>
      <c r="N3771" s="323">
        <f>+N3770</f>
        <v>0</v>
      </c>
    </row>
    <row r="3772" spans="2:14">
      <c r="B3772" s="1103" t="s">
        <v>282</v>
      </c>
      <c r="C3772" s="1104"/>
      <c r="D3772" s="1104"/>
      <c r="E3772" s="1104"/>
      <c r="F3772" s="1104"/>
      <c r="G3772" s="1104"/>
      <c r="H3772" s="1104"/>
      <c r="I3772" s="1104"/>
      <c r="J3772" s="1104"/>
      <c r="K3772" s="1104"/>
      <c r="L3772" s="1104"/>
      <c r="M3772" s="1104"/>
      <c r="N3772" s="1105"/>
    </row>
    <row r="3773" spans="2:14">
      <c r="B3773" s="1106"/>
      <c r="C3773" s="1107"/>
      <c r="D3773" s="1107"/>
      <c r="E3773" s="1107"/>
      <c r="F3773" s="1107"/>
      <c r="G3773" s="1107"/>
      <c r="H3773" s="1107"/>
      <c r="I3773" s="1107"/>
      <c r="J3773" s="1107"/>
      <c r="K3773" s="1107"/>
      <c r="L3773" s="1107"/>
      <c r="M3773" s="1107"/>
      <c r="N3773" s="1108"/>
    </row>
    <row r="3774" spans="2:14" ht="13.5" thickBot="1">
      <c r="B3774" s="1109"/>
      <c r="C3774" s="1110"/>
      <c r="D3774" s="1110"/>
      <c r="E3774" s="1110"/>
      <c r="F3774" s="1110"/>
      <c r="G3774" s="1110"/>
      <c r="H3774" s="1110"/>
      <c r="I3774" s="1110"/>
      <c r="J3774" s="1110"/>
      <c r="K3774" s="1110"/>
      <c r="L3774" s="1110"/>
      <c r="M3774" s="1110"/>
      <c r="N3774" s="1111"/>
    </row>
    <row r="3775" spans="2:14">
      <c r="B3775" s="1130" t="s">
        <v>283</v>
      </c>
      <c r="C3775" s="1139"/>
      <c r="D3775" s="1139"/>
      <c r="E3775" s="1139"/>
      <c r="F3775" s="1139"/>
      <c r="G3775" s="1139"/>
      <c r="H3775" s="1139"/>
      <c r="I3775" s="288" t="s">
        <v>284</v>
      </c>
      <c r="J3775" s="314" t="s">
        <v>285</v>
      </c>
      <c r="K3775" s="315" t="s">
        <v>286</v>
      </c>
      <c r="L3775" s="1140" t="s">
        <v>264</v>
      </c>
      <c r="M3775" s="1141"/>
      <c r="N3775" s="316" t="s">
        <v>265</v>
      </c>
    </row>
    <row r="3776" spans="2:14" ht="13.5" thickBot="1">
      <c r="B3776" s="317" t="s">
        <v>344</v>
      </c>
      <c r="C3776" s="318"/>
      <c r="D3776" s="318"/>
      <c r="E3776" s="318"/>
      <c r="F3776" s="318"/>
      <c r="G3776" s="318"/>
      <c r="H3776" s="318"/>
      <c r="I3776" s="319">
        <v>153482</v>
      </c>
      <c r="J3776" s="321">
        <v>0</v>
      </c>
      <c r="K3776" s="321">
        <f>+I3776+J3776</f>
        <v>153482</v>
      </c>
      <c r="L3776" s="1157">
        <v>1.25</v>
      </c>
      <c r="M3776" s="1158"/>
      <c r="N3776" s="322">
        <f>+K3776/L3776</f>
        <v>122785.60000000001</v>
      </c>
    </row>
    <row r="3777" spans="2:17" ht="13.5" thickBot="1">
      <c r="B3777" s="1100" t="s">
        <v>269</v>
      </c>
      <c r="C3777" s="1101"/>
      <c r="D3777" s="1101"/>
      <c r="E3777" s="1101"/>
      <c r="F3777" s="1101"/>
      <c r="G3777" s="1101"/>
      <c r="H3777" s="1101"/>
      <c r="I3777" s="1101"/>
      <c r="J3777" s="1101"/>
      <c r="K3777" s="1101"/>
      <c r="L3777" s="1101"/>
      <c r="M3777" s="1102"/>
      <c r="N3777" s="323">
        <f>+N3776</f>
        <v>122785.60000000001</v>
      </c>
    </row>
    <row r="3778" spans="2:17" ht="13.5" thickBot="1">
      <c r="B3778" s="324" t="s">
        <v>288</v>
      </c>
      <c r="C3778" s="325"/>
      <c r="D3778" s="325"/>
      <c r="E3778" s="325"/>
      <c r="F3778" s="325"/>
      <c r="G3778" s="325"/>
      <c r="H3778" s="325"/>
      <c r="I3778" s="326"/>
      <c r="J3778" s="327"/>
      <c r="K3778" s="328"/>
      <c r="L3778" s="329"/>
      <c r="M3778" s="329"/>
      <c r="N3778" s="330"/>
    </row>
    <row r="3779" spans="2:17">
      <c r="B3779" s="1130" t="s">
        <v>17</v>
      </c>
      <c r="C3779" s="1139"/>
      <c r="D3779" s="1139"/>
      <c r="E3779" s="1139"/>
      <c r="F3779" s="1139"/>
      <c r="G3779" s="1139"/>
      <c r="H3779" s="1139"/>
      <c r="I3779" s="1136"/>
      <c r="J3779" s="299" t="s">
        <v>259</v>
      </c>
      <c r="K3779" s="288" t="s">
        <v>133</v>
      </c>
      <c r="L3779" s="1133" t="s">
        <v>271</v>
      </c>
      <c r="M3779" s="1136"/>
      <c r="N3779" s="316" t="s">
        <v>265</v>
      </c>
      <c r="P3779" s="408">
        <v>85399050</v>
      </c>
    </row>
    <row r="3780" spans="2:17" ht="13.5" thickBot="1">
      <c r="B3780" s="331" t="s">
        <v>289</v>
      </c>
      <c r="C3780" s="332"/>
      <c r="D3780" s="332"/>
      <c r="E3780" s="332"/>
      <c r="F3780" s="332"/>
      <c r="G3780" s="332"/>
      <c r="H3780" s="332"/>
      <c r="I3780" s="333"/>
      <c r="J3780" s="334" t="s">
        <v>290</v>
      </c>
      <c r="K3780" s="335">
        <v>0.05</v>
      </c>
      <c r="L3780" s="1144">
        <f>+N3777</f>
        <v>122785.60000000001</v>
      </c>
      <c r="M3780" s="1145"/>
      <c r="N3780" s="322">
        <f>+K3780*L3780</f>
        <v>6139.2800000000007</v>
      </c>
    </row>
    <row r="3781" spans="2:17" ht="13.5" thickBot="1">
      <c r="B3781" s="1100" t="s">
        <v>269</v>
      </c>
      <c r="C3781" s="1101"/>
      <c r="D3781" s="1101"/>
      <c r="E3781" s="1101"/>
      <c r="F3781" s="1101"/>
      <c r="G3781" s="1101"/>
      <c r="H3781" s="1101"/>
      <c r="I3781" s="1101"/>
      <c r="J3781" s="1101"/>
      <c r="K3781" s="1101"/>
      <c r="L3781" s="1101"/>
      <c r="M3781" s="1102"/>
      <c r="N3781" s="323">
        <f>+N3780</f>
        <v>6139.2800000000007</v>
      </c>
      <c r="P3781" s="409">
        <f>+N3784*N3751</f>
        <v>85399016.031000972</v>
      </c>
      <c r="Q3781" s="413">
        <f>+P3781-P3779</f>
        <v>-33.968999028205872</v>
      </c>
    </row>
    <row r="3782" spans="2:17">
      <c r="B3782" s="280"/>
      <c r="C3782" s="281"/>
      <c r="D3782" s="281"/>
      <c r="E3782" s="281"/>
      <c r="F3782" s="281"/>
      <c r="G3782" s="281"/>
      <c r="H3782" s="281"/>
      <c r="I3782" s="281"/>
      <c r="J3782" s="281"/>
      <c r="K3782" s="281"/>
      <c r="L3782" s="281"/>
      <c r="M3782" s="281"/>
      <c r="N3782" s="282"/>
    </row>
    <row r="3783" spans="2:17" ht="13.5" thickBot="1">
      <c r="B3783" s="378"/>
      <c r="C3783" s="311"/>
      <c r="D3783" s="311"/>
      <c r="E3783" s="311"/>
      <c r="F3783" s="311"/>
      <c r="G3783" s="311"/>
      <c r="H3783" s="311"/>
      <c r="I3783" s="311"/>
      <c r="J3783" s="311"/>
      <c r="K3783" s="311"/>
      <c r="L3783" s="311"/>
      <c r="M3783" s="311"/>
      <c r="N3783" s="379"/>
    </row>
    <row r="3784" spans="2:17" ht="13.5" thickBot="1">
      <c r="B3784" s="1150" t="s">
        <v>291</v>
      </c>
      <c r="C3784" s="1151"/>
      <c r="D3784" s="1151"/>
      <c r="E3784" s="1151"/>
      <c r="F3784" s="1151"/>
      <c r="G3784" s="1151"/>
      <c r="H3784" s="1151"/>
      <c r="I3784" s="1151"/>
      <c r="J3784" s="1151"/>
      <c r="K3784" s="1151"/>
      <c r="L3784" s="1151"/>
      <c r="M3784" s="1152"/>
      <c r="N3784" s="336">
        <f>+N3757+N3765+N3771+N3777+N3781</f>
        <v>569326.77354000648</v>
      </c>
    </row>
    <row r="3785" spans="2:17">
      <c r="B3785" s="1103" t="s">
        <v>292</v>
      </c>
      <c r="C3785" s="1104"/>
      <c r="D3785" s="1104"/>
      <c r="E3785" s="1104"/>
      <c r="F3785" s="1104"/>
      <c r="G3785" s="1104"/>
      <c r="H3785" s="1104"/>
      <c r="I3785" s="1104"/>
      <c r="J3785" s="1104"/>
      <c r="K3785" s="1104"/>
      <c r="L3785" s="1104"/>
      <c r="M3785" s="1104"/>
      <c r="N3785" s="1105"/>
    </row>
    <row r="3786" spans="2:17">
      <c r="B3786" s="1106"/>
      <c r="C3786" s="1107"/>
      <c r="D3786" s="1107"/>
      <c r="E3786" s="1107"/>
      <c r="F3786" s="1107"/>
      <c r="G3786" s="1107"/>
      <c r="H3786" s="1107"/>
      <c r="I3786" s="1107"/>
      <c r="J3786" s="1107"/>
      <c r="K3786" s="1107"/>
      <c r="L3786" s="1107"/>
      <c r="M3786" s="1107"/>
      <c r="N3786" s="1108"/>
    </row>
    <row r="3787" spans="2:17" ht="13.5" thickBot="1">
      <c r="B3787" s="1109"/>
      <c r="C3787" s="1110"/>
      <c r="D3787" s="1110"/>
      <c r="E3787" s="1110"/>
      <c r="F3787" s="1110"/>
      <c r="G3787" s="1110"/>
      <c r="H3787" s="1110"/>
      <c r="I3787" s="1110"/>
      <c r="J3787" s="1110"/>
      <c r="K3787" s="1110"/>
      <c r="L3787" s="1110"/>
      <c r="M3787" s="1110"/>
      <c r="N3787" s="1111"/>
    </row>
    <row r="3788" spans="2:17">
      <c r="B3788" s="1130" t="s">
        <v>17</v>
      </c>
      <c r="C3788" s="1139"/>
      <c r="D3788" s="1139"/>
      <c r="E3788" s="1139"/>
      <c r="F3788" s="1139"/>
      <c r="G3788" s="1139"/>
      <c r="H3788" s="1139"/>
      <c r="I3788" s="306"/>
      <c r="J3788" s="337"/>
      <c r="K3788" s="315" t="s">
        <v>79</v>
      </c>
      <c r="L3788" s="1140" t="s">
        <v>11</v>
      </c>
      <c r="M3788" s="1141"/>
      <c r="N3788" s="316"/>
    </row>
    <row r="3789" spans="2:17">
      <c r="B3789" s="1112" t="s">
        <v>232</v>
      </c>
      <c r="C3789" s="1113"/>
      <c r="D3789" s="1113"/>
      <c r="E3789" s="1113"/>
      <c r="F3789" s="1113"/>
      <c r="G3789" s="1113"/>
      <c r="H3789" s="1113"/>
      <c r="I3789" s="338"/>
      <c r="J3789" s="339"/>
      <c r="K3789" s="340">
        <f>'PRESUPUESTO OFICIAL'!$K$100</f>
        <v>0</v>
      </c>
      <c r="L3789" s="1146">
        <f>K3789*N3784</f>
        <v>0</v>
      </c>
      <c r="M3789" s="1147"/>
      <c r="N3789" s="341"/>
    </row>
    <row r="3790" spans="2:17">
      <c r="B3790" s="292" t="s">
        <v>293</v>
      </c>
      <c r="C3790" s="293"/>
      <c r="D3790" s="293"/>
      <c r="E3790" s="293"/>
      <c r="F3790" s="293"/>
      <c r="G3790" s="293"/>
      <c r="H3790" s="293"/>
      <c r="I3790" s="338"/>
      <c r="J3790" s="339"/>
      <c r="K3790" s="340">
        <f>'PRESUPUESTO OFICIAL'!$K$101</f>
        <v>0</v>
      </c>
      <c r="L3790" s="1146">
        <f>K3790*N3784</f>
        <v>0</v>
      </c>
      <c r="M3790" s="1147"/>
      <c r="N3790" s="341"/>
    </row>
    <row r="3791" spans="2:17" ht="13.5" thickBot="1">
      <c r="B3791" s="277" t="s">
        <v>294</v>
      </c>
      <c r="C3791" s="278"/>
      <c r="D3791" s="278"/>
      <c r="E3791" s="278"/>
      <c r="F3791" s="278"/>
      <c r="G3791" s="278"/>
      <c r="H3791" s="278"/>
      <c r="I3791" s="342"/>
      <c r="J3791" s="343"/>
      <c r="K3791" s="340">
        <f>'PRESUPUESTO OFICIAL'!$K$102</f>
        <v>0</v>
      </c>
      <c r="L3791" s="1148">
        <f>K3791*N3784</f>
        <v>0</v>
      </c>
      <c r="M3791" s="1149"/>
      <c r="N3791" s="341"/>
    </row>
    <row r="3792" spans="2:17" ht="13.5" thickBot="1">
      <c r="B3792" s="1100" t="s">
        <v>269</v>
      </c>
      <c r="C3792" s="1101"/>
      <c r="D3792" s="1101"/>
      <c r="E3792" s="1101"/>
      <c r="F3792" s="1101"/>
      <c r="G3792" s="1101"/>
      <c r="H3792" s="1101"/>
      <c r="I3792" s="1101"/>
      <c r="J3792" s="1101"/>
      <c r="K3792" s="1101"/>
      <c r="L3792" s="1101"/>
      <c r="M3792" s="1102"/>
      <c r="N3792" s="344">
        <f>SUM(L3789:M3791)</f>
        <v>0</v>
      </c>
    </row>
    <row r="3793" spans="2:14" ht="13.5" thickBot="1">
      <c r="B3793" s="283"/>
      <c r="N3793" s="284"/>
    </row>
    <row r="3794" spans="2:14" ht="13.5" thickBot="1">
      <c r="B3794" s="1150" t="s">
        <v>295</v>
      </c>
      <c r="C3794" s="1151"/>
      <c r="D3794" s="1151"/>
      <c r="E3794" s="1151"/>
      <c r="F3794" s="1151"/>
      <c r="G3794" s="1151"/>
      <c r="H3794" s="1151"/>
      <c r="I3794" s="1151"/>
      <c r="J3794" s="1151"/>
      <c r="K3794" s="1151"/>
      <c r="L3794" s="1151"/>
      <c r="M3794" s="1152"/>
      <c r="N3794" s="345">
        <f>ROUND(N3784+N3792,0)</f>
        <v>569327</v>
      </c>
    </row>
    <row r="3795" spans="2:14">
      <c r="B3795" s="280"/>
      <c r="C3795" s="281"/>
      <c r="D3795" s="281"/>
      <c r="E3795" s="281"/>
      <c r="F3795" s="281"/>
      <c r="G3795" s="281"/>
      <c r="H3795" s="281"/>
      <c r="I3795" s="281"/>
      <c r="J3795" s="281"/>
      <c r="K3795" s="281"/>
      <c r="L3795" s="281"/>
      <c r="M3795" s="281"/>
      <c r="N3795" s="282"/>
    </row>
    <row r="3796" spans="2:14">
      <c r="B3796" s="283"/>
      <c r="N3796" s="284"/>
    </row>
    <row r="3797" spans="2:14">
      <c r="B3797" s="283"/>
      <c r="N3797" s="284"/>
    </row>
    <row r="3798" spans="2:14">
      <c r="B3798" s="283"/>
      <c r="G3798" s="346" t="s">
        <v>296</v>
      </c>
      <c r="H3798" s="346"/>
      <c r="I3798" s="346"/>
      <c r="J3798" s="346"/>
      <c r="N3798" s="284"/>
    </row>
    <row r="3799" spans="2:14">
      <c r="B3799" s="347"/>
      <c r="C3799" s="348"/>
      <c r="D3799" s="348"/>
      <c r="E3799" s="348"/>
      <c r="F3799" s="348"/>
      <c r="G3799" s="346" t="s">
        <v>297</v>
      </c>
      <c r="H3799" s="348"/>
      <c r="I3799" s="348"/>
      <c r="J3799" s="348"/>
      <c r="K3799" s="348"/>
      <c r="L3799" s="348"/>
      <c r="M3799" s="348"/>
      <c r="N3799" s="349"/>
    </row>
    <row r="3800" spans="2:14">
      <c r="B3800" s="347"/>
      <c r="C3800" s="348"/>
      <c r="D3800" s="348"/>
      <c r="E3800" s="348"/>
      <c r="F3800" s="348"/>
      <c r="G3800" s="346" t="s">
        <v>298</v>
      </c>
      <c r="J3800" s="348"/>
      <c r="K3800" s="348"/>
      <c r="L3800" s="348"/>
      <c r="M3800" s="348"/>
      <c r="N3800" s="349"/>
    </row>
    <row r="3801" spans="2:14">
      <c r="B3801" s="268"/>
      <c r="C3801" s="350"/>
      <c r="D3801" s="350"/>
      <c r="E3801" s="350"/>
      <c r="F3801" s="350"/>
      <c r="G3801" s="346" t="s">
        <v>299</v>
      </c>
      <c r="H3801" s="350"/>
      <c r="I3801" s="350"/>
      <c r="J3801" s="350"/>
      <c r="K3801" s="350"/>
      <c r="L3801" s="350"/>
      <c r="M3801" s="350"/>
      <c r="N3801" s="351"/>
    </row>
    <row r="3802" spans="2:14">
      <c r="B3802" s="283"/>
      <c r="G3802" s="258" t="s">
        <v>300</v>
      </c>
      <c r="N3802" s="284"/>
    </row>
    <row r="3803" spans="2:14">
      <c r="B3803" s="352" t="s">
        <v>301</v>
      </c>
      <c r="C3803" s="353"/>
      <c r="D3803" s="353"/>
      <c r="E3803" s="353"/>
      <c r="F3803" s="353"/>
      <c r="G3803" s="353"/>
      <c r="H3803" s="353"/>
      <c r="I3803" s="353"/>
      <c r="J3803" s="353"/>
      <c r="K3803" s="353"/>
      <c r="L3803" s="353"/>
      <c r="M3803" s="353"/>
      <c r="N3803" s="354"/>
    </row>
    <row r="3804" spans="2:14">
      <c r="B3804" s="1153"/>
      <c r="C3804" s="1154"/>
      <c r="D3804" s="1154"/>
      <c r="E3804" s="1154"/>
      <c r="F3804" s="1154"/>
      <c r="G3804" s="1154"/>
      <c r="H3804" s="1154"/>
      <c r="I3804" s="1154"/>
      <c r="J3804" s="1154"/>
      <c r="K3804" s="1154"/>
      <c r="L3804" s="1154"/>
      <c r="M3804" s="1154"/>
      <c r="N3804" s="1155"/>
    </row>
    <row r="3805" spans="2:14">
      <c r="B3805" s="1153"/>
      <c r="C3805" s="1154"/>
      <c r="D3805" s="1154"/>
      <c r="E3805" s="1154"/>
      <c r="F3805" s="1154"/>
      <c r="G3805" s="1154"/>
      <c r="H3805" s="1154"/>
      <c r="I3805" s="1154"/>
      <c r="J3805" s="1154"/>
      <c r="K3805" s="1154"/>
      <c r="L3805" s="1154"/>
      <c r="M3805" s="1154"/>
      <c r="N3805" s="1155"/>
    </row>
    <row r="3806" spans="2:14">
      <c r="B3806" s="268"/>
      <c r="C3806" s="350"/>
      <c r="D3806" s="350"/>
      <c r="E3806" s="350"/>
      <c r="F3806" s="350"/>
      <c r="G3806" s="350"/>
      <c r="H3806" s="350"/>
      <c r="I3806" s="350"/>
      <c r="J3806" s="350"/>
      <c r="K3806" s="350"/>
      <c r="L3806" s="350"/>
      <c r="M3806" s="350"/>
      <c r="N3806" s="351"/>
    </row>
    <row r="3807" spans="2:14">
      <c r="B3807" s="355" t="s">
        <v>302</v>
      </c>
      <c r="C3807" s="350"/>
      <c r="D3807" s="350"/>
      <c r="E3807" s="350"/>
      <c r="F3807" s="350"/>
      <c r="G3807" s="350"/>
      <c r="H3807" s="350"/>
      <c r="I3807" s="350"/>
      <c r="J3807" s="350"/>
      <c r="K3807" s="350"/>
      <c r="L3807" s="350"/>
      <c r="M3807" s="350"/>
      <c r="N3807" s="351"/>
    </row>
    <row r="3808" spans="2:14">
      <c r="B3808" s="1159" t="s">
        <v>303</v>
      </c>
      <c r="C3808" s="1160"/>
      <c r="D3808" s="1160"/>
      <c r="E3808" s="1160"/>
      <c r="F3808" s="1160"/>
      <c r="G3808" s="1160"/>
      <c r="H3808" s="1160"/>
      <c r="I3808" s="1160"/>
      <c r="J3808" s="1160"/>
      <c r="K3808" s="1160"/>
      <c r="L3808" s="1160"/>
      <c r="M3808" s="1160"/>
      <c r="N3808" s="1161"/>
    </row>
    <row r="3809" spans="2:14">
      <c r="B3809" s="1159"/>
      <c r="C3809" s="1160"/>
      <c r="D3809" s="1160"/>
      <c r="E3809" s="1160"/>
      <c r="F3809" s="1160"/>
      <c r="G3809" s="1160"/>
      <c r="H3809" s="1160"/>
      <c r="I3809" s="1160"/>
      <c r="J3809" s="1160"/>
      <c r="K3809" s="1160"/>
      <c r="L3809" s="1160"/>
      <c r="M3809" s="1160"/>
      <c r="N3809" s="1161"/>
    </row>
    <row r="3810" spans="2:14">
      <c r="B3810" s="1159" t="s">
        <v>304</v>
      </c>
      <c r="C3810" s="1160"/>
      <c r="D3810" s="1160"/>
      <c r="E3810" s="1160"/>
      <c r="F3810" s="1160"/>
      <c r="G3810" s="1160"/>
      <c r="H3810" s="1160"/>
      <c r="I3810" s="1160"/>
      <c r="J3810" s="1160"/>
      <c r="K3810" s="1160"/>
      <c r="L3810" s="1160"/>
      <c r="M3810" s="1160"/>
      <c r="N3810" s="1161"/>
    </row>
    <row r="3811" spans="2:14">
      <c r="B3811" s="1159"/>
      <c r="C3811" s="1160"/>
      <c r="D3811" s="1160"/>
      <c r="E3811" s="1160"/>
      <c r="F3811" s="1160"/>
      <c r="G3811" s="1160"/>
      <c r="H3811" s="1160"/>
      <c r="I3811" s="1160"/>
      <c r="J3811" s="1160"/>
      <c r="K3811" s="1160"/>
      <c r="L3811" s="1160"/>
      <c r="M3811" s="1160"/>
      <c r="N3811" s="1161"/>
    </row>
    <row r="3812" spans="2:14">
      <c r="B3812" s="268"/>
      <c r="C3812" s="350"/>
      <c r="D3812" s="350"/>
      <c r="E3812" s="350"/>
      <c r="F3812" s="350"/>
      <c r="G3812" s="350"/>
      <c r="H3812" s="350"/>
      <c r="I3812" s="350"/>
      <c r="J3812" s="350"/>
      <c r="K3812" s="350"/>
      <c r="L3812" s="350"/>
      <c r="M3812" s="350"/>
      <c r="N3812" s="351"/>
    </row>
    <row r="3813" spans="2:14">
      <c r="B3813" s="283"/>
      <c r="G3813" s="346" t="s">
        <v>296</v>
      </c>
      <c r="N3813" s="284"/>
    </row>
    <row r="3814" spans="2:14">
      <c r="B3814" s="283"/>
      <c r="G3814" s="258" t="s">
        <v>305</v>
      </c>
      <c r="H3814" s="293"/>
      <c r="I3814" s="293"/>
      <c r="J3814" s="293"/>
      <c r="N3814" s="284"/>
    </row>
    <row r="3815" spans="2:14">
      <c r="B3815" s="283"/>
      <c r="G3815" s="258" t="s">
        <v>306</v>
      </c>
      <c r="H3815" s="325"/>
      <c r="I3815" s="325"/>
      <c r="J3815" s="325"/>
      <c r="N3815" s="284"/>
    </row>
    <row r="3816" spans="2:14">
      <c r="B3816" s="356"/>
      <c r="C3816" s="350"/>
      <c r="D3816" s="350"/>
      <c r="E3816" s="350"/>
      <c r="F3816" s="350"/>
      <c r="G3816" s="258" t="s">
        <v>299</v>
      </c>
      <c r="K3816" s="350"/>
      <c r="L3816" s="350"/>
      <c r="M3816" s="350"/>
      <c r="N3816" s="351"/>
    </row>
    <row r="3817" spans="2:14">
      <c r="B3817" s="357"/>
      <c r="C3817" s="358"/>
      <c r="D3817" s="358"/>
      <c r="J3817" s="1162"/>
      <c r="K3817" s="1162"/>
      <c r="L3817" s="1162"/>
      <c r="M3817" s="1162"/>
      <c r="N3817" s="1163"/>
    </row>
    <row r="3818" spans="2:14" ht="13.5" thickBot="1">
      <c r="B3818" s="1166"/>
      <c r="C3818" s="1167"/>
      <c r="D3818" s="1167"/>
      <c r="E3818" s="311"/>
      <c r="F3818" s="311"/>
      <c r="G3818" s="311"/>
      <c r="H3818" s="311"/>
      <c r="I3818" s="311"/>
      <c r="J3818" s="1164"/>
      <c r="K3818" s="1164"/>
      <c r="L3818" s="1164"/>
      <c r="M3818" s="1164"/>
      <c r="N3818" s="1165"/>
    </row>
    <row r="3819" spans="2:14" ht="13.5" thickBot="1"/>
    <row r="3820" spans="2:14">
      <c r="B3820" s="1070"/>
      <c r="C3820" s="1072"/>
      <c r="D3820" s="1073"/>
      <c r="E3820" s="1073"/>
      <c r="F3820" s="1073"/>
      <c r="G3820" s="1073"/>
      <c r="H3820" s="1073"/>
      <c r="I3820" s="1073"/>
      <c r="J3820" s="1074"/>
      <c r="K3820" s="1075"/>
      <c r="L3820" s="1076"/>
      <c r="M3820" s="1076"/>
      <c r="N3820" s="1077"/>
    </row>
    <row r="3821" spans="2:14">
      <c r="B3821" s="1071"/>
      <c r="C3821" s="1062" t="s">
        <v>244</v>
      </c>
      <c r="D3821" s="1063"/>
      <c r="E3821" s="1063"/>
      <c r="F3821" s="1063"/>
      <c r="G3821" s="1063"/>
      <c r="H3821" s="1063"/>
      <c r="I3821" s="1063"/>
      <c r="J3821" s="1064"/>
      <c r="K3821" s="1078"/>
      <c r="L3821" s="1079"/>
      <c r="M3821" s="1079"/>
      <c r="N3821" s="1080"/>
    </row>
    <row r="3822" spans="2:14">
      <c r="B3822" s="1071"/>
      <c r="C3822" s="1081"/>
      <c r="D3822" s="1082"/>
      <c r="E3822" s="1082"/>
      <c r="F3822" s="1082"/>
      <c r="G3822" s="1082"/>
      <c r="H3822" s="1082"/>
      <c r="I3822" s="1082"/>
      <c r="J3822" s="1083"/>
      <c r="K3822" s="1058" t="s">
        <v>245</v>
      </c>
      <c r="L3822" s="1085"/>
      <c r="M3822" s="1086"/>
      <c r="N3822" s="1087"/>
    </row>
    <row r="3823" spans="2:14">
      <c r="B3823" s="1071"/>
      <c r="C3823" s="1062" t="s">
        <v>246</v>
      </c>
      <c r="D3823" s="1063"/>
      <c r="E3823" s="1063"/>
      <c r="F3823" s="1063"/>
      <c r="G3823" s="1063"/>
      <c r="H3823" s="1063"/>
      <c r="I3823" s="1063"/>
      <c r="J3823" s="1064"/>
      <c r="K3823" s="1084"/>
      <c r="L3823" s="1088"/>
      <c r="M3823" s="1089"/>
      <c r="N3823" s="1090"/>
    </row>
    <row r="3824" spans="2:14">
      <c r="B3824" s="1071"/>
      <c r="C3824" s="1091"/>
      <c r="D3824" s="1092"/>
      <c r="E3824" s="1092"/>
      <c r="F3824" s="1092"/>
      <c r="G3824" s="1092"/>
      <c r="H3824" s="1092"/>
      <c r="I3824" s="1092"/>
      <c r="J3824" s="1093"/>
      <c r="K3824" s="1058" t="s">
        <v>247</v>
      </c>
      <c r="L3824" s="1058">
        <v>43</v>
      </c>
      <c r="M3824" s="1058" t="s">
        <v>248</v>
      </c>
      <c r="N3824" s="1060">
        <v>80</v>
      </c>
    </row>
    <row r="3825" spans="2:14">
      <c r="B3825" s="1071"/>
      <c r="C3825" s="1091"/>
      <c r="D3825" s="1092"/>
      <c r="E3825" s="1092"/>
      <c r="F3825" s="1092"/>
      <c r="G3825" s="1092"/>
      <c r="H3825" s="1092"/>
      <c r="I3825" s="1092"/>
      <c r="J3825" s="1093"/>
      <c r="K3825" s="1059"/>
      <c r="L3825" s="1059"/>
      <c r="M3825" s="1059"/>
      <c r="N3825" s="1061"/>
    </row>
    <row r="3826" spans="2:14">
      <c r="B3826" s="1071"/>
      <c r="C3826" s="1062" t="s">
        <v>249</v>
      </c>
      <c r="D3826" s="1063"/>
      <c r="E3826" s="1063"/>
      <c r="F3826" s="1063"/>
      <c r="G3826" s="1063"/>
      <c r="H3826" s="1063"/>
      <c r="I3826" s="1063"/>
      <c r="J3826" s="1064"/>
      <c r="K3826" s="1059"/>
      <c r="L3826" s="1059"/>
      <c r="M3826" s="1059"/>
      <c r="N3826" s="1061"/>
    </row>
    <row r="3827" spans="2:14" ht="13.5" thickBot="1">
      <c r="B3827" s="259"/>
      <c r="C3827" s="260"/>
      <c r="D3827" s="260"/>
      <c r="E3827" s="260"/>
      <c r="F3827" s="260"/>
      <c r="G3827" s="260"/>
      <c r="H3827" s="260"/>
      <c r="I3827" s="260"/>
      <c r="J3827" s="260"/>
      <c r="K3827" s="260"/>
      <c r="L3827" s="261"/>
      <c r="M3827" s="261"/>
      <c r="N3827" s="262"/>
    </row>
    <row r="3828" spans="2:14">
      <c r="B3828" s="263"/>
      <c r="C3828" s="264"/>
      <c r="D3828" s="264"/>
      <c r="E3828" s="264"/>
      <c r="F3828" s="264"/>
      <c r="G3828" s="264"/>
      <c r="H3828" s="264"/>
      <c r="I3828" s="264"/>
      <c r="J3828" s="264"/>
      <c r="K3828" s="265" t="s">
        <v>250</v>
      </c>
      <c r="L3828" s="266" t="s">
        <v>251</v>
      </c>
      <c r="M3828" s="266" t="s">
        <v>252</v>
      </c>
      <c r="N3828" s="267" t="s">
        <v>253</v>
      </c>
    </row>
    <row r="3829" spans="2:14">
      <c r="B3829" s="268"/>
      <c r="C3829" s="269"/>
      <c r="D3829" s="269"/>
      <c r="E3829" s="269"/>
      <c r="F3829" s="269"/>
      <c r="G3829" s="269"/>
      <c r="H3829" s="269"/>
      <c r="I3829" s="269"/>
      <c r="J3829" s="269"/>
      <c r="K3829" s="270"/>
      <c r="L3829" s="271"/>
      <c r="M3829" s="271"/>
      <c r="N3829" s="272"/>
    </row>
    <row r="3830" spans="2:14">
      <c r="B3830" s="1065" t="s">
        <v>254</v>
      </c>
      <c r="C3830" s="1066"/>
      <c r="D3830" s="1066"/>
      <c r="E3830" s="1066"/>
      <c r="F3830" s="269"/>
      <c r="G3830" s="269"/>
      <c r="H3830" s="269" t="s">
        <v>255</v>
      </c>
      <c r="J3830" s="269"/>
      <c r="K3830" s="270"/>
      <c r="N3830" s="273"/>
    </row>
    <row r="3831" spans="2:14">
      <c r="B3831" s="274"/>
      <c r="C3831" s="275"/>
      <c r="D3831" s="275"/>
      <c r="E3831" s="275"/>
      <c r="F3831" s="275"/>
      <c r="G3831" s="275"/>
      <c r="H3831" s="275"/>
      <c r="I3831" s="275"/>
      <c r="J3831" s="275"/>
      <c r="K3831" s="275"/>
      <c r="L3831" s="275"/>
      <c r="M3831" s="275"/>
      <c r="N3831" s="276"/>
    </row>
    <row r="3832" spans="2:14" ht="13.5" thickBot="1">
      <c r="B3832" s="277"/>
      <c r="C3832" s="278"/>
      <c r="D3832" s="278"/>
      <c r="E3832" s="278"/>
      <c r="F3832" s="278"/>
      <c r="G3832" s="278"/>
      <c r="H3832" s="278"/>
      <c r="I3832" s="278"/>
      <c r="J3832" s="278"/>
      <c r="K3832" s="278"/>
      <c r="L3832" s="278"/>
      <c r="M3832" s="278"/>
      <c r="N3832" s="279"/>
    </row>
    <row r="3833" spans="2:14" ht="13.5" thickBot="1">
      <c r="B3833" s="280"/>
      <c r="C3833" s="281"/>
      <c r="D3833" s="281"/>
      <c r="E3833" s="281"/>
      <c r="F3833" s="281"/>
      <c r="G3833" s="281"/>
      <c r="J3833" s="281"/>
      <c r="K3833" s="281"/>
      <c r="L3833" s="281"/>
      <c r="M3833" s="281"/>
      <c r="N3833" s="282"/>
    </row>
    <row r="3834" spans="2:14">
      <c r="B3834" s="1067" t="s">
        <v>256</v>
      </c>
      <c r="C3834" s="1068"/>
      <c r="D3834" s="1068"/>
      <c r="E3834" s="1068"/>
      <c r="F3834" s="1068"/>
      <c r="G3834" s="1068"/>
      <c r="H3834" s="1068"/>
      <c r="I3834" s="1068"/>
      <c r="J3834" s="1068"/>
      <c r="K3834" s="1068"/>
      <c r="L3834" s="1068"/>
      <c r="M3834" s="1068"/>
      <c r="N3834" s="1069"/>
    </row>
    <row r="3835" spans="2:14" ht="13.5" thickBot="1">
      <c r="B3835" s="283"/>
      <c r="N3835" s="284"/>
    </row>
    <row r="3836" spans="2:14">
      <c r="B3836" s="285" t="s">
        <v>257</v>
      </c>
      <c r="C3836" s="1120" t="s">
        <v>258</v>
      </c>
      <c r="D3836" s="1121"/>
      <c r="E3836" s="1121"/>
      <c r="F3836" s="1121"/>
      <c r="G3836" s="1121"/>
      <c r="H3836" s="1121"/>
      <c r="I3836" s="1121"/>
      <c r="J3836" s="1121"/>
      <c r="K3836" s="1122"/>
      <c r="L3836" s="1123" t="s">
        <v>259</v>
      </c>
      <c r="M3836" s="1124"/>
      <c r="N3836" s="285" t="s">
        <v>133</v>
      </c>
    </row>
    <row r="3837" spans="2:14" ht="28.15" customHeight="1" thickBot="1">
      <c r="B3837" s="286">
        <v>43</v>
      </c>
      <c r="C3837" s="1125" t="s">
        <v>184</v>
      </c>
      <c r="D3837" s="1126"/>
      <c r="E3837" s="1126"/>
      <c r="F3837" s="1126"/>
      <c r="G3837" s="1126"/>
      <c r="H3837" s="1126"/>
      <c r="I3837" s="1126"/>
      <c r="J3837" s="1126"/>
      <c r="K3837" s="1127"/>
      <c r="L3837" s="1128" t="s">
        <v>147</v>
      </c>
      <c r="M3837" s="1129"/>
      <c r="N3837" s="366">
        <v>400</v>
      </c>
    </row>
    <row r="3838" spans="2:14">
      <c r="B3838" s="1103"/>
      <c r="C3838" s="1104"/>
      <c r="D3838" s="1104"/>
      <c r="E3838" s="1104"/>
      <c r="F3838" s="1104"/>
      <c r="G3838" s="1104"/>
      <c r="H3838" s="1104"/>
      <c r="I3838" s="1104"/>
      <c r="J3838" s="1104"/>
      <c r="K3838" s="1104"/>
      <c r="L3838" s="1104"/>
      <c r="M3838" s="1104"/>
      <c r="N3838" s="1105"/>
    </row>
    <row r="3839" spans="2:14">
      <c r="B3839" s="1106"/>
      <c r="C3839" s="1107"/>
      <c r="D3839" s="1107"/>
      <c r="E3839" s="1107"/>
      <c r="F3839" s="1107"/>
      <c r="G3839" s="1107"/>
      <c r="H3839" s="1107"/>
      <c r="I3839" s="1107"/>
      <c r="J3839" s="1107"/>
      <c r="K3839" s="1107"/>
      <c r="L3839" s="1107"/>
      <c r="M3839" s="1107"/>
      <c r="N3839" s="1108"/>
    </row>
    <row r="3840" spans="2:14" ht="13.5" thickBot="1">
      <c r="B3840" s="1109"/>
      <c r="C3840" s="1110"/>
      <c r="D3840" s="1110"/>
      <c r="E3840" s="1110"/>
      <c r="F3840" s="1110"/>
      <c r="G3840" s="1110"/>
      <c r="H3840" s="1110"/>
      <c r="I3840" s="1110"/>
      <c r="J3840" s="1110"/>
      <c r="K3840" s="1110"/>
      <c r="L3840" s="1110"/>
      <c r="M3840" s="1110"/>
      <c r="N3840" s="1111"/>
    </row>
    <row r="3841" spans="2:14">
      <c r="B3841" s="1130" t="s">
        <v>258</v>
      </c>
      <c r="C3841" s="1131"/>
      <c r="D3841" s="1131"/>
      <c r="E3841" s="1131"/>
      <c r="F3841" s="1132"/>
      <c r="G3841" s="1133" t="s">
        <v>261</v>
      </c>
      <c r="H3841" s="1131"/>
      <c r="I3841" s="1134" t="s">
        <v>262</v>
      </c>
      <c r="J3841" s="1135"/>
      <c r="K3841" s="288" t="s">
        <v>263</v>
      </c>
      <c r="L3841" s="1133" t="s">
        <v>264</v>
      </c>
      <c r="M3841" s="1136"/>
      <c r="N3841" s="289" t="s">
        <v>265</v>
      </c>
    </row>
    <row r="3842" spans="2:14">
      <c r="B3842" s="1179" t="s">
        <v>340</v>
      </c>
      <c r="C3842" s="1180"/>
      <c r="D3842" s="1180"/>
      <c r="E3842" s="1180"/>
      <c r="F3842" s="1181"/>
      <c r="G3842" s="295"/>
      <c r="H3842" s="294"/>
      <c r="I3842" s="1182" t="s">
        <v>267</v>
      </c>
      <c r="J3842" s="1183"/>
      <c r="K3842" s="290">
        <v>45220</v>
      </c>
      <c r="L3842" s="1118">
        <v>20</v>
      </c>
      <c r="M3842" s="1119"/>
      <c r="N3842" s="290">
        <f>+K3842/L3842</f>
        <v>2261</v>
      </c>
    </row>
    <row r="3843" spans="2:14" ht="13.5" thickBot="1">
      <c r="B3843" s="1179" t="s">
        <v>333</v>
      </c>
      <c r="C3843" s="1180"/>
      <c r="D3843" s="1180"/>
      <c r="E3843" s="1180"/>
      <c r="F3843" s="1181"/>
      <c r="G3843" s="295"/>
      <c r="H3843" s="294"/>
      <c r="I3843" s="1182" t="s">
        <v>267</v>
      </c>
      <c r="J3843" s="1183"/>
      <c r="K3843" s="290">
        <v>45500</v>
      </c>
      <c r="L3843" s="1118">
        <v>33.333333000000003</v>
      </c>
      <c r="M3843" s="1119"/>
      <c r="N3843" s="290">
        <f>+K3843/L3843</f>
        <v>1365.00001365</v>
      </c>
    </row>
    <row r="3844" spans="2:14" ht="13.5" thickBot="1">
      <c r="B3844" s="1100" t="s">
        <v>269</v>
      </c>
      <c r="C3844" s="1101"/>
      <c r="D3844" s="1101"/>
      <c r="E3844" s="1101"/>
      <c r="F3844" s="1101"/>
      <c r="G3844" s="1101"/>
      <c r="H3844" s="1101"/>
      <c r="I3844" s="1101"/>
      <c r="J3844" s="1101"/>
      <c r="K3844" s="1101"/>
      <c r="L3844" s="1101"/>
      <c r="M3844" s="1102"/>
      <c r="N3844" s="323">
        <f>+N3842+N3843</f>
        <v>3626.0000136500003</v>
      </c>
    </row>
    <row r="3845" spans="2:14">
      <c r="B3845" s="1103" t="s">
        <v>270</v>
      </c>
      <c r="C3845" s="1104"/>
      <c r="D3845" s="1104"/>
      <c r="E3845" s="1104"/>
      <c r="F3845" s="1104"/>
      <c r="G3845" s="1104"/>
      <c r="H3845" s="1104"/>
      <c r="I3845" s="1104"/>
      <c r="J3845" s="1104"/>
      <c r="K3845" s="1104"/>
      <c r="L3845" s="1104"/>
      <c r="M3845" s="1104"/>
      <c r="N3845" s="1105"/>
    </row>
    <row r="3846" spans="2:14">
      <c r="B3846" s="1106"/>
      <c r="C3846" s="1107"/>
      <c r="D3846" s="1107"/>
      <c r="E3846" s="1107"/>
      <c r="F3846" s="1107"/>
      <c r="G3846" s="1107"/>
      <c r="H3846" s="1107"/>
      <c r="I3846" s="1107"/>
      <c r="J3846" s="1107"/>
      <c r="K3846" s="1107"/>
      <c r="L3846" s="1107"/>
      <c r="M3846" s="1107"/>
      <c r="N3846" s="1108"/>
    </row>
    <row r="3847" spans="2:14" ht="13.5" thickBot="1">
      <c r="B3847" s="1109"/>
      <c r="C3847" s="1110"/>
      <c r="D3847" s="1110"/>
      <c r="E3847" s="1110"/>
      <c r="F3847" s="1110"/>
      <c r="G3847" s="1110"/>
      <c r="H3847" s="1110"/>
      <c r="I3847" s="1110"/>
      <c r="J3847" s="1110"/>
      <c r="K3847" s="1110"/>
      <c r="L3847" s="1110"/>
      <c r="M3847" s="1110"/>
      <c r="N3847" s="1111"/>
    </row>
    <row r="3848" spans="2:14">
      <c r="B3848" s="1130" t="s">
        <v>258</v>
      </c>
      <c r="C3848" s="1139"/>
      <c r="D3848" s="1139"/>
      <c r="E3848" s="1139"/>
      <c r="F3848" s="1139"/>
      <c r="G3848" s="1139"/>
      <c r="H3848" s="1139"/>
      <c r="I3848" s="1136"/>
      <c r="J3848" s="299" t="s">
        <v>259</v>
      </c>
      <c r="K3848" s="288" t="s">
        <v>133</v>
      </c>
      <c r="L3848" s="1133" t="s">
        <v>271</v>
      </c>
      <c r="M3848" s="1136"/>
      <c r="N3848" s="289" t="s">
        <v>265</v>
      </c>
    </row>
    <row r="3849" spans="2:14">
      <c r="B3849" s="402" t="s">
        <v>363</v>
      </c>
      <c r="C3849" s="353"/>
      <c r="D3849" s="353"/>
      <c r="E3849" s="353"/>
      <c r="F3849" s="353"/>
      <c r="G3849" s="353"/>
      <c r="H3849" s="353"/>
      <c r="I3849" s="403"/>
      <c r="J3849" s="303" t="s">
        <v>147</v>
      </c>
      <c r="K3849" s="392">
        <v>8.4000000000000005E-2</v>
      </c>
      <c r="L3849" s="1144">
        <v>382211</v>
      </c>
      <c r="M3849" s="1145"/>
      <c r="N3849" s="363">
        <f>+K3849*L3849</f>
        <v>32105.724000000002</v>
      </c>
    </row>
    <row r="3850" spans="2:14">
      <c r="B3850" s="402" t="s">
        <v>364</v>
      </c>
      <c r="C3850" s="353"/>
      <c r="D3850" s="353"/>
      <c r="E3850" s="353"/>
      <c r="F3850" s="353"/>
      <c r="G3850" s="353"/>
      <c r="H3850" s="353"/>
      <c r="I3850" s="403"/>
      <c r="J3850" s="303" t="s">
        <v>147</v>
      </c>
      <c r="K3850" s="392">
        <v>0.16500000000000001</v>
      </c>
      <c r="L3850" s="1144">
        <v>82007</v>
      </c>
      <c r="M3850" s="1145">
        <v>82007</v>
      </c>
      <c r="N3850" s="363">
        <f>+K3850*L3850</f>
        <v>13531.155000000001</v>
      </c>
    </row>
    <row r="3851" spans="2:14">
      <c r="B3851" s="402" t="s">
        <v>334</v>
      </c>
      <c r="C3851" s="353"/>
      <c r="D3851" s="353"/>
      <c r="E3851" s="353"/>
      <c r="F3851" s="353"/>
      <c r="G3851" s="353"/>
      <c r="H3851" s="353"/>
      <c r="I3851" s="403"/>
      <c r="J3851" s="303" t="s">
        <v>147</v>
      </c>
      <c r="K3851" s="392">
        <v>5.5E-2</v>
      </c>
      <c r="L3851" s="1144">
        <v>31083</v>
      </c>
      <c r="M3851" s="1145"/>
      <c r="N3851" s="363">
        <f>+K3851*L3851</f>
        <v>1709.5650000000001</v>
      </c>
    </row>
    <row r="3852" spans="2:14">
      <c r="B3852" s="1112" t="s">
        <v>332</v>
      </c>
      <c r="C3852" s="1113"/>
      <c r="D3852" s="1113"/>
      <c r="E3852" s="1113"/>
      <c r="F3852" s="1113"/>
      <c r="G3852" s="1113"/>
      <c r="H3852" s="1113"/>
      <c r="I3852" s="1114"/>
      <c r="J3852" s="300" t="s">
        <v>196</v>
      </c>
      <c r="K3852" s="301">
        <v>0.5</v>
      </c>
      <c r="L3852" s="1144">
        <v>10710</v>
      </c>
      <c r="M3852" s="1145"/>
      <c r="N3852" s="363">
        <f>+K3852*L3852</f>
        <v>5355</v>
      </c>
    </row>
    <row r="3853" spans="2:14" ht="13.5" thickBot="1">
      <c r="B3853" s="402"/>
      <c r="C3853" s="353"/>
      <c r="D3853" s="353"/>
      <c r="E3853" s="353"/>
      <c r="F3853" s="353"/>
      <c r="G3853" s="353"/>
      <c r="H3853" s="353"/>
      <c r="I3853" s="403"/>
      <c r="J3853" s="303"/>
      <c r="K3853" s="392"/>
      <c r="L3853" s="1189"/>
      <c r="M3853" s="1190"/>
      <c r="N3853" s="363">
        <f>+K3853*L3853</f>
        <v>0</v>
      </c>
    </row>
    <row r="3854" spans="2:14" ht="13.5" thickBot="1">
      <c r="B3854" s="1100" t="s">
        <v>269</v>
      </c>
      <c r="C3854" s="1101"/>
      <c r="D3854" s="1101"/>
      <c r="E3854" s="1101"/>
      <c r="F3854" s="1101"/>
      <c r="G3854" s="1101"/>
      <c r="H3854" s="1101"/>
      <c r="I3854" s="1101"/>
      <c r="J3854" s="1101"/>
      <c r="K3854" s="1101"/>
      <c r="L3854" s="1101"/>
      <c r="M3854" s="1102"/>
      <c r="N3854" s="323">
        <f>+N3849+N3850+N3851+N3852</f>
        <v>52701.444000000003</v>
      </c>
    </row>
    <row r="3855" spans="2:14">
      <c r="B3855" s="1103"/>
      <c r="C3855" s="1104"/>
      <c r="D3855" s="1104"/>
      <c r="E3855" s="1104"/>
      <c r="F3855" s="1104"/>
      <c r="G3855" s="1104"/>
      <c r="H3855" s="1104"/>
      <c r="I3855" s="1104"/>
      <c r="J3855" s="1104"/>
      <c r="K3855" s="1104"/>
      <c r="L3855" s="1104"/>
      <c r="M3855" s="1104"/>
      <c r="N3855" s="1105"/>
    </row>
    <row r="3856" spans="2:14">
      <c r="B3856" s="1106"/>
      <c r="C3856" s="1107"/>
      <c r="D3856" s="1107"/>
      <c r="E3856" s="1107"/>
      <c r="F3856" s="1107"/>
      <c r="G3856" s="1107"/>
      <c r="H3856" s="1107"/>
      <c r="I3856" s="1107"/>
      <c r="J3856" s="1107"/>
      <c r="K3856" s="1107"/>
      <c r="L3856" s="1107"/>
      <c r="M3856" s="1107"/>
      <c r="N3856" s="1108"/>
    </row>
    <row r="3857" spans="2:16" ht="13.5" thickBot="1">
      <c r="B3857" s="1109"/>
      <c r="C3857" s="1110"/>
      <c r="D3857" s="1110"/>
      <c r="E3857" s="1110"/>
      <c r="F3857" s="1110"/>
      <c r="G3857" s="1110"/>
      <c r="H3857" s="1110"/>
      <c r="I3857" s="1110"/>
      <c r="J3857" s="1110"/>
      <c r="K3857" s="1110"/>
      <c r="L3857" s="1110"/>
      <c r="M3857" s="1110"/>
      <c r="N3857" s="1111"/>
    </row>
    <row r="3858" spans="2:16">
      <c r="B3858" s="1130" t="s">
        <v>277</v>
      </c>
      <c r="C3858" s="1139"/>
      <c r="D3858" s="1139"/>
      <c r="E3858" s="1139"/>
      <c r="F3858" s="1139"/>
      <c r="G3858" s="1139"/>
      <c r="H3858" s="1139"/>
      <c r="I3858" s="288" t="s">
        <v>278</v>
      </c>
      <c r="J3858" s="306" t="s">
        <v>279</v>
      </c>
      <c r="K3858" s="307" t="s">
        <v>280</v>
      </c>
      <c r="L3858" s="1133" t="s">
        <v>281</v>
      </c>
      <c r="M3858" s="1136"/>
      <c r="N3858" s="289" t="s">
        <v>265</v>
      </c>
    </row>
    <row r="3859" spans="2:16" ht="13.5" thickBot="1">
      <c r="B3859" s="1112"/>
      <c r="C3859" s="1113"/>
      <c r="D3859" s="1113"/>
      <c r="E3859" s="1113"/>
      <c r="F3859" s="1113"/>
      <c r="G3859" s="1113"/>
      <c r="H3859" s="1113"/>
      <c r="I3859" s="393"/>
      <c r="J3859" s="309"/>
      <c r="K3859" s="308"/>
      <c r="L3859" s="1144"/>
      <c r="M3859" s="1145"/>
      <c r="N3859" s="363"/>
    </row>
    <row r="3860" spans="2:16" ht="13.5" thickBot="1">
      <c r="B3860" s="1100" t="s">
        <v>269</v>
      </c>
      <c r="C3860" s="1101"/>
      <c r="D3860" s="1101"/>
      <c r="E3860" s="1101"/>
      <c r="F3860" s="1101"/>
      <c r="G3860" s="1101"/>
      <c r="H3860" s="1101"/>
      <c r="I3860" s="1101"/>
      <c r="J3860" s="1101"/>
      <c r="K3860" s="1101"/>
      <c r="L3860" s="1101"/>
      <c r="M3860" s="1102"/>
      <c r="N3860" s="323">
        <f>+N3859</f>
        <v>0</v>
      </c>
    </row>
    <row r="3861" spans="2:16">
      <c r="B3861" s="1103" t="s">
        <v>282</v>
      </c>
      <c r="C3861" s="1104"/>
      <c r="D3861" s="1104"/>
      <c r="E3861" s="1104"/>
      <c r="F3861" s="1104"/>
      <c r="G3861" s="1104"/>
      <c r="H3861" s="1104"/>
      <c r="I3861" s="1104"/>
      <c r="J3861" s="1104"/>
      <c r="K3861" s="1104"/>
      <c r="L3861" s="1104"/>
      <c r="M3861" s="1104"/>
      <c r="N3861" s="1105"/>
    </row>
    <row r="3862" spans="2:16">
      <c r="B3862" s="1106"/>
      <c r="C3862" s="1107"/>
      <c r="D3862" s="1107"/>
      <c r="E3862" s="1107"/>
      <c r="F3862" s="1107"/>
      <c r="G3862" s="1107"/>
      <c r="H3862" s="1107"/>
      <c r="I3862" s="1107"/>
      <c r="J3862" s="1107"/>
      <c r="K3862" s="1107"/>
      <c r="L3862" s="1107"/>
      <c r="M3862" s="1107"/>
      <c r="N3862" s="1108"/>
    </row>
    <row r="3863" spans="2:16" ht="13.5" thickBot="1">
      <c r="B3863" s="1109"/>
      <c r="C3863" s="1110"/>
      <c r="D3863" s="1110"/>
      <c r="E3863" s="1110"/>
      <c r="F3863" s="1110"/>
      <c r="G3863" s="1110"/>
      <c r="H3863" s="1110"/>
      <c r="I3863" s="1110"/>
      <c r="J3863" s="1110"/>
      <c r="K3863" s="1110"/>
      <c r="L3863" s="1110"/>
      <c r="M3863" s="1110"/>
      <c r="N3863" s="1111"/>
    </row>
    <row r="3864" spans="2:16">
      <c r="B3864" s="1130" t="s">
        <v>283</v>
      </c>
      <c r="C3864" s="1139"/>
      <c r="D3864" s="1139"/>
      <c r="E3864" s="1139"/>
      <c r="F3864" s="1139"/>
      <c r="G3864" s="1139"/>
      <c r="H3864" s="1139"/>
      <c r="I3864" s="288" t="s">
        <v>284</v>
      </c>
      <c r="J3864" s="314" t="s">
        <v>285</v>
      </c>
      <c r="K3864" s="315" t="s">
        <v>286</v>
      </c>
      <c r="L3864" s="1140" t="s">
        <v>264</v>
      </c>
      <c r="M3864" s="1141"/>
      <c r="N3864" s="316" t="s">
        <v>265</v>
      </c>
    </row>
    <row r="3865" spans="2:16" ht="13.5" thickBot="1">
      <c r="B3865" s="317" t="s">
        <v>344</v>
      </c>
      <c r="C3865" s="318"/>
      <c r="D3865" s="318"/>
      <c r="E3865" s="318"/>
      <c r="F3865" s="318"/>
      <c r="G3865" s="318"/>
      <c r="H3865" s="318"/>
      <c r="I3865" s="319">
        <v>203180</v>
      </c>
      <c r="J3865" s="321">
        <v>0</v>
      </c>
      <c r="K3865" s="321">
        <f>+I3865+J3865</f>
        <v>203180</v>
      </c>
      <c r="L3865" s="1157">
        <v>9.0008999999999997</v>
      </c>
      <c r="M3865" s="1158"/>
      <c r="N3865" s="322">
        <f>+K3865/L3865</f>
        <v>22573.298225732982</v>
      </c>
    </row>
    <row r="3866" spans="2:16" ht="13.5" thickBot="1">
      <c r="B3866" s="1100" t="s">
        <v>269</v>
      </c>
      <c r="C3866" s="1101"/>
      <c r="D3866" s="1101"/>
      <c r="E3866" s="1101"/>
      <c r="F3866" s="1101"/>
      <c r="G3866" s="1101"/>
      <c r="H3866" s="1101"/>
      <c r="I3866" s="1101"/>
      <c r="J3866" s="1101"/>
      <c r="K3866" s="1101"/>
      <c r="L3866" s="1101"/>
      <c r="M3866" s="1102"/>
      <c r="N3866" s="323">
        <f>+N3865</f>
        <v>22573.298225732982</v>
      </c>
    </row>
    <row r="3867" spans="2:16" ht="13.5" thickBot="1">
      <c r="B3867" s="324" t="s">
        <v>288</v>
      </c>
      <c r="C3867" s="325"/>
      <c r="D3867" s="325"/>
      <c r="E3867" s="325"/>
      <c r="F3867" s="325"/>
      <c r="G3867" s="325"/>
      <c r="H3867" s="325"/>
      <c r="I3867" s="326"/>
      <c r="J3867" s="327"/>
      <c r="K3867" s="328"/>
      <c r="L3867" s="329"/>
      <c r="M3867" s="329"/>
      <c r="N3867" s="330"/>
    </row>
    <row r="3868" spans="2:16">
      <c r="B3868" s="1130" t="s">
        <v>17</v>
      </c>
      <c r="C3868" s="1139"/>
      <c r="D3868" s="1139"/>
      <c r="E3868" s="1139"/>
      <c r="F3868" s="1139"/>
      <c r="G3868" s="1139"/>
      <c r="H3868" s="1139"/>
      <c r="I3868" s="1136"/>
      <c r="J3868" s="299" t="s">
        <v>259</v>
      </c>
      <c r="K3868" s="288" t="s">
        <v>133</v>
      </c>
      <c r="L3868" s="1133" t="s">
        <v>271</v>
      </c>
      <c r="M3868" s="1136"/>
      <c r="N3868" s="316" t="s">
        <v>265</v>
      </c>
    </row>
    <row r="3869" spans="2:16" ht="13.5" thickBot="1">
      <c r="B3869" s="331" t="s">
        <v>289</v>
      </c>
      <c r="C3869" s="332"/>
      <c r="D3869" s="332"/>
      <c r="E3869" s="332"/>
      <c r="F3869" s="332"/>
      <c r="G3869" s="332"/>
      <c r="H3869" s="332"/>
      <c r="I3869" s="333"/>
      <c r="J3869" s="334" t="s">
        <v>290</v>
      </c>
      <c r="K3869" s="335">
        <v>0.05</v>
      </c>
      <c r="L3869" s="1144">
        <f>+N3866</f>
        <v>22573.298225732982</v>
      </c>
      <c r="M3869" s="1145"/>
      <c r="N3869" s="322">
        <f>+K3869*L3869</f>
        <v>1128.6649112866492</v>
      </c>
    </row>
    <row r="3870" spans="2:16" ht="13.5" thickBot="1">
      <c r="B3870" s="1100" t="s">
        <v>269</v>
      </c>
      <c r="C3870" s="1101"/>
      <c r="D3870" s="1101"/>
      <c r="E3870" s="1101"/>
      <c r="F3870" s="1101"/>
      <c r="G3870" s="1101"/>
      <c r="H3870" s="1101"/>
      <c r="I3870" s="1101"/>
      <c r="J3870" s="1101"/>
      <c r="K3870" s="1101"/>
      <c r="L3870" s="1101"/>
      <c r="M3870" s="1102"/>
      <c r="N3870" s="323">
        <f>+N3869</f>
        <v>1128.6649112866492</v>
      </c>
    </row>
    <row r="3871" spans="2:16">
      <c r="B3871" s="280"/>
      <c r="C3871" s="281"/>
      <c r="D3871" s="281"/>
      <c r="E3871" s="281"/>
      <c r="F3871" s="281"/>
      <c r="G3871" s="281"/>
      <c r="H3871" s="281"/>
      <c r="I3871" s="281"/>
      <c r="J3871" s="281"/>
      <c r="K3871" s="281"/>
      <c r="L3871" s="281"/>
      <c r="M3871" s="281"/>
      <c r="N3871" s="282"/>
      <c r="P3871" s="413">
        <v>32012000</v>
      </c>
    </row>
    <row r="3872" spans="2:16" ht="13.5" thickBot="1">
      <c r="B3872" s="378"/>
      <c r="C3872" s="311"/>
      <c r="D3872" s="311"/>
      <c r="E3872" s="311"/>
      <c r="F3872" s="311"/>
      <c r="G3872" s="311"/>
      <c r="H3872" s="311"/>
      <c r="I3872" s="311"/>
      <c r="J3872" s="311"/>
      <c r="K3872" s="311"/>
      <c r="L3872" s="311"/>
      <c r="M3872" s="311"/>
      <c r="N3872" s="379"/>
    </row>
    <row r="3873" spans="2:17" ht="13.5" thickBot="1">
      <c r="B3873" s="1150" t="s">
        <v>291</v>
      </c>
      <c r="C3873" s="1151"/>
      <c r="D3873" s="1151"/>
      <c r="E3873" s="1151"/>
      <c r="F3873" s="1151"/>
      <c r="G3873" s="1151"/>
      <c r="H3873" s="1151"/>
      <c r="I3873" s="1151"/>
      <c r="J3873" s="1151"/>
      <c r="K3873" s="1151"/>
      <c r="L3873" s="1151"/>
      <c r="M3873" s="1152"/>
      <c r="N3873" s="336">
        <f>+N3844+N3854+N3860+N3866+N3870</f>
        <v>80029.407150669635</v>
      </c>
      <c r="P3873" s="409">
        <f>+N3873*N3837</f>
        <v>32011762.860267855</v>
      </c>
      <c r="Q3873" s="413">
        <f>+P3873-P3871</f>
        <v>-237.13973214477301</v>
      </c>
    </row>
    <row r="3874" spans="2:17">
      <c r="B3874" s="1103" t="s">
        <v>292</v>
      </c>
      <c r="C3874" s="1104"/>
      <c r="D3874" s="1104"/>
      <c r="E3874" s="1104"/>
      <c r="F3874" s="1104"/>
      <c r="G3874" s="1104"/>
      <c r="H3874" s="1104"/>
      <c r="I3874" s="1104"/>
      <c r="J3874" s="1104"/>
      <c r="K3874" s="1104"/>
      <c r="L3874" s="1104"/>
      <c r="M3874" s="1104"/>
      <c r="N3874" s="1105"/>
    </row>
    <row r="3875" spans="2:17">
      <c r="B3875" s="1106"/>
      <c r="C3875" s="1107"/>
      <c r="D3875" s="1107"/>
      <c r="E3875" s="1107"/>
      <c r="F3875" s="1107"/>
      <c r="G3875" s="1107"/>
      <c r="H3875" s="1107"/>
      <c r="I3875" s="1107"/>
      <c r="J3875" s="1107"/>
      <c r="K3875" s="1107"/>
      <c r="L3875" s="1107"/>
      <c r="M3875" s="1107"/>
      <c r="N3875" s="1108"/>
    </row>
    <row r="3876" spans="2:17" ht="13.5" thickBot="1">
      <c r="B3876" s="1109"/>
      <c r="C3876" s="1110"/>
      <c r="D3876" s="1110"/>
      <c r="E3876" s="1110"/>
      <c r="F3876" s="1110"/>
      <c r="G3876" s="1110"/>
      <c r="H3876" s="1110"/>
      <c r="I3876" s="1110"/>
      <c r="J3876" s="1110"/>
      <c r="K3876" s="1110"/>
      <c r="L3876" s="1110"/>
      <c r="M3876" s="1110"/>
      <c r="N3876" s="1111"/>
    </row>
    <row r="3877" spans="2:17">
      <c r="B3877" s="1130" t="s">
        <v>17</v>
      </c>
      <c r="C3877" s="1139"/>
      <c r="D3877" s="1139"/>
      <c r="E3877" s="1139"/>
      <c r="F3877" s="1139"/>
      <c r="G3877" s="1139"/>
      <c r="H3877" s="1139"/>
      <c r="I3877" s="306"/>
      <c r="J3877" s="337"/>
      <c r="K3877" s="315" t="s">
        <v>79</v>
      </c>
      <c r="L3877" s="1140" t="s">
        <v>11</v>
      </c>
      <c r="M3877" s="1141"/>
      <c r="N3877" s="316"/>
    </row>
    <row r="3878" spans="2:17">
      <c r="B3878" s="1112" t="s">
        <v>232</v>
      </c>
      <c r="C3878" s="1113"/>
      <c r="D3878" s="1113"/>
      <c r="E3878" s="1113"/>
      <c r="F3878" s="1113"/>
      <c r="G3878" s="1113"/>
      <c r="H3878" s="1113"/>
      <c r="I3878" s="338"/>
      <c r="J3878" s="339"/>
      <c r="K3878" s="340">
        <f>'PRESUPUESTO OFICIAL'!$K$100</f>
        <v>0</v>
      </c>
      <c r="L3878" s="1146">
        <f>K3878*N3873</f>
        <v>0</v>
      </c>
      <c r="M3878" s="1147"/>
      <c r="N3878" s="341"/>
    </row>
    <row r="3879" spans="2:17">
      <c r="B3879" s="292" t="s">
        <v>293</v>
      </c>
      <c r="C3879" s="293"/>
      <c r="D3879" s="293"/>
      <c r="E3879" s="293"/>
      <c r="F3879" s="293"/>
      <c r="G3879" s="293"/>
      <c r="H3879" s="293"/>
      <c r="I3879" s="338"/>
      <c r="J3879" s="339"/>
      <c r="K3879" s="340">
        <f>'PRESUPUESTO OFICIAL'!$K$101</f>
        <v>0</v>
      </c>
      <c r="L3879" s="1146">
        <f>K3879*N3873</f>
        <v>0</v>
      </c>
      <c r="M3879" s="1147"/>
      <c r="N3879" s="341"/>
    </row>
    <row r="3880" spans="2:17" ht="13.5" thickBot="1">
      <c r="B3880" s="277" t="s">
        <v>294</v>
      </c>
      <c r="C3880" s="278"/>
      <c r="D3880" s="278"/>
      <c r="E3880" s="278"/>
      <c r="F3880" s="278"/>
      <c r="G3880" s="278"/>
      <c r="H3880" s="278"/>
      <c r="I3880" s="342"/>
      <c r="J3880" s="343"/>
      <c r="K3880" s="340">
        <f>'PRESUPUESTO OFICIAL'!$K$102</f>
        <v>0</v>
      </c>
      <c r="L3880" s="1148">
        <f>K3880*N3873</f>
        <v>0</v>
      </c>
      <c r="M3880" s="1149"/>
      <c r="N3880" s="341"/>
    </row>
    <row r="3881" spans="2:17" ht="13.5" thickBot="1">
      <c r="B3881" s="1100" t="s">
        <v>269</v>
      </c>
      <c r="C3881" s="1101"/>
      <c r="D3881" s="1101"/>
      <c r="E3881" s="1101"/>
      <c r="F3881" s="1101"/>
      <c r="G3881" s="1101"/>
      <c r="H3881" s="1101"/>
      <c r="I3881" s="1101"/>
      <c r="J3881" s="1101"/>
      <c r="K3881" s="1101"/>
      <c r="L3881" s="1101"/>
      <c r="M3881" s="1102"/>
      <c r="N3881" s="344">
        <f>SUM(L3878:M3880)</f>
        <v>0</v>
      </c>
    </row>
    <row r="3882" spans="2:17" ht="13.5" thickBot="1">
      <c r="B3882" s="283"/>
      <c r="N3882" s="284"/>
    </row>
    <row r="3883" spans="2:17" ht="13.5" thickBot="1">
      <c r="B3883" s="1150" t="s">
        <v>295</v>
      </c>
      <c r="C3883" s="1151"/>
      <c r="D3883" s="1151"/>
      <c r="E3883" s="1151"/>
      <c r="F3883" s="1151"/>
      <c r="G3883" s="1151"/>
      <c r="H3883" s="1151"/>
      <c r="I3883" s="1151"/>
      <c r="J3883" s="1151"/>
      <c r="K3883" s="1151"/>
      <c r="L3883" s="1151"/>
      <c r="M3883" s="1152"/>
      <c r="N3883" s="345">
        <f>ROUND(N3873+N3881,0)</f>
        <v>80029</v>
      </c>
    </row>
    <row r="3884" spans="2:17">
      <c r="B3884" s="280"/>
      <c r="C3884" s="281"/>
      <c r="D3884" s="281"/>
      <c r="E3884" s="281"/>
      <c r="F3884" s="281"/>
      <c r="G3884" s="281"/>
      <c r="H3884" s="281"/>
      <c r="I3884" s="281"/>
      <c r="J3884" s="281"/>
      <c r="K3884" s="281"/>
      <c r="L3884" s="281"/>
      <c r="M3884" s="281"/>
      <c r="N3884" s="282"/>
    </row>
    <row r="3885" spans="2:17">
      <c r="B3885" s="283"/>
      <c r="N3885" s="284"/>
    </row>
    <row r="3886" spans="2:17">
      <c r="B3886" s="283"/>
      <c r="N3886" s="284"/>
    </row>
    <row r="3887" spans="2:17">
      <c r="B3887" s="283"/>
      <c r="G3887" s="346" t="s">
        <v>296</v>
      </c>
      <c r="H3887" s="346"/>
      <c r="I3887" s="346"/>
      <c r="J3887" s="346"/>
      <c r="N3887" s="284"/>
    </row>
    <row r="3888" spans="2:17">
      <c r="B3888" s="347"/>
      <c r="C3888" s="348"/>
      <c r="D3888" s="348"/>
      <c r="E3888" s="348"/>
      <c r="F3888" s="348"/>
      <c r="G3888" s="346" t="s">
        <v>297</v>
      </c>
      <c r="H3888" s="348"/>
      <c r="I3888" s="348"/>
      <c r="J3888" s="348"/>
      <c r="K3888" s="348"/>
      <c r="L3888" s="348"/>
      <c r="M3888" s="348"/>
      <c r="N3888" s="349"/>
    </row>
    <row r="3889" spans="2:14">
      <c r="B3889" s="347"/>
      <c r="C3889" s="348"/>
      <c r="D3889" s="348"/>
      <c r="E3889" s="348"/>
      <c r="F3889" s="348"/>
      <c r="G3889" s="346" t="s">
        <v>298</v>
      </c>
      <c r="J3889" s="348"/>
      <c r="K3889" s="348"/>
      <c r="L3889" s="348"/>
      <c r="M3889" s="348"/>
      <c r="N3889" s="349"/>
    </row>
    <row r="3890" spans="2:14">
      <c r="B3890" s="268"/>
      <c r="C3890" s="350"/>
      <c r="D3890" s="350"/>
      <c r="E3890" s="350"/>
      <c r="F3890" s="350"/>
      <c r="G3890" s="346" t="s">
        <v>299</v>
      </c>
      <c r="H3890" s="350"/>
      <c r="I3890" s="350"/>
      <c r="J3890" s="350"/>
      <c r="K3890" s="350"/>
      <c r="L3890" s="350"/>
      <c r="M3890" s="350"/>
      <c r="N3890" s="351"/>
    </row>
    <row r="3891" spans="2:14">
      <c r="B3891" s="283"/>
      <c r="G3891" s="258" t="s">
        <v>300</v>
      </c>
      <c r="N3891" s="284"/>
    </row>
    <row r="3892" spans="2:14">
      <c r="B3892" s="352" t="s">
        <v>301</v>
      </c>
      <c r="C3892" s="353"/>
      <c r="D3892" s="353"/>
      <c r="E3892" s="353"/>
      <c r="F3892" s="353"/>
      <c r="G3892" s="353"/>
      <c r="H3892" s="353"/>
      <c r="I3892" s="353"/>
      <c r="J3892" s="353"/>
      <c r="K3892" s="353"/>
      <c r="L3892" s="353"/>
      <c r="M3892" s="353"/>
      <c r="N3892" s="354"/>
    </row>
    <row r="3893" spans="2:14">
      <c r="B3893" s="1153"/>
      <c r="C3893" s="1154"/>
      <c r="D3893" s="1154"/>
      <c r="E3893" s="1154"/>
      <c r="F3893" s="1154"/>
      <c r="G3893" s="1154"/>
      <c r="H3893" s="1154"/>
      <c r="I3893" s="1154"/>
      <c r="J3893" s="1154"/>
      <c r="K3893" s="1154"/>
      <c r="L3893" s="1154"/>
      <c r="M3893" s="1154"/>
      <c r="N3893" s="1155"/>
    </row>
    <row r="3894" spans="2:14">
      <c r="B3894" s="1153"/>
      <c r="C3894" s="1154"/>
      <c r="D3894" s="1154"/>
      <c r="E3894" s="1154"/>
      <c r="F3894" s="1154"/>
      <c r="G3894" s="1154"/>
      <c r="H3894" s="1154"/>
      <c r="I3894" s="1154"/>
      <c r="J3894" s="1154"/>
      <c r="K3894" s="1154"/>
      <c r="L3894" s="1154"/>
      <c r="M3894" s="1154"/>
      <c r="N3894" s="1155"/>
    </row>
    <row r="3895" spans="2:14">
      <c r="B3895" s="268"/>
      <c r="C3895" s="350"/>
      <c r="D3895" s="350"/>
      <c r="E3895" s="350"/>
      <c r="F3895" s="350"/>
      <c r="G3895" s="350"/>
      <c r="H3895" s="350"/>
      <c r="I3895" s="350"/>
      <c r="J3895" s="350"/>
      <c r="K3895" s="350"/>
      <c r="L3895" s="350"/>
      <c r="M3895" s="350"/>
      <c r="N3895" s="351"/>
    </row>
    <row r="3896" spans="2:14">
      <c r="B3896" s="355" t="s">
        <v>302</v>
      </c>
      <c r="C3896" s="350"/>
      <c r="D3896" s="350"/>
      <c r="E3896" s="350"/>
      <c r="F3896" s="350"/>
      <c r="G3896" s="350"/>
      <c r="H3896" s="350"/>
      <c r="I3896" s="350"/>
      <c r="J3896" s="350"/>
      <c r="K3896" s="350"/>
      <c r="L3896" s="350"/>
      <c r="M3896" s="350"/>
      <c r="N3896" s="351"/>
    </row>
    <row r="3897" spans="2:14">
      <c r="B3897" s="1159" t="s">
        <v>303</v>
      </c>
      <c r="C3897" s="1160"/>
      <c r="D3897" s="1160"/>
      <c r="E3897" s="1160"/>
      <c r="F3897" s="1160"/>
      <c r="G3897" s="1160"/>
      <c r="H3897" s="1160"/>
      <c r="I3897" s="1160"/>
      <c r="J3897" s="1160"/>
      <c r="K3897" s="1160"/>
      <c r="L3897" s="1160"/>
      <c r="M3897" s="1160"/>
      <c r="N3897" s="1161"/>
    </row>
    <row r="3898" spans="2:14">
      <c r="B3898" s="1159"/>
      <c r="C3898" s="1160"/>
      <c r="D3898" s="1160"/>
      <c r="E3898" s="1160"/>
      <c r="F3898" s="1160"/>
      <c r="G3898" s="1160"/>
      <c r="H3898" s="1160"/>
      <c r="I3898" s="1160"/>
      <c r="J3898" s="1160"/>
      <c r="K3898" s="1160"/>
      <c r="L3898" s="1160"/>
      <c r="M3898" s="1160"/>
      <c r="N3898" s="1161"/>
    </row>
    <row r="3899" spans="2:14">
      <c r="B3899" s="1159" t="s">
        <v>304</v>
      </c>
      <c r="C3899" s="1160"/>
      <c r="D3899" s="1160"/>
      <c r="E3899" s="1160"/>
      <c r="F3899" s="1160"/>
      <c r="G3899" s="1160"/>
      <c r="H3899" s="1160"/>
      <c r="I3899" s="1160"/>
      <c r="J3899" s="1160"/>
      <c r="K3899" s="1160"/>
      <c r="L3899" s="1160"/>
      <c r="M3899" s="1160"/>
      <c r="N3899" s="1161"/>
    </row>
    <row r="3900" spans="2:14">
      <c r="B3900" s="1159"/>
      <c r="C3900" s="1160"/>
      <c r="D3900" s="1160"/>
      <c r="E3900" s="1160"/>
      <c r="F3900" s="1160"/>
      <c r="G3900" s="1160"/>
      <c r="H3900" s="1160"/>
      <c r="I3900" s="1160"/>
      <c r="J3900" s="1160"/>
      <c r="K3900" s="1160"/>
      <c r="L3900" s="1160"/>
      <c r="M3900" s="1160"/>
      <c r="N3900" s="1161"/>
    </row>
    <row r="3901" spans="2:14">
      <c r="B3901" s="268"/>
      <c r="C3901" s="350"/>
      <c r="D3901" s="350"/>
      <c r="E3901" s="350"/>
      <c r="F3901" s="350"/>
      <c r="G3901" s="350"/>
      <c r="H3901" s="350"/>
      <c r="I3901" s="350"/>
      <c r="J3901" s="350"/>
      <c r="K3901" s="350"/>
      <c r="L3901" s="350"/>
      <c r="M3901" s="350"/>
      <c r="N3901" s="351"/>
    </row>
    <row r="3902" spans="2:14">
      <c r="B3902" s="283"/>
      <c r="G3902" s="346" t="s">
        <v>296</v>
      </c>
      <c r="N3902" s="284"/>
    </row>
    <row r="3903" spans="2:14">
      <c r="B3903" s="283"/>
      <c r="G3903" s="258" t="s">
        <v>305</v>
      </c>
      <c r="H3903" s="293"/>
      <c r="I3903" s="293"/>
      <c r="J3903" s="293"/>
      <c r="N3903" s="284"/>
    </row>
    <row r="3904" spans="2:14">
      <c r="B3904" s="283"/>
      <c r="G3904" s="258" t="s">
        <v>306</v>
      </c>
      <c r="H3904" s="325"/>
      <c r="I3904" s="325"/>
      <c r="J3904" s="325"/>
      <c r="N3904" s="284"/>
    </row>
    <row r="3905" spans="2:14">
      <c r="B3905" s="356"/>
      <c r="C3905" s="350"/>
      <c r="D3905" s="350"/>
      <c r="E3905" s="350"/>
      <c r="F3905" s="350"/>
      <c r="G3905" s="258" t="s">
        <v>299</v>
      </c>
      <c r="K3905" s="350"/>
      <c r="L3905" s="350"/>
      <c r="M3905" s="350"/>
      <c r="N3905" s="351"/>
    </row>
    <row r="3906" spans="2:14">
      <c r="B3906" s="357"/>
      <c r="C3906" s="358"/>
      <c r="D3906" s="358"/>
      <c r="J3906" s="1162"/>
      <c r="K3906" s="1162"/>
      <c r="L3906" s="1162"/>
      <c r="M3906" s="1162"/>
      <c r="N3906" s="1163"/>
    </row>
    <row r="3907" spans="2:14" ht="13.5" thickBot="1">
      <c r="B3907" s="1166"/>
      <c r="C3907" s="1167"/>
      <c r="D3907" s="1167"/>
      <c r="E3907" s="311"/>
      <c r="F3907" s="311"/>
      <c r="G3907" s="311"/>
      <c r="H3907" s="311"/>
      <c r="I3907" s="311"/>
      <c r="J3907" s="1164"/>
      <c r="K3907" s="1164"/>
      <c r="L3907" s="1164"/>
      <c r="M3907" s="1164"/>
      <c r="N3907" s="1165"/>
    </row>
    <row r="3908" spans="2:14" ht="13.5" thickBot="1"/>
    <row r="3909" spans="2:14">
      <c r="B3909" s="1070"/>
      <c r="C3909" s="1072"/>
      <c r="D3909" s="1073"/>
      <c r="E3909" s="1073"/>
      <c r="F3909" s="1073"/>
      <c r="G3909" s="1073"/>
      <c r="H3909" s="1073"/>
      <c r="I3909" s="1073"/>
      <c r="J3909" s="1074"/>
      <c r="K3909" s="1075"/>
      <c r="L3909" s="1076"/>
      <c r="M3909" s="1076"/>
      <c r="N3909" s="1077"/>
    </row>
    <row r="3910" spans="2:14">
      <c r="B3910" s="1071"/>
      <c r="C3910" s="1062" t="s">
        <v>244</v>
      </c>
      <c r="D3910" s="1063"/>
      <c r="E3910" s="1063"/>
      <c r="F3910" s="1063"/>
      <c r="G3910" s="1063"/>
      <c r="H3910" s="1063"/>
      <c r="I3910" s="1063"/>
      <c r="J3910" s="1064"/>
      <c r="K3910" s="1078"/>
      <c r="L3910" s="1079"/>
      <c r="M3910" s="1079"/>
      <c r="N3910" s="1080"/>
    </row>
    <row r="3911" spans="2:14">
      <c r="B3911" s="1071"/>
      <c r="C3911" s="1081"/>
      <c r="D3911" s="1082"/>
      <c r="E3911" s="1082"/>
      <c r="F3911" s="1082"/>
      <c r="G3911" s="1082"/>
      <c r="H3911" s="1082"/>
      <c r="I3911" s="1082"/>
      <c r="J3911" s="1083"/>
      <c r="K3911" s="1058" t="s">
        <v>245</v>
      </c>
      <c r="L3911" s="1085"/>
      <c r="M3911" s="1086"/>
      <c r="N3911" s="1087"/>
    </row>
    <row r="3912" spans="2:14">
      <c r="B3912" s="1071"/>
      <c r="C3912" s="1062" t="s">
        <v>246</v>
      </c>
      <c r="D3912" s="1063"/>
      <c r="E3912" s="1063"/>
      <c r="F3912" s="1063"/>
      <c r="G3912" s="1063"/>
      <c r="H3912" s="1063"/>
      <c r="I3912" s="1063"/>
      <c r="J3912" s="1064"/>
      <c r="K3912" s="1084"/>
      <c r="L3912" s="1088"/>
      <c r="M3912" s="1089"/>
      <c r="N3912" s="1090"/>
    </row>
    <row r="3913" spans="2:14">
      <c r="B3913" s="1071"/>
      <c r="C3913" s="1091"/>
      <c r="D3913" s="1092"/>
      <c r="E3913" s="1092"/>
      <c r="F3913" s="1092"/>
      <c r="G3913" s="1092"/>
      <c r="H3913" s="1092"/>
      <c r="I3913" s="1092"/>
      <c r="J3913" s="1093"/>
      <c r="K3913" s="1058" t="s">
        <v>247</v>
      </c>
      <c r="L3913" s="1058">
        <v>44</v>
      </c>
      <c r="M3913" s="1058" t="s">
        <v>248</v>
      </c>
      <c r="N3913" s="1060">
        <v>80</v>
      </c>
    </row>
    <row r="3914" spans="2:14">
      <c r="B3914" s="1071"/>
      <c r="C3914" s="1091"/>
      <c r="D3914" s="1092"/>
      <c r="E3914" s="1092"/>
      <c r="F3914" s="1092"/>
      <c r="G3914" s="1092"/>
      <c r="H3914" s="1092"/>
      <c r="I3914" s="1092"/>
      <c r="J3914" s="1093"/>
      <c r="K3914" s="1059"/>
      <c r="L3914" s="1059"/>
      <c r="M3914" s="1059"/>
      <c r="N3914" s="1061"/>
    </row>
    <row r="3915" spans="2:14">
      <c r="B3915" s="1071"/>
      <c r="C3915" s="1062" t="s">
        <v>249</v>
      </c>
      <c r="D3915" s="1063"/>
      <c r="E3915" s="1063"/>
      <c r="F3915" s="1063"/>
      <c r="G3915" s="1063"/>
      <c r="H3915" s="1063"/>
      <c r="I3915" s="1063"/>
      <c r="J3915" s="1064"/>
      <c r="K3915" s="1059"/>
      <c r="L3915" s="1059"/>
      <c r="M3915" s="1059"/>
      <c r="N3915" s="1061"/>
    </row>
    <row r="3916" spans="2:14" ht="13.5" thickBot="1">
      <c r="B3916" s="259"/>
      <c r="C3916" s="260"/>
      <c r="D3916" s="260"/>
      <c r="E3916" s="260"/>
      <c r="F3916" s="260"/>
      <c r="G3916" s="260"/>
      <c r="H3916" s="260"/>
      <c r="I3916" s="260"/>
      <c r="J3916" s="260"/>
      <c r="K3916" s="260"/>
      <c r="L3916" s="261"/>
      <c r="M3916" s="261"/>
      <c r="N3916" s="262"/>
    </row>
    <row r="3917" spans="2:14">
      <c r="B3917" s="263"/>
      <c r="C3917" s="264"/>
      <c r="D3917" s="264"/>
      <c r="E3917" s="264"/>
      <c r="F3917" s="264"/>
      <c r="G3917" s="264"/>
      <c r="H3917" s="264"/>
      <c r="I3917" s="264"/>
      <c r="J3917" s="264"/>
      <c r="K3917" s="265" t="s">
        <v>250</v>
      </c>
      <c r="L3917" s="266" t="s">
        <v>251</v>
      </c>
      <c r="M3917" s="266" t="s">
        <v>252</v>
      </c>
      <c r="N3917" s="267" t="s">
        <v>253</v>
      </c>
    </row>
    <row r="3918" spans="2:14">
      <c r="B3918" s="268"/>
      <c r="C3918" s="269"/>
      <c r="D3918" s="269"/>
      <c r="E3918" s="269"/>
      <c r="F3918" s="269"/>
      <c r="G3918" s="269"/>
      <c r="H3918" s="269"/>
      <c r="I3918" s="269"/>
      <c r="J3918" s="269"/>
      <c r="K3918" s="270"/>
      <c r="L3918" s="271"/>
      <c r="M3918" s="271"/>
      <c r="N3918" s="272"/>
    </row>
    <row r="3919" spans="2:14">
      <c r="B3919" s="1065" t="s">
        <v>254</v>
      </c>
      <c r="C3919" s="1066"/>
      <c r="D3919" s="1066"/>
      <c r="E3919" s="1066"/>
      <c r="F3919" s="269"/>
      <c r="G3919" s="269"/>
      <c r="H3919" s="269" t="s">
        <v>255</v>
      </c>
      <c r="J3919" s="269"/>
      <c r="K3919" s="270"/>
      <c r="N3919" s="273"/>
    </row>
    <row r="3920" spans="2:14">
      <c r="B3920" s="274"/>
      <c r="C3920" s="275"/>
      <c r="D3920" s="275"/>
      <c r="E3920" s="275"/>
      <c r="F3920" s="275"/>
      <c r="G3920" s="275"/>
      <c r="H3920" s="275"/>
      <c r="I3920" s="275"/>
      <c r="J3920" s="275"/>
      <c r="K3920" s="275"/>
      <c r="L3920" s="275"/>
      <c r="M3920" s="275"/>
      <c r="N3920" s="276"/>
    </row>
    <row r="3921" spans="2:14" ht="13.5" thickBot="1">
      <c r="B3921" s="277"/>
      <c r="C3921" s="278"/>
      <c r="D3921" s="278"/>
      <c r="E3921" s="278"/>
      <c r="F3921" s="278"/>
      <c r="G3921" s="278"/>
      <c r="H3921" s="278"/>
      <c r="I3921" s="278"/>
      <c r="J3921" s="278"/>
      <c r="K3921" s="278"/>
      <c r="L3921" s="278"/>
      <c r="M3921" s="278"/>
      <c r="N3921" s="279"/>
    </row>
    <row r="3922" spans="2:14" ht="13.5" thickBot="1">
      <c r="B3922" s="280"/>
      <c r="C3922" s="281"/>
      <c r="D3922" s="281"/>
      <c r="E3922" s="281"/>
      <c r="F3922" s="281"/>
      <c r="G3922" s="281"/>
      <c r="J3922" s="281"/>
      <c r="K3922" s="281"/>
      <c r="L3922" s="281"/>
      <c r="M3922" s="281"/>
      <c r="N3922" s="282"/>
    </row>
    <row r="3923" spans="2:14">
      <c r="B3923" s="1067" t="s">
        <v>256</v>
      </c>
      <c r="C3923" s="1068"/>
      <c r="D3923" s="1068"/>
      <c r="E3923" s="1068"/>
      <c r="F3923" s="1068"/>
      <c r="G3923" s="1068"/>
      <c r="H3923" s="1068"/>
      <c r="I3923" s="1068"/>
      <c r="J3923" s="1068"/>
      <c r="K3923" s="1068"/>
      <c r="L3923" s="1068"/>
      <c r="M3923" s="1068"/>
      <c r="N3923" s="1069"/>
    </row>
    <row r="3924" spans="2:14" ht="13.5" thickBot="1">
      <c r="B3924" s="283"/>
      <c r="N3924" s="284"/>
    </row>
    <row r="3925" spans="2:14">
      <c r="B3925" s="285" t="s">
        <v>257</v>
      </c>
      <c r="C3925" s="1120" t="s">
        <v>258</v>
      </c>
      <c r="D3925" s="1121"/>
      <c r="E3925" s="1121"/>
      <c r="F3925" s="1121"/>
      <c r="G3925" s="1121"/>
      <c r="H3925" s="1121"/>
      <c r="I3925" s="1121"/>
      <c r="J3925" s="1121"/>
      <c r="K3925" s="1122"/>
      <c r="L3925" s="1123" t="s">
        <v>259</v>
      </c>
      <c r="M3925" s="1124"/>
      <c r="N3925" s="285" t="s">
        <v>133</v>
      </c>
    </row>
    <row r="3926" spans="2:14" ht="13.5" thickBot="1">
      <c r="B3926" s="286">
        <v>44</v>
      </c>
      <c r="C3926" s="1125" t="s">
        <v>185</v>
      </c>
      <c r="D3926" s="1126"/>
      <c r="E3926" s="1126"/>
      <c r="F3926" s="1126"/>
      <c r="G3926" s="1126"/>
      <c r="H3926" s="1126"/>
      <c r="I3926" s="1126"/>
      <c r="J3926" s="1126"/>
      <c r="K3926" s="1127"/>
      <c r="L3926" s="1128" t="s">
        <v>141</v>
      </c>
      <c r="M3926" s="1129"/>
      <c r="N3926" s="366">
        <v>50</v>
      </c>
    </row>
    <row r="3927" spans="2:14">
      <c r="B3927" s="1103"/>
      <c r="C3927" s="1104"/>
      <c r="D3927" s="1104"/>
      <c r="E3927" s="1104"/>
      <c r="F3927" s="1104"/>
      <c r="G3927" s="1104"/>
      <c r="H3927" s="1104"/>
      <c r="I3927" s="1104"/>
      <c r="J3927" s="1104"/>
      <c r="K3927" s="1104"/>
      <c r="L3927" s="1104"/>
      <c r="M3927" s="1104"/>
      <c r="N3927" s="1105"/>
    </row>
    <row r="3928" spans="2:14">
      <c r="B3928" s="1106"/>
      <c r="C3928" s="1107"/>
      <c r="D3928" s="1107"/>
      <c r="E3928" s="1107"/>
      <c r="F3928" s="1107"/>
      <c r="G3928" s="1107"/>
      <c r="H3928" s="1107"/>
      <c r="I3928" s="1107"/>
      <c r="J3928" s="1107"/>
      <c r="K3928" s="1107"/>
      <c r="L3928" s="1107"/>
      <c r="M3928" s="1107"/>
      <c r="N3928" s="1108"/>
    </row>
    <row r="3929" spans="2:14" ht="13.5" thickBot="1">
      <c r="B3929" s="1109"/>
      <c r="C3929" s="1110"/>
      <c r="D3929" s="1110"/>
      <c r="E3929" s="1110"/>
      <c r="F3929" s="1110"/>
      <c r="G3929" s="1110"/>
      <c r="H3929" s="1110"/>
      <c r="I3929" s="1110"/>
      <c r="J3929" s="1110"/>
      <c r="K3929" s="1110"/>
      <c r="L3929" s="1110"/>
      <c r="M3929" s="1110"/>
      <c r="N3929" s="1111"/>
    </row>
    <row r="3930" spans="2:14">
      <c r="B3930" s="1130" t="s">
        <v>258</v>
      </c>
      <c r="C3930" s="1131"/>
      <c r="D3930" s="1131"/>
      <c r="E3930" s="1131"/>
      <c r="F3930" s="1132"/>
      <c r="G3930" s="1133" t="s">
        <v>261</v>
      </c>
      <c r="H3930" s="1131"/>
      <c r="I3930" s="1134" t="s">
        <v>262</v>
      </c>
      <c r="J3930" s="1135"/>
      <c r="K3930" s="288" t="s">
        <v>263</v>
      </c>
      <c r="L3930" s="1133" t="s">
        <v>264</v>
      </c>
      <c r="M3930" s="1136"/>
      <c r="N3930" s="289" t="s">
        <v>265</v>
      </c>
    </row>
    <row r="3931" spans="2:14">
      <c r="B3931" s="1179" t="s">
        <v>327</v>
      </c>
      <c r="C3931" s="1180"/>
      <c r="D3931" s="1180"/>
      <c r="E3931" s="1180"/>
      <c r="F3931" s="1181"/>
      <c r="G3931" s="295"/>
      <c r="H3931" s="294"/>
      <c r="I3931" s="1182" t="s">
        <v>267</v>
      </c>
      <c r="J3931" s="1183"/>
      <c r="K3931" s="290">
        <v>333</v>
      </c>
      <c r="L3931" s="1118">
        <v>0.34482800000000002</v>
      </c>
      <c r="M3931" s="1119"/>
      <c r="N3931" s="290">
        <f t="shared" ref="N3931:N3937" si="0">+K3931/L3931</f>
        <v>965.69884116139053</v>
      </c>
    </row>
    <row r="3932" spans="2:14">
      <c r="B3932" s="1179" t="s">
        <v>357</v>
      </c>
      <c r="C3932" s="1180"/>
      <c r="D3932" s="1180"/>
      <c r="E3932" s="1180"/>
      <c r="F3932" s="1181"/>
      <c r="G3932" s="295"/>
      <c r="H3932" s="294"/>
      <c r="I3932" s="1182" t="s">
        <v>267</v>
      </c>
      <c r="J3932" s="1183"/>
      <c r="K3932" s="290">
        <v>666</v>
      </c>
      <c r="L3932" s="1118">
        <v>10</v>
      </c>
      <c r="M3932" s="1119"/>
      <c r="N3932" s="290">
        <f t="shared" si="0"/>
        <v>66.599999999999994</v>
      </c>
    </row>
    <row r="3933" spans="2:14">
      <c r="B3933" s="1179" t="s">
        <v>365</v>
      </c>
      <c r="C3933" s="1180"/>
      <c r="D3933" s="1180"/>
      <c r="E3933" s="1180"/>
      <c r="F3933" s="1181"/>
      <c r="G3933" s="295"/>
      <c r="H3933" s="294"/>
      <c r="I3933" s="1182" t="s">
        <v>267</v>
      </c>
      <c r="J3933" s="1183"/>
      <c r="K3933" s="290">
        <v>23780</v>
      </c>
      <c r="L3933" s="1118">
        <v>33.333333000000003</v>
      </c>
      <c r="M3933" s="1119"/>
      <c r="N3933" s="290">
        <f t="shared" si="0"/>
        <v>713.40000713400002</v>
      </c>
    </row>
    <row r="3934" spans="2:14">
      <c r="B3934" s="1179" t="s">
        <v>359</v>
      </c>
      <c r="C3934" s="1180"/>
      <c r="D3934" s="1180"/>
      <c r="E3934" s="1180"/>
      <c r="F3934" s="1181"/>
      <c r="G3934" s="295"/>
      <c r="H3934" s="294"/>
      <c r="I3934" s="1182" t="s">
        <v>267</v>
      </c>
      <c r="J3934" s="1183"/>
      <c r="K3934" s="290">
        <v>650</v>
      </c>
      <c r="L3934" s="1118">
        <v>0.4</v>
      </c>
      <c r="M3934" s="1119"/>
      <c r="N3934" s="290">
        <f t="shared" si="0"/>
        <v>1625</v>
      </c>
    </row>
    <row r="3935" spans="2:14">
      <c r="B3935" s="1179" t="s">
        <v>319</v>
      </c>
      <c r="C3935" s="1180"/>
      <c r="D3935" s="1180"/>
      <c r="E3935" s="1180"/>
      <c r="F3935" s="1181"/>
      <c r="G3935" s="295"/>
      <c r="H3935" s="294"/>
      <c r="I3935" s="1182" t="s">
        <v>267</v>
      </c>
      <c r="J3935" s="1183"/>
      <c r="K3935" s="290">
        <v>464</v>
      </c>
      <c r="L3935" s="1118">
        <v>7.1429000000000006E-2</v>
      </c>
      <c r="M3935" s="1119"/>
      <c r="N3935" s="290">
        <f t="shared" si="0"/>
        <v>6495.961024233854</v>
      </c>
    </row>
    <row r="3936" spans="2:14">
      <c r="B3936" s="1179" t="s">
        <v>355</v>
      </c>
      <c r="C3936" s="1180"/>
      <c r="D3936" s="1180"/>
      <c r="E3936" s="1180"/>
      <c r="F3936" s="1181"/>
      <c r="G3936" s="295"/>
      <c r="H3936" s="294"/>
      <c r="I3936" s="1182" t="s">
        <v>267</v>
      </c>
      <c r="J3936" s="1183"/>
      <c r="K3936" s="290">
        <v>333</v>
      </c>
      <c r="L3936" s="1118">
        <v>0.35714299999999999</v>
      </c>
      <c r="M3936" s="1119"/>
      <c r="N3936" s="290">
        <f t="shared" si="0"/>
        <v>932.3996270401492</v>
      </c>
    </row>
    <row r="3937" spans="2:14" ht="13.5" thickBot="1">
      <c r="B3937" s="1179" t="s">
        <v>340</v>
      </c>
      <c r="C3937" s="1180"/>
      <c r="D3937" s="1180"/>
      <c r="E3937" s="1180"/>
      <c r="F3937" s="1181"/>
      <c r="G3937" s="295"/>
      <c r="H3937" s="294"/>
      <c r="I3937" s="1182" t="s">
        <v>267</v>
      </c>
      <c r="J3937" s="1183"/>
      <c r="K3937" s="290">
        <v>45220</v>
      </c>
      <c r="L3937" s="1118">
        <v>20</v>
      </c>
      <c r="M3937" s="1119"/>
      <c r="N3937" s="290">
        <f t="shared" si="0"/>
        <v>2261</v>
      </c>
    </row>
    <row r="3938" spans="2:14" ht="13.5" thickBot="1">
      <c r="B3938" s="1100" t="s">
        <v>269</v>
      </c>
      <c r="C3938" s="1101"/>
      <c r="D3938" s="1101"/>
      <c r="E3938" s="1101"/>
      <c r="F3938" s="1101"/>
      <c r="G3938" s="1101"/>
      <c r="H3938" s="1101"/>
      <c r="I3938" s="1101"/>
      <c r="J3938" s="1101"/>
      <c r="K3938" s="1101"/>
      <c r="L3938" s="1101"/>
      <c r="M3938" s="1102"/>
      <c r="N3938" s="323">
        <f>+N3931+N3932+N3933+N3934+N3935+N3936+N3937</f>
        <v>13060.059499569394</v>
      </c>
    </row>
    <row r="3939" spans="2:14">
      <c r="B3939" s="1103" t="s">
        <v>270</v>
      </c>
      <c r="C3939" s="1104"/>
      <c r="D3939" s="1104"/>
      <c r="E3939" s="1104"/>
      <c r="F3939" s="1104"/>
      <c r="G3939" s="1104"/>
      <c r="H3939" s="1104"/>
      <c r="I3939" s="1104"/>
      <c r="J3939" s="1104"/>
      <c r="K3939" s="1104"/>
      <c r="L3939" s="1104"/>
      <c r="M3939" s="1104"/>
      <c r="N3939" s="1105"/>
    </row>
    <row r="3940" spans="2:14">
      <c r="B3940" s="1106"/>
      <c r="C3940" s="1107"/>
      <c r="D3940" s="1107"/>
      <c r="E3940" s="1107"/>
      <c r="F3940" s="1107"/>
      <c r="G3940" s="1107"/>
      <c r="H3940" s="1107"/>
      <c r="I3940" s="1107"/>
      <c r="J3940" s="1107"/>
      <c r="K3940" s="1107"/>
      <c r="L3940" s="1107"/>
      <c r="M3940" s="1107"/>
      <c r="N3940" s="1108"/>
    </row>
    <row r="3941" spans="2:14" ht="13.5" thickBot="1">
      <c r="B3941" s="1109"/>
      <c r="C3941" s="1110"/>
      <c r="D3941" s="1110"/>
      <c r="E3941" s="1110"/>
      <c r="F3941" s="1110"/>
      <c r="G3941" s="1110"/>
      <c r="H3941" s="1110"/>
      <c r="I3941" s="1110"/>
      <c r="J3941" s="1110"/>
      <c r="K3941" s="1110"/>
      <c r="L3941" s="1110"/>
      <c r="M3941" s="1110"/>
      <c r="N3941" s="1111"/>
    </row>
    <row r="3942" spans="2:14">
      <c r="B3942" s="1130" t="s">
        <v>258</v>
      </c>
      <c r="C3942" s="1139"/>
      <c r="D3942" s="1139"/>
      <c r="E3942" s="1139"/>
      <c r="F3942" s="1139"/>
      <c r="G3942" s="1139"/>
      <c r="H3942" s="1139"/>
      <c r="I3942" s="1136"/>
      <c r="J3942" s="299" t="s">
        <v>259</v>
      </c>
      <c r="K3942" s="288" t="s">
        <v>133</v>
      </c>
      <c r="L3942" s="1133" t="s">
        <v>271</v>
      </c>
      <c r="M3942" s="1136"/>
      <c r="N3942" s="289" t="s">
        <v>265</v>
      </c>
    </row>
    <row r="3943" spans="2:14">
      <c r="B3943" s="402" t="s">
        <v>363</v>
      </c>
      <c r="C3943" s="353"/>
      <c r="D3943" s="353"/>
      <c r="E3943" s="353"/>
      <c r="F3943" s="353"/>
      <c r="G3943" s="353"/>
      <c r="H3943" s="353"/>
      <c r="I3943" s="403"/>
      <c r="J3943" s="303" t="s">
        <v>147</v>
      </c>
      <c r="K3943" s="392">
        <v>0.105</v>
      </c>
      <c r="L3943" s="1144">
        <v>369520</v>
      </c>
      <c r="M3943" s="1145"/>
      <c r="N3943" s="363">
        <f>+K3943*L3943</f>
        <v>38799.599999999999</v>
      </c>
    </row>
    <row r="3944" spans="2:14">
      <c r="B3944" s="402" t="s">
        <v>352</v>
      </c>
      <c r="C3944" s="353"/>
      <c r="D3944" s="353"/>
      <c r="E3944" s="353"/>
      <c r="F3944" s="353"/>
      <c r="G3944" s="353"/>
      <c r="H3944" s="353"/>
      <c r="I3944" s="403"/>
      <c r="J3944" s="303" t="s">
        <v>196</v>
      </c>
      <c r="K3944" s="392">
        <v>1.33</v>
      </c>
      <c r="L3944" s="1144">
        <v>21420</v>
      </c>
      <c r="M3944" s="1145">
        <v>82007</v>
      </c>
      <c r="N3944" s="363">
        <f>+K3944*L3944</f>
        <v>28488.600000000002</v>
      </c>
    </row>
    <row r="3945" spans="2:14" ht="13.5" thickBot="1">
      <c r="B3945" s="402"/>
      <c r="C3945" s="353"/>
      <c r="D3945" s="353"/>
      <c r="E3945" s="353"/>
      <c r="F3945" s="353"/>
      <c r="G3945" s="353"/>
      <c r="H3945" s="353"/>
      <c r="I3945" s="403"/>
      <c r="J3945" s="303"/>
      <c r="K3945" s="392"/>
      <c r="L3945" s="1189"/>
      <c r="M3945" s="1190"/>
      <c r="N3945" s="363">
        <f>+K3945*L3945</f>
        <v>0</v>
      </c>
    </row>
    <row r="3946" spans="2:14" ht="13.5" thickBot="1">
      <c r="B3946" s="1100" t="s">
        <v>269</v>
      </c>
      <c r="C3946" s="1101"/>
      <c r="D3946" s="1101"/>
      <c r="E3946" s="1101"/>
      <c r="F3946" s="1101"/>
      <c r="G3946" s="1101"/>
      <c r="H3946" s="1101"/>
      <c r="I3946" s="1101"/>
      <c r="J3946" s="1101"/>
      <c r="K3946" s="1101"/>
      <c r="L3946" s="1101"/>
      <c r="M3946" s="1102"/>
      <c r="N3946" s="323">
        <f>+N3943+N3944</f>
        <v>67288.2</v>
      </c>
    </row>
    <row r="3947" spans="2:14">
      <c r="B3947" s="1103"/>
      <c r="C3947" s="1104"/>
      <c r="D3947" s="1104"/>
      <c r="E3947" s="1104"/>
      <c r="F3947" s="1104"/>
      <c r="G3947" s="1104"/>
      <c r="H3947" s="1104"/>
      <c r="I3947" s="1104"/>
      <c r="J3947" s="1104"/>
      <c r="K3947" s="1104"/>
      <c r="L3947" s="1104"/>
      <c r="M3947" s="1104"/>
      <c r="N3947" s="1105"/>
    </row>
    <row r="3948" spans="2:14">
      <c r="B3948" s="1106"/>
      <c r="C3948" s="1107"/>
      <c r="D3948" s="1107"/>
      <c r="E3948" s="1107"/>
      <c r="F3948" s="1107"/>
      <c r="G3948" s="1107"/>
      <c r="H3948" s="1107"/>
      <c r="I3948" s="1107"/>
      <c r="J3948" s="1107"/>
      <c r="K3948" s="1107"/>
      <c r="L3948" s="1107"/>
      <c r="M3948" s="1107"/>
      <c r="N3948" s="1108"/>
    </row>
    <row r="3949" spans="2:14" ht="13.5" thickBot="1">
      <c r="B3949" s="1109"/>
      <c r="C3949" s="1110"/>
      <c r="D3949" s="1110"/>
      <c r="E3949" s="1110"/>
      <c r="F3949" s="1110"/>
      <c r="G3949" s="1110"/>
      <c r="H3949" s="1110"/>
      <c r="I3949" s="1110"/>
      <c r="J3949" s="1110"/>
      <c r="K3949" s="1110"/>
      <c r="L3949" s="1110"/>
      <c r="M3949" s="1110"/>
      <c r="N3949" s="1111"/>
    </row>
    <row r="3950" spans="2:14">
      <c r="B3950" s="1130" t="s">
        <v>277</v>
      </c>
      <c r="C3950" s="1139"/>
      <c r="D3950" s="1139"/>
      <c r="E3950" s="1139"/>
      <c r="F3950" s="1139"/>
      <c r="G3950" s="1139"/>
      <c r="H3950" s="1139"/>
      <c r="I3950" s="288" t="s">
        <v>278</v>
      </c>
      <c r="J3950" s="306" t="s">
        <v>279</v>
      </c>
      <c r="K3950" s="307" t="s">
        <v>280</v>
      </c>
      <c r="L3950" s="1133" t="s">
        <v>281</v>
      </c>
      <c r="M3950" s="1136"/>
      <c r="N3950" s="289" t="s">
        <v>265</v>
      </c>
    </row>
    <row r="3951" spans="2:14" ht="13.5" thickBot="1">
      <c r="B3951" s="1112"/>
      <c r="C3951" s="1113"/>
      <c r="D3951" s="1113"/>
      <c r="E3951" s="1113"/>
      <c r="F3951" s="1113"/>
      <c r="G3951" s="1113"/>
      <c r="H3951" s="1113"/>
      <c r="I3951" s="393"/>
      <c r="J3951" s="309"/>
      <c r="K3951" s="308"/>
      <c r="L3951" s="1144"/>
      <c r="M3951" s="1145"/>
      <c r="N3951" s="363"/>
    </row>
    <row r="3952" spans="2:14" ht="13.5" thickBot="1">
      <c r="B3952" s="1100" t="s">
        <v>269</v>
      </c>
      <c r="C3952" s="1101"/>
      <c r="D3952" s="1101"/>
      <c r="E3952" s="1101"/>
      <c r="F3952" s="1101"/>
      <c r="G3952" s="1101"/>
      <c r="H3952" s="1101"/>
      <c r="I3952" s="1101"/>
      <c r="J3952" s="1101"/>
      <c r="K3952" s="1101"/>
      <c r="L3952" s="1101"/>
      <c r="M3952" s="1102"/>
      <c r="N3952" s="323">
        <f>+N3951</f>
        <v>0</v>
      </c>
    </row>
    <row r="3953" spans="2:17">
      <c r="B3953" s="1103" t="s">
        <v>282</v>
      </c>
      <c r="C3953" s="1104"/>
      <c r="D3953" s="1104"/>
      <c r="E3953" s="1104"/>
      <c r="F3953" s="1104"/>
      <c r="G3953" s="1104"/>
      <c r="H3953" s="1104"/>
      <c r="I3953" s="1104"/>
      <c r="J3953" s="1104"/>
      <c r="K3953" s="1104"/>
      <c r="L3953" s="1104"/>
      <c r="M3953" s="1104"/>
      <c r="N3953" s="1105"/>
    </row>
    <row r="3954" spans="2:17">
      <c r="B3954" s="1106"/>
      <c r="C3954" s="1107"/>
      <c r="D3954" s="1107"/>
      <c r="E3954" s="1107"/>
      <c r="F3954" s="1107"/>
      <c r="G3954" s="1107"/>
      <c r="H3954" s="1107"/>
      <c r="I3954" s="1107"/>
      <c r="J3954" s="1107"/>
      <c r="K3954" s="1107"/>
      <c r="L3954" s="1107"/>
      <c r="M3954" s="1107"/>
      <c r="N3954" s="1108"/>
    </row>
    <row r="3955" spans="2:17" ht="13.5" thickBot="1">
      <c r="B3955" s="1109"/>
      <c r="C3955" s="1110"/>
      <c r="D3955" s="1110"/>
      <c r="E3955" s="1110"/>
      <c r="F3955" s="1110"/>
      <c r="G3955" s="1110"/>
      <c r="H3955" s="1110"/>
      <c r="I3955" s="1110"/>
      <c r="J3955" s="1110"/>
      <c r="K3955" s="1110"/>
      <c r="L3955" s="1110"/>
      <c r="M3955" s="1110"/>
      <c r="N3955" s="1111"/>
    </row>
    <row r="3956" spans="2:17">
      <c r="B3956" s="1130" t="s">
        <v>283</v>
      </c>
      <c r="C3956" s="1139"/>
      <c r="D3956" s="1139"/>
      <c r="E3956" s="1139"/>
      <c r="F3956" s="1139"/>
      <c r="G3956" s="1139"/>
      <c r="H3956" s="1139"/>
      <c r="I3956" s="288" t="s">
        <v>284</v>
      </c>
      <c r="J3956" s="314" t="s">
        <v>285</v>
      </c>
      <c r="K3956" s="315" t="s">
        <v>286</v>
      </c>
      <c r="L3956" s="1140" t="s">
        <v>264</v>
      </c>
      <c r="M3956" s="1141"/>
      <c r="N3956" s="316" t="s">
        <v>265</v>
      </c>
    </row>
    <row r="3957" spans="2:17" ht="13.5" thickBot="1">
      <c r="B3957" s="317" t="s">
        <v>344</v>
      </c>
      <c r="C3957" s="318"/>
      <c r="D3957" s="318"/>
      <c r="E3957" s="318"/>
      <c r="F3957" s="318"/>
      <c r="G3957" s="318"/>
      <c r="H3957" s="318"/>
      <c r="I3957" s="319">
        <v>153482</v>
      </c>
      <c r="J3957" s="321">
        <v>0</v>
      </c>
      <c r="K3957" s="321">
        <f>+I3957+J3957</f>
        <v>153482</v>
      </c>
      <c r="L3957" s="1157">
        <v>4.5000049999999998</v>
      </c>
      <c r="M3957" s="1158"/>
      <c r="N3957" s="322">
        <f>+K3957/L3957</f>
        <v>34107.073214363096</v>
      </c>
    </row>
    <row r="3958" spans="2:17" ht="13.5" thickBot="1">
      <c r="B3958" s="1100" t="s">
        <v>269</v>
      </c>
      <c r="C3958" s="1101"/>
      <c r="D3958" s="1101"/>
      <c r="E3958" s="1101"/>
      <c r="F3958" s="1101"/>
      <c r="G3958" s="1101"/>
      <c r="H3958" s="1101"/>
      <c r="I3958" s="1101"/>
      <c r="J3958" s="1101"/>
      <c r="K3958" s="1101"/>
      <c r="L3958" s="1101"/>
      <c r="M3958" s="1102"/>
      <c r="N3958" s="323">
        <f>+N3957</f>
        <v>34107.073214363096</v>
      </c>
    </row>
    <row r="3959" spans="2:17" ht="13.5" thickBot="1">
      <c r="B3959" s="324" t="s">
        <v>288</v>
      </c>
      <c r="C3959" s="325"/>
      <c r="D3959" s="325"/>
      <c r="E3959" s="325"/>
      <c r="F3959" s="325"/>
      <c r="G3959" s="325"/>
      <c r="H3959" s="325"/>
      <c r="I3959" s="326"/>
      <c r="J3959" s="327"/>
      <c r="K3959" s="328"/>
      <c r="L3959" s="329"/>
      <c r="M3959" s="329"/>
      <c r="N3959" s="330"/>
    </row>
    <row r="3960" spans="2:17">
      <c r="B3960" s="1130" t="s">
        <v>17</v>
      </c>
      <c r="C3960" s="1139"/>
      <c r="D3960" s="1139"/>
      <c r="E3960" s="1139"/>
      <c r="F3960" s="1139"/>
      <c r="G3960" s="1139"/>
      <c r="H3960" s="1139"/>
      <c r="I3960" s="1136"/>
      <c r="J3960" s="299" t="s">
        <v>259</v>
      </c>
      <c r="K3960" s="288" t="s">
        <v>133</v>
      </c>
      <c r="L3960" s="1133" t="s">
        <v>271</v>
      </c>
      <c r="M3960" s="1136"/>
      <c r="N3960" s="316" t="s">
        <v>265</v>
      </c>
    </row>
    <row r="3961" spans="2:17" ht="13.5" thickBot="1">
      <c r="B3961" s="331" t="s">
        <v>289</v>
      </c>
      <c r="C3961" s="332"/>
      <c r="D3961" s="332"/>
      <c r="E3961" s="332"/>
      <c r="F3961" s="332"/>
      <c r="G3961" s="332"/>
      <c r="H3961" s="332"/>
      <c r="I3961" s="333"/>
      <c r="J3961" s="334" t="s">
        <v>290</v>
      </c>
      <c r="K3961" s="335">
        <v>0.05</v>
      </c>
      <c r="L3961" s="1144">
        <f>+N3958</f>
        <v>34107.073214363096</v>
      </c>
      <c r="M3961" s="1145"/>
      <c r="N3961" s="322">
        <f>+K3961*L3961</f>
        <v>1705.353660718155</v>
      </c>
    </row>
    <row r="3962" spans="2:17" ht="13.5" thickBot="1">
      <c r="B3962" s="1100" t="s">
        <v>269</v>
      </c>
      <c r="C3962" s="1101"/>
      <c r="D3962" s="1101"/>
      <c r="E3962" s="1101"/>
      <c r="F3962" s="1101"/>
      <c r="G3962" s="1101"/>
      <c r="H3962" s="1101"/>
      <c r="I3962" s="1101"/>
      <c r="J3962" s="1101"/>
      <c r="K3962" s="1101"/>
      <c r="L3962" s="1101"/>
      <c r="M3962" s="1102"/>
      <c r="N3962" s="323">
        <f>+N3961</f>
        <v>1705.353660718155</v>
      </c>
    </row>
    <row r="3963" spans="2:17">
      <c r="B3963" s="280"/>
      <c r="C3963" s="281"/>
      <c r="D3963" s="281"/>
      <c r="E3963" s="281"/>
      <c r="F3963" s="281"/>
      <c r="G3963" s="281"/>
      <c r="H3963" s="281"/>
      <c r="I3963" s="281"/>
      <c r="J3963" s="281"/>
      <c r="K3963" s="281"/>
      <c r="L3963" s="281"/>
      <c r="M3963" s="281"/>
      <c r="N3963" s="282"/>
      <c r="P3963" s="408">
        <v>5835350</v>
      </c>
    </row>
    <row r="3964" spans="2:17" ht="13.5" thickBot="1">
      <c r="B3964" s="378"/>
      <c r="C3964" s="311"/>
      <c r="D3964" s="311"/>
      <c r="E3964" s="311"/>
      <c r="F3964" s="311"/>
      <c r="G3964" s="311"/>
      <c r="H3964" s="311"/>
      <c r="I3964" s="311"/>
      <c r="J3964" s="311"/>
      <c r="K3964" s="311"/>
      <c r="L3964" s="311"/>
      <c r="M3964" s="311"/>
      <c r="N3964" s="379"/>
    </row>
    <row r="3965" spans="2:17" ht="13.5" thickBot="1">
      <c r="B3965" s="1150" t="s">
        <v>291</v>
      </c>
      <c r="C3965" s="1151"/>
      <c r="D3965" s="1151"/>
      <c r="E3965" s="1151"/>
      <c r="F3965" s="1151"/>
      <c r="G3965" s="1151"/>
      <c r="H3965" s="1151"/>
      <c r="I3965" s="1151"/>
      <c r="J3965" s="1151"/>
      <c r="K3965" s="1151"/>
      <c r="L3965" s="1151"/>
      <c r="M3965" s="1152"/>
      <c r="N3965" s="336">
        <f>+N3938+N3946+N3952+N3958+N3962</f>
        <v>116160.68637465066</v>
      </c>
      <c r="P3965" s="409">
        <f>+N3965*N3926</f>
        <v>5808034.3187325327</v>
      </c>
      <c r="Q3965" s="413">
        <f>+P3965-P3963</f>
        <v>-27315.681267467327</v>
      </c>
    </row>
    <row r="3966" spans="2:17">
      <c r="B3966" s="1103" t="s">
        <v>292</v>
      </c>
      <c r="C3966" s="1104"/>
      <c r="D3966" s="1104"/>
      <c r="E3966" s="1104"/>
      <c r="F3966" s="1104"/>
      <c r="G3966" s="1104"/>
      <c r="H3966" s="1104"/>
      <c r="I3966" s="1104"/>
      <c r="J3966" s="1104"/>
      <c r="K3966" s="1104"/>
      <c r="L3966" s="1104"/>
      <c r="M3966" s="1104"/>
      <c r="N3966" s="1105"/>
    </row>
    <row r="3967" spans="2:17">
      <c r="B3967" s="1106"/>
      <c r="C3967" s="1107"/>
      <c r="D3967" s="1107"/>
      <c r="E3967" s="1107"/>
      <c r="F3967" s="1107"/>
      <c r="G3967" s="1107"/>
      <c r="H3967" s="1107"/>
      <c r="I3967" s="1107"/>
      <c r="J3967" s="1107"/>
      <c r="K3967" s="1107"/>
      <c r="L3967" s="1107"/>
      <c r="M3967" s="1107"/>
      <c r="N3967" s="1108"/>
    </row>
    <row r="3968" spans="2:17" ht="13.5" thickBot="1">
      <c r="B3968" s="1109"/>
      <c r="C3968" s="1110"/>
      <c r="D3968" s="1110"/>
      <c r="E3968" s="1110"/>
      <c r="F3968" s="1110"/>
      <c r="G3968" s="1110"/>
      <c r="H3968" s="1110"/>
      <c r="I3968" s="1110"/>
      <c r="J3968" s="1110"/>
      <c r="K3968" s="1110"/>
      <c r="L3968" s="1110"/>
      <c r="M3968" s="1110"/>
      <c r="N3968" s="1111"/>
    </row>
    <row r="3969" spans="2:14">
      <c r="B3969" s="1130" t="s">
        <v>17</v>
      </c>
      <c r="C3969" s="1139"/>
      <c r="D3969" s="1139"/>
      <c r="E3969" s="1139"/>
      <c r="F3969" s="1139"/>
      <c r="G3969" s="1139"/>
      <c r="H3969" s="1139"/>
      <c r="I3969" s="306"/>
      <c r="J3969" s="337"/>
      <c r="K3969" s="315" t="s">
        <v>79</v>
      </c>
      <c r="L3969" s="1140" t="s">
        <v>11</v>
      </c>
      <c r="M3969" s="1141"/>
      <c r="N3969" s="316"/>
    </row>
    <row r="3970" spans="2:14">
      <c r="B3970" s="1112" t="s">
        <v>232</v>
      </c>
      <c r="C3970" s="1113"/>
      <c r="D3970" s="1113"/>
      <c r="E3970" s="1113"/>
      <c r="F3970" s="1113"/>
      <c r="G3970" s="1113"/>
      <c r="H3970" s="1113"/>
      <c r="I3970" s="338"/>
      <c r="J3970" s="339"/>
      <c r="K3970" s="340">
        <f>'PRESUPUESTO OFICIAL'!$K$100</f>
        <v>0</v>
      </c>
      <c r="L3970" s="1146">
        <f>K3970*N3965</f>
        <v>0</v>
      </c>
      <c r="M3970" s="1147"/>
      <c r="N3970" s="341"/>
    </row>
    <row r="3971" spans="2:14">
      <c r="B3971" s="292" t="s">
        <v>293</v>
      </c>
      <c r="C3971" s="293"/>
      <c r="D3971" s="293"/>
      <c r="E3971" s="293"/>
      <c r="F3971" s="293"/>
      <c r="G3971" s="293"/>
      <c r="H3971" s="293"/>
      <c r="I3971" s="338"/>
      <c r="J3971" s="339"/>
      <c r="K3971" s="340">
        <f>'PRESUPUESTO OFICIAL'!$K$101</f>
        <v>0</v>
      </c>
      <c r="L3971" s="1146">
        <f>K3971*N3965</f>
        <v>0</v>
      </c>
      <c r="M3971" s="1147"/>
      <c r="N3971" s="341"/>
    </row>
    <row r="3972" spans="2:14" ht="13.5" thickBot="1">
      <c r="B3972" s="277" t="s">
        <v>294</v>
      </c>
      <c r="C3972" s="278"/>
      <c r="D3972" s="278"/>
      <c r="E3972" s="278"/>
      <c r="F3972" s="278"/>
      <c r="G3972" s="278"/>
      <c r="H3972" s="278"/>
      <c r="I3972" s="342"/>
      <c r="J3972" s="343"/>
      <c r="K3972" s="340">
        <f>'PRESUPUESTO OFICIAL'!$K$102</f>
        <v>0</v>
      </c>
      <c r="L3972" s="1148">
        <f>K3972*N3965</f>
        <v>0</v>
      </c>
      <c r="M3972" s="1149"/>
      <c r="N3972" s="341"/>
    </row>
    <row r="3973" spans="2:14" ht="13.5" thickBot="1">
      <c r="B3973" s="1100" t="s">
        <v>269</v>
      </c>
      <c r="C3973" s="1101"/>
      <c r="D3973" s="1101"/>
      <c r="E3973" s="1101"/>
      <c r="F3973" s="1101"/>
      <c r="G3973" s="1101"/>
      <c r="H3973" s="1101"/>
      <c r="I3973" s="1101"/>
      <c r="J3973" s="1101"/>
      <c r="K3973" s="1101"/>
      <c r="L3973" s="1101"/>
      <c r="M3973" s="1102"/>
      <c r="N3973" s="344">
        <f>SUM(L3970:M3972)</f>
        <v>0</v>
      </c>
    </row>
    <row r="3974" spans="2:14" ht="13.5" thickBot="1">
      <c r="B3974" s="283"/>
      <c r="N3974" s="284"/>
    </row>
    <row r="3975" spans="2:14" ht="13.5" thickBot="1">
      <c r="B3975" s="1150" t="s">
        <v>295</v>
      </c>
      <c r="C3975" s="1151"/>
      <c r="D3975" s="1151"/>
      <c r="E3975" s="1151"/>
      <c r="F3975" s="1151"/>
      <c r="G3975" s="1151"/>
      <c r="H3975" s="1151"/>
      <c r="I3975" s="1151"/>
      <c r="J3975" s="1151"/>
      <c r="K3975" s="1151"/>
      <c r="L3975" s="1151"/>
      <c r="M3975" s="1152"/>
      <c r="N3975" s="345">
        <f>ROUND(N3965+N3973,0)</f>
        <v>116161</v>
      </c>
    </row>
    <row r="3976" spans="2:14">
      <c r="B3976" s="280"/>
      <c r="C3976" s="281"/>
      <c r="D3976" s="281"/>
      <c r="E3976" s="281"/>
      <c r="F3976" s="281"/>
      <c r="G3976" s="281"/>
      <c r="H3976" s="281"/>
      <c r="I3976" s="281"/>
      <c r="J3976" s="281"/>
      <c r="K3976" s="281"/>
      <c r="L3976" s="281"/>
      <c r="M3976" s="281"/>
      <c r="N3976" s="282"/>
    </row>
    <row r="3977" spans="2:14">
      <c r="B3977" s="283"/>
      <c r="N3977" s="284"/>
    </row>
    <row r="3978" spans="2:14">
      <c r="B3978" s="283"/>
      <c r="N3978" s="284"/>
    </row>
    <row r="3979" spans="2:14">
      <c r="B3979" s="283"/>
      <c r="G3979" s="346" t="s">
        <v>296</v>
      </c>
      <c r="H3979" s="346"/>
      <c r="I3979" s="346"/>
      <c r="J3979" s="346"/>
      <c r="N3979" s="284"/>
    </row>
    <row r="3980" spans="2:14">
      <c r="B3980" s="347"/>
      <c r="C3980" s="348"/>
      <c r="D3980" s="348"/>
      <c r="E3980" s="348"/>
      <c r="F3980" s="348"/>
      <c r="G3980" s="346" t="s">
        <v>297</v>
      </c>
      <c r="H3980" s="348"/>
      <c r="I3980" s="348"/>
      <c r="J3980" s="348"/>
      <c r="K3980" s="348"/>
      <c r="L3980" s="348"/>
      <c r="M3980" s="348"/>
      <c r="N3980" s="349"/>
    </row>
    <row r="3981" spans="2:14">
      <c r="B3981" s="347"/>
      <c r="C3981" s="348"/>
      <c r="D3981" s="348"/>
      <c r="E3981" s="348"/>
      <c r="F3981" s="348"/>
      <c r="G3981" s="346" t="s">
        <v>298</v>
      </c>
      <c r="J3981" s="348"/>
      <c r="K3981" s="348"/>
      <c r="L3981" s="348"/>
      <c r="M3981" s="348"/>
      <c r="N3981" s="349"/>
    </row>
    <row r="3982" spans="2:14">
      <c r="B3982" s="268"/>
      <c r="C3982" s="350"/>
      <c r="D3982" s="350"/>
      <c r="E3982" s="350"/>
      <c r="F3982" s="350"/>
      <c r="G3982" s="346" t="s">
        <v>299</v>
      </c>
      <c r="H3982" s="350"/>
      <c r="I3982" s="350"/>
      <c r="J3982" s="350"/>
      <c r="K3982" s="350"/>
      <c r="L3982" s="350"/>
      <c r="M3982" s="350"/>
      <c r="N3982" s="351"/>
    </row>
    <row r="3983" spans="2:14">
      <c r="B3983" s="283"/>
      <c r="G3983" s="258" t="s">
        <v>300</v>
      </c>
      <c r="N3983" s="284"/>
    </row>
    <row r="3984" spans="2:14">
      <c r="B3984" s="352" t="s">
        <v>301</v>
      </c>
      <c r="C3984" s="353"/>
      <c r="D3984" s="353"/>
      <c r="E3984" s="353"/>
      <c r="F3984" s="353"/>
      <c r="G3984" s="353"/>
      <c r="H3984" s="353"/>
      <c r="I3984" s="353"/>
      <c r="J3984" s="353"/>
      <c r="K3984" s="353"/>
      <c r="L3984" s="353"/>
      <c r="M3984" s="353"/>
      <c r="N3984" s="354"/>
    </row>
    <row r="3985" spans="2:14">
      <c r="B3985" s="1153"/>
      <c r="C3985" s="1154"/>
      <c r="D3985" s="1154"/>
      <c r="E3985" s="1154"/>
      <c r="F3985" s="1154"/>
      <c r="G3985" s="1154"/>
      <c r="H3985" s="1154"/>
      <c r="I3985" s="1154"/>
      <c r="J3985" s="1154"/>
      <c r="K3985" s="1154"/>
      <c r="L3985" s="1154"/>
      <c r="M3985" s="1154"/>
      <c r="N3985" s="1155"/>
    </row>
    <row r="3986" spans="2:14">
      <c r="B3986" s="1153"/>
      <c r="C3986" s="1154"/>
      <c r="D3986" s="1154"/>
      <c r="E3986" s="1154"/>
      <c r="F3986" s="1154"/>
      <c r="G3986" s="1154"/>
      <c r="H3986" s="1154"/>
      <c r="I3986" s="1154"/>
      <c r="J3986" s="1154"/>
      <c r="K3986" s="1154"/>
      <c r="L3986" s="1154"/>
      <c r="M3986" s="1154"/>
      <c r="N3986" s="1155"/>
    </row>
    <row r="3987" spans="2:14">
      <c r="B3987" s="268"/>
      <c r="C3987" s="350"/>
      <c r="D3987" s="350"/>
      <c r="E3987" s="350"/>
      <c r="F3987" s="350"/>
      <c r="G3987" s="350"/>
      <c r="H3987" s="350"/>
      <c r="I3987" s="350"/>
      <c r="J3987" s="350"/>
      <c r="K3987" s="350"/>
      <c r="L3987" s="350"/>
      <c r="M3987" s="350"/>
      <c r="N3987" s="351"/>
    </row>
    <row r="3988" spans="2:14">
      <c r="B3988" s="355" t="s">
        <v>302</v>
      </c>
      <c r="C3988" s="350"/>
      <c r="D3988" s="350"/>
      <c r="E3988" s="350"/>
      <c r="F3988" s="350"/>
      <c r="G3988" s="350"/>
      <c r="H3988" s="350"/>
      <c r="I3988" s="350"/>
      <c r="J3988" s="350"/>
      <c r="K3988" s="350"/>
      <c r="L3988" s="350"/>
      <c r="M3988" s="350"/>
      <c r="N3988" s="351"/>
    </row>
    <row r="3989" spans="2:14">
      <c r="B3989" s="1159" t="s">
        <v>303</v>
      </c>
      <c r="C3989" s="1160"/>
      <c r="D3989" s="1160"/>
      <c r="E3989" s="1160"/>
      <c r="F3989" s="1160"/>
      <c r="G3989" s="1160"/>
      <c r="H3989" s="1160"/>
      <c r="I3989" s="1160"/>
      <c r="J3989" s="1160"/>
      <c r="K3989" s="1160"/>
      <c r="L3989" s="1160"/>
      <c r="M3989" s="1160"/>
      <c r="N3989" s="1161"/>
    </row>
    <row r="3990" spans="2:14">
      <c r="B3990" s="1159"/>
      <c r="C3990" s="1160"/>
      <c r="D3990" s="1160"/>
      <c r="E3990" s="1160"/>
      <c r="F3990" s="1160"/>
      <c r="G3990" s="1160"/>
      <c r="H3990" s="1160"/>
      <c r="I3990" s="1160"/>
      <c r="J3990" s="1160"/>
      <c r="K3990" s="1160"/>
      <c r="L3990" s="1160"/>
      <c r="M3990" s="1160"/>
      <c r="N3990" s="1161"/>
    </row>
    <row r="3991" spans="2:14">
      <c r="B3991" s="1159" t="s">
        <v>304</v>
      </c>
      <c r="C3991" s="1160"/>
      <c r="D3991" s="1160"/>
      <c r="E3991" s="1160"/>
      <c r="F3991" s="1160"/>
      <c r="G3991" s="1160"/>
      <c r="H3991" s="1160"/>
      <c r="I3991" s="1160"/>
      <c r="J3991" s="1160"/>
      <c r="K3991" s="1160"/>
      <c r="L3991" s="1160"/>
      <c r="M3991" s="1160"/>
      <c r="N3991" s="1161"/>
    </row>
    <row r="3992" spans="2:14">
      <c r="B3992" s="1159"/>
      <c r="C3992" s="1160"/>
      <c r="D3992" s="1160"/>
      <c r="E3992" s="1160"/>
      <c r="F3992" s="1160"/>
      <c r="G3992" s="1160"/>
      <c r="H3992" s="1160"/>
      <c r="I3992" s="1160"/>
      <c r="J3992" s="1160"/>
      <c r="K3992" s="1160"/>
      <c r="L3992" s="1160"/>
      <c r="M3992" s="1160"/>
      <c r="N3992" s="1161"/>
    </row>
    <row r="3993" spans="2:14">
      <c r="B3993" s="268"/>
      <c r="C3993" s="350"/>
      <c r="D3993" s="350"/>
      <c r="E3993" s="350"/>
      <c r="F3993" s="350"/>
      <c r="G3993" s="350"/>
      <c r="H3993" s="350"/>
      <c r="I3993" s="350"/>
      <c r="J3993" s="350"/>
      <c r="K3993" s="350"/>
      <c r="L3993" s="350"/>
      <c r="M3993" s="350"/>
      <c r="N3993" s="351"/>
    </row>
    <row r="3994" spans="2:14">
      <c r="B3994" s="283"/>
      <c r="G3994" s="346" t="s">
        <v>296</v>
      </c>
      <c r="N3994" s="284"/>
    </row>
    <row r="3995" spans="2:14">
      <c r="B3995" s="283"/>
      <c r="G3995" s="258" t="s">
        <v>305</v>
      </c>
      <c r="H3995" s="293"/>
      <c r="I3995" s="293"/>
      <c r="J3995" s="293"/>
      <c r="N3995" s="284"/>
    </row>
    <row r="3996" spans="2:14">
      <c r="B3996" s="283"/>
      <c r="G3996" s="258" t="s">
        <v>306</v>
      </c>
      <c r="H3996" s="325"/>
      <c r="I3996" s="325"/>
      <c r="J3996" s="325"/>
      <c r="N3996" s="284"/>
    </row>
    <row r="3997" spans="2:14">
      <c r="B3997" s="356"/>
      <c r="C3997" s="350"/>
      <c r="D3997" s="350"/>
      <c r="E3997" s="350"/>
      <c r="F3997" s="350"/>
      <c r="G3997" s="258" t="s">
        <v>299</v>
      </c>
      <c r="K3997" s="350"/>
      <c r="L3997" s="350"/>
      <c r="M3997" s="350"/>
      <c r="N3997" s="351"/>
    </row>
    <row r="3998" spans="2:14">
      <c r="B3998" s="357"/>
      <c r="C3998" s="358"/>
      <c r="D3998" s="358"/>
      <c r="J3998" s="1162"/>
      <c r="K3998" s="1162"/>
      <c r="L3998" s="1162"/>
      <c r="M3998" s="1162"/>
      <c r="N3998" s="1163"/>
    </row>
    <row r="3999" spans="2:14" ht="13.5" thickBot="1">
      <c r="B3999" s="1166"/>
      <c r="C3999" s="1167"/>
      <c r="D3999" s="1167"/>
      <c r="E3999" s="311"/>
      <c r="F3999" s="311"/>
      <c r="G3999" s="311"/>
      <c r="H3999" s="311"/>
      <c r="I3999" s="311"/>
      <c r="J3999" s="1164"/>
      <c r="K3999" s="1164"/>
      <c r="L3999" s="1164"/>
      <c r="M3999" s="1164"/>
      <c r="N3999" s="1165"/>
    </row>
    <row r="4000" spans="2:14" ht="13.5" thickBot="1"/>
    <row r="4001" spans="2:14">
      <c r="B4001" s="1070"/>
      <c r="C4001" s="1072"/>
      <c r="D4001" s="1073"/>
      <c r="E4001" s="1073"/>
      <c r="F4001" s="1073"/>
      <c r="G4001" s="1073"/>
      <c r="H4001" s="1073"/>
      <c r="I4001" s="1073"/>
      <c r="J4001" s="1074"/>
      <c r="K4001" s="1075"/>
      <c r="L4001" s="1076"/>
      <c r="M4001" s="1076"/>
      <c r="N4001" s="1077"/>
    </row>
    <row r="4002" spans="2:14">
      <c r="B4002" s="1071"/>
      <c r="C4002" s="1062" t="s">
        <v>244</v>
      </c>
      <c r="D4002" s="1063"/>
      <c r="E4002" s="1063"/>
      <c r="F4002" s="1063"/>
      <c r="G4002" s="1063"/>
      <c r="H4002" s="1063"/>
      <c r="I4002" s="1063"/>
      <c r="J4002" s="1064"/>
      <c r="K4002" s="1078"/>
      <c r="L4002" s="1079"/>
      <c r="M4002" s="1079"/>
      <c r="N4002" s="1080"/>
    </row>
    <row r="4003" spans="2:14">
      <c r="B4003" s="1071"/>
      <c r="C4003" s="1081"/>
      <c r="D4003" s="1082"/>
      <c r="E4003" s="1082"/>
      <c r="F4003" s="1082"/>
      <c r="G4003" s="1082"/>
      <c r="H4003" s="1082"/>
      <c r="I4003" s="1082"/>
      <c r="J4003" s="1083"/>
      <c r="K4003" s="1058" t="s">
        <v>245</v>
      </c>
      <c r="L4003" s="1085"/>
      <c r="M4003" s="1086"/>
      <c r="N4003" s="1087"/>
    </row>
    <row r="4004" spans="2:14">
      <c r="B4004" s="1071"/>
      <c r="C4004" s="1062" t="s">
        <v>246</v>
      </c>
      <c r="D4004" s="1063"/>
      <c r="E4004" s="1063"/>
      <c r="F4004" s="1063"/>
      <c r="G4004" s="1063"/>
      <c r="H4004" s="1063"/>
      <c r="I4004" s="1063"/>
      <c r="J4004" s="1064"/>
      <c r="K4004" s="1084"/>
      <c r="L4004" s="1088"/>
      <c r="M4004" s="1089"/>
      <c r="N4004" s="1090"/>
    </row>
    <row r="4005" spans="2:14">
      <c r="B4005" s="1071"/>
      <c r="C4005" s="1091"/>
      <c r="D4005" s="1092"/>
      <c r="E4005" s="1092"/>
      <c r="F4005" s="1092"/>
      <c r="G4005" s="1092"/>
      <c r="H4005" s="1092"/>
      <c r="I4005" s="1092"/>
      <c r="J4005" s="1093"/>
      <c r="K4005" s="1058" t="s">
        <v>247</v>
      </c>
      <c r="L4005" s="1058">
        <v>45</v>
      </c>
      <c r="M4005" s="1058" t="s">
        <v>248</v>
      </c>
      <c r="N4005" s="1060">
        <v>80</v>
      </c>
    </row>
    <row r="4006" spans="2:14">
      <c r="B4006" s="1071"/>
      <c r="C4006" s="1091"/>
      <c r="D4006" s="1092"/>
      <c r="E4006" s="1092"/>
      <c r="F4006" s="1092"/>
      <c r="G4006" s="1092"/>
      <c r="H4006" s="1092"/>
      <c r="I4006" s="1092"/>
      <c r="J4006" s="1093"/>
      <c r="K4006" s="1059"/>
      <c r="L4006" s="1059"/>
      <c r="M4006" s="1059"/>
      <c r="N4006" s="1061"/>
    </row>
    <row r="4007" spans="2:14">
      <c r="B4007" s="1071"/>
      <c r="C4007" s="1062" t="s">
        <v>249</v>
      </c>
      <c r="D4007" s="1063"/>
      <c r="E4007" s="1063"/>
      <c r="F4007" s="1063"/>
      <c r="G4007" s="1063"/>
      <c r="H4007" s="1063"/>
      <c r="I4007" s="1063"/>
      <c r="J4007" s="1064"/>
      <c r="K4007" s="1059"/>
      <c r="L4007" s="1059"/>
      <c r="M4007" s="1059"/>
      <c r="N4007" s="1061"/>
    </row>
    <row r="4008" spans="2:14" ht="13.5" thickBot="1">
      <c r="B4008" s="259"/>
      <c r="C4008" s="260"/>
      <c r="D4008" s="260"/>
      <c r="E4008" s="260"/>
      <c r="F4008" s="260"/>
      <c r="G4008" s="260"/>
      <c r="H4008" s="260"/>
      <c r="I4008" s="260"/>
      <c r="J4008" s="260"/>
      <c r="K4008" s="260"/>
      <c r="L4008" s="261"/>
      <c r="M4008" s="261"/>
      <c r="N4008" s="262"/>
    </row>
    <row r="4009" spans="2:14">
      <c r="B4009" s="263"/>
      <c r="C4009" s="264"/>
      <c r="D4009" s="264"/>
      <c r="E4009" s="264"/>
      <c r="F4009" s="264"/>
      <c r="G4009" s="264"/>
      <c r="H4009" s="264"/>
      <c r="I4009" s="264"/>
      <c r="J4009" s="264"/>
      <c r="K4009" s="265" t="s">
        <v>250</v>
      </c>
      <c r="L4009" s="266" t="s">
        <v>251</v>
      </c>
      <c r="M4009" s="266" t="s">
        <v>252</v>
      </c>
      <c r="N4009" s="267" t="s">
        <v>253</v>
      </c>
    </row>
    <row r="4010" spans="2:14">
      <c r="B4010" s="268"/>
      <c r="C4010" s="269"/>
      <c r="D4010" s="269"/>
      <c r="E4010" s="269"/>
      <c r="F4010" s="269"/>
      <c r="G4010" s="269"/>
      <c r="H4010" s="269"/>
      <c r="I4010" s="269"/>
      <c r="J4010" s="269"/>
      <c r="K4010" s="270"/>
      <c r="L4010" s="271"/>
      <c r="M4010" s="271"/>
      <c r="N4010" s="272"/>
    </row>
    <row r="4011" spans="2:14">
      <c r="B4011" s="1065" t="s">
        <v>254</v>
      </c>
      <c r="C4011" s="1066"/>
      <c r="D4011" s="1066"/>
      <c r="E4011" s="1066"/>
      <c r="F4011" s="269"/>
      <c r="G4011" s="269"/>
      <c r="H4011" s="269" t="s">
        <v>255</v>
      </c>
      <c r="J4011" s="269"/>
      <c r="K4011" s="270"/>
      <c r="N4011" s="273"/>
    </row>
    <row r="4012" spans="2:14">
      <c r="B4012" s="274"/>
      <c r="C4012" s="275"/>
      <c r="D4012" s="275"/>
      <c r="E4012" s="275"/>
      <c r="F4012" s="275"/>
      <c r="G4012" s="275"/>
      <c r="H4012" s="275"/>
      <c r="I4012" s="275"/>
      <c r="J4012" s="275"/>
      <c r="K4012" s="275"/>
      <c r="L4012" s="275"/>
      <c r="M4012" s="275"/>
      <c r="N4012" s="276"/>
    </row>
    <row r="4013" spans="2:14" ht="13.5" thickBot="1">
      <c r="B4013" s="277"/>
      <c r="C4013" s="278"/>
      <c r="D4013" s="278"/>
      <c r="E4013" s="278"/>
      <c r="F4013" s="278"/>
      <c r="G4013" s="278"/>
      <c r="H4013" s="278"/>
      <c r="I4013" s="278"/>
      <c r="J4013" s="278"/>
      <c r="K4013" s="278"/>
      <c r="L4013" s="278"/>
      <c r="M4013" s="278"/>
      <c r="N4013" s="279"/>
    </row>
    <row r="4014" spans="2:14" ht="13.5" thickBot="1">
      <c r="B4014" s="280"/>
      <c r="C4014" s="281"/>
      <c r="D4014" s="281"/>
      <c r="E4014" s="281"/>
      <c r="F4014" s="281"/>
      <c r="G4014" s="281"/>
      <c r="J4014" s="281"/>
      <c r="K4014" s="281"/>
      <c r="L4014" s="281"/>
      <c r="M4014" s="281"/>
      <c r="N4014" s="282"/>
    </row>
    <row r="4015" spans="2:14">
      <c r="B4015" s="1067" t="s">
        <v>256</v>
      </c>
      <c r="C4015" s="1068"/>
      <c r="D4015" s="1068"/>
      <c r="E4015" s="1068"/>
      <c r="F4015" s="1068"/>
      <c r="G4015" s="1068"/>
      <c r="H4015" s="1068"/>
      <c r="I4015" s="1068"/>
      <c r="J4015" s="1068"/>
      <c r="K4015" s="1068"/>
      <c r="L4015" s="1068"/>
      <c r="M4015" s="1068"/>
      <c r="N4015" s="1069"/>
    </row>
    <row r="4016" spans="2:14" ht="13.5" thickBot="1">
      <c r="B4016" s="283"/>
      <c r="N4016" s="284"/>
    </row>
    <row r="4017" spans="2:14">
      <c r="B4017" s="285" t="s">
        <v>257</v>
      </c>
      <c r="C4017" s="1120" t="s">
        <v>258</v>
      </c>
      <c r="D4017" s="1121"/>
      <c r="E4017" s="1121"/>
      <c r="F4017" s="1121"/>
      <c r="G4017" s="1121"/>
      <c r="H4017" s="1121"/>
      <c r="I4017" s="1121"/>
      <c r="J4017" s="1121"/>
      <c r="K4017" s="1122"/>
      <c r="L4017" s="1123" t="s">
        <v>259</v>
      </c>
      <c r="M4017" s="1124"/>
      <c r="N4017" s="285" t="s">
        <v>133</v>
      </c>
    </row>
    <row r="4018" spans="2:14" ht="19.899999999999999" customHeight="1" thickBot="1">
      <c r="B4018" s="286">
        <v>45</v>
      </c>
      <c r="C4018" s="1125" t="s">
        <v>186</v>
      </c>
      <c r="D4018" s="1126"/>
      <c r="E4018" s="1126"/>
      <c r="F4018" s="1126"/>
      <c r="G4018" s="1126"/>
      <c r="H4018" s="1126"/>
      <c r="I4018" s="1126"/>
      <c r="J4018" s="1126"/>
      <c r="K4018" s="1127"/>
      <c r="L4018" s="1128" t="s">
        <v>141</v>
      </c>
      <c r="M4018" s="1129"/>
      <c r="N4018" s="366">
        <v>250</v>
      </c>
    </row>
    <row r="4019" spans="2:14">
      <c r="B4019" s="1103"/>
      <c r="C4019" s="1104"/>
      <c r="D4019" s="1104"/>
      <c r="E4019" s="1104"/>
      <c r="F4019" s="1104"/>
      <c r="G4019" s="1104"/>
      <c r="H4019" s="1104"/>
      <c r="I4019" s="1104"/>
      <c r="J4019" s="1104"/>
      <c r="K4019" s="1104"/>
      <c r="L4019" s="1104"/>
      <c r="M4019" s="1104"/>
      <c r="N4019" s="1105"/>
    </row>
    <row r="4020" spans="2:14">
      <c r="B4020" s="1106"/>
      <c r="C4020" s="1107"/>
      <c r="D4020" s="1107"/>
      <c r="E4020" s="1107"/>
      <c r="F4020" s="1107"/>
      <c r="G4020" s="1107"/>
      <c r="H4020" s="1107"/>
      <c r="I4020" s="1107"/>
      <c r="J4020" s="1107"/>
      <c r="K4020" s="1107"/>
      <c r="L4020" s="1107"/>
      <c r="M4020" s="1107"/>
      <c r="N4020" s="1108"/>
    </row>
    <row r="4021" spans="2:14" ht="13.5" thickBot="1">
      <c r="B4021" s="1109"/>
      <c r="C4021" s="1110"/>
      <c r="D4021" s="1110"/>
      <c r="E4021" s="1110"/>
      <c r="F4021" s="1110"/>
      <c r="G4021" s="1110"/>
      <c r="H4021" s="1110"/>
      <c r="I4021" s="1110"/>
      <c r="J4021" s="1110"/>
      <c r="K4021" s="1110"/>
      <c r="L4021" s="1110"/>
      <c r="M4021" s="1110"/>
      <c r="N4021" s="1111"/>
    </row>
    <row r="4022" spans="2:14">
      <c r="B4022" s="1130" t="s">
        <v>258</v>
      </c>
      <c r="C4022" s="1131"/>
      <c r="D4022" s="1131"/>
      <c r="E4022" s="1131"/>
      <c r="F4022" s="1132"/>
      <c r="G4022" s="1133" t="s">
        <v>261</v>
      </c>
      <c r="H4022" s="1131"/>
      <c r="I4022" s="1134" t="s">
        <v>262</v>
      </c>
      <c r="J4022" s="1135"/>
      <c r="K4022" s="288" t="s">
        <v>263</v>
      </c>
      <c r="L4022" s="1133" t="s">
        <v>264</v>
      </c>
      <c r="M4022" s="1136"/>
      <c r="N4022" s="289" t="s">
        <v>265</v>
      </c>
    </row>
    <row r="4023" spans="2:14">
      <c r="B4023" s="1179" t="s">
        <v>327</v>
      </c>
      <c r="C4023" s="1180"/>
      <c r="D4023" s="1180"/>
      <c r="E4023" s="1180"/>
      <c r="F4023" s="1181"/>
      <c r="G4023" s="295"/>
      <c r="H4023" s="294"/>
      <c r="I4023" s="1182" t="s">
        <v>267</v>
      </c>
      <c r="J4023" s="1183"/>
      <c r="K4023" s="290">
        <v>333</v>
      </c>
      <c r="L4023" s="1118">
        <v>0.34482800000000002</v>
      </c>
      <c r="M4023" s="1119"/>
      <c r="N4023" s="290">
        <f t="shared" ref="N4023:N4029" si="1">+K4023/L4023</f>
        <v>965.69884116139053</v>
      </c>
    </row>
    <row r="4024" spans="2:14">
      <c r="B4024" s="1179" t="s">
        <v>357</v>
      </c>
      <c r="C4024" s="1180"/>
      <c r="D4024" s="1180"/>
      <c r="E4024" s="1180"/>
      <c r="F4024" s="1181"/>
      <c r="G4024" s="295"/>
      <c r="H4024" s="294"/>
      <c r="I4024" s="1182" t="s">
        <v>267</v>
      </c>
      <c r="J4024" s="1183"/>
      <c r="K4024" s="290">
        <v>666</v>
      </c>
      <c r="L4024" s="1118">
        <v>10</v>
      </c>
      <c r="M4024" s="1119"/>
      <c r="N4024" s="290">
        <f t="shared" si="1"/>
        <v>66.599999999999994</v>
      </c>
    </row>
    <row r="4025" spans="2:14">
      <c r="B4025" s="1179" t="s">
        <v>365</v>
      </c>
      <c r="C4025" s="1180"/>
      <c r="D4025" s="1180"/>
      <c r="E4025" s="1180"/>
      <c r="F4025" s="1181"/>
      <c r="G4025" s="295"/>
      <c r="H4025" s="294"/>
      <c r="I4025" s="1182" t="s">
        <v>267</v>
      </c>
      <c r="J4025" s="1183"/>
      <c r="K4025" s="290">
        <v>23780</v>
      </c>
      <c r="L4025" s="1118">
        <v>33.333333000000003</v>
      </c>
      <c r="M4025" s="1119"/>
      <c r="N4025" s="290">
        <f t="shared" si="1"/>
        <v>713.40000713400002</v>
      </c>
    </row>
    <row r="4026" spans="2:14">
      <c r="B4026" s="1179" t="s">
        <v>359</v>
      </c>
      <c r="C4026" s="1180"/>
      <c r="D4026" s="1180"/>
      <c r="E4026" s="1180"/>
      <c r="F4026" s="1181"/>
      <c r="G4026" s="295"/>
      <c r="H4026" s="294"/>
      <c r="I4026" s="1182" t="s">
        <v>267</v>
      </c>
      <c r="J4026" s="1183"/>
      <c r="K4026" s="290">
        <v>650</v>
      </c>
      <c r="L4026" s="1118">
        <v>0.4</v>
      </c>
      <c r="M4026" s="1119"/>
      <c r="N4026" s="290">
        <f t="shared" si="1"/>
        <v>1625</v>
      </c>
    </row>
    <row r="4027" spans="2:14">
      <c r="B4027" s="1179" t="s">
        <v>319</v>
      </c>
      <c r="C4027" s="1180"/>
      <c r="D4027" s="1180"/>
      <c r="E4027" s="1180"/>
      <c r="F4027" s="1181"/>
      <c r="G4027" s="295"/>
      <c r="H4027" s="294"/>
      <c r="I4027" s="1182" t="s">
        <v>267</v>
      </c>
      <c r="J4027" s="1183"/>
      <c r="K4027" s="290">
        <v>464</v>
      </c>
      <c r="L4027" s="1118">
        <v>7.1429000000000006E-2</v>
      </c>
      <c r="M4027" s="1119"/>
      <c r="N4027" s="290">
        <f t="shared" si="1"/>
        <v>6495.961024233854</v>
      </c>
    </row>
    <row r="4028" spans="2:14">
      <c r="B4028" s="1179" t="s">
        <v>355</v>
      </c>
      <c r="C4028" s="1180"/>
      <c r="D4028" s="1180"/>
      <c r="E4028" s="1180"/>
      <c r="F4028" s="1181"/>
      <c r="G4028" s="295"/>
      <c r="H4028" s="294"/>
      <c r="I4028" s="1182" t="s">
        <v>267</v>
      </c>
      <c r="J4028" s="1183"/>
      <c r="K4028" s="290">
        <v>333</v>
      </c>
      <c r="L4028" s="1118">
        <v>0.35714299999999999</v>
      </c>
      <c r="M4028" s="1119"/>
      <c r="N4028" s="290">
        <f t="shared" si="1"/>
        <v>932.3996270401492</v>
      </c>
    </row>
    <row r="4029" spans="2:14" ht="13.5" thickBot="1">
      <c r="B4029" s="1179" t="s">
        <v>340</v>
      </c>
      <c r="C4029" s="1180"/>
      <c r="D4029" s="1180"/>
      <c r="E4029" s="1180"/>
      <c r="F4029" s="1181"/>
      <c r="G4029" s="295"/>
      <c r="H4029" s="294"/>
      <c r="I4029" s="1182" t="s">
        <v>267</v>
      </c>
      <c r="J4029" s="1183"/>
      <c r="K4029" s="290">
        <v>45220</v>
      </c>
      <c r="L4029" s="1118">
        <v>20</v>
      </c>
      <c r="M4029" s="1119"/>
      <c r="N4029" s="290">
        <f t="shared" si="1"/>
        <v>2261</v>
      </c>
    </row>
    <row r="4030" spans="2:14" ht="13.5" thickBot="1">
      <c r="B4030" s="1100" t="s">
        <v>269</v>
      </c>
      <c r="C4030" s="1101"/>
      <c r="D4030" s="1101"/>
      <c r="E4030" s="1101"/>
      <c r="F4030" s="1101"/>
      <c r="G4030" s="1101"/>
      <c r="H4030" s="1101"/>
      <c r="I4030" s="1101"/>
      <c r="J4030" s="1101"/>
      <c r="K4030" s="1101"/>
      <c r="L4030" s="1101"/>
      <c r="M4030" s="1102"/>
      <c r="N4030" s="323">
        <f>+N4023+N4024+N4025+N4026+N4027+N4028+N4029</f>
        <v>13060.059499569394</v>
      </c>
    </row>
    <row r="4031" spans="2:14">
      <c r="B4031" s="1103" t="s">
        <v>270</v>
      </c>
      <c r="C4031" s="1104"/>
      <c r="D4031" s="1104"/>
      <c r="E4031" s="1104"/>
      <c r="F4031" s="1104"/>
      <c r="G4031" s="1104"/>
      <c r="H4031" s="1104"/>
      <c r="I4031" s="1104"/>
      <c r="J4031" s="1104"/>
      <c r="K4031" s="1104"/>
      <c r="L4031" s="1104"/>
      <c r="M4031" s="1104"/>
      <c r="N4031" s="1105"/>
    </row>
    <row r="4032" spans="2:14">
      <c r="B4032" s="1106"/>
      <c r="C4032" s="1107"/>
      <c r="D4032" s="1107"/>
      <c r="E4032" s="1107"/>
      <c r="F4032" s="1107"/>
      <c r="G4032" s="1107"/>
      <c r="H4032" s="1107"/>
      <c r="I4032" s="1107"/>
      <c r="J4032" s="1107"/>
      <c r="K4032" s="1107"/>
      <c r="L4032" s="1107"/>
      <c r="M4032" s="1107"/>
      <c r="N4032" s="1108"/>
    </row>
    <row r="4033" spans="2:14" ht="13.5" thickBot="1">
      <c r="B4033" s="1109"/>
      <c r="C4033" s="1110"/>
      <c r="D4033" s="1110"/>
      <c r="E4033" s="1110"/>
      <c r="F4033" s="1110"/>
      <c r="G4033" s="1110"/>
      <c r="H4033" s="1110"/>
      <c r="I4033" s="1110"/>
      <c r="J4033" s="1110"/>
      <c r="K4033" s="1110"/>
      <c r="L4033" s="1110"/>
      <c r="M4033" s="1110"/>
      <c r="N4033" s="1111"/>
    </row>
    <row r="4034" spans="2:14">
      <c r="B4034" s="1130" t="s">
        <v>258</v>
      </c>
      <c r="C4034" s="1139"/>
      <c r="D4034" s="1139"/>
      <c r="E4034" s="1139"/>
      <c r="F4034" s="1139"/>
      <c r="G4034" s="1139"/>
      <c r="H4034" s="1139"/>
      <c r="I4034" s="1136"/>
      <c r="J4034" s="299" t="s">
        <v>259</v>
      </c>
      <c r="K4034" s="288" t="s">
        <v>133</v>
      </c>
      <c r="L4034" s="1133" t="s">
        <v>271</v>
      </c>
      <c r="M4034" s="1136"/>
      <c r="N4034" s="289" t="s">
        <v>265</v>
      </c>
    </row>
    <row r="4035" spans="2:14">
      <c r="B4035" s="402" t="s">
        <v>363</v>
      </c>
      <c r="C4035" s="353"/>
      <c r="D4035" s="353"/>
      <c r="E4035" s="353"/>
      <c r="F4035" s="353"/>
      <c r="G4035" s="353"/>
      <c r="H4035" s="353"/>
      <c r="I4035" s="403"/>
      <c r="J4035" s="303" t="s">
        <v>147</v>
      </c>
      <c r="K4035" s="392">
        <v>0.1575</v>
      </c>
      <c r="L4035" s="1144">
        <v>369520</v>
      </c>
      <c r="M4035" s="1145"/>
      <c r="N4035" s="363">
        <f>+K4035*L4035</f>
        <v>58199.4</v>
      </c>
    </row>
    <row r="4036" spans="2:14">
      <c r="B4036" s="402" t="s">
        <v>352</v>
      </c>
      <c r="C4036" s="353"/>
      <c r="D4036" s="353"/>
      <c r="E4036" s="353"/>
      <c r="F4036" s="353"/>
      <c r="G4036" s="353"/>
      <c r="H4036" s="353"/>
      <c r="I4036" s="403"/>
      <c r="J4036" s="303" t="s">
        <v>196</v>
      </c>
      <c r="K4036" s="392">
        <v>1.33</v>
      </c>
      <c r="L4036" s="1144">
        <v>21420</v>
      </c>
      <c r="M4036" s="1145">
        <v>82007</v>
      </c>
      <c r="N4036" s="363">
        <f>+K4036*L4036</f>
        <v>28488.600000000002</v>
      </c>
    </row>
    <row r="4037" spans="2:14" ht="13.5" thickBot="1">
      <c r="B4037" s="402"/>
      <c r="C4037" s="353"/>
      <c r="D4037" s="353"/>
      <c r="E4037" s="353"/>
      <c r="F4037" s="353"/>
      <c r="G4037" s="353"/>
      <c r="H4037" s="353"/>
      <c r="I4037" s="403"/>
      <c r="J4037" s="303"/>
      <c r="K4037" s="392"/>
      <c r="L4037" s="1189"/>
      <c r="M4037" s="1190"/>
      <c r="N4037" s="363">
        <f>+K4037*L4037</f>
        <v>0</v>
      </c>
    </row>
    <row r="4038" spans="2:14" ht="13.5" thickBot="1">
      <c r="B4038" s="1100" t="s">
        <v>269</v>
      </c>
      <c r="C4038" s="1101"/>
      <c r="D4038" s="1101"/>
      <c r="E4038" s="1101"/>
      <c r="F4038" s="1101"/>
      <c r="G4038" s="1101"/>
      <c r="H4038" s="1101"/>
      <c r="I4038" s="1101"/>
      <c r="J4038" s="1101"/>
      <c r="K4038" s="1101"/>
      <c r="L4038" s="1101"/>
      <c r="M4038" s="1102"/>
      <c r="N4038" s="323">
        <f>+N4035+N4036</f>
        <v>86688</v>
      </c>
    </row>
    <row r="4039" spans="2:14">
      <c r="B4039" s="1103"/>
      <c r="C4039" s="1104"/>
      <c r="D4039" s="1104"/>
      <c r="E4039" s="1104"/>
      <c r="F4039" s="1104"/>
      <c r="G4039" s="1104"/>
      <c r="H4039" s="1104"/>
      <c r="I4039" s="1104"/>
      <c r="J4039" s="1104"/>
      <c r="K4039" s="1104"/>
      <c r="L4039" s="1104"/>
      <c r="M4039" s="1104"/>
      <c r="N4039" s="1105"/>
    </row>
    <row r="4040" spans="2:14">
      <c r="B4040" s="1106"/>
      <c r="C4040" s="1107"/>
      <c r="D4040" s="1107"/>
      <c r="E4040" s="1107"/>
      <c r="F4040" s="1107"/>
      <c r="G4040" s="1107"/>
      <c r="H4040" s="1107"/>
      <c r="I4040" s="1107"/>
      <c r="J4040" s="1107"/>
      <c r="K4040" s="1107"/>
      <c r="L4040" s="1107"/>
      <c r="M4040" s="1107"/>
      <c r="N4040" s="1108"/>
    </row>
    <row r="4041" spans="2:14" ht="13.5" thickBot="1">
      <c r="B4041" s="1109"/>
      <c r="C4041" s="1110"/>
      <c r="D4041" s="1110"/>
      <c r="E4041" s="1110"/>
      <c r="F4041" s="1110"/>
      <c r="G4041" s="1110"/>
      <c r="H4041" s="1110"/>
      <c r="I4041" s="1110"/>
      <c r="J4041" s="1110"/>
      <c r="K4041" s="1110"/>
      <c r="L4041" s="1110"/>
      <c r="M4041" s="1110"/>
      <c r="N4041" s="1111"/>
    </row>
    <row r="4042" spans="2:14">
      <c r="B4042" s="1130" t="s">
        <v>277</v>
      </c>
      <c r="C4042" s="1139"/>
      <c r="D4042" s="1139"/>
      <c r="E4042" s="1139"/>
      <c r="F4042" s="1139"/>
      <c r="G4042" s="1139"/>
      <c r="H4042" s="1139"/>
      <c r="I4042" s="288" t="s">
        <v>278</v>
      </c>
      <c r="J4042" s="306" t="s">
        <v>279</v>
      </c>
      <c r="K4042" s="307" t="s">
        <v>280</v>
      </c>
      <c r="L4042" s="1133" t="s">
        <v>281</v>
      </c>
      <c r="M4042" s="1136"/>
      <c r="N4042" s="289" t="s">
        <v>265</v>
      </c>
    </row>
    <row r="4043" spans="2:14" ht="13.5" thickBot="1">
      <c r="B4043" s="1112"/>
      <c r="C4043" s="1113"/>
      <c r="D4043" s="1113"/>
      <c r="E4043" s="1113"/>
      <c r="F4043" s="1113"/>
      <c r="G4043" s="1113"/>
      <c r="H4043" s="1113"/>
      <c r="I4043" s="393"/>
      <c r="J4043" s="309"/>
      <c r="K4043" s="308"/>
      <c r="L4043" s="1144"/>
      <c r="M4043" s="1145"/>
      <c r="N4043" s="363"/>
    </row>
    <row r="4044" spans="2:14" ht="13.5" thickBot="1">
      <c r="B4044" s="1100" t="s">
        <v>269</v>
      </c>
      <c r="C4044" s="1101"/>
      <c r="D4044" s="1101"/>
      <c r="E4044" s="1101"/>
      <c r="F4044" s="1101"/>
      <c r="G4044" s="1101"/>
      <c r="H4044" s="1101"/>
      <c r="I4044" s="1101"/>
      <c r="J4044" s="1101"/>
      <c r="K4044" s="1101"/>
      <c r="L4044" s="1101"/>
      <c r="M4044" s="1102"/>
      <c r="N4044" s="323">
        <f>+N4043</f>
        <v>0</v>
      </c>
    </row>
    <row r="4045" spans="2:14">
      <c r="B4045" s="1103" t="s">
        <v>282</v>
      </c>
      <c r="C4045" s="1104"/>
      <c r="D4045" s="1104"/>
      <c r="E4045" s="1104"/>
      <c r="F4045" s="1104"/>
      <c r="G4045" s="1104"/>
      <c r="H4045" s="1104"/>
      <c r="I4045" s="1104"/>
      <c r="J4045" s="1104"/>
      <c r="K4045" s="1104"/>
      <c r="L4045" s="1104"/>
      <c r="M4045" s="1104"/>
      <c r="N4045" s="1105"/>
    </row>
    <row r="4046" spans="2:14">
      <c r="B4046" s="1106"/>
      <c r="C4046" s="1107"/>
      <c r="D4046" s="1107"/>
      <c r="E4046" s="1107"/>
      <c r="F4046" s="1107"/>
      <c r="G4046" s="1107"/>
      <c r="H4046" s="1107"/>
      <c r="I4046" s="1107"/>
      <c r="J4046" s="1107"/>
      <c r="K4046" s="1107"/>
      <c r="L4046" s="1107"/>
      <c r="M4046" s="1107"/>
      <c r="N4046" s="1108"/>
    </row>
    <row r="4047" spans="2:14" ht="13.5" thickBot="1">
      <c r="B4047" s="1109"/>
      <c r="C4047" s="1110"/>
      <c r="D4047" s="1110"/>
      <c r="E4047" s="1110"/>
      <c r="F4047" s="1110"/>
      <c r="G4047" s="1110"/>
      <c r="H4047" s="1110"/>
      <c r="I4047" s="1110"/>
      <c r="J4047" s="1110"/>
      <c r="K4047" s="1110"/>
      <c r="L4047" s="1110"/>
      <c r="M4047" s="1110"/>
      <c r="N4047" s="1111"/>
    </row>
    <row r="4048" spans="2:14">
      <c r="B4048" s="1130" t="s">
        <v>283</v>
      </c>
      <c r="C4048" s="1139"/>
      <c r="D4048" s="1139"/>
      <c r="E4048" s="1139"/>
      <c r="F4048" s="1139"/>
      <c r="G4048" s="1139"/>
      <c r="H4048" s="1139"/>
      <c r="I4048" s="288" t="s">
        <v>284</v>
      </c>
      <c r="J4048" s="314" t="s">
        <v>285</v>
      </c>
      <c r="K4048" s="315" t="s">
        <v>286</v>
      </c>
      <c r="L4048" s="1140" t="s">
        <v>264</v>
      </c>
      <c r="M4048" s="1141"/>
      <c r="N4048" s="316" t="s">
        <v>265</v>
      </c>
    </row>
    <row r="4049" spans="2:17" ht="13.5" thickBot="1">
      <c r="B4049" s="317" t="s">
        <v>344</v>
      </c>
      <c r="C4049" s="318"/>
      <c r="D4049" s="318"/>
      <c r="E4049" s="318"/>
      <c r="F4049" s="318"/>
      <c r="G4049" s="318"/>
      <c r="H4049" s="318"/>
      <c r="I4049" s="319">
        <v>153482</v>
      </c>
      <c r="J4049" s="321">
        <v>0</v>
      </c>
      <c r="K4049" s="321">
        <f>+I4049+J4049</f>
        <v>153482</v>
      </c>
      <c r="L4049" s="1157">
        <v>4.2553190000000001</v>
      </c>
      <c r="M4049" s="1158"/>
      <c r="N4049" s="322">
        <f>+K4049/L4049</f>
        <v>36068.271262389491</v>
      </c>
    </row>
    <row r="4050" spans="2:17" ht="13.5" thickBot="1">
      <c r="B4050" s="1100" t="s">
        <v>269</v>
      </c>
      <c r="C4050" s="1101"/>
      <c r="D4050" s="1101"/>
      <c r="E4050" s="1101"/>
      <c r="F4050" s="1101"/>
      <c r="G4050" s="1101"/>
      <c r="H4050" s="1101"/>
      <c r="I4050" s="1101"/>
      <c r="J4050" s="1101"/>
      <c r="K4050" s="1101"/>
      <c r="L4050" s="1101"/>
      <c r="M4050" s="1102"/>
      <c r="N4050" s="323">
        <f>+N4049</f>
        <v>36068.271262389491</v>
      </c>
    </row>
    <row r="4051" spans="2:17" ht="13.5" thickBot="1">
      <c r="B4051" s="324" t="s">
        <v>288</v>
      </c>
      <c r="C4051" s="325"/>
      <c r="D4051" s="325"/>
      <c r="E4051" s="325"/>
      <c r="F4051" s="325"/>
      <c r="G4051" s="325"/>
      <c r="H4051" s="325"/>
      <c r="I4051" s="326"/>
      <c r="J4051" s="327"/>
      <c r="K4051" s="328"/>
      <c r="L4051" s="329"/>
      <c r="M4051" s="329"/>
      <c r="N4051" s="330"/>
    </row>
    <row r="4052" spans="2:17">
      <c r="B4052" s="1130" t="s">
        <v>17</v>
      </c>
      <c r="C4052" s="1139"/>
      <c r="D4052" s="1139"/>
      <c r="E4052" s="1139"/>
      <c r="F4052" s="1139"/>
      <c r="G4052" s="1139"/>
      <c r="H4052" s="1139"/>
      <c r="I4052" s="1136"/>
      <c r="J4052" s="299" t="s">
        <v>259</v>
      </c>
      <c r="K4052" s="288" t="s">
        <v>133</v>
      </c>
      <c r="L4052" s="1133" t="s">
        <v>271</v>
      </c>
      <c r="M4052" s="1136"/>
      <c r="N4052" s="316" t="s">
        <v>265</v>
      </c>
    </row>
    <row r="4053" spans="2:17" ht="13.5" thickBot="1">
      <c r="B4053" s="331" t="s">
        <v>289</v>
      </c>
      <c r="C4053" s="332"/>
      <c r="D4053" s="332"/>
      <c r="E4053" s="332"/>
      <c r="F4053" s="332"/>
      <c r="G4053" s="332"/>
      <c r="H4053" s="332"/>
      <c r="I4053" s="333"/>
      <c r="J4053" s="334" t="s">
        <v>290</v>
      </c>
      <c r="K4053" s="335">
        <v>5.2499999999999998E-2</v>
      </c>
      <c r="L4053" s="1144">
        <f>+N4050</f>
        <v>36068.271262389491</v>
      </c>
      <c r="M4053" s="1145"/>
      <c r="N4053" s="322">
        <f>+K4053*L4053</f>
        <v>1893.5842412754482</v>
      </c>
    </row>
    <row r="4054" spans="2:17" ht="13.5" thickBot="1">
      <c r="B4054" s="1100" t="s">
        <v>269</v>
      </c>
      <c r="C4054" s="1101"/>
      <c r="D4054" s="1101"/>
      <c r="E4054" s="1101"/>
      <c r="F4054" s="1101"/>
      <c r="G4054" s="1101"/>
      <c r="H4054" s="1101"/>
      <c r="I4054" s="1101"/>
      <c r="J4054" s="1101"/>
      <c r="K4054" s="1101"/>
      <c r="L4054" s="1101"/>
      <c r="M4054" s="1102"/>
      <c r="N4054" s="323">
        <f>+N4053</f>
        <v>1893.5842412754482</v>
      </c>
    </row>
    <row r="4055" spans="2:17">
      <c r="B4055" s="414"/>
      <c r="C4055" s="415"/>
      <c r="D4055" s="415"/>
      <c r="E4055" s="415"/>
      <c r="F4055" s="415"/>
      <c r="G4055" s="415"/>
      <c r="H4055" s="415"/>
      <c r="I4055" s="415"/>
      <c r="J4055" s="415"/>
      <c r="K4055" s="415"/>
      <c r="L4055" s="415"/>
      <c r="M4055" s="415"/>
      <c r="N4055" s="416"/>
    </row>
    <row r="4056" spans="2:17" ht="13.5" thickBot="1">
      <c r="B4056" s="324" t="s">
        <v>338</v>
      </c>
      <c r="C4056" s="325"/>
      <c r="D4056" s="325"/>
      <c r="E4056" s="325"/>
      <c r="F4056" s="325"/>
      <c r="G4056" s="325"/>
      <c r="H4056" s="325"/>
      <c r="I4056" s="326"/>
      <c r="J4056" s="327"/>
      <c r="K4056" s="328"/>
      <c r="L4056" s="329"/>
      <c r="M4056" s="329"/>
      <c r="N4056" s="330"/>
    </row>
    <row r="4057" spans="2:17">
      <c r="B4057" s="1130" t="s">
        <v>17</v>
      </c>
      <c r="C4057" s="1139"/>
      <c r="D4057" s="1139"/>
      <c r="E4057" s="1139"/>
      <c r="F4057" s="1139"/>
      <c r="G4057" s="1139"/>
      <c r="H4057" s="1139"/>
      <c r="I4057" s="1136"/>
      <c r="J4057" s="299" t="s">
        <v>259</v>
      </c>
      <c r="K4057" s="288" t="s">
        <v>133</v>
      </c>
      <c r="L4057" s="1133" t="s">
        <v>271</v>
      </c>
      <c r="M4057" s="1136"/>
      <c r="N4057" s="316" t="s">
        <v>265</v>
      </c>
    </row>
    <row r="4058" spans="2:17" ht="13.5" thickBot="1">
      <c r="B4058" s="331" t="s">
        <v>366</v>
      </c>
      <c r="C4058" s="332"/>
      <c r="D4058" s="332"/>
      <c r="E4058" s="332"/>
      <c r="F4058" s="332"/>
      <c r="G4058" s="332"/>
      <c r="H4058" s="332"/>
      <c r="I4058" s="333"/>
      <c r="J4058" s="334" t="s">
        <v>147</v>
      </c>
      <c r="K4058" s="417">
        <v>0.1575</v>
      </c>
      <c r="L4058" s="1144">
        <v>5200</v>
      </c>
      <c r="M4058" s="1145"/>
      <c r="N4058" s="322">
        <f>+K4058*L4058</f>
        <v>819</v>
      </c>
    </row>
    <row r="4059" spans="2:17" ht="13.5" thickBot="1">
      <c r="B4059" s="1100" t="s">
        <v>269</v>
      </c>
      <c r="C4059" s="1101"/>
      <c r="D4059" s="1101"/>
      <c r="E4059" s="1101"/>
      <c r="F4059" s="1101"/>
      <c r="G4059" s="1101"/>
      <c r="H4059" s="1101"/>
      <c r="I4059" s="1101"/>
      <c r="J4059" s="1101"/>
      <c r="K4059" s="1101"/>
      <c r="L4059" s="1101"/>
      <c r="M4059" s="1102"/>
      <c r="N4059" s="323">
        <f>+N4058</f>
        <v>819</v>
      </c>
      <c r="P4059" s="408">
        <v>34609500</v>
      </c>
    </row>
    <row r="4060" spans="2:17" ht="13.5" thickBot="1">
      <c r="B4060" s="378"/>
      <c r="C4060" s="311"/>
      <c r="D4060" s="311"/>
      <c r="E4060" s="311"/>
      <c r="F4060" s="311"/>
      <c r="G4060" s="311"/>
      <c r="H4060" s="311"/>
      <c r="I4060" s="311"/>
      <c r="J4060" s="311"/>
      <c r="K4060" s="311"/>
      <c r="L4060" s="311"/>
      <c r="M4060" s="311"/>
      <c r="N4060" s="379"/>
    </row>
    <row r="4061" spans="2:17" ht="13.5" thickBot="1">
      <c r="B4061" s="1150" t="s">
        <v>291</v>
      </c>
      <c r="C4061" s="1151"/>
      <c r="D4061" s="1151"/>
      <c r="E4061" s="1151"/>
      <c r="F4061" s="1151"/>
      <c r="G4061" s="1151"/>
      <c r="H4061" s="1151"/>
      <c r="I4061" s="1151"/>
      <c r="J4061" s="1151"/>
      <c r="K4061" s="1151"/>
      <c r="L4061" s="1151"/>
      <c r="M4061" s="1152"/>
      <c r="N4061" s="336">
        <f>+N4030+N4038+N4044+N4050+N4054+N4059</f>
        <v>138528.91500323435</v>
      </c>
      <c r="P4061" s="409">
        <f>+N4061*N4018</f>
        <v>34632228.750808589</v>
      </c>
      <c r="Q4061" s="413">
        <f>+P4061-P4059</f>
        <v>22728.75080858916</v>
      </c>
    </row>
    <row r="4062" spans="2:17">
      <c r="B4062" s="1103" t="s">
        <v>292</v>
      </c>
      <c r="C4062" s="1104"/>
      <c r="D4062" s="1104"/>
      <c r="E4062" s="1104"/>
      <c r="F4062" s="1104"/>
      <c r="G4062" s="1104"/>
      <c r="H4062" s="1104"/>
      <c r="I4062" s="1104"/>
      <c r="J4062" s="1104"/>
      <c r="K4062" s="1104"/>
      <c r="L4062" s="1104"/>
      <c r="M4062" s="1104"/>
      <c r="N4062" s="1105"/>
    </row>
    <row r="4063" spans="2:17">
      <c r="B4063" s="1106"/>
      <c r="C4063" s="1107"/>
      <c r="D4063" s="1107"/>
      <c r="E4063" s="1107"/>
      <c r="F4063" s="1107"/>
      <c r="G4063" s="1107"/>
      <c r="H4063" s="1107"/>
      <c r="I4063" s="1107"/>
      <c r="J4063" s="1107"/>
      <c r="K4063" s="1107"/>
      <c r="L4063" s="1107"/>
      <c r="M4063" s="1107"/>
      <c r="N4063" s="1108"/>
    </row>
    <row r="4064" spans="2:17" ht="13.5" thickBot="1">
      <c r="B4064" s="1109"/>
      <c r="C4064" s="1110"/>
      <c r="D4064" s="1110"/>
      <c r="E4064" s="1110"/>
      <c r="F4064" s="1110"/>
      <c r="G4064" s="1110"/>
      <c r="H4064" s="1110"/>
      <c r="I4064" s="1110"/>
      <c r="J4064" s="1110"/>
      <c r="K4064" s="1110"/>
      <c r="L4064" s="1110"/>
      <c r="M4064" s="1110"/>
      <c r="N4064" s="1111"/>
    </row>
    <row r="4065" spans="2:14">
      <c r="B4065" s="1130" t="s">
        <v>17</v>
      </c>
      <c r="C4065" s="1139"/>
      <c r="D4065" s="1139"/>
      <c r="E4065" s="1139"/>
      <c r="F4065" s="1139"/>
      <c r="G4065" s="1139"/>
      <c r="H4065" s="1139"/>
      <c r="I4065" s="306"/>
      <c r="J4065" s="337"/>
      <c r="K4065" s="315" t="s">
        <v>79</v>
      </c>
      <c r="L4065" s="1140" t="s">
        <v>11</v>
      </c>
      <c r="M4065" s="1141"/>
      <c r="N4065" s="316"/>
    </row>
    <row r="4066" spans="2:14">
      <c r="B4066" s="1112" t="s">
        <v>232</v>
      </c>
      <c r="C4066" s="1113"/>
      <c r="D4066" s="1113"/>
      <c r="E4066" s="1113"/>
      <c r="F4066" s="1113"/>
      <c r="G4066" s="1113"/>
      <c r="H4066" s="1113"/>
      <c r="I4066" s="338"/>
      <c r="J4066" s="339"/>
      <c r="K4066" s="340">
        <f>'PRESUPUESTO OFICIAL'!$K$100</f>
        <v>0</v>
      </c>
      <c r="L4066" s="1146">
        <f>K4066*N4061</f>
        <v>0</v>
      </c>
      <c r="M4066" s="1147"/>
      <c r="N4066" s="341"/>
    </row>
    <row r="4067" spans="2:14">
      <c r="B4067" s="292" t="s">
        <v>293</v>
      </c>
      <c r="C4067" s="293"/>
      <c r="D4067" s="293"/>
      <c r="E4067" s="293"/>
      <c r="F4067" s="293"/>
      <c r="G4067" s="293"/>
      <c r="H4067" s="293"/>
      <c r="I4067" s="338"/>
      <c r="J4067" s="339"/>
      <c r="K4067" s="340">
        <f>'PRESUPUESTO OFICIAL'!$K$101</f>
        <v>0</v>
      </c>
      <c r="L4067" s="1146">
        <f>K4067*N4061</f>
        <v>0</v>
      </c>
      <c r="M4067" s="1147"/>
      <c r="N4067" s="341"/>
    </row>
    <row r="4068" spans="2:14" ht="13.5" thickBot="1">
      <c r="B4068" s="277" t="s">
        <v>294</v>
      </c>
      <c r="C4068" s="278"/>
      <c r="D4068" s="278"/>
      <c r="E4068" s="278"/>
      <c r="F4068" s="278"/>
      <c r="G4068" s="278"/>
      <c r="H4068" s="278"/>
      <c r="I4068" s="342"/>
      <c r="J4068" s="343"/>
      <c r="K4068" s="340">
        <f>'PRESUPUESTO OFICIAL'!$K$102</f>
        <v>0</v>
      </c>
      <c r="L4068" s="1148">
        <f>K4068*N4061</f>
        <v>0</v>
      </c>
      <c r="M4068" s="1149"/>
      <c r="N4068" s="341"/>
    </row>
    <row r="4069" spans="2:14" ht="13.5" thickBot="1">
      <c r="B4069" s="1100" t="s">
        <v>269</v>
      </c>
      <c r="C4069" s="1101"/>
      <c r="D4069" s="1101"/>
      <c r="E4069" s="1101"/>
      <c r="F4069" s="1101"/>
      <c r="G4069" s="1101"/>
      <c r="H4069" s="1101"/>
      <c r="I4069" s="1101"/>
      <c r="J4069" s="1101"/>
      <c r="K4069" s="1101"/>
      <c r="L4069" s="1101"/>
      <c r="M4069" s="1102"/>
      <c r="N4069" s="344">
        <f>SUM(L4066:M4068)</f>
        <v>0</v>
      </c>
    </row>
    <row r="4070" spans="2:14" ht="13.5" thickBot="1">
      <c r="B4070" s="283"/>
      <c r="N4070" s="284"/>
    </row>
    <row r="4071" spans="2:14" ht="13.5" thickBot="1">
      <c r="B4071" s="1150" t="s">
        <v>295</v>
      </c>
      <c r="C4071" s="1151"/>
      <c r="D4071" s="1151"/>
      <c r="E4071" s="1151"/>
      <c r="F4071" s="1151"/>
      <c r="G4071" s="1151"/>
      <c r="H4071" s="1151"/>
      <c r="I4071" s="1151"/>
      <c r="J4071" s="1151"/>
      <c r="K4071" s="1151"/>
      <c r="L4071" s="1151"/>
      <c r="M4071" s="1152"/>
      <c r="N4071" s="345">
        <f>ROUND(N4061+N4069,0)</f>
        <v>138529</v>
      </c>
    </row>
    <row r="4072" spans="2:14">
      <c r="B4072" s="280"/>
      <c r="C4072" s="281"/>
      <c r="D4072" s="281"/>
      <c r="E4072" s="281"/>
      <c r="F4072" s="281"/>
      <c r="G4072" s="281"/>
      <c r="H4072" s="281"/>
      <c r="I4072" s="281"/>
      <c r="J4072" s="281"/>
      <c r="K4072" s="281"/>
      <c r="L4072" s="281"/>
      <c r="M4072" s="281"/>
      <c r="N4072" s="282"/>
    </row>
    <row r="4073" spans="2:14">
      <c r="B4073" s="283"/>
      <c r="N4073" s="284"/>
    </row>
    <row r="4074" spans="2:14">
      <c r="B4074" s="283"/>
      <c r="N4074" s="284"/>
    </row>
    <row r="4075" spans="2:14">
      <c r="B4075" s="283"/>
      <c r="G4075" s="346" t="s">
        <v>296</v>
      </c>
      <c r="H4075" s="346"/>
      <c r="I4075" s="346"/>
      <c r="J4075" s="346"/>
      <c r="N4075" s="284"/>
    </row>
    <row r="4076" spans="2:14">
      <c r="B4076" s="347"/>
      <c r="C4076" s="348"/>
      <c r="D4076" s="348"/>
      <c r="E4076" s="348"/>
      <c r="F4076" s="348"/>
      <c r="G4076" s="346" t="s">
        <v>297</v>
      </c>
      <c r="H4076" s="348"/>
      <c r="I4076" s="348"/>
      <c r="J4076" s="348"/>
      <c r="K4076" s="348"/>
      <c r="L4076" s="348"/>
      <c r="M4076" s="348"/>
      <c r="N4076" s="349"/>
    </row>
    <row r="4077" spans="2:14">
      <c r="B4077" s="347"/>
      <c r="C4077" s="348"/>
      <c r="D4077" s="348"/>
      <c r="E4077" s="348"/>
      <c r="F4077" s="348"/>
      <c r="G4077" s="346" t="s">
        <v>298</v>
      </c>
      <c r="J4077" s="348"/>
      <c r="K4077" s="348"/>
      <c r="L4077" s="348"/>
      <c r="M4077" s="348"/>
      <c r="N4077" s="349"/>
    </row>
    <row r="4078" spans="2:14">
      <c r="B4078" s="268"/>
      <c r="C4078" s="350"/>
      <c r="D4078" s="350"/>
      <c r="E4078" s="350"/>
      <c r="F4078" s="350"/>
      <c r="G4078" s="346" t="s">
        <v>299</v>
      </c>
      <c r="H4078" s="350"/>
      <c r="I4078" s="350"/>
      <c r="J4078" s="350"/>
      <c r="K4078" s="350"/>
      <c r="L4078" s="350"/>
      <c r="M4078" s="350"/>
      <c r="N4078" s="351"/>
    </row>
    <row r="4079" spans="2:14">
      <c r="B4079" s="283"/>
      <c r="G4079" s="258" t="s">
        <v>300</v>
      </c>
      <c r="N4079" s="284"/>
    </row>
    <row r="4080" spans="2:14">
      <c r="B4080" s="352" t="s">
        <v>301</v>
      </c>
      <c r="C4080" s="353"/>
      <c r="D4080" s="353"/>
      <c r="E4080" s="353"/>
      <c r="F4080" s="353"/>
      <c r="G4080" s="353"/>
      <c r="H4080" s="353"/>
      <c r="I4080" s="353"/>
      <c r="J4080" s="353"/>
      <c r="K4080" s="353"/>
      <c r="L4080" s="353"/>
      <c r="M4080" s="353"/>
      <c r="N4080" s="354"/>
    </row>
    <row r="4081" spans="2:14">
      <c r="B4081" s="1153"/>
      <c r="C4081" s="1154"/>
      <c r="D4081" s="1154"/>
      <c r="E4081" s="1154"/>
      <c r="F4081" s="1154"/>
      <c r="G4081" s="1154"/>
      <c r="H4081" s="1154"/>
      <c r="I4081" s="1154"/>
      <c r="J4081" s="1154"/>
      <c r="K4081" s="1154"/>
      <c r="L4081" s="1154"/>
      <c r="M4081" s="1154"/>
      <c r="N4081" s="1155"/>
    </row>
    <row r="4082" spans="2:14">
      <c r="B4082" s="1153"/>
      <c r="C4082" s="1154"/>
      <c r="D4082" s="1154"/>
      <c r="E4082" s="1154"/>
      <c r="F4082" s="1154"/>
      <c r="G4082" s="1154"/>
      <c r="H4082" s="1154"/>
      <c r="I4082" s="1154"/>
      <c r="J4082" s="1154"/>
      <c r="K4082" s="1154"/>
      <c r="L4082" s="1154"/>
      <c r="M4082" s="1154"/>
      <c r="N4082" s="1155"/>
    </row>
    <row r="4083" spans="2:14">
      <c r="B4083" s="268"/>
      <c r="C4083" s="350"/>
      <c r="D4083" s="350"/>
      <c r="E4083" s="350"/>
      <c r="F4083" s="350"/>
      <c r="G4083" s="350"/>
      <c r="H4083" s="350"/>
      <c r="I4083" s="350"/>
      <c r="J4083" s="350"/>
      <c r="K4083" s="350"/>
      <c r="L4083" s="350"/>
      <c r="M4083" s="350"/>
      <c r="N4083" s="351"/>
    </row>
    <row r="4084" spans="2:14">
      <c r="B4084" s="355" t="s">
        <v>302</v>
      </c>
      <c r="C4084" s="350"/>
      <c r="D4084" s="350"/>
      <c r="E4084" s="350"/>
      <c r="F4084" s="350"/>
      <c r="G4084" s="350"/>
      <c r="H4084" s="350"/>
      <c r="I4084" s="350"/>
      <c r="J4084" s="350"/>
      <c r="K4084" s="350"/>
      <c r="L4084" s="350"/>
      <c r="M4084" s="350"/>
      <c r="N4084" s="351"/>
    </row>
    <row r="4085" spans="2:14">
      <c r="B4085" s="1159" t="s">
        <v>303</v>
      </c>
      <c r="C4085" s="1160"/>
      <c r="D4085" s="1160"/>
      <c r="E4085" s="1160"/>
      <c r="F4085" s="1160"/>
      <c r="G4085" s="1160"/>
      <c r="H4085" s="1160"/>
      <c r="I4085" s="1160"/>
      <c r="J4085" s="1160"/>
      <c r="K4085" s="1160"/>
      <c r="L4085" s="1160"/>
      <c r="M4085" s="1160"/>
      <c r="N4085" s="1161"/>
    </row>
    <row r="4086" spans="2:14">
      <c r="B4086" s="1159"/>
      <c r="C4086" s="1160"/>
      <c r="D4086" s="1160"/>
      <c r="E4086" s="1160"/>
      <c r="F4086" s="1160"/>
      <c r="G4086" s="1160"/>
      <c r="H4086" s="1160"/>
      <c r="I4086" s="1160"/>
      <c r="J4086" s="1160"/>
      <c r="K4086" s="1160"/>
      <c r="L4086" s="1160"/>
      <c r="M4086" s="1160"/>
      <c r="N4086" s="1161"/>
    </row>
    <row r="4087" spans="2:14">
      <c r="B4087" s="1159" t="s">
        <v>304</v>
      </c>
      <c r="C4087" s="1160"/>
      <c r="D4087" s="1160"/>
      <c r="E4087" s="1160"/>
      <c r="F4087" s="1160"/>
      <c r="G4087" s="1160"/>
      <c r="H4087" s="1160"/>
      <c r="I4087" s="1160"/>
      <c r="J4087" s="1160"/>
      <c r="K4087" s="1160"/>
      <c r="L4087" s="1160"/>
      <c r="M4087" s="1160"/>
      <c r="N4087" s="1161"/>
    </row>
    <row r="4088" spans="2:14">
      <c r="B4088" s="1159"/>
      <c r="C4088" s="1160"/>
      <c r="D4088" s="1160"/>
      <c r="E4088" s="1160"/>
      <c r="F4088" s="1160"/>
      <c r="G4088" s="1160"/>
      <c r="H4088" s="1160"/>
      <c r="I4088" s="1160"/>
      <c r="J4088" s="1160"/>
      <c r="K4088" s="1160"/>
      <c r="L4088" s="1160"/>
      <c r="M4088" s="1160"/>
      <c r="N4088" s="1161"/>
    </row>
    <row r="4089" spans="2:14">
      <c r="B4089" s="268"/>
      <c r="C4089" s="350"/>
      <c r="D4089" s="350"/>
      <c r="E4089" s="350"/>
      <c r="F4089" s="350"/>
      <c r="G4089" s="350"/>
      <c r="H4089" s="350"/>
      <c r="I4089" s="350"/>
      <c r="J4089" s="350"/>
      <c r="K4089" s="350"/>
      <c r="L4089" s="350"/>
      <c r="M4089" s="350"/>
      <c r="N4089" s="351"/>
    </row>
    <row r="4090" spans="2:14">
      <c r="B4090" s="283"/>
      <c r="G4090" s="346" t="s">
        <v>296</v>
      </c>
      <c r="N4090" s="284"/>
    </row>
    <row r="4091" spans="2:14">
      <c r="B4091" s="283"/>
      <c r="G4091" s="258" t="s">
        <v>305</v>
      </c>
      <c r="H4091" s="293"/>
      <c r="I4091" s="293"/>
      <c r="J4091" s="293"/>
      <c r="N4091" s="284"/>
    </row>
    <row r="4092" spans="2:14">
      <c r="B4092" s="283"/>
      <c r="G4092" s="258" t="s">
        <v>306</v>
      </c>
      <c r="H4092" s="325"/>
      <c r="I4092" s="325"/>
      <c r="J4092" s="325"/>
      <c r="N4092" s="284"/>
    </row>
    <row r="4093" spans="2:14">
      <c r="B4093" s="356"/>
      <c r="C4093" s="350"/>
      <c r="D4093" s="350"/>
      <c r="E4093" s="350"/>
      <c r="F4093" s="350"/>
      <c r="G4093" s="258" t="s">
        <v>299</v>
      </c>
      <c r="K4093" s="350"/>
      <c r="L4093" s="350"/>
      <c r="M4093" s="350"/>
      <c r="N4093" s="351"/>
    </row>
    <row r="4094" spans="2:14">
      <c r="B4094" s="357"/>
      <c r="C4094" s="358"/>
      <c r="D4094" s="358"/>
      <c r="J4094" s="1162"/>
      <c r="K4094" s="1162"/>
      <c r="L4094" s="1162"/>
      <c r="M4094" s="1162"/>
      <c r="N4094" s="1163"/>
    </row>
    <row r="4095" spans="2:14" ht="13.5" thickBot="1">
      <c r="B4095" s="1166"/>
      <c r="C4095" s="1167"/>
      <c r="D4095" s="1167"/>
      <c r="E4095" s="311"/>
      <c r="F4095" s="311"/>
      <c r="G4095" s="311"/>
      <c r="H4095" s="311"/>
      <c r="I4095" s="311"/>
      <c r="J4095" s="1164"/>
      <c r="K4095" s="1164"/>
      <c r="L4095" s="1164"/>
      <c r="M4095" s="1164"/>
      <c r="N4095" s="1165"/>
    </row>
    <row r="4096" spans="2:14" ht="13.5" thickBot="1"/>
    <row r="4097" spans="2:14">
      <c r="B4097" s="1070"/>
      <c r="C4097" s="1072"/>
      <c r="D4097" s="1073"/>
      <c r="E4097" s="1073"/>
      <c r="F4097" s="1073"/>
      <c r="G4097" s="1073"/>
      <c r="H4097" s="1073"/>
      <c r="I4097" s="1073"/>
      <c r="J4097" s="1074"/>
      <c r="K4097" s="1075"/>
      <c r="L4097" s="1076"/>
      <c r="M4097" s="1076"/>
      <c r="N4097" s="1077"/>
    </row>
    <row r="4098" spans="2:14">
      <c r="B4098" s="1071"/>
      <c r="C4098" s="1062" t="s">
        <v>244</v>
      </c>
      <c r="D4098" s="1063"/>
      <c r="E4098" s="1063"/>
      <c r="F4098" s="1063"/>
      <c r="G4098" s="1063"/>
      <c r="H4098" s="1063"/>
      <c r="I4098" s="1063"/>
      <c r="J4098" s="1064"/>
      <c r="K4098" s="1078"/>
      <c r="L4098" s="1079"/>
      <c r="M4098" s="1079"/>
      <c r="N4098" s="1080"/>
    </row>
    <row r="4099" spans="2:14">
      <c r="B4099" s="1071"/>
      <c r="C4099" s="1081"/>
      <c r="D4099" s="1082"/>
      <c r="E4099" s="1082"/>
      <c r="F4099" s="1082"/>
      <c r="G4099" s="1082"/>
      <c r="H4099" s="1082"/>
      <c r="I4099" s="1082"/>
      <c r="J4099" s="1083"/>
      <c r="K4099" s="1058" t="s">
        <v>245</v>
      </c>
      <c r="L4099" s="1085"/>
      <c r="M4099" s="1086"/>
      <c r="N4099" s="1087"/>
    </row>
    <row r="4100" spans="2:14">
      <c r="B4100" s="1071"/>
      <c r="C4100" s="1062" t="s">
        <v>246</v>
      </c>
      <c r="D4100" s="1063"/>
      <c r="E4100" s="1063"/>
      <c r="F4100" s="1063"/>
      <c r="G4100" s="1063"/>
      <c r="H4100" s="1063"/>
      <c r="I4100" s="1063"/>
      <c r="J4100" s="1064"/>
      <c r="K4100" s="1084"/>
      <c r="L4100" s="1088"/>
      <c r="M4100" s="1089"/>
      <c r="N4100" s="1090"/>
    </row>
    <row r="4101" spans="2:14">
      <c r="B4101" s="1071"/>
      <c r="C4101" s="1091"/>
      <c r="D4101" s="1092"/>
      <c r="E4101" s="1092"/>
      <c r="F4101" s="1092"/>
      <c r="G4101" s="1092"/>
      <c r="H4101" s="1092"/>
      <c r="I4101" s="1092"/>
      <c r="J4101" s="1093"/>
      <c r="K4101" s="1058" t="s">
        <v>247</v>
      </c>
      <c r="L4101" s="1058">
        <v>46</v>
      </c>
      <c r="M4101" s="1058" t="s">
        <v>248</v>
      </c>
      <c r="N4101" s="1060">
        <v>80</v>
      </c>
    </row>
    <row r="4102" spans="2:14">
      <c r="B4102" s="1071"/>
      <c r="C4102" s="1091"/>
      <c r="D4102" s="1092"/>
      <c r="E4102" s="1092"/>
      <c r="F4102" s="1092"/>
      <c r="G4102" s="1092"/>
      <c r="H4102" s="1092"/>
      <c r="I4102" s="1092"/>
      <c r="J4102" s="1093"/>
      <c r="K4102" s="1059"/>
      <c r="L4102" s="1059"/>
      <c r="M4102" s="1059"/>
      <c r="N4102" s="1061"/>
    </row>
    <row r="4103" spans="2:14">
      <c r="B4103" s="1071"/>
      <c r="C4103" s="1062" t="s">
        <v>249</v>
      </c>
      <c r="D4103" s="1063"/>
      <c r="E4103" s="1063"/>
      <c r="F4103" s="1063"/>
      <c r="G4103" s="1063"/>
      <c r="H4103" s="1063"/>
      <c r="I4103" s="1063"/>
      <c r="J4103" s="1064"/>
      <c r="K4103" s="1059"/>
      <c r="L4103" s="1059"/>
      <c r="M4103" s="1059"/>
      <c r="N4103" s="1061"/>
    </row>
    <row r="4104" spans="2:14" ht="13.5" thickBot="1">
      <c r="B4104" s="259"/>
      <c r="C4104" s="260"/>
      <c r="D4104" s="260"/>
      <c r="E4104" s="260"/>
      <c r="F4104" s="260"/>
      <c r="G4104" s="260"/>
      <c r="H4104" s="260"/>
      <c r="I4104" s="260"/>
      <c r="J4104" s="260"/>
      <c r="K4104" s="260"/>
      <c r="L4104" s="261"/>
      <c r="M4104" s="261"/>
      <c r="N4104" s="262"/>
    </row>
    <row r="4105" spans="2:14">
      <c r="B4105" s="263"/>
      <c r="C4105" s="264"/>
      <c r="D4105" s="264"/>
      <c r="E4105" s="264"/>
      <c r="F4105" s="264"/>
      <c r="G4105" s="264"/>
      <c r="H4105" s="264"/>
      <c r="I4105" s="264"/>
      <c r="J4105" s="264"/>
      <c r="K4105" s="265" t="s">
        <v>250</v>
      </c>
      <c r="L4105" s="266" t="s">
        <v>251</v>
      </c>
      <c r="M4105" s="266" t="s">
        <v>252</v>
      </c>
      <c r="N4105" s="267" t="s">
        <v>253</v>
      </c>
    </row>
    <row r="4106" spans="2:14">
      <c r="B4106" s="268"/>
      <c r="C4106" s="269"/>
      <c r="D4106" s="269"/>
      <c r="E4106" s="269"/>
      <c r="F4106" s="269"/>
      <c r="G4106" s="269"/>
      <c r="H4106" s="269"/>
      <c r="I4106" s="269"/>
      <c r="J4106" s="269"/>
      <c r="K4106" s="270"/>
      <c r="L4106" s="271"/>
      <c r="M4106" s="271"/>
      <c r="N4106" s="272"/>
    </row>
    <row r="4107" spans="2:14">
      <c r="B4107" s="1065" t="s">
        <v>254</v>
      </c>
      <c r="C4107" s="1066"/>
      <c r="D4107" s="1066"/>
      <c r="E4107" s="1066"/>
      <c r="F4107" s="269"/>
      <c r="G4107" s="269"/>
      <c r="H4107" s="269" t="s">
        <v>255</v>
      </c>
      <c r="J4107" s="269"/>
      <c r="K4107" s="270"/>
      <c r="N4107" s="273"/>
    </row>
    <row r="4108" spans="2:14">
      <c r="B4108" s="274"/>
      <c r="C4108" s="275"/>
      <c r="D4108" s="275"/>
      <c r="E4108" s="275"/>
      <c r="F4108" s="275"/>
      <c r="G4108" s="275"/>
      <c r="H4108" s="275"/>
      <c r="I4108" s="275"/>
      <c r="J4108" s="275"/>
      <c r="K4108" s="275"/>
      <c r="L4108" s="275"/>
      <c r="M4108" s="275"/>
      <c r="N4108" s="276"/>
    </row>
    <row r="4109" spans="2:14" ht="13.5" thickBot="1">
      <c r="B4109" s="277"/>
      <c r="C4109" s="278"/>
      <c r="D4109" s="278"/>
      <c r="E4109" s="278"/>
      <c r="F4109" s="278"/>
      <c r="G4109" s="278"/>
      <c r="H4109" s="278"/>
      <c r="I4109" s="278"/>
      <c r="J4109" s="278"/>
      <c r="K4109" s="278"/>
      <c r="L4109" s="278"/>
      <c r="M4109" s="278"/>
      <c r="N4109" s="279"/>
    </row>
    <row r="4110" spans="2:14" ht="13.5" thickBot="1">
      <c r="B4110" s="280"/>
      <c r="C4110" s="281"/>
      <c r="D4110" s="281"/>
      <c r="E4110" s="281"/>
      <c r="F4110" s="281"/>
      <c r="G4110" s="281"/>
      <c r="J4110" s="281"/>
      <c r="K4110" s="281"/>
      <c r="L4110" s="281"/>
      <c r="M4110" s="281"/>
      <c r="N4110" s="282"/>
    </row>
    <row r="4111" spans="2:14">
      <c r="B4111" s="1067" t="s">
        <v>256</v>
      </c>
      <c r="C4111" s="1068"/>
      <c r="D4111" s="1068"/>
      <c r="E4111" s="1068"/>
      <c r="F4111" s="1068"/>
      <c r="G4111" s="1068"/>
      <c r="H4111" s="1068"/>
      <c r="I4111" s="1068"/>
      <c r="J4111" s="1068"/>
      <c r="K4111" s="1068"/>
      <c r="L4111" s="1068"/>
      <c r="M4111" s="1068"/>
      <c r="N4111" s="1069"/>
    </row>
    <row r="4112" spans="2:14" ht="13.5" thickBot="1">
      <c r="B4112" s="283"/>
      <c r="N4112" s="284"/>
    </row>
    <row r="4113" spans="2:14">
      <c r="B4113" s="285" t="s">
        <v>257</v>
      </c>
      <c r="C4113" s="1120" t="s">
        <v>258</v>
      </c>
      <c r="D4113" s="1121"/>
      <c r="E4113" s="1121"/>
      <c r="F4113" s="1121"/>
      <c r="G4113" s="1121"/>
      <c r="H4113" s="1121"/>
      <c r="I4113" s="1121"/>
      <c r="J4113" s="1121"/>
      <c r="K4113" s="1122"/>
      <c r="L4113" s="1123" t="s">
        <v>259</v>
      </c>
      <c r="M4113" s="1124"/>
      <c r="N4113" s="285" t="s">
        <v>133</v>
      </c>
    </row>
    <row r="4114" spans="2:14" ht="28.15" customHeight="1" thickBot="1">
      <c r="B4114" s="286">
        <v>46</v>
      </c>
      <c r="C4114" s="1125" t="s">
        <v>187</v>
      </c>
      <c r="D4114" s="1126"/>
      <c r="E4114" s="1126"/>
      <c r="F4114" s="1126"/>
      <c r="G4114" s="1126"/>
      <c r="H4114" s="1126"/>
      <c r="I4114" s="1126"/>
      <c r="J4114" s="1126"/>
      <c r="K4114" s="1127"/>
      <c r="L4114" s="1128" t="s">
        <v>147</v>
      </c>
      <c r="M4114" s="1129"/>
      <c r="N4114" s="366">
        <v>3</v>
      </c>
    </row>
    <row r="4115" spans="2:14">
      <c r="B4115" s="1103"/>
      <c r="C4115" s="1104"/>
      <c r="D4115" s="1104"/>
      <c r="E4115" s="1104"/>
      <c r="F4115" s="1104"/>
      <c r="G4115" s="1104"/>
      <c r="H4115" s="1104"/>
      <c r="I4115" s="1104"/>
      <c r="J4115" s="1104"/>
      <c r="K4115" s="1104"/>
      <c r="L4115" s="1104"/>
      <c r="M4115" s="1104"/>
      <c r="N4115" s="1105"/>
    </row>
    <row r="4116" spans="2:14">
      <c r="B4116" s="1106"/>
      <c r="C4116" s="1107"/>
      <c r="D4116" s="1107"/>
      <c r="E4116" s="1107"/>
      <c r="F4116" s="1107"/>
      <c r="G4116" s="1107"/>
      <c r="H4116" s="1107"/>
      <c r="I4116" s="1107"/>
      <c r="J4116" s="1107"/>
      <c r="K4116" s="1107"/>
      <c r="L4116" s="1107"/>
      <c r="M4116" s="1107"/>
      <c r="N4116" s="1108"/>
    </row>
    <row r="4117" spans="2:14" ht="13.5" thickBot="1">
      <c r="B4117" s="1109"/>
      <c r="C4117" s="1110"/>
      <c r="D4117" s="1110"/>
      <c r="E4117" s="1110"/>
      <c r="F4117" s="1110"/>
      <c r="G4117" s="1110"/>
      <c r="H4117" s="1110"/>
      <c r="I4117" s="1110"/>
      <c r="J4117" s="1110"/>
      <c r="K4117" s="1110"/>
      <c r="L4117" s="1110"/>
      <c r="M4117" s="1110"/>
      <c r="N4117" s="1111"/>
    </row>
    <row r="4118" spans="2:14">
      <c r="B4118" s="1130" t="s">
        <v>258</v>
      </c>
      <c r="C4118" s="1131"/>
      <c r="D4118" s="1131"/>
      <c r="E4118" s="1131"/>
      <c r="F4118" s="1132"/>
      <c r="G4118" s="1133" t="s">
        <v>261</v>
      </c>
      <c r="H4118" s="1131"/>
      <c r="I4118" s="1134" t="s">
        <v>262</v>
      </c>
      <c r="J4118" s="1135"/>
      <c r="K4118" s="288" t="s">
        <v>263</v>
      </c>
      <c r="L4118" s="1133" t="s">
        <v>264</v>
      </c>
      <c r="M4118" s="1136"/>
      <c r="N4118" s="289" t="s">
        <v>265</v>
      </c>
    </row>
    <row r="4119" spans="2:14">
      <c r="B4119" s="1179" t="s">
        <v>327</v>
      </c>
      <c r="C4119" s="1180"/>
      <c r="D4119" s="1180"/>
      <c r="E4119" s="1180"/>
      <c r="F4119" s="1181"/>
      <c r="G4119" s="295"/>
      <c r="H4119" s="294"/>
      <c r="I4119" s="1182" t="s">
        <v>267</v>
      </c>
      <c r="J4119" s="1183"/>
      <c r="K4119" s="290">
        <v>333</v>
      </c>
      <c r="L4119" s="1118">
        <v>0.38461499999999998</v>
      </c>
      <c r="M4119" s="1119"/>
      <c r="N4119" s="290">
        <f t="shared" ref="N4119:N4124" si="2">+K4119/L4119</f>
        <v>865.80086580086584</v>
      </c>
    </row>
    <row r="4120" spans="2:14">
      <c r="B4120" s="1179" t="s">
        <v>360</v>
      </c>
      <c r="C4120" s="1180"/>
      <c r="D4120" s="1180"/>
      <c r="E4120" s="1180"/>
      <c r="F4120" s="1181"/>
      <c r="G4120" s="295"/>
      <c r="H4120" s="294"/>
      <c r="I4120" s="1182" t="s">
        <v>267</v>
      </c>
      <c r="J4120" s="1183"/>
      <c r="K4120" s="290">
        <v>120</v>
      </c>
      <c r="L4120" s="1118">
        <v>0.2</v>
      </c>
      <c r="M4120" s="1119"/>
      <c r="N4120" s="290">
        <f t="shared" si="2"/>
        <v>600</v>
      </c>
    </row>
    <row r="4121" spans="2:14">
      <c r="B4121" s="1179" t="s">
        <v>356</v>
      </c>
      <c r="C4121" s="1180"/>
      <c r="D4121" s="1180"/>
      <c r="E4121" s="1180"/>
      <c r="F4121" s="1181"/>
      <c r="G4121" s="295"/>
      <c r="H4121" s="294"/>
      <c r="I4121" s="1182" t="s">
        <v>267</v>
      </c>
      <c r="J4121" s="1183"/>
      <c r="K4121" s="290">
        <v>186</v>
      </c>
      <c r="L4121" s="1118">
        <v>0.769231</v>
      </c>
      <c r="M4121" s="1119"/>
      <c r="N4121" s="290">
        <f t="shared" si="2"/>
        <v>241.79992746002176</v>
      </c>
    </row>
    <row r="4122" spans="2:14">
      <c r="B4122" s="1179" t="s">
        <v>340</v>
      </c>
      <c r="C4122" s="1180"/>
      <c r="D4122" s="1180"/>
      <c r="E4122" s="1180"/>
      <c r="F4122" s="1181"/>
      <c r="G4122" s="295"/>
      <c r="H4122" s="294"/>
      <c r="I4122" s="1182" t="s">
        <v>267</v>
      </c>
      <c r="J4122" s="1183"/>
      <c r="K4122" s="290">
        <v>45220</v>
      </c>
      <c r="L4122" s="1118">
        <v>3.3333330000000001</v>
      </c>
      <c r="M4122" s="1119"/>
      <c r="N4122" s="290">
        <f t="shared" si="2"/>
        <v>13566.001356600134</v>
      </c>
    </row>
    <row r="4123" spans="2:14">
      <c r="B4123" s="1179" t="s">
        <v>357</v>
      </c>
      <c r="C4123" s="1180"/>
      <c r="D4123" s="1180"/>
      <c r="E4123" s="1180"/>
      <c r="F4123" s="1181"/>
      <c r="G4123" s="295"/>
      <c r="H4123" s="294"/>
      <c r="I4123" s="1182" t="s">
        <v>267</v>
      </c>
      <c r="J4123" s="1183"/>
      <c r="K4123" s="290">
        <v>666</v>
      </c>
      <c r="L4123" s="1118">
        <v>0.83333299999999999</v>
      </c>
      <c r="M4123" s="1119"/>
      <c r="N4123" s="290">
        <f t="shared" si="2"/>
        <v>799.2003196801279</v>
      </c>
    </row>
    <row r="4124" spans="2:14" ht="13.5" thickBot="1">
      <c r="B4124" s="1179" t="s">
        <v>358</v>
      </c>
      <c r="C4124" s="1180"/>
      <c r="D4124" s="1180"/>
      <c r="E4124" s="1180"/>
      <c r="F4124" s="1181"/>
      <c r="G4124" s="295"/>
      <c r="H4124" s="294"/>
      <c r="I4124" s="1182" t="s">
        <v>267</v>
      </c>
      <c r="J4124" s="1183"/>
      <c r="K4124" s="290">
        <v>91</v>
      </c>
      <c r="L4124" s="1118">
        <v>0.2</v>
      </c>
      <c r="M4124" s="1119"/>
      <c r="N4124" s="290">
        <f t="shared" si="2"/>
        <v>455</v>
      </c>
    </row>
    <row r="4125" spans="2:14" ht="13.5" thickBot="1">
      <c r="B4125" s="1100" t="s">
        <v>269</v>
      </c>
      <c r="C4125" s="1101"/>
      <c r="D4125" s="1101"/>
      <c r="E4125" s="1101"/>
      <c r="F4125" s="1101"/>
      <c r="G4125" s="1101"/>
      <c r="H4125" s="1101"/>
      <c r="I4125" s="1101"/>
      <c r="J4125" s="1101"/>
      <c r="K4125" s="1101"/>
      <c r="L4125" s="1101"/>
      <c r="M4125" s="1102"/>
      <c r="N4125" s="323">
        <f>+N4119+N4120+N4121+N4122+N4123+N4124</f>
        <v>16527.802469541151</v>
      </c>
    </row>
    <row r="4126" spans="2:14">
      <c r="B4126" s="1103" t="s">
        <v>270</v>
      </c>
      <c r="C4126" s="1104"/>
      <c r="D4126" s="1104"/>
      <c r="E4126" s="1104"/>
      <c r="F4126" s="1104"/>
      <c r="G4126" s="1104"/>
      <c r="H4126" s="1104"/>
      <c r="I4126" s="1104"/>
      <c r="J4126" s="1104"/>
      <c r="K4126" s="1104"/>
      <c r="L4126" s="1104"/>
      <c r="M4126" s="1104"/>
      <c r="N4126" s="1105"/>
    </row>
    <row r="4127" spans="2:14">
      <c r="B4127" s="1106"/>
      <c r="C4127" s="1107"/>
      <c r="D4127" s="1107"/>
      <c r="E4127" s="1107"/>
      <c r="F4127" s="1107"/>
      <c r="G4127" s="1107"/>
      <c r="H4127" s="1107"/>
      <c r="I4127" s="1107"/>
      <c r="J4127" s="1107"/>
      <c r="K4127" s="1107"/>
      <c r="L4127" s="1107"/>
      <c r="M4127" s="1107"/>
      <c r="N4127" s="1108"/>
    </row>
    <row r="4128" spans="2:14" ht="13.5" thickBot="1">
      <c r="B4128" s="1109"/>
      <c r="C4128" s="1110"/>
      <c r="D4128" s="1110"/>
      <c r="E4128" s="1110"/>
      <c r="F4128" s="1110"/>
      <c r="G4128" s="1110"/>
      <c r="H4128" s="1110"/>
      <c r="I4128" s="1110"/>
      <c r="J4128" s="1110"/>
      <c r="K4128" s="1110"/>
      <c r="L4128" s="1110"/>
      <c r="M4128" s="1110"/>
      <c r="N4128" s="1111"/>
    </row>
    <row r="4129" spans="2:14">
      <c r="B4129" s="1130" t="s">
        <v>258</v>
      </c>
      <c r="C4129" s="1139"/>
      <c r="D4129" s="1139"/>
      <c r="E4129" s="1139"/>
      <c r="F4129" s="1139"/>
      <c r="G4129" s="1139"/>
      <c r="H4129" s="1139"/>
      <c r="I4129" s="1136"/>
      <c r="J4129" s="299" t="s">
        <v>259</v>
      </c>
      <c r="K4129" s="288" t="s">
        <v>133</v>
      </c>
      <c r="L4129" s="1133" t="s">
        <v>271</v>
      </c>
      <c r="M4129" s="1136"/>
      <c r="N4129" s="289" t="s">
        <v>265</v>
      </c>
    </row>
    <row r="4130" spans="2:14">
      <c r="B4130" s="402" t="s">
        <v>363</v>
      </c>
      <c r="C4130" s="353"/>
      <c r="D4130" s="353"/>
      <c r="E4130" s="353"/>
      <c r="F4130" s="353"/>
      <c r="G4130" s="353"/>
      <c r="H4130" s="353"/>
      <c r="I4130" s="403"/>
      <c r="J4130" s="303" t="s">
        <v>147</v>
      </c>
      <c r="K4130" s="392">
        <v>1.05</v>
      </c>
      <c r="L4130" s="1144">
        <v>369520</v>
      </c>
      <c r="M4130" s="1145"/>
      <c r="N4130" s="363">
        <f>+K4130*L4130</f>
        <v>387996</v>
      </c>
    </row>
    <row r="4131" spans="2:14">
      <c r="B4131" s="402" t="s">
        <v>353</v>
      </c>
      <c r="C4131" s="353"/>
      <c r="D4131" s="353"/>
      <c r="E4131" s="353"/>
      <c r="F4131" s="353"/>
      <c r="G4131" s="353"/>
      <c r="H4131" s="353"/>
      <c r="I4131" s="403"/>
      <c r="J4131" s="303" t="s">
        <v>196</v>
      </c>
      <c r="K4131" s="392">
        <v>0.61</v>
      </c>
      <c r="L4131" s="1144">
        <v>139230</v>
      </c>
      <c r="M4131" s="1145">
        <v>82007</v>
      </c>
      <c r="N4131" s="363">
        <f>+K4131*L4131</f>
        <v>84930.3</v>
      </c>
    </row>
    <row r="4132" spans="2:14" ht="13.5" thickBot="1">
      <c r="B4132" s="402" t="s">
        <v>332</v>
      </c>
      <c r="C4132" s="353"/>
      <c r="D4132" s="353"/>
      <c r="E4132" s="353"/>
      <c r="F4132" s="353"/>
      <c r="G4132" s="353"/>
      <c r="H4132" s="353"/>
      <c r="I4132" s="403"/>
      <c r="J4132" s="303" t="s">
        <v>196</v>
      </c>
      <c r="K4132" s="392">
        <v>0.6</v>
      </c>
      <c r="L4132" s="1189">
        <v>10710</v>
      </c>
      <c r="M4132" s="1190"/>
      <c r="N4132" s="363">
        <f>+K4132*L4132</f>
        <v>6426</v>
      </c>
    </row>
    <row r="4133" spans="2:14" ht="13.5" thickBot="1">
      <c r="B4133" s="1100" t="s">
        <v>269</v>
      </c>
      <c r="C4133" s="1101"/>
      <c r="D4133" s="1101"/>
      <c r="E4133" s="1101"/>
      <c r="F4133" s="1101"/>
      <c r="G4133" s="1101"/>
      <c r="H4133" s="1101"/>
      <c r="I4133" s="1101"/>
      <c r="J4133" s="1101"/>
      <c r="K4133" s="1101"/>
      <c r="L4133" s="1101"/>
      <c r="M4133" s="1102"/>
      <c r="N4133" s="323">
        <f>+N4130+N4131+N4132</f>
        <v>479352.3</v>
      </c>
    </row>
    <row r="4134" spans="2:14">
      <c r="B4134" s="1103"/>
      <c r="C4134" s="1104"/>
      <c r="D4134" s="1104"/>
      <c r="E4134" s="1104"/>
      <c r="F4134" s="1104"/>
      <c r="G4134" s="1104"/>
      <c r="H4134" s="1104"/>
      <c r="I4134" s="1104"/>
      <c r="J4134" s="1104"/>
      <c r="K4134" s="1104"/>
      <c r="L4134" s="1104"/>
      <c r="M4134" s="1104"/>
      <c r="N4134" s="1105"/>
    </row>
    <row r="4135" spans="2:14">
      <c r="B4135" s="1106"/>
      <c r="C4135" s="1107"/>
      <c r="D4135" s="1107"/>
      <c r="E4135" s="1107"/>
      <c r="F4135" s="1107"/>
      <c r="G4135" s="1107"/>
      <c r="H4135" s="1107"/>
      <c r="I4135" s="1107"/>
      <c r="J4135" s="1107"/>
      <c r="K4135" s="1107"/>
      <c r="L4135" s="1107"/>
      <c r="M4135" s="1107"/>
      <c r="N4135" s="1108"/>
    </row>
    <row r="4136" spans="2:14" ht="13.5" thickBot="1">
      <c r="B4136" s="1109"/>
      <c r="C4136" s="1110"/>
      <c r="D4136" s="1110"/>
      <c r="E4136" s="1110"/>
      <c r="F4136" s="1110"/>
      <c r="G4136" s="1110"/>
      <c r="H4136" s="1110"/>
      <c r="I4136" s="1110"/>
      <c r="J4136" s="1110"/>
      <c r="K4136" s="1110"/>
      <c r="L4136" s="1110"/>
      <c r="M4136" s="1110"/>
      <c r="N4136" s="1111"/>
    </row>
    <row r="4137" spans="2:14">
      <c r="B4137" s="1130" t="s">
        <v>277</v>
      </c>
      <c r="C4137" s="1139"/>
      <c r="D4137" s="1139"/>
      <c r="E4137" s="1139"/>
      <c r="F4137" s="1139"/>
      <c r="G4137" s="1139"/>
      <c r="H4137" s="1139"/>
      <c r="I4137" s="288" t="s">
        <v>278</v>
      </c>
      <c r="J4137" s="306" t="s">
        <v>279</v>
      </c>
      <c r="K4137" s="307" t="s">
        <v>280</v>
      </c>
      <c r="L4137" s="1133" t="s">
        <v>281</v>
      </c>
      <c r="M4137" s="1136"/>
      <c r="N4137" s="289" t="s">
        <v>265</v>
      </c>
    </row>
    <row r="4138" spans="2:14" ht="13.5" thickBot="1">
      <c r="B4138" s="1112"/>
      <c r="C4138" s="1113"/>
      <c r="D4138" s="1113"/>
      <c r="E4138" s="1113"/>
      <c r="F4138" s="1113"/>
      <c r="G4138" s="1113"/>
      <c r="H4138" s="1113"/>
      <c r="I4138" s="393"/>
      <c r="J4138" s="309"/>
      <c r="K4138" s="308"/>
      <c r="L4138" s="1144"/>
      <c r="M4138" s="1145"/>
      <c r="N4138" s="363"/>
    </row>
    <row r="4139" spans="2:14" ht="13.5" thickBot="1">
      <c r="B4139" s="1100" t="s">
        <v>269</v>
      </c>
      <c r="C4139" s="1101"/>
      <c r="D4139" s="1101"/>
      <c r="E4139" s="1101"/>
      <c r="F4139" s="1101"/>
      <c r="G4139" s="1101"/>
      <c r="H4139" s="1101"/>
      <c r="I4139" s="1101"/>
      <c r="J4139" s="1101"/>
      <c r="K4139" s="1101"/>
      <c r="L4139" s="1101"/>
      <c r="M4139" s="1102"/>
      <c r="N4139" s="323">
        <f>+N4138</f>
        <v>0</v>
      </c>
    </row>
    <row r="4140" spans="2:14">
      <c r="B4140" s="1103" t="s">
        <v>282</v>
      </c>
      <c r="C4140" s="1104"/>
      <c r="D4140" s="1104"/>
      <c r="E4140" s="1104"/>
      <c r="F4140" s="1104"/>
      <c r="G4140" s="1104"/>
      <c r="H4140" s="1104"/>
      <c r="I4140" s="1104"/>
      <c r="J4140" s="1104"/>
      <c r="K4140" s="1104"/>
      <c r="L4140" s="1104"/>
      <c r="M4140" s="1104"/>
      <c r="N4140" s="1105"/>
    </row>
    <row r="4141" spans="2:14">
      <c r="B4141" s="1106"/>
      <c r="C4141" s="1107"/>
      <c r="D4141" s="1107"/>
      <c r="E4141" s="1107"/>
      <c r="F4141" s="1107"/>
      <c r="G4141" s="1107"/>
      <c r="H4141" s="1107"/>
      <c r="I4141" s="1107"/>
      <c r="J4141" s="1107"/>
      <c r="K4141" s="1107"/>
      <c r="L4141" s="1107"/>
      <c r="M4141" s="1107"/>
      <c r="N4141" s="1108"/>
    </row>
    <row r="4142" spans="2:14" ht="13.5" thickBot="1">
      <c r="B4142" s="1109"/>
      <c r="C4142" s="1110"/>
      <c r="D4142" s="1110"/>
      <c r="E4142" s="1110"/>
      <c r="F4142" s="1110"/>
      <c r="G4142" s="1110"/>
      <c r="H4142" s="1110"/>
      <c r="I4142" s="1110"/>
      <c r="J4142" s="1110"/>
      <c r="K4142" s="1110"/>
      <c r="L4142" s="1110"/>
      <c r="M4142" s="1110"/>
      <c r="N4142" s="1111"/>
    </row>
    <row r="4143" spans="2:14">
      <c r="B4143" s="1130" t="s">
        <v>283</v>
      </c>
      <c r="C4143" s="1139"/>
      <c r="D4143" s="1139"/>
      <c r="E4143" s="1139"/>
      <c r="F4143" s="1139"/>
      <c r="G4143" s="1139"/>
      <c r="H4143" s="1139"/>
      <c r="I4143" s="288" t="s">
        <v>284</v>
      </c>
      <c r="J4143" s="314" t="s">
        <v>285</v>
      </c>
      <c r="K4143" s="315" t="s">
        <v>286</v>
      </c>
      <c r="L4143" s="1140" t="s">
        <v>264</v>
      </c>
      <c r="M4143" s="1141"/>
      <c r="N4143" s="316" t="s">
        <v>265</v>
      </c>
    </row>
    <row r="4144" spans="2:14" ht="13.5" thickBot="1">
      <c r="B4144" s="317" t="s">
        <v>344</v>
      </c>
      <c r="C4144" s="318"/>
      <c r="D4144" s="318"/>
      <c r="E4144" s="318"/>
      <c r="F4144" s="318"/>
      <c r="G4144" s="318"/>
      <c r="H4144" s="318"/>
      <c r="I4144" s="319">
        <v>153482</v>
      </c>
      <c r="J4144" s="321">
        <v>0</v>
      </c>
      <c r="K4144" s="321">
        <f>+I4144+J4144</f>
        <v>153482</v>
      </c>
      <c r="L4144" s="1157">
        <v>0.769231</v>
      </c>
      <c r="M4144" s="1158"/>
      <c r="N4144" s="322">
        <f>+K4144/L4144</f>
        <v>199526.54014203796</v>
      </c>
    </row>
    <row r="4145" spans="2:17" ht="13.5" thickBot="1">
      <c r="B4145" s="1100" t="s">
        <v>269</v>
      </c>
      <c r="C4145" s="1101"/>
      <c r="D4145" s="1101"/>
      <c r="E4145" s="1101"/>
      <c r="F4145" s="1101"/>
      <c r="G4145" s="1101"/>
      <c r="H4145" s="1101"/>
      <c r="I4145" s="1101"/>
      <c r="J4145" s="1101"/>
      <c r="K4145" s="1101"/>
      <c r="L4145" s="1101"/>
      <c r="M4145" s="1102"/>
      <c r="N4145" s="322">
        <f>+N4144</f>
        <v>199526.54014203796</v>
      </c>
    </row>
    <row r="4146" spans="2:17" ht="13.5" thickBot="1">
      <c r="B4146" s="324" t="s">
        <v>288</v>
      </c>
      <c r="C4146" s="325"/>
      <c r="D4146" s="325"/>
      <c r="E4146" s="325"/>
      <c r="F4146" s="325"/>
      <c r="G4146" s="325"/>
      <c r="H4146" s="325"/>
      <c r="I4146" s="326"/>
      <c r="J4146" s="327"/>
      <c r="K4146" s="328"/>
      <c r="L4146" s="329"/>
      <c r="M4146" s="329"/>
      <c r="N4146" s="330"/>
    </row>
    <row r="4147" spans="2:17">
      <c r="B4147" s="1130" t="s">
        <v>17</v>
      </c>
      <c r="C4147" s="1139"/>
      <c r="D4147" s="1139"/>
      <c r="E4147" s="1139"/>
      <c r="F4147" s="1139"/>
      <c r="G4147" s="1139"/>
      <c r="H4147" s="1139"/>
      <c r="I4147" s="1136"/>
      <c r="J4147" s="299" t="s">
        <v>259</v>
      </c>
      <c r="K4147" s="288" t="s">
        <v>133</v>
      </c>
      <c r="L4147" s="1133" t="s">
        <v>271</v>
      </c>
      <c r="M4147" s="1136"/>
      <c r="N4147" s="316" t="s">
        <v>265</v>
      </c>
    </row>
    <row r="4148" spans="2:17" ht="13.5" thickBot="1">
      <c r="B4148" s="331" t="s">
        <v>289</v>
      </c>
      <c r="C4148" s="332"/>
      <c r="D4148" s="332"/>
      <c r="E4148" s="332"/>
      <c r="F4148" s="332"/>
      <c r="G4148" s="332"/>
      <c r="H4148" s="332"/>
      <c r="I4148" s="333"/>
      <c r="J4148" s="334" t="s">
        <v>290</v>
      </c>
      <c r="K4148" s="335">
        <v>5.2499999999999998E-2</v>
      </c>
      <c r="L4148" s="1144">
        <f>+N4145</f>
        <v>199526.54014203796</v>
      </c>
      <c r="M4148" s="1145"/>
      <c r="N4148" s="322">
        <f>+K4148*L4148</f>
        <v>10475.143357456993</v>
      </c>
    </row>
    <row r="4149" spans="2:17" ht="13.5" thickBot="1">
      <c r="B4149" s="1100" t="s">
        <v>269</v>
      </c>
      <c r="C4149" s="1101"/>
      <c r="D4149" s="1101"/>
      <c r="E4149" s="1101"/>
      <c r="F4149" s="1101"/>
      <c r="G4149" s="1101"/>
      <c r="H4149" s="1101"/>
      <c r="I4149" s="1101"/>
      <c r="J4149" s="1101"/>
      <c r="K4149" s="1101"/>
      <c r="L4149" s="1101"/>
      <c r="M4149" s="1102"/>
      <c r="N4149" s="323">
        <f>+N4148</f>
        <v>10475.143357456993</v>
      </c>
    </row>
    <row r="4150" spans="2:17">
      <c r="B4150" s="280"/>
      <c r="C4150" s="281"/>
      <c r="D4150" s="281"/>
      <c r="E4150" s="281"/>
      <c r="F4150" s="281"/>
      <c r="G4150" s="281"/>
      <c r="H4150" s="281"/>
      <c r="I4150" s="281"/>
      <c r="J4150" s="281"/>
      <c r="K4150" s="281"/>
      <c r="L4150" s="281"/>
      <c r="M4150" s="281"/>
      <c r="N4150" s="282"/>
      <c r="P4150" s="408">
        <v>2116149</v>
      </c>
    </row>
    <row r="4151" spans="2:17" ht="13.5" thickBot="1">
      <c r="B4151" s="378"/>
      <c r="C4151" s="311"/>
      <c r="D4151" s="311"/>
      <c r="E4151" s="311"/>
      <c r="F4151" s="311"/>
      <c r="G4151" s="311"/>
      <c r="H4151" s="311"/>
      <c r="I4151" s="311"/>
      <c r="J4151" s="311"/>
      <c r="K4151" s="311"/>
      <c r="L4151" s="311"/>
      <c r="M4151" s="311"/>
      <c r="N4151" s="379"/>
    </row>
    <row r="4152" spans="2:17" ht="13.5" thickBot="1">
      <c r="B4152" s="1150" t="s">
        <v>291</v>
      </c>
      <c r="C4152" s="1151"/>
      <c r="D4152" s="1151"/>
      <c r="E4152" s="1151"/>
      <c r="F4152" s="1151"/>
      <c r="G4152" s="1151"/>
      <c r="H4152" s="1151"/>
      <c r="I4152" s="1151"/>
      <c r="J4152" s="1151"/>
      <c r="K4152" s="1151"/>
      <c r="L4152" s="1151"/>
      <c r="M4152" s="1152"/>
      <c r="N4152" s="336">
        <f>+N4125+N4133+N4139+N4145+N4149</f>
        <v>705881.78596903605</v>
      </c>
      <c r="P4152" s="409">
        <f>+N4152*N4114</f>
        <v>2117645.357907108</v>
      </c>
      <c r="Q4152" s="413">
        <f>+P4152-P4150</f>
        <v>1496.3579071080312</v>
      </c>
    </row>
    <row r="4153" spans="2:17">
      <c r="B4153" s="1103" t="s">
        <v>292</v>
      </c>
      <c r="C4153" s="1104"/>
      <c r="D4153" s="1104"/>
      <c r="E4153" s="1104"/>
      <c r="F4153" s="1104"/>
      <c r="G4153" s="1104"/>
      <c r="H4153" s="1104"/>
      <c r="I4153" s="1104"/>
      <c r="J4153" s="1104"/>
      <c r="K4153" s="1104"/>
      <c r="L4153" s="1104"/>
      <c r="M4153" s="1104"/>
      <c r="N4153" s="1105"/>
    </row>
    <row r="4154" spans="2:17">
      <c r="B4154" s="1106"/>
      <c r="C4154" s="1107"/>
      <c r="D4154" s="1107"/>
      <c r="E4154" s="1107"/>
      <c r="F4154" s="1107"/>
      <c r="G4154" s="1107"/>
      <c r="H4154" s="1107"/>
      <c r="I4154" s="1107"/>
      <c r="J4154" s="1107"/>
      <c r="K4154" s="1107"/>
      <c r="L4154" s="1107"/>
      <c r="M4154" s="1107"/>
      <c r="N4154" s="1108"/>
    </row>
    <row r="4155" spans="2:17" ht="13.5" thickBot="1">
      <c r="B4155" s="1109"/>
      <c r="C4155" s="1110"/>
      <c r="D4155" s="1110"/>
      <c r="E4155" s="1110"/>
      <c r="F4155" s="1110"/>
      <c r="G4155" s="1110"/>
      <c r="H4155" s="1110"/>
      <c r="I4155" s="1110"/>
      <c r="J4155" s="1110"/>
      <c r="K4155" s="1110"/>
      <c r="L4155" s="1110"/>
      <c r="M4155" s="1110"/>
      <c r="N4155" s="1111"/>
    </row>
    <row r="4156" spans="2:17">
      <c r="B4156" s="1130" t="s">
        <v>17</v>
      </c>
      <c r="C4156" s="1139"/>
      <c r="D4156" s="1139"/>
      <c r="E4156" s="1139"/>
      <c r="F4156" s="1139"/>
      <c r="G4156" s="1139"/>
      <c r="H4156" s="1139"/>
      <c r="I4156" s="306"/>
      <c r="J4156" s="337"/>
      <c r="K4156" s="315" t="s">
        <v>79</v>
      </c>
      <c r="L4156" s="1140" t="s">
        <v>11</v>
      </c>
      <c r="M4156" s="1141"/>
      <c r="N4156" s="316"/>
    </row>
    <row r="4157" spans="2:17">
      <c r="B4157" s="1112" t="s">
        <v>232</v>
      </c>
      <c r="C4157" s="1113"/>
      <c r="D4157" s="1113"/>
      <c r="E4157" s="1113"/>
      <c r="F4157" s="1113"/>
      <c r="G4157" s="1113"/>
      <c r="H4157" s="1113"/>
      <c r="I4157" s="338"/>
      <c r="J4157" s="339"/>
      <c r="K4157" s="340">
        <f>'PRESUPUESTO OFICIAL'!$K$100</f>
        <v>0</v>
      </c>
      <c r="L4157" s="1146">
        <f>K4157*N4152</f>
        <v>0</v>
      </c>
      <c r="M4157" s="1147"/>
      <c r="N4157" s="341"/>
    </row>
    <row r="4158" spans="2:17">
      <c r="B4158" s="292" t="s">
        <v>293</v>
      </c>
      <c r="C4158" s="293"/>
      <c r="D4158" s="293"/>
      <c r="E4158" s="293"/>
      <c r="F4158" s="293"/>
      <c r="G4158" s="293"/>
      <c r="H4158" s="293"/>
      <c r="I4158" s="338"/>
      <c r="J4158" s="339"/>
      <c r="K4158" s="340">
        <f>'PRESUPUESTO OFICIAL'!$K$101</f>
        <v>0</v>
      </c>
      <c r="L4158" s="1146">
        <f>K4158*N4152</f>
        <v>0</v>
      </c>
      <c r="M4158" s="1147"/>
      <c r="N4158" s="341"/>
    </row>
    <row r="4159" spans="2:17" ht="13.5" thickBot="1">
      <c r="B4159" s="277" t="s">
        <v>294</v>
      </c>
      <c r="C4159" s="278"/>
      <c r="D4159" s="278"/>
      <c r="E4159" s="278"/>
      <c r="F4159" s="278"/>
      <c r="G4159" s="278"/>
      <c r="H4159" s="278"/>
      <c r="I4159" s="342"/>
      <c r="J4159" s="343"/>
      <c r="K4159" s="340">
        <f>'PRESUPUESTO OFICIAL'!$K$102</f>
        <v>0</v>
      </c>
      <c r="L4159" s="1148">
        <f>K4159*N4152</f>
        <v>0</v>
      </c>
      <c r="M4159" s="1149"/>
      <c r="N4159" s="341"/>
    </row>
    <row r="4160" spans="2:17" ht="13.5" thickBot="1">
      <c r="B4160" s="1100" t="s">
        <v>269</v>
      </c>
      <c r="C4160" s="1101"/>
      <c r="D4160" s="1101"/>
      <c r="E4160" s="1101"/>
      <c r="F4160" s="1101"/>
      <c r="G4160" s="1101"/>
      <c r="H4160" s="1101"/>
      <c r="I4160" s="1101"/>
      <c r="J4160" s="1101"/>
      <c r="K4160" s="1101"/>
      <c r="L4160" s="1101"/>
      <c r="M4160" s="1102"/>
      <c r="N4160" s="344">
        <f>SUM(L4157:M4159)</f>
        <v>0</v>
      </c>
    </row>
    <row r="4161" spans="2:14" ht="13.5" thickBot="1">
      <c r="B4161" s="283"/>
      <c r="N4161" s="284"/>
    </row>
    <row r="4162" spans="2:14" ht="13.5" thickBot="1">
      <c r="B4162" s="1150" t="s">
        <v>295</v>
      </c>
      <c r="C4162" s="1151"/>
      <c r="D4162" s="1151"/>
      <c r="E4162" s="1151"/>
      <c r="F4162" s="1151"/>
      <c r="G4162" s="1151"/>
      <c r="H4162" s="1151"/>
      <c r="I4162" s="1151"/>
      <c r="J4162" s="1151"/>
      <c r="K4162" s="1151"/>
      <c r="L4162" s="1151"/>
      <c r="M4162" s="1152"/>
      <c r="N4162" s="345">
        <f>ROUND(N4152+N4160,0)</f>
        <v>705882</v>
      </c>
    </row>
    <row r="4163" spans="2:14">
      <c r="B4163" s="280"/>
      <c r="C4163" s="281"/>
      <c r="D4163" s="281"/>
      <c r="E4163" s="281"/>
      <c r="F4163" s="281"/>
      <c r="G4163" s="281"/>
      <c r="H4163" s="281"/>
      <c r="I4163" s="281"/>
      <c r="J4163" s="281"/>
      <c r="K4163" s="281"/>
      <c r="L4163" s="281"/>
      <c r="M4163" s="281"/>
      <c r="N4163" s="282"/>
    </row>
    <row r="4164" spans="2:14">
      <c r="B4164" s="283"/>
      <c r="N4164" s="284"/>
    </row>
    <row r="4165" spans="2:14">
      <c r="B4165" s="283"/>
      <c r="N4165" s="284"/>
    </row>
    <row r="4166" spans="2:14">
      <c r="B4166" s="283"/>
      <c r="G4166" s="346" t="s">
        <v>296</v>
      </c>
      <c r="H4166" s="346"/>
      <c r="I4166" s="346"/>
      <c r="J4166" s="346"/>
      <c r="N4166" s="284"/>
    </row>
    <row r="4167" spans="2:14">
      <c r="B4167" s="347"/>
      <c r="C4167" s="348"/>
      <c r="D4167" s="348"/>
      <c r="E4167" s="348"/>
      <c r="F4167" s="348"/>
      <c r="G4167" s="346" t="s">
        <v>297</v>
      </c>
      <c r="H4167" s="348"/>
      <c r="I4167" s="348"/>
      <c r="J4167" s="348"/>
      <c r="K4167" s="348"/>
      <c r="L4167" s="348"/>
      <c r="M4167" s="348"/>
      <c r="N4167" s="349"/>
    </row>
    <row r="4168" spans="2:14">
      <c r="B4168" s="347"/>
      <c r="C4168" s="348"/>
      <c r="D4168" s="348"/>
      <c r="E4168" s="348"/>
      <c r="F4168" s="348"/>
      <c r="G4168" s="346" t="s">
        <v>298</v>
      </c>
      <c r="J4168" s="348"/>
      <c r="K4168" s="348"/>
      <c r="L4168" s="348"/>
      <c r="M4168" s="348"/>
      <c r="N4168" s="349"/>
    </row>
    <row r="4169" spans="2:14">
      <c r="B4169" s="268"/>
      <c r="C4169" s="350"/>
      <c r="D4169" s="350"/>
      <c r="E4169" s="350"/>
      <c r="F4169" s="350"/>
      <c r="G4169" s="346" t="s">
        <v>299</v>
      </c>
      <c r="H4169" s="350"/>
      <c r="I4169" s="350"/>
      <c r="J4169" s="350"/>
      <c r="K4169" s="350"/>
      <c r="L4169" s="350"/>
      <c r="M4169" s="350"/>
      <c r="N4169" s="351"/>
    </row>
    <row r="4170" spans="2:14">
      <c r="B4170" s="283"/>
      <c r="G4170" s="258" t="s">
        <v>300</v>
      </c>
      <c r="N4170" s="284"/>
    </row>
    <row r="4171" spans="2:14">
      <c r="B4171" s="352" t="s">
        <v>301</v>
      </c>
      <c r="C4171" s="353"/>
      <c r="D4171" s="353"/>
      <c r="E4171" s="353"/>
      <c r="F4171" s="353"/>
      <c r="G4171" s="353"/>
      <c r="H4171" s="353"/>
      <c r="I4171" s="353"/>
      <c r="J4171" s="353"/>
      <c r="K4171" s="353"/>
      <c r="L4171" s="353"/>
      <c r="M4171" s="353"/>
      <c r="N4171" s="354"/>
    </row>
    <row r="4172" spans="2:14">
      <c r="B4172" s="1153"/>
      <c r="C4172" s="1154"/>
      <c r="D4172" s="1154"/>
      <c r="E4172" s="1154"/>
      <c r="F4172" s="1154"/>
      <c r="G4172" s="1154"/>
      <c r="H4172" s="1154"/>
      <c r="I4172" s="1154"/>
      <c r="J4172" s="1154"/>
      <c r="K4172" s="1154"/>
      <c r="L4172" s="1154"/>
      <c r="M4172" s="1154"/>
      <c r="N4172" s="1155"/>
    </row>
    <row r="4173" spans="2:14">
      <c r="B4173" s="1153"/>
      <c r="C4173" s="1154"/>
      <c r="D4173" s="1154"/>
      <c r="E4173" s="1154"/>
      <c r="F4173" s="1154"/>
      <c r="G4173" s="1154"/>
      <c r="H4173" s="1154"/>
      <c r="I4173" s="1154"/>
      <c r="J4173" s="1154"/>
      <c r="K4173" s="1154"/>
      <c r="L4173" s="1154"/>
      <c r="M4173" s="1154"/>
      <c r="N4173" s="1155"/>
    </row>
    <row r="4174" spans="2:14">
      <c r="B4174" s="268"/>
      <c r="C4174" s="350"/>
      <c r="D4174" s="350"/>
      <c r="E4174" s="350"/>
      <c r="F4174" s="350"/>
      <c r="G4174" s="350"/>
      <c r="H4174" s="350"/>
      <c r="I4174" s="350"/>
      <c r="J4174" s="350"/>
      <c r="K4174" s="350"/>
      <c r="L4174" s="350"/>
      <c r="M4174" s="350"/>
      <c r="N4174" s="351"/>
    </row>
    <row r="4175" spans="2:14">
      <c r="B4175" s="355" t="s">
        <v>302</v>
      </c>
      <c r="C4175" s="350"/>
      <c r="D4175" s="350"/>
      <c r="E4175" s="350"/>
      <c r="F4175" s="350"/>
      <c r="G4175" s="350"/>
      <c r="H4175" s="350"/>
      <c r="I4175" s="350"/>
      <c r="J4175" s="350"/>
      <c r="K4175" s="350"/>
      <c r="L4175" s="350"/>
      <c r="M4175" s="350"/>
      <c r="N4175" s="351"/>
    </row>
    <row r="4176" spans="2:14">
      <c r="B4176" s="1159" t="s">
        <v>303</v>
      </c>
      <c r="C4176" s="1160"/>
      <c r="D4176" s="1160"/>
      <c r="E4176" s="1160"/>
      <c r="F4176" s="1160"/>
      <c r="G4176" s="1160"/>
      <c r="H4176" s="1160"/>
      <c r="I4176" s="1160"/>
      <c r="J4176" s="1160"/>
      <c r="K4176" s="1160"/>
      <c r="L4176" s="1160"/>
      <c r="M4176" s="1160"/>
      <c r="N4176" s="1161"/>
    </row>
    <row r="4177" spans="2:14">
      <c r="B4177" s="1159"/>
      <c r="C4177" s="1160"/>
      <c r="D4177" s="1160"/>
      <c r="E4177" s="1160"/>
      <c r="F4177" s="1160"/>
      <c r="G4177" s="1160"/>
      <c r="H4177" s="1160"/>
      <c r="I4177" s="1160"/>
      <c r="J4177" s="1160"/>
      <c r="K4177" s="1160"/>
      <c r="L4177" s="1160"/>
      <c r="M4177" s="1160"/>
      <c r="N4177" s="1161"/>
    </row>
    <row r="4178" spans="2:14">
      <c r="B4178" s="1159" t="s">
        <v>304</v>
      </c>
      <c r="C4178" s="1160"/>
      <c r="D4178" s="1160"/>
      <c r="E4178" s="1160"/>
      <c r="F4178" s="1160"/>
      <c r="G4178" s="1160"/>
      <c r="H4178" s="1160"/>
      <c r="I4178" s="1160"/>
      <c r="J4178" s="1160"/>
      <c r="K4178" s="1160"/>
      <c r="L4178" s="1160"/>
      <c r="M4178" s="1160"/>
      <c r="N4178" s="1161"/>
    </row>
    <row r="4179" spans="2:14">
      <c r="B4179" s="1159"/>
      <c r="C4179" s="1160"/>
      <c r="D4179" s="1160"/>
      <c r="E4179" s="1160"/>
      <c r="F4179" s="1160"/>
      <c r="G4179" s="1160"/>
      <c r="H4179" s="1160"/>
      <c r="I4179" s="1160"/>
      <c r="J4179" s="1160"/>
      <c r="K4179" s="1160"/>
      <c r="L4179" s="1160"/>
      <c r="M4179" s="1160"/>
      <c r="N4179" s="1161"/>
    </row>
    <row r="4180" spans="2:14">
      <c r="B4180" s="268"/>
      <c r="C4180" s="350"/>
      <c r="D4180" s="350"/>
      <c r="E4180" s="350"/>
      <c r="F4180" s="350"/>
      <c r="G4180" s="350"/>
      <c r="H4180" s="350"/>
      <c r="I4180" s="350"/>
      <c r="J4180" s="350"/>
      <c r="K4180" s="350"/>
      <c r="L4180" s="350"/>
      <c r="M4180" s="350"/>
      <c r="N4180" s="351"/>
    </row>
    <row r="4181" spans="2:14">
      <c r="B4181" s="283"/>
      <c r="G4181" s="346" t="s">
        <v>296</v>
      </c>
      <c r="N4181" s="284"/>
    </row>
    <row r="4182" spans="2:14">
      <c r="B4182" s="283"/>
      <c r="G4182" s="258" t="s">
        <v>305</v>
      </c>
      <c r="H4182" s="293"/>
      <c r="I4182" s="293"/>
      <c r="J4182" s="293"/>
      <c r="N4182" s="284"/>
    </row>
    <row r="4183" spans="2:14">
      <c r="B4183" s="283"/>
      <c r="G4183" s="258" t="s">
        <v>306</v>
      </c>
      <c r="H4183" s="325"/>
      <c r="I4183" s="325"/>
      <c r="J4183" s="325"/>
      <c r="N4183" s="284"/>
    </row>
    <row r="4184" spans="2:14">
      <c r="B4184" s="356"/>
      <c r="C4184" s="350"/>
      <c r="D4184" s="350"/>
      <c r="E4184" s="350"/>
      <c r="F4184" s="350"/>
      <c r="G4184" s="258" t="s">
        <v>299</v>
      </c>
      <c r="K4184" s="350"/>
      <c r="L4184" s="350"/>
      <c r="M4184" s="350"/>
      <c r="N4184" s="351"/>
    </row>
    <row r="4185" spans="2:14">
      <c r="B4185" s="357"/>
      <c r="C4185" s="358"/>
      <c r="D4185" s="358"/>
      <c r="J4185" s="1162"/>
      <c r="K4185" s="1162"/>
      <c r="L4185" s="1162"/>
      <c r="M4185" s="1162"/>
      <c r="N4185" s="1163"/>
    </row>
    <row r="4186" spans="2:14" ht="13.5" thickBot="1">
      <c r="B4186" s="1166"/>
      <c r="C4186" s="1167"/>
      <c r="D4186" s="1167"/>
      <c r="E4186" s="311"/>
      <c r="F4186" s="311"/>
      <c r="G4186" s="311"/>
      <c r="H4186" s="311"/>
      <c r="I4186" s="311"/>
      <c r="J4186" s="1164"/>
      <c r="K4186" s="1164"/>
      <c r="L4186" s="1164"/>
      <c r="M4186" s="1164"/>
      <c r="N4186" s="1165"/>
    </row>
    <row r="4187" spans="2:14" ht="13.5" thickBot="1"/>
    <row r="4188" spans="2:14">
      <c r="B4188" s="1070"/>
      <c r="C4188" s="1072"/>
      <c r="D4188" s="1073"/>
      <c r="E4188" s="1073"/>
      <c r="F4188" s="1073"/>
      <c r="G4188" s="1073"/>
      <c r="H4188" s="1073"/>
      <c r="I4188" s="1073"/>
      <c r="J4188" s="1074"/>
      <c r="K4188" s="1075"/>
      <c r="L4188" s="1076"/>
      <c r="M4188" s="1076"/>
      <c r="N4188" s="1077"/>
    </row>
    <row r="4189" spans="2:14">
      <c r="B4189" s="1071"/>
      <c r="C4189" s="1062" t="s">
        <v>244</v>
      </c>
      <c r="D4189" s="1063"/>
      <c r="E4189" s="1063"/>
      <c r="F4189" s="1063"/>
      <c r="G4189" s="1063"/>
      <c r="H4189" s="1063"/>
      <c r="I4189" s="1063"/>
      <c r="J4189" s="1064"/>
      <c r="K4189" s="1078"/>
      <c r="L4189" s="1079"/>
      <c r="M4189" s="1079"/>
      <c r="N4189" s="1080"/>
    </row>
    <row r="4190" spans="2:14">
      <c r="B4190" s="1071"/>
      <c r="C4190" s="1081"/>
      <c r="D4190" s="1082"/>
      <c r="E4190" s="1082"/>
      <c r="F4190" s="1082"/>
      <c r="G4190" s="1082"/>
      <c r="H4190" s="1082"/>
      <c r="I4190" s="1082"/>
      <c r="J4190" s="1083"/>
      <c r="K4190" s="1058" t="s">
        <v>245</v>
      </c>
      <c r="L4190" s="1085"/>
      <c r="M4190" s="1086"/>
      <c r="N4190" s="1087"/>
    </row>
    <row r="4191" spans="2:14">
      <c r="B4191" s="1071"/>
      <c r="C4191" s="1062" t="s">
        <v>246</v>
      </c>
      <c r="D4191" s="1063"/>
      <c r="E4191" s="1063"/>
      <c r="F4191" s="1063"/>
      <c r="G4191" s="1063"/>
      <c r="H4191" s="1063"/>
      <c r="I4191" s="1063"/>
      <c r="J4191" s="1064"/>
      <c r="K4191" s="1084"/>
      <c r="L4191" s="1088"/>
      <c r="M4191" s="1089"/>
      <c r="N4191" s="1090"/>
    </row>
    <row r="4192" spans="2:14">
      <c r="B4192" s="1071"/>
      <c r="C4192" s="1091"/>
      <c r="D4192" s="1092"/>
      <c r="E4192" s="1092"/>
      <c r="F4192" s="1092"/>
      <c r="G4192" s="1092"/>
      <c r="H4192" s="1092"/>
      <c r="I4192" s="1092"/>
      <c r="J4192" s="1093"/>
      <c r="K4192" s="1058" t="s">
        <v>247</v>
      </c>
      <c r="L4192" s="1058">
        <v>47</v>
      </c>
      <c r="M4192" s="1058" t="s">
        <v>248</v>
      </c>
      <c r="N4192" s="1060">
        <v>80</v>
      </c>
    </row>
    <row r="4193" spans="2:14">
      <c r="B4193" s="1071"/>
      <c r="C4193" s="1091"/>
      <c r="D4193" s="1092"/>
      <c r="E4193" s="1092"/>
      <c r="F4193" s="1092"/>
      <c r="G4193" s="1092"/>
      <c r="H4193" s="1092"/>
      <c r="I4193" s="1092"/>
      <c r="J4193" s="1093"/>
      <c r="K4193" s="1059"/>
      <c r="L4193" s="1059"/>
      <c r="M4193" s="1059"/>
      <c r="N4193" s="1061"/>
    </row>
    <row r="4194" spans="2:14">
      <c r="B4194" s="1071"/>
      <c r="C4194" s="1062" t="s">
        <v>249</v>
      </c>
      <c r="D4194" s="1063"/>
      <c r="E4194" s="1063"/>
      <c r="F4194" s="1063"/>
      <c r="G4194" s="1063"/>
      <c r="H4194" s="1063"/>
      <c r="I4194" s="1063"/>
      <c r="J4194" s="1064"/>
      <c r="K4194" s="1059"/>
      <c r="L4194" s="1059"/>
      <c r="M4194" s="1059"/>
      <c r="N4194" s="1061"/>
    </row>
    <row r="4195" spans="2:14" ht="13.5" thickBot="1">
      <c r="B4195" s="259"/>
      <c r="C4195" s="260"/>
      <c r="D4195" s="260"/>
      <c r="E4195" s="260"/>
      <c r="F4195" s="260"/>
      <c r="G4195" s="260"/>
      <c r="H4195" s="260"/>
      <c r="I4195" s="260"/>
      <c r="J4195" s="260"/>
      <c r="K4195" s="260"/>
      <c r="L4195" s="261"/>
      <c r="M4195" s="261"/>
      <c r="N4195" s="262"/>
    </row>
    <row r="4196" spans="2:14">
      <c r="B4196" s="263"/>
      <c r="C4196" s="264"/>
      <c r="D4196" s="264"/>
      <c r="E4196" s="264"/>
      <c r="F4196" s="264"/>
      <c r="G4196" s="264"/>
      <c r="H4196" s="264"/>
      <c r="I4196" s="264"/>
      <c r="J4196" s="264"/>
      <c r="K4196" s="265" t="s">
        <v>250</v>
      </c>
      <c r="L4196" s="266" t="s">
        <v>251</v>
      </c>
      <c r="M4196" s="266" t="s">
        <v>252</v>
      </c>
      <c r="N4196" s="267" t="s">
        <v>253</v>
      </c>
    </row>
    <row r="4197" spans="2:14">
      <c r="B4197" s="268"/>
      <c r="C4197" s="269"/>
      <c r="D4197" s="269"/>
      <c r="E4197" s="269"/>
      <c r="F4197" s="269"/>
      <c r="G4197" s="269"/>
      <c r="H4197" s="269"/>
      <c r="I4197" s="269"/>
      <c r="J4197" s="269"/>
      <c r="K4197" s="270"/>
      <c r="L4197" s="271"/>
      <c r="M4197" s="271"/>
      <c r="N4197" s="272"/>
    </row>
    <row r="4198" spans="2:14">
      <c r="B4198" s="1065" t="s">
        <v>254</v>
      </c>
      <c r="C4198" s="1066"/>
      <c r="D4198" s="1066"/>
      <c r="E4198" s="1066"/>
      <c r="F4198" s="269"/>
      <c r="G4198" s="269"/>
      <c r="H4198" s="269" t="s">
        <v>255</v>
      </c>
      <c r="J4198" s="269"/>
      <c r="K4198" s="270"/>
      <c r="N4198" s="273"/>
    </row>
    <row r="4199" spans="2:14">
      <c r="B4199" s="274"/>
      <c r="C4199" s="275"/>
      <c r="D4199" s="275"/>
      <c r="E4199" s="275"/>
      <c r="F4199" s="275"/>
      <c r="G4199" s="275"/>
      <c r="H4199" s="275"/>
      <c r="I4199" s="275"/>
      <c r="J4199" s="275"/>
      <c r="K4199" s="275"/>
      <c r="L4199" s="275"/>
      <c r="M4199" s="275"/>
      <c r="N4199" s="276"/>
    </row>
    <row r="4200" spans="2:14" ht="13.5" thickBot="1">
      <c r="B4200" s="277"/>
      <c r="C4200" s="278"/>
      <c r="D4200" s="278"/>
      <c r="E4200" s="278"/>
      <c r="F4200" s="278"/>
      <c r="G4200" s="278"/>
      <c r="H4200" s="278"/>
      <c r="I4200" s="278"/>
      <c r="J4200" s="278"/>
      <c r="K4200" s="278"/>
      <c r="L4200" s="278"/>
      <c r="M4200" s="278"/>
      <c r="N4200" s="279"/>
    </row>
    <row r="4201" spans="2:14" ht="13.5" thickBot="1">
      <c r="B4201" s="280"/>
      <c r="C4201" s="281"/>
      <c r="D4201" s="281"/>
      <c r="E4201" s="281"/>
      <c r="F4201" s="281"/>
      <c r="G4201" s="281"/>
      <c r="J4201" s="281"/>
      <c r="K4201" s="281"/>
      <c r="L4201" s="281"/>
      <c r="M4201" s="281"/>
      <c r="N4201" s="282"/>
    </row>
    <row r="4202" spans="2:14">
      <c r="B4202" s="1067" t="s">
        <v>256</v>
      </c>
      <c r="C4202" s="1068"/>
      <c r="D4202" s="1068"/>
      <c r="E4202" s="1068"/>
      <c r="F4202" s="1068"/>
      <c r="G4202" s="1068"/>
      <c r="H4202" s="1068"/>
      <c r="I4202" s="1068"/>
      <c r="J4202" s="1068"/>
      <c r="K4202" s="1068"/>
      <c r="L4202" s="1068"/>
      <c r="M4202" s="1068"/>
      <c r="N4202" s="1069"/>
    </row>
    <row r="4203" spans="2:14" ht="13.5" thickBot="1">
      <c r="B4203" s="283"/>
      <c r="N4203" s="284"/>
    </row>
    <row r="4204" spans="2:14">
      <c r="B4204" s="285" t="s">
        <v>257</v>
      </c>
      <c r="C4204" s="1120" t="s">
        <v>258</v>
      </c>
      <c r="D4204" s="1121"/>
      <c r="E4204" s="1121"/>
      <c r="F4204" s="1121"/>
      <c r="G4204" s="1121"/>
      <c r="H4204" s="1121"/>
      <c r="I4204" s="1121"/>
      <c r="J4204" s="1121"/>
      <c r="K4204" s="1122"/>
      <c r="L4204" s="1123" t="s">
        <v>259</v>
      </c>
      <c r="M4204" s="1124"/>
      <c r="N4204" s="285" t="s">
        <v>133</v>
      </c>
    </row>
    <row r="4205" spans="2:14" ht="13.5" thickBot="1">
      <c r="B4205" s="286">
        <v>47</v>
      </c>
      <c r="C4205" s="1125" t="s">
        <v>187</v>
      </c>
      <c r="D4205" s="1126"/>
      <c r="E4205" s="1126"/>
      <c r="F4205" s="1126"/>
      <c r="G4205" s="1126"/>
      <c r="H4205" s="1126"/>
      <c r="I4205" s="1126"/>
      <c r="J4205" s="1126"/>
      <c r="K4205" s="1127"/>
      <c r="L4205" s="1128" t="s">
        <v>141</v>
      </c>
      <c r="M4205" s="1129"/>
      <c r="N4205" s="366">
        <v>50</v>
      </c>
    </row>
    <row r="4206" spans="2:14">
      <c r="B4206" s="1103" t="s">
        <v>260</v>
      </c>
      <c r="C4206" s="1104"/>
      <c r="D4206" s="1104"/>
      <c r="E4206" s="1104"/>
      <c r="F4206" s="1104"/>
      <c r="G4206" s="1104"/>
      <c r="H4206" s="1104"/>
      <c r="I4206" s="1104"/>
      <c r="J4206" s="1104"/>
      <c r="K4206" s="1104"/>
      <c r="L4206" s="1104"/>
      <c r="M4206" s="1104"/>
      <c r="N4206" s="1105"/>
    </row>
    <row r="4207" spans="2:14">
      <c r="B4207" s="1106"/>
      <c r="C4207" s="1107"/>
      <c r="D4207" s="1107"/>
      <c r="E4207" s="1107"/>
      <c r="F4207" s="1107"/>
      <c r="G4207" s="1107"/>
      <c r="H4207" s="1107"/>
      <c r="I4207" s="1107"/>
      <c r="J4207" s="1107"/>
      <c r="K4207" s="1107"/>
      <c r="L4207" s="1107"/>
      <c r="M4207" s="1107"/>
      <c r="N4207" s="1108"/>
    </row>
    <row r="4208" spans="2:14" ht="13.5" thickBot="1">
      <c r="B4208" s="1109"/>
      <c r="C4208" s="1110"/>
      <c r="D4208" s="1110"/>
      <c r="E4208" s="1110"/>
      <c r="F4208" s="1110"/>
      <c r="G4208" s="1110"/>
      <c r="H4208" s="1110"/>
      <c r="I4208" s="1110"/>
      <c r="J4208" s="1110"/>
      <c r="K4208" s="1110"/>
      <c r="L4208" s="1110"/>
      <c r="M4208" s="1110"/>
      <c r="N4208" s="1111"/>
    </row>
    <row r="4209" spans="2:14">
      <c r="B4209" s="1130" t="s">
        <v>258</v>
      </c>
      <c r="C4209" s="1131"/>
      <c r="D4209" s="1131"/>
      <c r="E4209" s="1131"/>
      <c r="F4209" s="1132"/>
      <c r="G4209" s="1133" t="s">
        <v>261</v>
      </c>
      <c r="H4209" s="1131"/>
      <c r="I4209" s="1134" t="s">
        <v>262</v>
      </c>
      <c r="J4209" s="1135"/>
      <c r="K4209" s="288" t="s">
        <v>263</v>
      </c>
      <c r="L4209" s="1133" t="s">
        <v>264</v>
      </c>
      <c r="M4209" s="1136"/>
      <c r="N4209" s="289" t="s">
        <v>265</v>
      </c>
    </row>
    <row r="4210" spans="2:14" ht="13.5" thickBot="1">
      <c r="B4210" s="1179"/>
      <c r="C4210" s="1180"/>
      <c r="D4210" s="1180"/>
      <c r="E4210" s="1180"/>
      <c r="F4210" s="1181"/>
      <c r="G4210" s="295"/>
      <c r="H4210" s="294"/>
      <c r="I4210" s="1182"/>
      <c r="J4210" s="1183"/>
      <c r="K4210" s="290"/>
      <c r="L4210" s="1118"/>
      <c r="M4210" s="1119"/>
      <c r="N4210" s="290"/>
    </row>
    <row r="4211" spans="2:14" ht="13.5" thickBot="1">
      <c r="B4211" s="1100" t="s">
        <v>269</v>
      </c>
      <c r="C4211" s="1101"/>
      <c r="D4211" s="1101"/>
      <c r="E4211" s="1101"/>
      <c r="F4211" s="1101"/>
      <c r="G4211" s="1101"/>
      <c r="H4211" s="1101"/>
      <c r="I4211" s="1101"/>
      <c r="J4211" s="1101"/>
      <c r="K4211" s="1101"/>
      <c r="L4211" s="1101"/>
      <c r="M4211" s="1102"/>
      <c r="N4211" s="323">
        <v>0</v>
      </c>
    </row>
    <row r="4212" spans="2:14">
      <c r="B4212" s="1103" t="s">
        <v>270</v>
      </c>
      <c r="C4212" s="1104"/>
      <c r="D4212" s="1104"/>
      <c r="E4212" s="1104"/>
      <c r="F4212" s="1104"/>
      <c r="G4212" s="1104"/>
      <c r="H4212" s="1104"/>
      <c r="I4212" s="1104"/>
      <c r="J4212" s="1104"/>
      <c r="K4212" s="1104"/>
      <c r="L4212" s="1104"/>
      <c r="M4212" s="1104"/>
      <c r="N4212" s="1105"/>
    </row>
    <row r="4213" spans="2:14">
      <c r="B4213" s="1106"/>
      <c r="C4213" s="1107"/>
      <c r="D4213" s="1107"/>
      <c r="E4213" s="1107"/>
      <c r="F4213" s="1107"/>
      <c r="G4213" s="1107"/>
      <c r="H4213" s="1107"/>
      <c r="I4213" s="1107"/>
      <c r="J4213" s="1107"/>
      <c r="K4213" s="1107"/>
      <c r="L4213" s="1107"/>
      <c r="M4213" s="1107"/>
      <c r="N4213" s="1108"/>
    </row>
    <row r="4214" spans="2:14" ht="13.5" thickBot="1">
      <c r="B4214" s="1109"/>
      <c r="C4214" s="1110"/>
      <c r="D4214" s="1110"/>
      <c r="E4214" s="1110"/>
      <c r="F4214" s="1110"/>
      <c r="G4214" s="1110"/>
      <c r="H4214" s="1110"/>
      <c r="I4214" s="1110"/>
      <c r="J4214" s="1110"/>
      <c r="K4214" s="1110"/>
      <c r="L4214" s="1110"/>
      <c r="M4214" s="1110"/>
      <c r="N4214" s="1111"/>
    </row>
    <row r="4215" spans="2:14">
      <c r="B4215" s="1130" t="s">
        <v>258</v>
      </c>
      <c r="C4215" s="1139"/>
      <c r="D4215" s="1139"/>
      <c r="E4215" s="1139"/>
      <c r="F4215" s="1139"/>
      <c r="G4215" s="1139"/>
      <c r="H4215" s="1139"/>
      <c r="I4215" s="1136"/>
      <c r="J4215" s="299" t="s">
        <v>259</v>
      </c>
      <c r="K4215" s="288" t="s">
        <v>133</v>
      </c>
      <c r="L4215" s="1133" t="s">
        <v>271</v>
      </c>
      <c r="M4215" s="1136"/>
      <c r="N4215" s="289" t="s">
        <v>265</v>
      </c>
    </row>
    <row r="4216" spans="2:14">
      <c r="B4216" s="402" t="s">
        <v>363</v>
      </c>
      <c r="C4216" s="353"/>
      <c r="D4216" s="353"/>
      <c r="E4216" s="353"/>
      <c r="F4216" s="353"/>
      <c r="G4216" s="353"/>
      <c r="H4216" s="353"/>
      <c r="I4216" s="403"/>
      <c r="J4216" s="303" t="s">
        <v>147</v>
      </c>
      <c r="K4216" s="392">
        <v>0.1575</v>
      </c>
      <c r="L4216" s="1144">
        <v>382211</v>
      </c>
      <c r="M4216" s="1145"/>
      <c r="N4216" s="363">
        <f>+K4216*L4216</f>
        <v>60198.232499999998</v>
      </c>
    </row>
    <row r="4217" spans="2:14" ht="13.5" thickBot="1">
      <c r="B4217" s="402" t="s">
        <v>349</v>
      </c>
      <c r="C4217" s="353"/>
      <c r="D4217" s="353"/>
      <c r="E4217" s="353"/>
      <c r="F4217" s="353"/>
      <c r="G4217" s="353"/>
      <c r="H4217" s="353"/>
      <c r="I4217" s="403"/>
      <c r="J4217" s="303" t="s">
        <v>147</v>
      </c>
      <c r="K4217" s="392">
        <v>0.1575</v>
      </c>
      <c r="L4217" s="1144">
        <v>59537</v>
      </c>
      <c r="M4217" s="1145">
        <v>82007</v>
      </c>
      <c r="N4217" s="363">
        <f>+K4217*L4217</f>
        <v>9377.0774999999994</v>
      </c>
    </row>
    <row r="4218" spans="2:14" ht="13.5" thickBot="1">
      <c r="B4218" s="1100" t="s">
        <v>269</v>
      </c>
      <c r="C4218" s="1101"/>
      <c r="D4218" s="1101"/>
      <c r="E4218" s="1101"/>
      <c r="F4218" s="1101"/>
      <c r="G4218" s="1101"/>
      <c r="H4218" s="1101"/>
      <c r="I4218" s="1101"/>
      <c r="J4218" s="1101"/>
      <c r="K4218" s="1101"/>
      <c r="L4218" s="1101"/>
      <c r="M4218" s="1102"/>
      <c r="N4218" s="323">
        <f>+N4216+N4217</f>
        <v>69575.31</v>
      </c>
    </row>
    <row r="4219" spans="2:14">
      <c r="B4219" s="1103" t="s">
        <v>367</v>
      </c>
      <c r="C4219" s="1104"/>
      <c r="D4219" s="1104"/>
      <c r="E4219" s="1104"/>
      <c r="F4219" s="1104"/>
      <c r="G4219" s="1104"/>
      <c r="H4219" s="1104"/>
      <c r="I4219" s="1104"/>
      <c r="J4219" s="1104"/>
      <c r="K4219" s="1104"/>
      <c r="L4219" s="1104"/>
      <c r="M4219" s="1104"/>
      <c r="N4219" s="1105"/>
    </row>
    <row r="4220" spans="2:14">
      <c r="B4220" s="1106"/>
      <c r="C4220" s="1107"/>
      <c r="D4220" s="1107"/>
      <c r="E4220" s="1107"/>
      <c r="F4220" s="1107"/>
      <c r="G4220" s="1107"/>
      <c r="H4220" s="1107"/>
      <c r="I4220" s="1107"/>
      <c r="J4220" s="1107"/>
      <c r="K4220" s="1107"/>
      <c r="L4220" s="1107"/>
      <c r="M4220" s="1107"/>
      <c r="N4220" s="1108"/>
    </row>
    <row r="4221" spans="2:14" ht="13.5" thickBot="1">
      <c r="B4221" s="1109"/>
      <c r="C4221" s="1110"/>
      <c r="D4221" s="1110"/>
      <c r="E4221" s="1110"/>
      <c r="F4221" s="1110"/>
      <c r="G4221" s="1110"/>
      <c r="H4221" s="1110"/>
      <c r="I4221" s="1110"/>
      <c r="J4221" s="1110"/>
      <c r="K4221" s="1110"/>
      <c r="L4221" s="1110"/>
      <c r="M4221" s="1110"/>
      <c r="N4221" s="1111"/>
    </row>
    <row r="4222" spans="2:14">
      <c r="B4222" s="1130" t="s">
        <v>277</v>
      </c>
      <c r="C4222" s="1139"/>
      <c r="D4222" s="1139"/>
      <c r="E4222" s="1139"/>
      <c r="F4222" s="1139"/>
      <c r="G4222" s="1139"/>
      <c r="H4222" s="1139"/>
      <c r="I4222" s="288" t="s">
        <v>278</v>
      </c>
      <c r="J4222" s="306" t="s">
        <v>279</v>
      </c>
      <c r="K4222" s="307" t="s">
        <v>280</v>
      </c>
      <c r="L4222" s="1133" t="s">
        <v>281</v>
      </c>
      <c r="M4222" s="1136"/>
      <c r="N4222" s="289" t="s">
        <v>265</v>
      </c>
    </row>
    <row r="4223" spans="2:14" ht="13.5" thickBot="1">
      <c r="B4223" s="1112" t="s">
        <v>336</v>
      </c>
      <c r="C4223" s="1113"/>
      <c r="D4223" s="1113"/>
      <c r="E4223" s="1113"/>
      <c r="F4223" s="1113"/>
      <c r="G4223" s="1113"/>
      <c r="H4223" s="1113"/>
      <c r="I4223" s="393">
        <v>6</v>
      </c>
      <c r="J4223" s="309"/>
      <c r="K4223" s="308"/>
      <c r="L4223" s="1144">
        <v>1498</v>
      </c>
      <c r="M4223" s="1145"/>
      <c r="N4223" s="363">
        <f>+I4223*L4223</f>
        <v>8988</v>
      </c>
    </row>
    <row r="4224" spans="2:14" ht="13.5" thickBot="1">
      <c r="B4224" s="1100" t="s">
        <v>269</v>
      </c>
      <c r="C4224" s="1101"/>
      <c r="D4224" s="1101"/>
      <c r="E4224" s="1101"/>
      <c r="F4224" s="1101"/>
      <c r="G4224" s="1101"/>
      <c r="H4224" s="1101"/>
      <c r="I4224" s="1101"/>
      <c r="J4224" s="1101"/>
      <c r="K4224" s="1101"/>
      <c r="L4224" s="1101"/>
      <c r="M4224" s="1102"/>
      <c r="N4224" s="323">
        <f>+N4223</f>
        <v>8988</v>
      </c>
    </row>
    <row r="4225" spans="2:17">
      <c r="B4225" s="1103" t="s">
        <v>282</v>
      </c>
      <c r="C4225" s="1104"/>
      <c r="D4225" s="1104"/>
      <c r="E4225" s="1104"/>
      <c r="F4225" s="1104"/>
      <c r="G4225" s="1104"/>
      <c r="H4225" s="1104"/>
      <c r="I4225" s="1104"/>
      <c r="J4225" s="1104"/>
      <c r="K4225" s="1104"/>
      <c r="L4225" s="1104"/>
      <c r="M4225" s="1104"/>
      <c r="N4225" s="1105"/>
    </row>
    <row r="4226" spans="2:17">
      <c r="B4226" s="1106"/>
      <c r="C4226" s="1107"/>
      <c r="D4226" s="1107"/>
      <c r="E4226" s="1107"/>
      <c r="F4226" s="1107"/>
      <c r="G4226" s="1107"/>
      <c r="H4226" s="1107"/>
      <c r="I4226" s="1107"/>
      <c r="J4226" s="1107"/>
      <c r="K4226" s="1107"/>
      <c r="L4226" s="1107"/>
      <c r="M4226" s="1107"/>
      <c r="N4226" s="1108"/>
    </row>
    <row r="4227" spans="2:17" ht="13.5" thickBot="1">
      <c r="B4227" s="1109"/>
      <c r="C4227" s="1110"/>
      <c r="D4227" s="1110"/>
      <c r="E4227" s="1110"/>
      <c r="F4227" s="1110"/>
      <c r="G4227" s="1110"/>
      <c r="H4227" s="1110"/>
      <c r="I4227" s="1110"/>
      <c r="J4227" s="1110"/>
      <c r="K4227" s="1110"/>
      <c r="L4227" s="1110"/>
      <c r="M4227" s="1110"/>
      <c r="N4227" s="1111"/>
    </row>
    <row r="4228" spans="2:17">
      <c r="B4228" s="1130" t="s">
        <v>283</v>
      </c>
      <c r="C4228" s="1139"/>
      <c r="D4228" s="1139"/>
      <c r="E4228" s="1139"/>
      <c r="F4228" s="1139"/>
      <c r="G4228" s="1139"/>
      <c r="H4228" s="1139"/>
      <c r="I4228" s="288" t="s">
        <v>284</v>
      </c>
      <c r="J4228" s="314" t="s">
        <v>285</v>
      </c>
      <c r="K4228" s="315" t="s">
        <v>286</v>
      </c>
      <c r="L4228" s="1140" t="s">
        <v>264</v>
      </c>
      <c r="M4228" s="1141"/>
      <c r="N4228" s="316" t="s">
        <v>265</v>
      </c>
    </row>
    <row r="4229" spans="2:17" ht="13.5" thickBot="1">
      <c r="B4229" s="317" t="s">
        <v>368</v>
      </c>
      <c r="C4229" s="318"/>
      <c r="D4229" s="318"/>
      <c r="E4229" s="318"/>
      <c r="F4229" s="318"/>
      <c r="G4229" s="318"/>
      <c r="H4229" s="318"/>
      <c r="I4229" s="319">
        <v>203180</v>
      </c>
      <c r="J4229" s="321">
        <v>0</v>
      </c>
      <c r="K4229" s="321">
        <f>+I4229+J4229</f>
        <v>203180</v>
      </c>
      <c r="L4229" s="1157">
        <v>4</v>
      </c>
      <c r="M4229" s="1158"/>
      <c r="N4229" s="322">
        <f>+K4229/L4229</f>
        <v>50795</v>
      </c>
    </row>
    <row r="4230" spans="2:17" ht="13.5" thickBot="1">
      <c r="B4230" s="1100" t="s">
        <v>269</v>
      </c>
      <c r="C4230" s="1101"/>
      <c r="D4230" s="1101"/>
      <c r="E4230" s="1101"/>
      <c r="F4230" s="1101"/>
      <c r="G4230" s="1101"/>
      <c r="H4230" s="1101"/>
      <c r="I4230" s="1101"/>
      <c r="J4230" s="1101"/>
      <c r="K4230" s="1101"/>
      <c r="L4230" s="1101"/>
      <c r="M4230" s="1102"/>
      <c r="N4230" s="322">
        <f>+N4229</f>
        <v>50795</v>
      </c>
    </row>
    <row r="4231" spans="2:17" ht="13.5" thickBot="1">
      <c r="B4231" s="324" t="s">
        <v>288</v>
      </c>
      <c r="C4231" s="325"/>
      <c r="D4231" s="325"/>
      <c r="E4231" s="325"/>
      <c r="F4231" s="325"/>
      <c r="G4231" s="325"/>
      <c r="H4231" s="325"/>
      <c r="I4231" s="326"/>
      <c r="J4231" s="327"/>
      <c r="K4231" s="328"/>
      <c r="L4231" s="329"/>
      <c r="M4231" s="329"/>
      <c r="N4231" s="330"/>
    </row>
    <row r="4232" spans="2:17">
      <c r="B4232" s="1130" t="s">
        <v>17</v>
      </c>
      <c r="C4232" s="1139"/>
      <c r="D4232" s="1139"/>
      <c r="E4232" s="1139"/>
      <c r="F4232" s="1139"/>
      <c r="G4232" s="1139"/>
      <c r="H4232" s="1139"/>
      <c r="I4232" s="1136"/>
      <c r="J4232" s="299" t="s">
        <v>259</v>
      </c>
      <c r="K4232" s="288" t="s">
        <v>133</v>
      </c>
      <c r="L4232" s="1133" t="s">
        <v>271</v>
      </c>
      <c r="M4232" s="1136"/>
      <c r="N4232" s="316" t="s">
        <v>265</v>
      </c>
    </row>
    <row r="4233" spans="2:17" ht="13.5" thickBot="1">
      <c r="B4233" s="331" t="s">
        <v>289</v>
      </c>
      <c r="C4233" s="332"/>
      <c r="D4233" s="332"/>
      <c r="E4233" s="332"/>
      <c r="F4233" s="332"/>
      <c r="G4233" s="332"/>
      <c r="H4233" s="332"/>
      <c r="I4233" s="333"/>
      <c r="J4233" s="334" t="s">
        <v>290</v>
      </c>
      <c r="K4233" s="335">
        <v>0.05</v>
      </c>
      <c r="L4233" s="1144">
        <f>+N4230</f>
        <v>50795</v>
      </c>
      <c r="M4233" s="1145"/>
      <c r="N4233" s="322">
        <f>+K4233*L4233</f>
        <v>2539.75</v>
      </c>
    </row>
    <row r="4234" spans="2:17" ht="13.5" thickBot="1">
      <c r="B4234" s="1100" t="s">
        <v>269</v>
      </c>
      <c r="C4234" s="1101"/>
      <c r="D4234" s="1101"/>
      <c r="E4234" s="1101"/>
      <c r="F4234" s="1101"/>
      <c r="G4234" s="1101"/>
      <c r="H4234" s="1101"/>
      <c r="I4234" s="1101"/>
      <c r="J4234" s="1101"/>
      <c r="K4234" s="1101"/>
      <c r="L4234" s="1101"/>
      <c r="M4234" s="1102"/>
      <c r="N4234" s="323">
        <f>+N4233</f>
        <v>2539.75</v>
      </c>
    </row>
    <row r="4235" spans="2:17" ht="15.5">
      <c r="B4235" s="280"/>
      <c r="C4235" s="281"/>
      <c r="D4235" s="281"/>
      <c r="E4235" s="281"/>
      <c r="F4235" s="281"/>
      <c r="G4235" s="281"/>
      <c r="H4235" s="281"/>
      <c r="I4235" s="281"/>
      <c r="J4235" s="281"/>
      <c r="K4235" s="281"/>
      <c r="L4235" s="281"/>
      <c r="M4235" s="281"/>
      <c r="N4235" s="282"/>
      <c r="P4235" s="418">
        <v>6594900</v>
      </c>
    </row>
    <row r="4236" spans="2:17" ht="13.5" thickBot="1">
      <c r="B4236" s="378"/>
      <c r="C4236" s="311"/>
      <c r="D4236" s="311"/>
      <c r="E4236" s="311"/>
      <c r="F4236" s="311"/>
      <c r="G4236" s="311"/>
      <c r="H4236" s="311"/>
      <c r="I4236" s="311"/>
      <c r="J4236" s="311"/>
      <c r="K4236" s="311"/>
      <c r="L4236" s="311"/>
      <c r="M4236" s="311"/>
      <c r="N4236" s="379"/>
    </row>
    <row r="4237" spans="2:17" ht="13.5" thickBot="1">
      <c r="B4237" s="1150" t="s">
        <v>291</v>
      </c>
      <c r="C4237" s="1151"/>
      <c r="D4237" s="1151"/>
      <c r="E4237" s="1151"/>
      <c r="F4237" s="1151"/>
      <c r="G4237" s="1151"/>
      <c r="H4237" s="1151"/>
      <c r="I4237" s="1151"/>
      <c r="J4237" s="1151"/>
      <c r="K4237" s="1151"/>
      <c r="L4237" s="1151"/>
      <c r="M4237" s="1152"/>
      <c r="N4237" s="336">
        <f>+N4211+N4218+N4224+N4230+N4234</f>
        <v>131898.06</v>
      </c>
      <c r="P4237" s="409">
        <f>+N4237*N4205</f>
        <v>6594903</v>
      </c>
      <c r="Q4237" s="419">
        <f>+P4237-P4235</f>
        <v>3</v>
      </c>
    </row>
    <row r="4238" spans="2:17">
      <c r="B4238" s="1103" t="s">
        <v>292</v>
      </c>
      <c r="C4238" s="1104"/>
      <c r="D4238" s="1104"/>
      <c r="E4238" s="1104"/>
      <c r="F4238" s="1104"/>
      <c r="G4238" s="1104"/>
      <c r="H4238" s="1104"/>
      <c r="I4238" s="1104"/>
      <c r="J4238" s="1104"/>
      <c r="K4238" s="1104"/>
      <c r="L4238" s="1104"/>
      <c r="M4238" s="1104"/>
      <c r="N4238" s="1105"/>
    </row>
    <row r="4239" spans="2:17">
      <c r="B4239" s="1106"/>
      <c r="C4239" s="1107"/>
      <c r="D4239" s="1107"/>
      <c r="E4239" s="1107"/>
      <c r="F4239" s="1107"/>
      <c r="G4239" s="1107"/>
      <c r="H4239" s="1107"/>
      <c r="I4239" s="1107"/>
      <c r="J4239" s="1107"/>
      <c r="K4239" s="1107"/>
      <c r="L4239" s="1107"/>
      <c r="M4239" s="1107"/>
      <c r="N4239" s="1108"/>
    </row>
    <row r="4240" spans="2:17" ht="13.5" thickBot="1">
      <c r="B4240" s="1109"/>
      <c r="C4240" s="1110"/>
      <c r="D4240" s="1110"/>
      <c r="E4240" s="1110"/>
      <c r="F4240" s="1110"/>
      <c r="G4240" s="1110"/>
      <c r="H4240" s="1110"/>
      <c r="I4240" s="1110"/>
      <c r="J4240" s="1110"/>
      <c r="K4240" s="1110"/>
      <c r="L4240" s="1110"/>
      <c r="M4240" s="1110"/>
      <c r="N4240" s="1111"/>
    </row>
    <row r="4241" spans="2:14">
      <c r="B4241" s="1130" t="s">
        <v>17</v>
      </c>
      <c r="C4241" s="1139"/>
      <c r="D4241" s="1139"/>
      <c r="E4241" s="1139"/>
      <c r="F4241" s="1139"/>
      <c r="G4241" s="1139"/>
      <c r="H4241" s="1139"/>
      <c r="I4241" s="306"/>
      <c r="J4241" s="337"/>
      <c r="K4241" s="315" t="s">
        <v>79</v>
      </c>
      <c r="L4241" s="1140" t="s">
        <v>11</v>
      </c>
      <c r="M4241" s="1141"/>
      <c r="N4241" s="316"/>
    </row>
    <row r="4242" spans="2:14">
      <c r="B4242" s="1112" t="s">
        <v>232</v>
      </c>
      <c r="C4242" s="1113"/>
      <c r="D4242" s="1113"/>
      <c r="E4242" s="1113"/>
      <c r="F4242" s="1113"/>
      <c r="G4242" s="1113"/>
      <c r="H4242" s="1113"/>
      <c r="I4242" s="338"/>
      <c r="J4242" s="339"/>
      <c r="K4242" s="340">
        <f>'PRESUPUESTO OFICIAL'!$K$100</f>
        <v>0</v>
      </c>
      <c r="L4242" s="1146">
        <f>K4242*N4237</f>
        <v>0</v>
      </c>
      <c r="M4242" s="1147"/>
      <c r="N4242" s="341"/>
    </row>
    <row r="4243" spans="2:14">
      <c r="B4243" s="292" t="s">
        <v>293</v>
      </c>
      <c r="C4243" s="293"/>
      <c r="D4243" s="293"/>
      <c r="E4243" s="293"/>
      <c r="F4243" s="293"/>
      <c r="G4243" s="293"/>
      <c r="H4243" s="293"/>
      <c r="I4243" s="338"/>
      <c r="J4243" s="339"/>
      <c r="K4243" s="340">
        <f>'PRESUPUESTO OFICIAL'!$K$101</f>
        <v>0</v>
      </c>
      <c r="L4243" s="1146">
        <f>K4243*N4237</f>
        <v>0</v>
      </c>
      <c r="M4243" s="1147"/>
      <c r="N4243" s="341"/>
    </row>
    <row r="4244" spans="2:14" ht="13.5" thickBot="1">
      <c r="B4244" s="277" t="s">
        <v>294</v>
      </c>
      <c r="C4244" s="278"/>
      <c r="D4244" s="278"/>
      <c r="E4244" s="278"/>
      <c r="F4244" s="278"/>
      <c r="G4244" s="278"/>
      <c r="H4244" s="278"/>
      <c r="I4244" s="342"/>
      <c r="J4244" s="343"/>
      <c r="K4244" s="340">
        <f>'PRESUPUESTO OFICIAL'!$K$102</f>
        <v>0</v>
      </c>
      <c r="L4244" s="1148">
        <f>K4244*N4237</f>
        <v>0</v>
      </c>
      <c r="M4244" s="1149"/>
      <c r="N4244" s="341"/>
    </row>
    <row r="4245" spans="2:14" ht="13.5" thickBot="1">
      <c r="B4245" s="1100" t="s">
        <v>269</v>
      </c>
      <c r="C4245" s="1101"/>
      <c r="D4245" s="1101"/>
      <c r="E4245" s="1101"/>
      <c r="F4245" s="1101"/>
      <c r="G4245" s="1101"/>
      <c r="H4245" s="1101"/>
      <c r="I4245" s="1101"/>
      <c r="J4245" s="1101"/>
      <c r="K4245" s="1101"/>
      <c r="L4245" s="1101"/>
      <c r="M4245" s="1102"/>
      <c r="N4245" s="344">
        <f>SUM(L4242:M4244)</f>
        <v>0</v>
      </c>
    </row>
    <row r="4246" spans="2:14" ht="13.5" thickBot="1">
      <c r="B4246" s="283"/>
      <c r="N4246" s="284"/>
    </row>
    <row r="4247" spans="2:14" ht="13.5" thickBot="1">
      <c r="B4247" s="1150" t="s">
        <v>295</v>
      </c>
      <c r="C4247" s="1151"/>
      <c r="D4247" s="1151"/>
      <c r="E4247" s="1151"/>
      <c r="F4247" s="1151"/>
      <c r="G4247" s="1151"/>
      <c r="H4247" s="1151"/>
      <c r="I4247" s="1151"/>
      <c r="J4247" s="1151"/>
      <c r="K4247" s="1151"/>
      <c r="L4247" s="1151"/>
      <c r="M4247" s="1152"/>
      <c r="N4247" s="345">
        <f>ROUND(N4237+N4245,0)</f>
        <v>131898</v>
      </c>
    </row>
    <row r="4248" spans="2:14">
      <c r="B4248" s="280"/>
      <c r="C4248" s="281"/>
      <c r="D4248" s="281"/>
      <c r="E4248" s="281"/>
      <c r="F4248" s="281"/>
      <c r="G4248" s="281"/>
      <c r="H4248" s="281"/>
      <c r="I4248" s="281"/>
      <c r="J4248" s="281"/>
      <c r="K4248" s="281"/>
      <c r="L4248" s="281"/>
      <c r="M4248" s="281"/>
      <c r="N4248" s="282"/>
    </row>
    <row r="4249" spans="2:14">
      <c r="B4249" s="283"/>
      <c r="N4249" s="284"/>
    </row>
    <row r="4250" spans="2:14">
      <c r="B4250" s="283"/>
      <c r="N4250" s="284"/>
    </row>
    <row r="4251" spans="2:14">
      <c r="B4251" s="283"/>
      <c r="G4251" s="346" t="s">
        <v>296</v>
      </c>
      <c r="H4251" s="346"/>
      <c r="I4251" s="346"/>
      <c r="J4251" s="346"/>
      <c r="N4251" s="284"/>
    </row>
    <row r="4252" spans="2:14">
      <c r="B4252" s="347"/>
      <c r="C4252" s="348"/>
      <c r="D4252" s="348"/>
      <c r="E4252" s="348"/>
      <c r="F4252" s="348"/>
      <c r="G4252" s="346" t="s">
        <v>297</v>
      </c>
      <c r="H4252" s="348"/>
      <c r="I4252" s="348"/>
      <c r="J4252" s="348"/>
      <c r="K4252" s="348"/>
      <c r="L4252" s="348"/>
      <c r="M4252" s="348"/>
      <c r="N4252" s="349"/>
    </row>
    <row r="4253" spans="2:14">
      <c r="B4253" s="347"/>
      <c r="C4253" s="348"/>
      <c r="D4253" s="348"/>
      <c r="E4253" s="348"/>
      <c r="F4253" s="348"/>
      <c r="G4253" s="346" t="s">
        <v>298</v>
      </c>
      <c r="J4253" s="348"/>
      <c r="K4253" s="348"/>
      <c r="L4253" s="348"/>
      <c r="M4253" s="348"/>
      <c r="N4253" s="349"/>
    </row>
    <row r="4254" spans="2:14">
      <c r="B4254" s="268"/>
      <c r="C4254" s="350"/>
      <c r="D4254" s="350"/>
      <c r="E4254" s="350"/>
      <c r="F4254" s="350"/>
      <c r="G4254" s="346" t="s">
        <v>299</v>
      </c>
      <c r="H4254" s="350"/>
      <c r="I4254" s="350"/>
      <c r="J4254" s="350"/>
      <c r="K4254" s="350"/>
      <c r="L4254" s="350"/>
      <c r="M4254" s="350"/>
      <c r="N4254" s="351"/>
    </row>
    <row r="4255" spans="2:14">
      <c r="B4255" s="283"/>
      <c r="G4255" s="258" t="s">
        <v>300</v>
      </c>
      <c r="N4255" s="284"/>
    </row>
    <row r="4256" spans="2:14">
      <c r="B4256" s="352" t="s">
        <v>301</v>
      </c>
      <c r="C4256" s="353"/>
      <c r="D4256" s="353"/>
      <c r="E4256" s="353"/>
      <c r="F4256" s="353"/>
      <c r="G4256" s="353"/>
      <c r="H4256" s="353"/>
      <c r="I4256" s="353"/>
      <c r="J4256" s="353"/>
      <c r="K4256" s="353"/>
      <c r="L4256" s="353"/>
      <c r="M4256" s="353"/>
      <c r="N4256" s="354"/>
    </row>
    <row r="4257" spans="2:14">
      <c r="B4257" s="1153"/>
      <c r="C4257" s="1154"/>
      <c r="D4257" s="1154"/>
      <c r="E4257" s="1154"/>
      <c r="F4257" s="1154"/>
      <c r="G4257" s="1154"/>
      <c r="H4257" s="1154"/>
      <c r="I4257" s="1154"/>
      <c r="J4257" s="1154"/>
      <c r="K4257" s="1154"/>
      <c r="L4257" s="1154"/>
      <c r="M4257" s="1154"/>
      <c r="N4257" s="1155"/>
    </row>
    <row r="4258" spans="2:14">
      <c r="B4258" s="1153"/>
      <c r="C4258" s="1154"/>
      <c r="D4258" s="1154"/>
      <c r="E4258" s="1154"/>
      <c r="F4258" s="1154"/>
      <c r="G4258" s="1154"/>
      <c r="H4258" s="1154"/>
      <c r="I4258" s="1154"/>
      <c r="J4258" s="1154"/>
      <c r="K4258" s="1154"/>
      <c r="L4258" s="1154"/>
      <c r="M4258" s="1154"/>
      <c r="N4258" s="1155"/>
    </row>
    <row r="4259" spans="2:14">
      <c r="B4259" s="268"/>
      <c r="C4259" s="350"/>
      <c r="D4259" s="350"/>
      <c r="E4259" s="350"/>
      <c r="F4259" s="350"/>
      <c r="G4259" s="350"/>
      <c r="H4259" s="350"/>
      <c r="I4259" s="350"/>
      <c r="J4259" s="350"/>
      <c r="K4259" s="350"/>
      <c r="L4259" s="350"/>
      <c r="M4259" s="350"/>
      <c r="N4259" s="351"/>
    </row>
    <row r="4260" spans="2:14">
      <c r="B4260" s="355" t="s">
        <v>302</v>
      </c>
      <c r="C4260" s="350"/>
      <c r="D4260" s="350"/>
      <c r="E4260" s="350"/>
      <c r="F4260" s="350"/>
      <c r="G4260" s="350"/>
      <c r="H4260" s="350"/>
      <c r="I4260" s="350"/>
      <c r="J4260" s="350"/>
      <c r="K4260" s="350"/>
      <c r="L4260" s="350"/>
      <c r="M4260" s="350"/>
      <c r="N4260" s="351"/>
    </row>
    <row r="4261" spans="2:14">
      <c r="B4261" s="1159" t="s">
        <v>303</v>
      </c>
      <c r="C4261" s="1160"/>
      <c r="D4261" s="1160"/>
      <c r="E4261" s="1160"/>
      <c r="F4261" s="1160"/>
      <c r="G4261" s="1160"/>
      <c r="H4261" s="1160"/>
      <c r="I4261" s="1160"/>
      <c r="J4261" s="1160"/>
      <c r="K4261" s="1160"/>
      <c r="L4261" s="1160"/>
      <c r="M4261" s="1160"/>
      <c r="N4261" s="1161"/>
    </row>
    <row r="4262" spans="2:14">
      <c r="B4262" s="1159"/>
      <c r="C4262" s="1160"/>
      <c r="D4262" s="1160"/>
      <c r="E4262" s="1160"/>
      <c r="F4262" s="1160"/>
      <c r="G4262" s="1160"/>
      <c r="H4262" s="1160"/>
      <c r="I4262" s="1160"/>
      <c r="J4262" s="1160"/>
      <c r="K4262" s="1160"/>
      <c r="L4262" s="1160"/>
      <c r="M4262" s="1160"/>
      <c r="N4262" s="1161"/>
    </row>
    <row r="4263" spans="2:14">
      <c r="B4263" s="1159" t="s">
        <v>304</v>
      </c>
      <c r="C4263" s="1160"/>
      <c r="D4263" s="1160"/>
      <c r="E4263" s="1160"/>
      <c r="F4263" s="1160"/>
      <c r="G4263" s="1160"/>
      <c r="H4263" s="1160"/>
      <c r="I4263" s="1160"/>
      <c r="J4263" s="1160"/>
      <c r="K4263" s="1160"/>
      <c r="L4263" s="1160"/>
      <c r="M4263" s="1160"/>
      <c r="N4263" s="1161"/>
    </row>
    <row r="4264" spans="2:14">
      <c r="B4264" s="1159"/>
      <c r="C4264" s="1160"/>
      <c r="D4264" s="1160"/>
      <c r="E4264" s="1160"/>
      <c r="F4264" s="1160"/>
      <c r="G4264" s="1160"/>
      <c r="H4264" s="1160"/>
      <c r="I4264" s="1160"/>
      <c r="J4264" s="1160"/>
      <c r="K4264" s="1160"/>
      <c r="L4264" s="1160"/>
      <c r="M4264" s="1160"/>
      <c r="N4264" s="1161"/>
    </row>
    <row r="4265" spans="2:14">
      <c r="B4265" s="268"/>
      <c r="C4265" s="350"/>
      <c r="D4265" s="350"/>
      <c r="E4265" s="350"/>
      <c r="F4265" s="350"/>
      <c r="G4265" s="350"/>
      <c r="H4265" s="350"/>
      <c r="I4265" s="350"/>
      <c r="J4265" s="350"/>
      <c r="K4265" s="350"/>
      <c r="L4265" s="350"/>
      <c r="M4265" s="350"/>
      <c r="N4265" s="351"/>
    </row>
    <row r="4266" spans="2:14">
      <c r="B4266" s="283"/>
      <c r="G4266" s="346" t="s">
        <v>296</v>
      </c>
      <c r="N4266" s="284"/>
    </row>
    <row r="4267" spans="2:14">
      <c r="B4267" s="283"/>
      <c r="G4267" s="258" t="s">
        <v>305</v>
      </c>
      <c r="H4267" s="293"/>
      <c r="I4267" s="293"/>
      <c r="J4267" s="293"/>
      <c r="N4267" s="284"/>
    </row>
    <row r="4268" spans="2:14">
      <c r="B4268" s="283"/>
      <c r="G4268" s="258" t="s">
        <v>306</v>
      </c>
      <c r="H4268" s="325"/>
      <c r="I4268" s="325"/>
      <c r="J4268" s="325"/>
      <c r="N4268" s="284"/>
    </row>
    <row r="4269" spans="2:14">
      <c r="B4269" s="356"/>
      <c r="C4269" s="350"/>
      <c r="D4269" s="350"/>
      <c r="E4269" s="350"/>
      <c r="F4269" s="350"/>
      <c r="G4269" s="258" t="s">
        <v>299</v>
      </c>
      <c r="K4269" s="350"/>
      <c r="L4269" s="350"/>
      <c r="M4269" s="350"/>
      <c r="N4269" s="351"/>
    </row>
    <row r="4270" spans="2:14">
      <c r="B4270" s="357"/>
      <c r="C4270" s="358"/>
      <c r="D4270" s="358"/>
      <c r="J4270" s="1162"/>
      <c r="K4270" s="1162"/>
      <c r="L4270" s="1162"/>
      <c r="M4270" s="1162"/>
      <c r="N4270" s="1163"/>
    </row>
    <row r="4271" spans="2:14" ht="13.5" thickBot="1">
      <c r="B4271" s="1166"/>
      <c r="C4271" s="1167"/>
      <c r="D4271" s="1167"/>
      <c r="E4271" s="311"/>
      <c r="F4271" s="311"/>
      <c r="G4271" s="311"/>
      <c r="H4271" s="311"/>
      <c r="I4271" s="311"/>
      <c r="J4271" s="1164"/>
      <c r="K4271" s="1164"/>
      <c r="L4271" s="1164"/>
      <c r="M4271" s="1164"/>
      <c r="N4271" s="1165"/>
    </row>
    <row r="4272" spans="2:14" ht="13.5" thickBot="1"/>
    <row r="4273" spans="2:14">
      <c r="B4273" s="1070"/>
      <c r="C4273" s="1072"/>
      <c r="D4273" s="1073"/>
      <c r="E4273" s="1073"/>
      <c r="F4273" s="1073"/>
      <c r="G4273" s="1073"/>
      <c r="H4273" s="1073"/>
      <c r="I4273" s="1073"/>
      <c r="J4273" s="1074"/>
      <c r="K4273" s="1075"/>
      <c r="L4273" s="1076"/>
      <c r="M4273" s="1076"/>
      <c r="N4273" s="1077"/>
    </row>
    <row r="4274" spans="2:14">
      <c r="B4274" s="1071"/>
      <c r="C4274" s="1062" t="s">
        <v>244</v>
      </c>
      <c r="D4274" s="1063"/>
      <c r="E4274" s="1063"/>
      <c r="F4274" s="1063"/>
      <c r="G4274" s="1063"/>
      <c r="H4274" s="1063"/>
      <c r="I4274" s="1063"/>
      <c r="J4274" s="1064"/>
      <c r="K4274" s="1078"/>
      <c r="L4274" s="1079"/>
      <c r="M4274" s="1079"/>
      <c r="N4274" s="1080"/>
    </row>
    <row r="4275" spans="2:14">
      <c r="B4275" s="1071"/>
      <c r="C4275" s="1081"/>
      <c r="D4275" s="1082"/>
      <c r="E4275" s="1082"/>
      <c r="F4275" s="1082"/>
      <c r="G4275" s="1082"/>
      <c r="H4275" s="1082"/>
      <c r="I4275" s="1082"/>
      <c r="J4275" s="1083"/>
      <c r="K4275" s="1058" t="s">
        <v>245</v>
      </c>
      <c r="L4275" s="1085"/>
      <c r="M4275" s="1086"/>
      <c r="N4275" s="1087"/>
    </row>
    <row r="4276" spans="2:14">
      <c r="B4276" s="1071"/>
      <c r="C4276" s="1062" t="s">
        <v>246</v>
      </c>
      <c r="D4276" s="1063"/>
      <c r="E4276" s="1063"/>
      <c r="F4276" s="1063"/>
      <c r="G4276" s="1063"/>
      <c r="H4276" s="1063"/>
      <c r="I4276" s="1063"/>
      <c r="J4276" s="1064"/>
      <c r="K4276" s="1084"/>
      <c r="L4276" s="1088"/>
      <c r="M4276" s="1089"/>
      <c r="N4276" s="1090"/>
    </row>
    <row r="4277" spans="2:14">
      <c r="B4277" s="1071"/>
      <c r="C4277" s="1091"/>
      <c r="D4277" s="1092"/>
      <c r="E4277" s="1092"/>
      <c r="F4277" s="1092"/>
      <c r="G4277" s="1092"/>
      <c r="H4277" s="1092"/>
      <c r="I4277" s="1092"/>
      <c r="J4277" s="1093"/>
      <c r="K4277" s="1058" t="s">
        <v>247</v>
      </c>
      <c r="L4277" s="1058">
        <v>48</v>
      </c>
      <c r="M4277" s="1058" t="s">
        <v>248</v>
      </c>
      <c r="N4277" s="1060">
        <v>80</v>
      </c>
    </row>
    <row r="4278" spans="2:14">
      <c r="B4278" s="1071"/>
      <c r="C4278" s="1091"/>
      <c r="D4278" s="1092"/>
      <c r="E4278" s="1092"/>
      <c r="F4278" s="1092"/>
      <c r="G4278" s="1092"/>
      <c r="H4278" s="1092"/>
      <c r="I4278" s="1092"/>
      <c r="J4278" s="1093"/>
      <c r="K4278" s="1059"/>
      <c r="L4278" s="1059"/>
      <c r="M4278" s="1059"/>
      <c r="N4278" s="1061"/>
    </row>
    <row r="4279" spans="2:14">
      <c r="B4279" s="1071"/>
      <c r="C4279" s="1062" t="s">
        <v>249</v>
      </c>
      <c r="D4279" s="1063"/>
      <c r="E4279" s="1063"/>
      <c r="F4279" s="1063"/>
      <c r="G4279" s="1063"/>
      <c r="H4279" s="1063"/>
      <c r="I4279" s="1063"/>
      <c r="J4279" s="1064"/>
      <c r="K4279" s="1059"/>
      <c r="L4279" s="1059"/>
      <c r="M4279" s="1059"/>
      <c r="N4279" s="1061"/>
    </row>
    <row r="4280" spans="2:14" ht="13.5" thickBot="1">
      <c r="B4280" s="259"/>
      <c r="C4280" s="260"/>
      <c r="D4280" s="260"/>
      <c r="E4280" s="260"/>
      <c r="F4280" s="260"/>
      <c r="G4280" s="260"/>
      <c r="H4280" s="260"/>
      <c r="I4280" s="260"/>
      <c r="J4280" s="260"/>
      <c r="K4280" s="260"/>
      <c r="L4280" s="261"/>
      <c r="M4280" s="261"/>
      <c r="N4280" s="262"/>
    </row>
    <row r="4281" spans="2:14">
      <c r="B4281" s="263"/>
      <c r="C4281" s="264"/>
      <c r="D4281" s="264"/>
      <c r="E4281" s="264"/>
      <c r="F4281" s="264"/>
      <c r="G4281" s="264"/>
      <c r="H4281" s="264"/>
      <c r="I4281" s="264"/>
      <c r="J4281" s="264"/>
      <c r="K4281" s="265" t="s">
        <v>250</v>
      </c>
      <c r="L4281" s="266" t="s">
        <v>251</v>
      </c>
      <c r="M4281" s="266" t="s">
        <v>252</v>
      </c>
      <c r="N4281" s="267" t="s">
        <v>253</v>
      </c>
    </row>
    <row r="4282" spans="2:14">
      <c r="B4282" s="268"/>
      <c r="C4282" s="269"/>
      <c r="D4282" s="269"/>
      <c r="E4282" s="269"/>
      <c r="F4282" s="269"/>
      <c r="G4282" s="269"/>
      <c r="H4282" s="269"/>
      <c r="I4282" s="269"/>
      <c r="J4282" s="269"/>
      <c r="K4282" s="270"/>
      <c r="L4282" s="271"/>
      <c r="M4282" s="271"/>
      <c r="N4282" s="272"/>
    </row>
    <row r="4283" spans="2:14">
      <c r="B4283" s="1065" t="s">
        <v>254</v>
      </c>
      <c r="C4283" s="1066"/>
      <c r="D4283" s="1066"/>
      <c r="E4283" s="1066"/>
      <c r="F4283" s="269"/>
      <c r="G4283" s="269"/>
      <c r="H4283" s="269" t="s">
        <v>255</v>
      </c>
      <c r="J4283" s="269"/>
      <c r="K4283" s="270"/>
      <c r="N4283" s="273"/>
    </row>
    <row r="4284" spans="2:14">
      <c r="B4284" s="274"/>
      <c r="C4284" s="275"/>
      <c r="D4284" s="275"/>
      <c r="E4284" s="275"/>
      <c r="F4284" s="275"/>
      <c r="G4284" s="275"/>
      <c r="H4284" s="275"/>
      <c r="I4284" s="275"/>
      <c r="J4284" s="275"/>
      <c r="K4284" s="275"/>
      <c r="L4284" s="275"/>
      <c r="M4284" s="275"/>
      <c r="N4284" s="276"/>
    </row>
    <row r="4285" spans="2:14" ht="13.5" thickBot="1">
      <c r="B4285" s="277"/>
      <c r="C4285" s="278"/>
      <c r="D4285" s="278"/>
      <c r="E4285" s="278"/>
      <c r="F4285" s="278"/>
      <c r="G4285" s="278"/>
      <c r="H4285" s="278"/>
      <c r="I4285" s="278"/>
      <c r="J4285" s="278"/>
      <c r="K4285" s="278"/>
      <c r="L4285" s="278"/>
      <c r="M4285" s="278"/>
      <c r="N4285" s="279"/>
    </row>
    <row r="4286" spans="2:14" ht="13.5" thickBot="1">
      <c r="B4286" s="280"/>
      <c r="C4286" s="281"/>
      <c r="D4286" s="281"/>
      <c r="E4286" s="281"/>
      <c r="F4286" s="281"/>
      <c r="G4286" s="281"/>
      <c r="J4286" s="281"/>
      <c r="K4286" s="281"/>
      <c r="L4286" s="281"/>
      <c r="M4286" s="281"/>
      <c r="N4286" s="282"/>
    </row>
    <row r="4287" spans="2:14">
      <c r="B4287" s="1067" t="s">
        <v>256</v>
      </c>
      <c r="C4287" s="1068"/>
      <c r="D4287" s="1068"/>
      <c r="E4287" s="1068"/>
      <c r="F4287" s="1068"/>
      <c r="G4287" s="1068"/>
      <c r="H4287" s="1068"/>
      <c r="I4287" s="1068"/>
      <c r="J4287" s="1068"/>
      <c r="K4287" s="1068"/>
      <c r="L4287" s="1068"/>
      <c r="M4287" s="1068"/>
      <c r="N4287" s="1069"/>
    </row>
    <row r="4288" spans="2:14" ht="13.5" thickBot="1">
      <c r="B4288" s="283"/>
      <c r="N4288" s="284"/>
    </row>
    <row r="4289" spans="2:14">
      <c r="B4289" s="285" t="s">
        <v>257</v>
      </c>
      <c r="C4289" s="1120" t="s">
        <v>258</v>
      </c>
      <c r="D4289" s="1121"/>
      <c r="E4289" s="1121"/>
      <c r="F4289" s="1121"/>
      <c r="G4289" s="1121"/>
      <c r="H4289" s="1121"/>
      <c r="I4289" s="1121"/>
      <c r="J4289" s="1121"/>
      <c r="K4289" s="1122"/>
      <c r="L4289" s="1123" t="s">
        <v>259</v>
      </c>
      <c r="M4289" s="1124"/>
      <c r="N4289" s="285" t="s">
        <v>133</v>
      </c>
    </row>
    <row r="4290" spans="2:14" ht="13.5" thickBot="1">
      <c r="B4290" s="286">
        <v>48</v>
      </c>
      <c r="C4290" s="1125" t="s">
        <v>369</v>
      </c>
      <c r="D4290" s="1126"/>
      <c r="E4290" s="1126"/>
      <c r="F4290" s="1126"/>
      <c r="G4290" s="1126"/>
      <c r="H4290" s="1126"/>
      <c r="I4290" s="1126"/>
      <c r="J4290" s="1126"/>
      <c r="K4290" s="1127"/>
      <c r="L4290" s="1128" t="s">
        <v>190</v>
      </c>
      <c r="M4290" s="1129"/>
      <c r="N4290" s="366">
        <v>67610</v>
      </c>
    </row>
    <row r="4291" spans="2:14">
      <c r="B4291" s="1103" t="s">
        <v>260</v>
      </c>
      <c r="C4291" s="1104"/>
      <c r="D4291" s="1104"/>
      <c r="E4291" s="1104"/>
      <c r="F4291" s="1104"/>
      <c r="G4291" s="1104"/>
      <c r="H4291" s="1104"/>
      <c r="I4291" s="1104"/>
      <c r="J4291" s="1104"/>
      <c r="K4291" s="1104"/>
      <c r="L4291" s="1104"/>
      <c r="M4291" s="1104"/>
      <c r="N4291" s="1105"/>
    </row>
    <row r="4292" spans="2:14">
      <c r="B4292" s="1106"/>
      <c r="C4292" s="1107"/>
      <c r="D4292" s="1107"/>
      <c r="E4292" s="1107"/>
      <c r="F4292" s="1107"/>
      <c r="G4292" s="1107"/>
      <c r="H4292" s="1107"/>
      <c r="I4292" s="1107"/>
      <c r="J4292" s="1107"/>
      <c r="K4292" s="1107"/>
      <c r="L4292" s="1107"/>
      <c r="M4292" s="1107"/>
      <c r="N4292" s="1108"/>
    </row>
    <row r="4293" spans="2:14" ht="13.5" thickBot="1">
      <c r="B4293" s="1109"/>
      <c r="C4293" s="1110"/>
      <c r="D4293" s="1110"/>
      <c r="E4293" s="1110"/>
      <c r="F4293" s="1110"/>
      <c r="G4293" s="1110"/>
      <c r="H4293" s="1110"/>
      <c r="I4293" s="1110"/>
      <c r="J4293" s="1110"/>
      <c r="K4293" s="1110"/>
      <c r="L4293" s="1110"/>
      <c r="M4293" s="1110"/>
      <c r="N4293" s="1111"/>
    </row>
    <row r="4294" spans="2:14">
      <c r="B4294" s="1130" t="s">
        <v>258</v>
      </c>
      <c r="C4294" s="1131"/>
      <c r="D4294" s="1131"/>
      <c r="E4294" s="1131"/>
      <c r="F4294" s="1132"/>
      <c r="G4294" s="1133" t="s">
        <v>261</v>
      </c>
      <c r="H4294" s="1131"/>
      <c r="I4294" s="1134" t="s">
        <v>262</v>
      </c>
      <c r="J4294" s="1135"/>
      <c r="K4294" s="288" t="s">
        <v>263</v>
      </c>
      <c r="L4294" s="1133" t="s">
        <v>264</v>
      </c>
      <c r="M4294" s="1136"/>
      <c r="N4294" s="289" t="s">
        <v>265</v>
      </c>
    </row>
    <row r="4295" spans="2:14" ht="13.5" thickBot="1">
      <c r="B4295" s="1179"/>
      <c r="C4295" s="1180"/>
      <c r="D4295" s="1180"/>
      <c r="E4295" s="1180"/>
      <c r="F4295" s="1181"/>
      <c r="G4295" s="295"/>
      <c r="H4295" s="294"/>
      <c r="I4295" s="1182"/>
      <c r="J4295" s="1183"/>
      <c r="K4295" s="290"/>
      <c r="L4295" s="1118"/>
      <c r="M4295" s="1119"/>
      <c r="N4295" s="290"/>
    </row>
    <row r="4296" spans="2:14" ht="13.5" thickBot="1">
      <c r="B4296" s="1100" t="s">
        <v>269</v>
      </c>
      <c r="C4296" s="1101"/>
      <c r="D4296" s="1101"/>
      <c r="E4296" s="1101"/>
      <c r="F4296" s="1101"/>
      <c r="G4296" s="1101"/>
      <c r="H4296" s="1101"/>
      <c r="I4296" s="1101"/>
      <c r="J4296" s="1101"/>
      <c r="K4296" s="1101"/>
      <c r="L4296" s="1101"/>
      <c r="M4296" s="1102"/>
      <c r="N4296" s="323">
        <v>0</v>
      </c>
    </row>
    <row r="4297" spans="2:14">
      <c r="B4297" s="1103" t="s">
        <v>270</v>
      </c>
      <c r="C4297" s="1104"/>
      <c r="D4297" s="1104"/>
      <c r="E4297" s="1104"/>
      <c r="F4297" s="1104"/>
      <c r="G4297" s="1104"/>
      <c r="H4297" s="1104"/>
      <c r="I4297" s="1104"/>
      <c r="J4297" s="1104"/>
      <c r="K4297" s="1104"/>
      <c r="L4297" s="1104"/>
      <c r="M4297" s="1104"/>
      <c r="N4297" s="1105"/>
    </row>
    <row r="4298" spans="2:14">
      <c r="B4298" s="1106"/>
      <c r="C4298" s="1107"/>
      <c r="D4298" s="1107"/>
      <c r="E4298" s="1107"/>
      <c r="F4298" s="1107"/>
      <c r="G4298" s="1107"/>
      <c r="H4298" s="1107"/>
      <c r="I4298" s="1107"/>
      <c r="J4298" s="1107"/>
      <c r="K4298" s="1107"/>
      <c r="L4298" s="1107"/>
      <c r="M4298" s="1107"/>
      <c r="N4298" s="1108"/>
    </row>
    <row r="4299" spans="2:14" ht="13.5" thickBot="1">
      <c r="B4299" s="1109"/>
      <c r="C4299" s="1110"/>
      <c r="D4299" s="1110"/>
      <c r="E4299" s="1110"/>
      <c r="F4299" s="1110"/>
      <c r="G4299" s="1110"/>
      <c r="H4299" s="1110"/>
      <c r="I4299" s="1110"/>
      <c r="J4299" s="1110"/>
      <c r="K4299" s="1110"/>
      <c r="L4299" s="1110"/>
      <c r="M4299" s="1110"/>
      <c r="N4299" s="1111"/>
    </row>
    <row r="4300" spans="2:14">
      <c r="B4300" s="1130" t="s">
        <v>258</v>
      </c>
      <c r="C4300" s="1139"/>
      <c r="D4300" s="1139"/>
      <c r="E4300" s="1139"/>
      <c r="F4300" s="1139"/>
      <c r="G4300" s="1139"/>
      <c r="H4300" s="1139"/>
      <c r="I4300" s="1136"/>
      <c r="J4300" s="299" t="s">
        <v>259</v>
      </c>
      <c r="K4300" s="288" t="s">
        <v>133</v>
      </c>
      <c r="L4300" s="1133" t="s">
        <v>271</v>
      </c>
      <c r="M4300" s="1136"/>
      <c r="N4300" s="289" t="s">
        <v>265</v>
      </c>
    </row>
    <row r="4301" spans="2:14">
      <c r="B4301" s="402" t="s">
        <v>370</v>
      </c>
      <c r="C4301" s="353"/>
      <c r="D4301" s="353"/>
      <c r="E4301" s="353"/>
      <c r="F4301" s="353"/>
      <c r="G4301" s="353"/>
      <c r="H4301" s="353"/>
      <c r="I4301" s="403"/>
      <c r="J4301" s="303" t="s">
        <v>190</v>
      </c>
      <c r="K4301" s="392">
        <v>1.05</v>
      </c>
      <c r="L4301" s="1144">
        <v>3220</v>
      </c>
      <c r="M4301" s="1145"/>
      <c r="N4301" s="363">
        <f>+K4301*L4301</f>
        <v>3381</v>
      </c>
    </row>
    <row r="4302" spans="2:14" ht="13.5" thickBot="1">
      <c r="B4302" s="402" t="s">
        <v>371</v>
      </c>
      <c r="C4302" s="353"/>
      <c r="D4302" s="353"/>
      <c r="E4302" s="353"/>
      <c r="F4302" s="353"/>
      <c r="G4302" s="353"/>
      <c r="H4302" s="353"/>
      <c r="I4302" s="403"/>
      <c r="J4302" s="303" t="s">
        <v>190</v>
      </c>
      <c r="K4302" s="392">
        <v>0.03</v>
      </c>
      <c r="L4302" s="1144">
        <v>3780</v>
      </c>
      <c r="M4302" s="1145">
        <v>82007</v>
      </c>
      <c r="N4302" s="363">
        <f>+K4302*L4302</f>
        <v>113.39999999999999</v>
      </c>
    </row>
    <row r="4303" spans="2:14" ht="13.5" thickBot="1">
      <c r="B4303" s="1100" t="s">
        <v>269</v>
      </c>
      <c r="C4303" s="1101"/>
      <c r="D4303" s="1101"/>
      <c r="E4303" s="1101"/>
      <c r="F4303" s="1101"/>
      <c r="G4303" s="1101"/>
      <c r="H4303" s="1101"/>
      <c r="I4303" s="1101"/>
      <c r="J4303" s="1101"/>
      <c r="K4303" s="1101"/>
      <c r="L4303" s="1101"/>
      <c r="M4303" s="1102"/>
      <c r="N4303" s="323">
        <f>+N4301+N4302</f>
        <v>3494.4</v>
      </c>
    </row>
    <row r="4304" spans="2:14">
      <c r="B4304" s="1103" t="s">
        <v>367</v>
      </c>
      <c r="C4304" s="1104"/>
      <c r="D4304" s="1104"/>
      <c r="E4304" s="1104"/>
      <c r="F4304" s="1104"/>
      <c r="G4304" s="1104"/>
      <c r="H4304" s="1104"/>
      <c r="I4304" s="1104"/>
      <c r="J4304" s="1104"/>
      <c r="K4304" s="1104"/>
      <c r="L4304" s="1104"/>
      <c r="M4304" s="1104"/>
      <c r="N4304" s="1105"/>
    </row>
    <row r="4305" spans="2:16">
      <c r="B4305" s="1106"/>
      <c r="C4305" s="1107"/>
      <c r="D4305" s="1107"/>
      <c r="E4305" s="1107"/>
      <c r="F4305" s="1107"/>
      <c r="G4305" s="1107"/>
      <c r="H4305" s="1107"/>
      <c r="I4305" s="1107"/>
      <c r="J4305" s="1107"/>
      <c r="K4305" s="1107"/>
      <c r="L4305" s="1107"/>
      <c r="M4305" s="1107"/>
      <c r="N4305" s="1108"/>
    </row>
    <row r="4306" spans="2:16" ht="13.5" thickBot="1">
      <c r="B4306" s="1109"/>
      <c r="C4306" s="1110"/>
      <c r="D4306" s="1110"/>
      <c r="E4306" s="1110"/>
      <c r="F4306" s="1110"/>
      <c r="G4306" s="1110"/>
      <c r="H4306" s="1110"/>
      <c r="I4306" s="1110"/>
      <c r="J4306" s="1110"/>
      <c r="K4306" s="1110"/>
      <c r="L4306" s="1110"/>
      <c r="M4306" s="1110"/>
      <c r="N4306" s="1111"/>
    </row>
    <row r="4307" spans="2:16">
      <c r="B4307" s="1130" t="s">
        <v>277</v>
      </c>
      <c r="C4307" s="1139"/>
      <c r="D4307" s="1139"/>
      <c r="E4307" s="1139"/>
      <c r="F4307" s="1139"/>
      <c r="G4307" s="1139"/>
      <c r="H4307" s="1139"/>
      <c r="I4307" s="288" t="s">
        <v>278</v>
      </c>
      <c r="J4307" s="306" t="s">
        <v>279</v>
      </c>
      <c r="K4307" s="307" t="s">
        <v>280</v>
      </c>
      <c r="L4307" s="1133" t="s">
        <v>281</v>
      </c>
      <c r="M4307" s="1136"/>
      <c r="N4307" s="289" t="s">
        <v>265</v>
      </c>
    </row>
    <row r="4308" spans="2:16" ht="13.5" thickBot="1">
      <c r="B4308" s="1112" t="s">
        <v>372</v>
      </c>
      <c r="C4308" s="1113"/>
      <c r="D4308" s="1113"/>
      <c r="E4308" s="1113"/>
      <c r="F4308" s="1113"/>
      <c r="G4308" s="1113"/>
      <c r="H4308" s="1113"/>
      <c r="I4308" s="393">
        <v>1</v>
      </c>
      <c r="J4308" s="309"/>
      <c r="K4308" s="308"/>
      <c r="L4308" s="1144">
        <v>80</v>
      </c>
      <c r="M4308" s="1145"/>
      <c r="N4308" s="363">
        <f>+I4308*L4308</f>
        <v>80</v>
      </c>
    </row>
    <row r="4309" spans="2:16" ht="13.5" thickBot="1">
      <c r="B4309" s="1100" t="s">
        <v>269</v>
      </c>
      <c r="C4309" s="1101"/>
      <c r="D4309" s="1101"/>
      <c r="E4309" s="1101"/>
      <c r="F4309" s="1101"/>
      <c r="G4309" s="1101"/>
      <c r="H4309" s="1101"/>
      <c r="I4309" s="1101"/>
      <c r="J4309" s="1101"/>
      <c r="K4309" s="1101"/>
      <c r="L4309" s="1101"/>
      <c r="M4309" s="1102"/>
      <c r="N4309" s="323">
        <f>+N4308</f>
        <v>80</v>
      </c>
    </row>
    <row r="4310" spans="2:16">
      <c r="B4310" s="1103" t="s">
        <v>282</v>
      </c>
      <c r="C4310" s="1104"/>
      <c r="D4310" s="1104"/>
      <c r="E4310" s="1104"/>
      <c r="F4310" s="1104"/>
      <c r="G4310" s="1104"/>
      <c r="H4310" s="1104"/>
      <c r="I4310" s="1104"/>
      <c r="J4310" s="1104"/>
      <c r="K4310" s="1104"/>
      <c r="L4310" s="1104"/>
      <c r="M4310" s="1104"/>
      <c r="N4310" s="1105"/>
    </row>
    <row r="4311" spans="2:16">
      <c r="B4311" s="1106"/>
      <c r="C4311" s="1107"/>
      <c r="D4311" s="1107"/>
      <c r="E4311" s="1107"/>
      <c r="F4311" s="1107"/>
      <c r="G4311" s="1107"/>
      <c r="H4311" s="1107"/>
      <c r="I4311" s="1107"/>
      <c r="J4311" s="1107"/>
      <c r="K4311" s="1107"/>
      <c r="L4311" s="1107"/>
      <c r="M4311" s="1107"/>
      <c r="N4311" s="1108"/>
    </row>
    <row r="4312" spans="2:16" ht="13.5" thickBot="1">
      <c r="B4312" s="1109"/>
      <c r="C4312" s="1110"/>
      <c r="D4312" s="1110"/>
      <c r="E4312" s="1110"/>
      <c r="F4312" s="1110"/>
      <c r="G4312" s="1110"/>
      <c r="H4312" s="1110"/>
      <c r="I4312" s="1110"/>
      <c r="J4312" s="1110"/>
      <c r="K4312" s="1110"/>
      <c r="L4312" s="1110"/>
      <c r="M4312" s="1110"/>
      <c r="N4312" s="1111"/>
    </row>
    <row r="4313" spans="2:16">
      <c r="B4313" s="1130" t="s">
        <v>283</v>
      </c>
      <c r="C4313" s="1139"/>
      <c r="D4313" s="1139"/>
      <c r="E4313" s="1139"/>
      <c r="F4313" s="1139"/>
      <c r="G4313" s="1139"/>
      <c r="H4313" s="1139"/>
      <c r="I4313" s="288" t="s">
        <v>284</v>
      </c>
      <c r="J4313" s="314" t="s">
        <v>285</v>
      </c>
      <c r="K4313" s="315" t="s">
        <v>286</v>
      </c>
      <c r="L4313" s="1140" t="s">
        <v>264</v>
      </c>
      <c r="M4313" s="1141"/>
      <c r="N4313" s="316" t="s">
        <v>265</v>
      </c>
    </row>
    <row r="4314" spans="2:16" ht="13.5" thickBot="1">
      <c r="B4314" s="317" t="s">
        <v>322</v>
      </c>
      <c r="C4314" s="318"/>
      <c r="D4314" s="318"/>
      <c r="E4314" s="318"/>
      <c r="F4314" s="318"/>
      <c r="G4314" s="318"/>
      <c r="H4314" s="318"/>
      <c r="I4314" s="319">
        <v>153482</v>
      </c>
      <c r="J4314" s="321">
        <v>0</v>
      </c>
      <c r="K4314" s="321">
        <f>+I4314+J4314</f>
        <v>153482</v>
      </c>
      <c r="L4314" s="1157">
        <v>200</v>
      </c>
      <c r="M4314" s="1158"/>
      <c r="N4314" s="322">
        <f>+K4314/L4314</f>
        <v>767.41</v>
      </c>
    </row>
    <row r="4315" spans="2:16" ht="13.5" thickBot="1">
      <c r="B4315" s="1100" t="s">
        <v>269</v>
      </c>
      <c r="C4315" s="1101"/>
      <c r="D4315" s="1101"/>
      <c r="E4315" s="1101"/>
      <c r="F4315" s="1101"/>
      <c r="G4315" s="1101"/>
      <c r="H4315" s="1101"/>
      <c r="I4315" s="1101"/>
      <c r="J4315" s="1101"/>
      <c r="K4315" s="1101"/>
      <c r="L4315" s="1101"/>
      <c r="M4315" s="1102"/>
      <c r="N4315" s="322">
        <f>+N4314</f>
        <v>767.41</v>
      </c>
    </row>
    <row r="4316" spans="2:16" ht="13.5" thickBot="1">
      <c r="B4316" s="324" t="s">
        <v>288</v>
      </c>
      <c r="C4316" s="325"/>
      <c r="D4316" s="325"/>
      <c r="E4316" s="325"/>
      <c r="F4316" s="325"/>
      <c r="G4316" s="325"/>
      <c r="H4316" s="325"/>
      <c r="I4316" s="326"/>
      <c r="J4316" s="327"/>
      <c r="K4316" s="328"/>
      <c r="L4316" s="329"/>
      <c r="M4316" s="329"/>
      <c r="N4316" s="330"/>
    </row>
    <row r="4317" spans="2:16">
      <c r="B4317" s="1130" t="s">
        <v>17</v>
      </c>
      <c r="C4317" s="1139"/>
      <c r="D4317" s="1139"/>
      <c r="E4317" s="1139"/>
      <c r="F4317" s="1139"/>
      <c r="G4317" s="1139"/>
      <c r="H4317" s="1139"/>
      <c r="I4317" s="1136"/>
      <c r="J4317" s="299" t="s">
        <v>259</v>
      </c>
      <c r="K4317" s="288" t="s">
        <v>133</v>
      </c>
      <c r="L4317" s="1133" t="s">
        <v>271</v>
      </c>
      <c r="M4317" s="1136"/>
      <c r="N4317" s="316" t="s">
        <v>265</v>
      </c>
    </row>
    <row r="4318" spans="2:16" ht="13.5" thickBot="1">
      <c r="B4318" s="331" t="s">
        <v>289</v>
      </c>
      <c r="C4318" s="332"/>
      <c r="D4318" s="332"/>
      <c r="E4318" s="332"/>
      <c r="F4318" s="332"/>
      <c r="G4318" s="332"/>
      <c r="H4318" s="332"/>
      <c r="I4318" s="333"/>
      <c r="J4318" s="334" t="s">
        <v>290</v>
      </c>
      <c r="K4318" s="335">
        <v>0.05</v>
      </c>
      <c r="L4318" s="1144">
        <f>+N4315</f>
        <v>767.41</v>
      </c>
      <c r="M4318" s="1145"/>
      <c r="N4318" s="322">
        <f>+K4318*L4318</f>
        <v>38.3705</v>
      </c>
    </row>
    <row r="4319" spans="2:16" ht="13.5" thickBot="1">
      <c r="B4319" s="1100" t="s">
        <v>269</v>
      </c>
      <c r="C4319" s="1101"/>
      <c r="D4319" s="1101"/>
      <c r="E4319" s="1101"/>
      <c r="F4319" s="1101"/>
      <c r="G4319" s="1101"/>
      <c r="H4319" s="1101"/>
      <c r="I4319" s="1101"/>
      <c r="J4319" s="1101"/>
      <c r="K4319" s="1101"/>
      <c r="L4319" s="1101"/>
      <c r="M4319" s="1102"/>
      <c r="N4319" s="323">
        <f>+N4318</f>
        <v>38.3705</v>
      </c>
    </row>
    <row r="4320" spans="2:16">
      <c r="B4320" s="280"/>
      <c r="C4320" s="281"/>
      <c r="D4320" s="281"/>
      <c r="E4320" s="281"/>
      <c r="F4320" s="281"/>
      <c r="G4320" s="281"/>
      <c r="H4320" s="281"/>
      <c r="I4320" s="281"/>
      <c r="J4320" s="281"/>
      <c r="K4320" s="281"/>
      <c r="L4320" s="281"/>
      <c r="M4320" s="281"/>
      <c r="N4320" s="282"/>
      <c r="P4320" s="408">
        <v>296064190</v>
      </c>
    </row>
    <row r="4321" spans="2:17" ht="13.5" thickBot="1">
      <c r="B4321" s="378"/>
      <c r="C4321" s="311"/>
      <c r="D4321" s="311"/>
      <c r="E4321" s="311"/>
      <c r="F4321" s="311"/>
      <c r="G4321" s="311"/>
      <c r="H4321" s="311"/>
      <c r="I4321" s="311"/>
      <c r="J4321" s="311"/>
      <c r="K4321" s="311"/>
      <c r="L4321" s="311"/>
      <c r="M4321" s="311"/>
      <c r="N4321" s="379"/>
    </row>
    <row r="4322" spans="2:17" ht="13.5" thickBot="1">
      <c r="B4322" s="1150" t="s">
        <v>291</v>
      </c>
      <c r="C4322" s="1151"/>
      <c r="D4322" s="1151"/>
      <c r="E4322" s="1151"/>
      <c r="F4322" s="1151"/>
      <c r="G4322" s="1151"/>
      <c r="H4322" s="1151"/>
      <c r="I4322" s="1151"/>
      <c r="J4322" s="1151"/>
      <c r="K4322" s="1151"/>
      <c r="L4322" s="1151"/>
      <c r="M4322" s="1152"/>
      <c r="N4322" s="336">
        <f>+N4296+N4303+N4309+N4315+N4319</f>
        <v>4380.1805000000004</v>
      </c>
      <c r="P4322" s="409">
        <f>+N4322*N4290</f>
        <v>296144003.60500002</v>
      </c>
      <c r="Q4322" s="413">
        <f>+P4322-P4320</f>
        <v>79813.605000019073</v>
      </c>
    </row>
    <row r="4323" spans="2:17">
      <c r="B4323" s="1103" t="s">
        <v>292</v>
      </c>
      <c r="C4323" s="1104"/>
      <c r="D4323" s="1104"/>
      <c r="E4323" s="1104"/>
      <c r="F4323" s="1104"/>
      <c r="G4323" s="1104"/>
      <c r="H4323" s="1104"/>
      <c r="I4323" s="1104"/>
      <c r="J4323" s="1104"/>
      <c r="K4323" s="1104"/>
      <c r="L4323" s="1104"/>
      <c r="M4323" s="1104"/>
      <c r="N4323" s="1105"/>
    </row>
    <row r="4324" spans="2:17">
      <c r="B4324" s="1106"/>
      <c r="C4324" s="1107"/>
      <c r="D4324" s="1107"/>
      <c r="E4324" s="1107"/>
      <c r="F4324" s="1107"/>
      <c r="G4324" s="1107"/>
      <c r="H4324" s="1107"/>
      <c r="I4324" s="1107"/>
      <c r="J4324" s="1107"/>
      <c r="K4324" s="1107"/>
      <c r="L4324" s="1107"/>
      <c r="M4324" s="1107"/>
      <c r="N4324" s="1108"/>
    </row>
    <row r="4325" spans="2:17" ht="13.5" thickBot="1">
      <c r="B4325" s="1109"/>
      <c r="C4325" s="1110"/>
      <c r="D4325" s="1110"/>
      <c r="E4325" s="1110"/>
      <c r="F4325" s="1110"/>
      <c r="G4325" s="1110"/>
      <c r="H4325" s="1110"/>
      <c r="I4325" s="1110"/>
      <c r="J4325" s="1110"/>
      <c r="K4325" s="1110"/>
      <c r="L4325" s="1110"/>
      <c r="M4325" s="1110"/>
      <c r="N4325" s="1111"/>
    </row>
    <row r="4326" spans="2:17">
      <c r="B4326" s="1130" t="s">
        <v>17</v>
      </c>
      <c r="C4326" s="1139"/>
      <c r="D4326" s="1139"/>
      <c r="E4326" s="1139"/>
      <c r="F4326" s="1139"/>
      <c r="G4326" s="1139"/>
      <c r="H4326" s="1139"/>
      <c r="I4326" s="306"/>
      <c r="J4326" s="337"/>
      <c r="K4326" s="315" t="s">
        <v>79</v>
      </c>
      <c r="L4326" s="1140" t="s">
        <v>11</v>
      </c>
      <c r="M4326" s="1141"/>
      <c r="N4326" s="316"/>
    </row>
    <row r="4327" spans="2:17">
      <c r="B4327" s="1112" t="s">
        <v>232</v>
      </c>
      <c r="C4327" s="1113"/>
      <c r="D4327" s="1113"/>
      <c r="E4327" s="1113"/>
      <c r="F4327" s="1113"/>
      <c r="G4327" s="1113"/>
      <c r="H4327" s="1113"/>
      <c r="I4327" s="338"/>
      <c r="J4327" s="339"/>
      <c r="K4327" s="340">
        <f>'PRESUPUESTO OFICIAL'!$K$100</f>
        <v>0</v>
      </c>
      <c r="L4327" s="1146">
        <f>K4327*N4322</f>
        <v>0</v>
      </c>
      <c r="M4327" s="1147"/>
      <c r="N4327" s="341"/>
    </row>
    <row r="4328" spans="2:17">
      <c r="B4328" s="292" t="s">
        <v>293</v>
      </c>
      <c r="C4328" s="293"/>
      <c r="D4328" s="293"/>
      <c r="E4328" s="293"/>
      <c r="F4328" s="293"/>
      <c r="G4328" s="293"/>
      <c r="H4328" s="293"/>
      <c r="I4328" s="338"/>
      <c r="J4328" s="339"/>
      <c r="K4328" s="340">
        <f>'PRESUPUESTO OFICIAL'!$K$101</f>
        <v>0</v>
      </c>
      <c r="L4328" s="1146">
        <f>K4328*N4322</f>
        <v>0</v>
      </c>
      <c r="M4328" s="1147"/>
      <c r="N4328" s="341"/>
    </row>
    <row r="4329" spans="2:17" ht="13.5" thickBot="1">
      <c r="B4329" s="277" t="s">
        <v>294</v>
      </c>
      <c r="C4329" s="278"/>
      <c r="D4329" s="278"/>
      <c r="E4329" s="278"/>
      <c r="F4329" s="278"/>
      <c r="G4329" s="278"/>
      <c r="H4329" s="278"/>
      <c r="I4329" s="342"/>
      <c r="J4329" s="343"/>
      <c r="K4329" s="340">
        <f>'PRESUPUESTO OFICIAL'!$K$102</f>
        <v>0</v>
      </c>
      <c r="L4329" s="1148">
        <f>K4329*N4322</f>
        <v>0</v>
      </c>
      <c r="M4329" s="1149"/>
      <c r="N4329" s="341"/>
    </row>
    <row r="4330" spans="2:17" ht="13.5" thickBot="1">
      <c r="B4330" s="1100" t="s">
        <v>269</v>
      </c>
      <c r="C4330" s="1101"/>
      <c r="D4330" s="1101"/>
      <c r="E4330" s="1101"/>
      <c r="F4330" s="1101"/>
      <c r="G4330" s="1101"/>
      <c r="H4330" s="1101"/>
      <c r="I4330" s="1101"/>
      <c r="J4330" s="1101"/>
      <c r="K4330" s="1101"/>
      <c r="L4330" s="1101"/>
      <c r="M4330" s="1102"/>
      <c r="N4330" s="344">
        <f>SUM(L4327:M4329)</f>
        <v>0</v>
      </c>
    </row>
    <row r="4331" spans="2:17" ht="13.5" thickBot="1">
      <c r="B4331" s="283"/>
      <c r="N4331" s="284"/>
    </row>
    <row r="4332" spans="2:17" ht="13.5" thickBot="1">
      <c r="B4332" s="1150" t="s">
        <v>295</v>
      </c>
      <c r="C4332" s="1151"/>
      <c r="D4332" s="1151"/>
      <c r="E4332" s="1151"/>
      <c r="F4332" s="1151"/>
      <c r="G4332" s="1151"/>
      <c r="H4332" s="1151"/>
      <c r="I4332" s="1151"/>
      <c r="J4332" s="1151"/>
      <c r="K4332" s="1151"/>
      <c r="L4332" s="1151"/>
      <c r="M4332" s="1152"/>
      <c r="N4332" s="345">
        <f>ROUND(N4322+N4330,0)</f>
        <v>4380</v>
      </c>
    </row>
    <row r="4333" spans="2:17">
      <c r="B4333" s="280"/>
      <c r="C4333" s="281"/>
      <c r="D4333" s="281"/>
      <c r="E4333" s="281"/>
      <c r="F4333" s="281"/>
      <c r="G4333" s="281"/>
      <c r="H4333" s="281"/>
      <c r="I4333" s="281"/>
      <c r="J4333" s="281"/>
      <c r="K4333" s="281"/>
      <c r="L4333" s="281"/>
      <c r="M4333" s="281"/>
      <c r="N4333" s="282"/>
    </row>
    <row r="4334" spans="2:17">
      <c r="B4334" s="283"/>
      <c r="N4334" s="284"/>
    </row>
    <row r="4335" spans="2:17">
      <c r="B4335" s="283"/>
      <c r="N4335" s="284"/>
    </row>
    <row r="4336" spans="2:17">
      <c r="B4336" s="283"/>
      <c r="G4336" s="346" t="s">
        <v>296</v>
      </c>
      <c r="H4336" s="346"/>
      <c r="I4336" s="346"/>
      <c r="J4336" s="346"/>
      <c r="N4336" s="284"/>
    </row>
    <row r="4337" spans="2:14">
      <c r="B4337" s="347"/>
      <c r="C4337" s="348"/>
      <c r="D4337" s="348"/>
      <c r="E4337" s="348"/>
      <c r="F4337" s="348"/>
      <c r="G4337" s="346" t="s">
        <v>297</v>
      </c>
      <c r="H4337" s="348"/>
      <c r="I4337" s="348"/>
      <c r="J4337" s="348"/>
      <c r="K4337" s="348"/>
      <c r="L4337" s="348"/>
      <c r="M4337" s="348"/>
      <c r="N4337" s="349"/>
    </row>
    <row r="4338" spans="2:14">
      <c r="B4338" s="347"/>
      <c r="C4338" s="348"/>
      <c r="D4338" s="348"/>
      <c r="E4338" s="348"/>
      <c r="F4338" s="348"/>
      <c r="G4338" s="346" t="s">
        <v>298</v>
      </c>
      <c r="J4338" s="348"/>
      <c r="K4338" s="348"/>
      <c r="L4338" s="348"/>
      <c r="M4338" s="348"/>
      <c r="N4338" s="349"/>
    </row>
    <row r="4339" spans="2:14">
      <c r="B4339" s="268"/>
      <c r="C4339" s="350"/>
      <c r="D4339" s="350"/>
      <c r="E4339" s="350"/>
      <c r="F4339" s="350"/>
      <c r="G4339" s="346" t="s">
        <v>299</v>
      </c>
      <c r="H4339" s="350"/>
      <c r="I4339" s="350"/>
      <c r="J4339" s="350"/>
      <c r="K4339" s="350"/>
      <c r="L4339" s="350"/>
      <c r="M4339" s="350"/>
      <c r="N4339" s="351"/>
    </row>
    <row r="4340" spans="2:14">
      <c r="B4340" s="283"/>
      <c r="G4340" s="258" t="s">
        <v>300</v>
      </c>
      <c r="N4340" s="284"/>
    </row>
    <row r="4341" spans="2:14">
      <c r="B4341" s="352" t="s">
        <v>301</v>
      </c>
      <c r="C4341" s="353"/>
      <c r="D4341" s="353"/>
      <c r="E4341" s="353"/>
      <c r="F4341" s="353"/>
      <c r="G4341" s="353"/>
      <c r="H4341" s="353"/>
      <c r="I4341" s="353"/>
      <c r="J4341" s="353"/>
      <c r="K4341" s="353"/>
      <c r="L4341" s="353"/>
      <c r="M4341" s="353"/>
      <c r="N4341" s="354"/>
    </row>
    <row r="4342" spans="2:14">
      <c r="B4342" s="1153"/>
      <c r="C4342" s="1154"/>
      <c r="D4342" s="1154"/>
      <c r="E4342" s="1154"/>
      <c r="F4342" s="1154"/>
      <c r="G4342" s="1154"/>
      <c r="H4342" s="1154"/>
      <c r="I4342" s="1154"/>
      <c r="J4342" s="1154"/>
      <c r="K4342" s="1154"/>
      <c r="L4342" s="1154"/>
      <c r="M4342" s="1154"/>
      <c r="N4342" s="1155"/>
    </row>
    <row r="4343" spans="2:14">
      <c r="B4343" s="1153"/>
      <c r="C4343" s="1154"/>
      <c r="D4343" s="1154"/>
      <c r="E4343" s="1154"/>
      <c r="F4343" s="1154"/>
      <c r="G4343" s="1154"/>
      <c r="H4343" s="1154"/>
      <c r="I4343" s="1154"/>
      <c r="J4343" s="1154"/>
      <c r="K4343" s="1154"/>
      <c r="L4343" s="1154"/>
      <c r="M4343" s="1154"/>
      <c r="N4343" s="1155"/>
    </row>
    <row r="4344" spans="2:14">
      <c r="B4344" s="268"/>
      <c r="C4344" s="350"/>
      <c r="D4344" s="350"/>
      <c r="E4344" s="350"/>
      <c r="F4344" s="350"/>
      <c r="G4344" s="350"/>
      <c r="H4344" s="350"/>
      <c r="I4344" s="350"/>
      <c r="J4344" s="350"/>
      <c r="K4344" s="350"/>
      <c r="L4344" s="350"/>
      <c r="M4344" s="350"/>
      <c r="N4344" s="351"/>
    </row>
    <row r="4345" spans="2:14">
      <c r="B4345" s="355" t="s">
        <v>302</v>
      </c>
      <c r="C4345" s="350"/>
      <c r="D4345" s="350"/>
      <c r="E4345" s="350"/>
      <c r="F4345" s="350"/>
      <c r="G4345" s="350"/>
      <c r="H4345" s="350"/>
      <c r="I4345" s="350"/>
      <c r="J4345" s="350"/>
      <c r="K4345" s="350"/>
      <c r="L4345" s="350"/>
      <c r="M4345" s="350"/>
      <c r="N4345" s="351"/>
    </row>
    <row r="4346" spans="2:14">
      <c r="B4346" s="1159" t="s">
        <v>303</v>
      </c>
      <c r="C4346" s="1160"/>
      <c r="D4346" s="1160"/>
      <c r="E4346" s="1160"/>
      <c r="F4346" s="1160"/>
      <c r="G4346" s="1160"/>
      <c r="H4346" s="1160"/>
      <c r="I4346" s="1160"/>
      <c r="J4346" s="1160"/>
      <c r="K4346" s="1160"/>
      <c r="L4346" s="1160"/>
      <c r="M4346" s="1160"/>
      <c r="N4346" s="1161"/>
    </row>
    <row r="4347" spans="2:14">
      <c r="B4347" s="1159"/>
      <c r="C4347" s="1160"/>
      <c r="D4347" s="1160"/>
      <c r="E4347" s="1160"/>
      <c r="F4347" s="1160"/>
      <c r="G4347" s="1160"/>
      <c r="H4347" s="1160"/>
      <c r="I4347" s="1160"/>
      <c r="J4347" s="1160"/>
      <c r="K4347" s="1160"/>
      <c r="L4347" s="1160"/>
      <c r="M4347" s="1160"/>
      <c r="N4347" s="1161"/>
    </row>
    <row r="4348" spans="2:14">
      <c r="B4348" s="1159" t="s">
        <v>304</v>
      </c>
      <c r="C4348" s="1160"/>
      <c r="D4348" s="1160"/>
      <c r="E4348" s="1160"/>
      <c r="F4348" s="1160"/>
      <c r="G4348" s="1160"/>
      <c r="H4348" s="1160"/>
      <c r="I4348" s="1160"/>
      <c r="J4348" s="1160"/>
      <c r="K4348" s="1160"/>
      <c r="L4348" s="1160"/>
      <c r="M4348" s="1160"/>
      <c r="N4348" s="1161"/>
    </row>
    <row r="4349" spans="2:14">
      <c r="B4349" s="1159"/>
      <c r="C4349" s="1160"/>
      <c r="D4349" s="1160"/>
      <c r="E4349" s="1160"/>
      <c r="F4349" s="1160"/>
      <c r="G4349" s="1160"/>
      <c r="H4349" s="1160"/>
      <c r="I4349" s="1160"/>
      <c r="J4349" s="1160"/>
      <c r="K4349" s="1160"/>
      <c r="L4349" s="1160"/>
      <c r="M4349" s="1160"/>
      <c r="N4349" s="1161"/>
    </row>
    <row r="4350" spans="2:14">
      <c r="B4350" s="268"/>
      <c r="C4350" s="350"/>
      <c r="D4350" s="350"/>
      <c r="E4350" s="350"/>
      <c r="F4350" s="350"/>
      <c r="G4350" s="350"/>
      <c r="H4350" s="350"/>
      <c r="I4350" s="350"/>
      <c r="J4350" s="350"/>
      <c r="K4350" s="350"/>
      <c r="L4350" s="350"/>
      <c r="M4350" s="350"/>
      <c r="N4350" s="351"/>
    </row>
    <row r="4351" spans="2:14">
      <c r="B4351" s="283"/>
      <c r="G4351" s="346" t="s">
        <v>296</v>
      </c>
      <c r="N4351" s="284"/>
    </row>
    <row r="4352" spans="2:14">
      <c r="B4352" s="283"/>
      <c r="G4352" s="258" t="s">
        <v>305</v>
      </c>
      <c r="H4352" s="293"/>
      <c r="I4352" s="293"/>
      <c r="J4352" s="293"/>
      <c r="N4352" s="284"/>
    </row>
    <row r="4353" spans="2:14">
      <c r="B4353" s="283"/>
      <c r="G4353" s="258" t="s">
        <v>306</v>
      </c>
      <c r="H4353" s="325"/>
      <c r="I4353" s="325"/>
      <c r="J4353" s="325"/>
      <c r="N4353" s="284"/>
    </row>
    <row r="4354" spans="2:14">
      <c r="B4354" s="356"/>
      <c r="C4354" s="350"/>
      <c r="D4354" s="350"/>
      <c r="E4354" s="350"/>
      <c r="F4354" s="350"/>
      <c r="G4354" s="258" t="s">
        <v>299</v>
      </c>
      <c r="K4354" s="350"/>
      <c r="L4354" s="350"/>
      <c r="M4354" s="350"/>
      <c r="N4354" s="351"/>
    </row>
    <row r="4355" spans="2:14">
      <c r="B4355" s="357"/>
      <c r="C4355" s="358"/>
      <c r="D4355" s="358"/>
      <c r="J4355" s="1162"/>
      <c r="K4355" s="1162"/>
      <c r="L4355" s="1162"/>
      <c r="M4355" s="1162"/>
      <c r="N4355" s="1163"/>
    </row>
    <row r="4356" spans="2:14" ht="13.5" thickBot="1">
      <c r="B4356" s="1166"/>
      <c r="C4356" s="1167"/>
      <c r="D4356" s="1167"/>
      <c r="E4356" s="311"/>
      <c r="F4356" s="311"/>
      <c r="G4356" s="311"/>
      <c r="H4356" s="311"/>
      <c r="I4356" s="311"/>
      <c r="J4356" s="1164"/>
      <c r="K4356" s="1164"/>
      <c r="L4356" s="1164"/>
      <c r="M4356" s="1164"/>
      <c r="N4356" s="1165"/>
    </row>
    <row r="4357" spans="2:14" ht="13.5" thickBot="1"/>
    <row r="4358" spans="2:14">
      <c r="B4358" s="1070"/>
      <c r="C4358" s="1072"/>
      <c r="D4358" s="1073"/>
      <c r="E4358" s="1073"/>
      <c r="F4358" s="1073"/>
      <c r="G4358" s="1073"/>
      <c r="H4358" s="1073"/>
      <c r="I4358" s="1073"/>
      <c r="J4358" s="1074"/>
      <c r="K4358" s="1075"/>
      <c r="L4358" s="1076"/>
      <c r="M4358" s="1076"/>
      <c r="N4358" s="1077"/>
    </row>
    <row r="4359" spans="2:14">
      <c r="B4359" s="1071"/>
      <c r="C4359" s="1062" t="s">
        <v>244</v>
      </c>
      <c r="D4359" s="1063"/>
      <c r="E4359" s="1063"/>
      <c r="F4359" s="1063"/>
      <c r="G4359" s="1063"/>
      <c r="H4359" s="1063"/>
      <c r="I4359" s="1063"/>
      <c r="J4359" s="1064"/>
      <c r="K4359" s="1078"/>
      <c r="L4359" s="1079"/>
      <c r="M4359" s="1079"/>
      <c r="N4359" s="1080"/>
    </row>
    <row r="4360" spans="2:14">
      <c r="B4360" s="1071"/>
      <c r="C4360" s="1081"/>
      <c r="D4360" s="1082"/>
      <c r="E4360" s="1082"/>
      <c r="F4360" s="1082"/>
      <c r="G4360" s="1082"/>
      <c r="H4360" s="1082"/>
      <c r="I4360" s="1082"/>
      <c r="J4360" s="1083"/>
      <c r="K4360" s="1058" t="s">
        <v>245</v>
      </c>
      <c r="L4360" s="1085"/>
      <c r="M4360" s="1086"/>
      <c r="N4360" s="1087"/>
    </row>
    <row r="4361" spans="2:14">
      <c r="B4361" s="1071"/>
      <c r="C4361" s="1062" t="s">
        <v>246</v>
      </c>
      <c r="D4361" s="1063"/>
      <c r="E4361" s="1063"/>
      <c r="F4361" s="1063"/>
      <c r="G4361" s="1063"/>
      <c r="H4361" s="1063"/>
      <c r="I4361" s="1063"/>
      <c r="J4361" s="1064"/>
      <c r="K4361" s="1084"/>
      <c r="L4361" s="1088"/>
      <c r="M4361" s="1089"/>
      <c r="N4361" s="1090"/>
    </row>
    <row r="4362" spans="2:14">
      <c r="B4362" s="1071"/>
      <c r="C4362" s="1091"/>
      <c r="D4362" s="1092"/>
      <c r="E4362" s="1092"/>
      <c r="F4362" s="1092"/>
      <c r="G4362" s="1092"/>
      <c r="H4362" s="1092"/>
      <c r="I4362" s="1092"/>
      <c r="J4362" s="1093"/>
      <c r="K4362" s="1058" t="s">
        <v>247</v>
      </c>
      <c r="L4362" s="1058">
        <v>49</v>
      </c>
      <c r="M4362" s="1058" t="s">
        <v>248</v>
      </c>
      <c r="N4362" s="1060">
        <v>80</v>
      </c>
    </row>
    <row r="4363" spans="2:14">
      <c r="B4363" s="1071"/>
      <c r="C4363" s="1091"/>
      <c r="D4363" s="1092"/>
      <c r="E4363" s="1092"/>
      <c r="F4363" s="1092"/>
      <c r="G4363" s="1092"/>
      <c r="H4363" s="1092"/>
      <c r="I4363" s="1092"/>
      <c r="J4363" s="1093"/>
      <c r="K4363" s="1059"/>
      <c r="L4363" s="1059"/>
      <c r="M4363" s="1059"/>
      <c r="N4363" s="1061"/>
    </row>
    <row r="4364" spans="2:14">
      <c r="B4364" s="1071"/>
      <c r="C4364" s="1062" t="s">
        <v>249</v>
      </c>
      <c r="D4364" s="1063"/>
      <c r="E4364" s="1063"/>
      <c r="F4364" s="1063"/>
      <c r="G4364" s="1063"/>
      <c r="H4364" s="1063"/>
      <c r="I4364" s="1063"/>
      <c r="J4364" s="1064"/>
      <c r="K4364" s="1059"/>
      <c r="L4364" s="1059"/>
      <c r="M4364" s="1059"/>
      <c r="N4364" s="1061"/>
    </row>
    <row r="4365" spans="2:14" ht="13.5" thickBot="1">
      <c r="B4365" s="259"/>
      <c r="C4365" s="260"/>
      <c r="D4365" s="260"/>
      <c r="E4365" s="260"/>
      <c r="F4365" s="260"/>
      <c r="G4365" s="260"/>
      <c r="H4365" s="260"/>
      <c r="I4365" s="260"/>
      <c r="J4365" s="260"/>
      <c r="K4365" s="260"/>
      <c r="L4365" s="261"/>
      <c r="M4365" s="261"/>
      <c r="N4365" s="262"/>
    </row>
    <row r="4366" spans="2:14">
      <c r="B4366" s="263"/>
      <c r="C4366" s="264"/>
      <c r="D4366" s="264"/>
      <c r="E4366" s="264"/>
      <c r="F4366" s="264"/>
      <c r="G4366" s="264"/>
      <c r="H4366" s="264"/>
      <c r="I4366" s="264"/>
      <c r="J4366" s="264"/>
      <c r="K4366" s="265" t="s">
        <v>250</v>
      </c>
      <c r="L4366" s="266" t="s">
        <v>251</v>
      </c>
      <c r="M4366" s="266" t="s">
        <v>252</v>
      </c>
      <c r="N4366" s="267" t="s">
        <v>253</v>
      </c>
    </row>
    <row r="4367" spans="2:14">
      <c r="B4367" s="268"/>
      <c r="C4367" s="269"/>
      <c r="D4367" s="269"/>
      <c r="E4367" s="269"/>
      <c r="F4367" s="269"/>
      <c r="G4367" s="269"/>
      <c r="H4367" s="269"/>
      <c r="I4367" s="269"/>
      <c r="J4367" s="269"/>
      <c r="K4367" s="270"/>
      <c r="L4367" s="271"/>
      <c r="M4367" s="271"/>
      <c r="N4367" s="272"/>
    </row>
    <row r="4368" spans="2:14">
      <c r="B4368" s="1065" t="s">
        <v>254</v>
      </c>
      <c r="C4368" s="1066"/>
      <c r="D4368" s="1066"/>
      <c r="E4368" s="1066"/>
      <c r="F4368" s="269"/>
      <c r="G4368" s="269"/>
      <c r="H4368" s="269" t="s">
        <v>255</v>
      </c>
      <c r="J4368" s="269"/>
      <c r="K4368" s="270"/>
      <c r="N4368" s="273"/>
    </row>
    <row r="4369" spans="2:14">
      <c r="B4369" s="274"/>
      <c r="C4369" s="275"/>
      <c r="D4369" s="275"/>
      <c r="E4369" s="275"/>
      <c r="F4369" s="275"/>
      <c r="G4369" s="275"/>
      <c r="H4369" s="275"/>
      <c r="I4369" s="275"/>
      <c r="J4369" s="275"/>
      <c r="K4369" s="275"/>
      <c r="L4369" s="275"/>
      <c r="M4369" s="275"/>
      <c r="N4369" s="276"/>
    </row>
    <row r="4370" spans="2:14" ht="13.5" thickBot="1">
      <c r="B4370" s="277"/>
      <c r="C4370" s="278"/>
      <c r="D4370" s="278"/>
      <c r="E4370" s="278"/>
      <c r="F4370" s="278"/>
      <c r="G4370" s="278"/>
      <c r="H4370" s="278"/>
      <c r="I4370" s="278"/>
      <c r="J4370" s="278"/>
      <c r="K4370" s="278"/>
      <c r="L4370" s="278"/>
      <c r="M4370" s="278"/>
      <c r="N4370" s="279"/>
    </row>
    <row r="4371" spans="2:14" ht="13.5" thickBot="1">
      <c r="B4371" s="280"/>
      <c r="C4371" s="281"/>
      <c r="D4371" s="281"/>
      <c r="E4371" s="281"/>
      <c r="F4371" s="281"/>
      <c r="G4371" s="281"/>
      <c r="J4371" s="281"/>
      <c r="K4371" s="281"/>
      <c r="L4371" s="281"/>
      <c r="M4371" s="281"/>
      <c r="N4371" s="282"/>
    </row>
    <row r="4372" spans="2:14">
      <c r="B4372" s="1067" t="s">
        <v>256</v>
      </c>
      <c r="C4372" s="1068"/>
      <c r="D4372" s="1068"/>
      <c r="E4372" s="1068"/>
      <c r="F4372" s="1068"/>
      <c r="G4372" s="1068"/>
      <c r="H4372" s="1068"/>
      <c r="I4372" s="1068"/>
      <c r="J4372" s="1068"/>
      <c r="K4372" s="1068"/>
      <c r="L4372" s="1068"/>
      <c r="M4372" s="1068"/>
      <c r="N4372" s="1069"/>
    </row>
    <row r="4373" spans="2:14" ht="13.5" thickBot="1">
      <c r="B4373" s="283"/>
      <c r="N4373" s="284"/>
    </row>
    <row r="4374" spans="2:14">
      <c r="B4374" s="285" t="s">
        <v>257</v>
      </c>
      <c r="C4374" s="1120" t="s">
        <v>258</v>
      </c>
      <c r="D4374" s="1121"/>
      <c r="E4374" s="1121"/>
      <c r="F4374" s="1121"/>
      <c r="G4374" s="1121"/>
      <c r="H4374" s="1121"/>
      <c r="I4374" s="1121"/>
      <c r="J4374" s="1121"/>
      <c r="K4374" s="1122"/>
      <c r="L4374" s="1123" t="s">
        <v>259</v>
      </c>
      <c r="M4374" s="1124"/>
      <c r="N4374" s="285" t="s">
        <v>133</v>
      </c>
    </row>
    <row r="4375" spans="2:14" ht="13.5" thickBot="1">
      <c r="B4375" s="286">
        <v>49</v>
      </c>
      <c r="C4375" s="1125" t="s">
        <v>191</v>
      </c>
      <c r="D4375" s="1126"/>
      <c r="E4375" s="1126"/>
      <c r="F4375" s="1126"/>
      <c r="G4375" s="1126"/>
      <c r="H4375" s="1126"/>
      <c r="I4375" s="1126"/>
      <c r="J4375" s="1126"/>
      <c r="K4375" s="1127"/>
      <c r="L4375" s="1128" t="s">
        <v>141</v>
      </c>
      <c r="M4375" s="1129"/>
      <c r="N4375" s="366">
        <v>1200</v>
      </c>
    </row>
    <row r="4376" spans="2:14">
      <c r="B4376" s="1103" t="s">
        <v>260</v>
      </c>
      <c r="C4376" s="1104"/>
      <c r="D4376" s="1104"/>
      <c r="E4376" s="1104"/>
      <c r="F4376" s="1104"/>
      <c r="G4376" s="1104"/>
      <c r="H4376" s="1104"/>
      <c r="I4376" s="1104"/>
      <c r="J4376" s="1104"/>
      <c r="K4376" s="1104"/>
      <c r="L4376" s="1104"/>
      <c r="M4376" s="1104"/>
      <c r="N4376" s="1105"/>
    </row>
    <row r="4377" spans="2:14">
      <c r="B4377" s="1106"/>
      <c r="C4377" s="1107"/>
      <c r="D4377" s="1107"/>
      <c r="E4377" s="1107"/>
      <c r="F4377" s="1107"/>
      <c r="G4377" s="1107"/>
      <c r="H4377" s="1107"/>
      <c r="I4377" s="1107"/>
      <c r="J4377" s="1107"/>
      <c r="K4377" s="1107"/>
      <c r="L4377" s="1107"/>
      <c r="M4377" s="1107"/>
      <c r="N4377" s="1108"/>
    </row>
    <row r="4378" spans="2:14" ht="13.5" thickBot="1">
      <c r="B4378" s="1109"/>
      <c r="C4378" s="1110"/>
      <c r="D4378" s="1110"/>
      <c r="E4378" s="1110"/>
      <c r="F4378" s="1110"/>
      <c r="G4378" s="1110"/>
      <c r="H4378" s="1110"/>
      <c r="I4378" s="1110"/>
      <c r="J4378" s="1110"/>
      <c r="K4378" s="1110"/>
      <c r="L4378" s="1110"/>
      <c r="M4378" s="1110"/>
      <c r="N4378" s="1111"/>
    </row>
    <row r="4379" spans="2:14">
      <c r="B4379" s="1130" t="s">
        <v>258</v>
      </c>
      <c r="C4379" s="1131"/>
      <c r="D4379" s="1131"/>
      <c r="E4379" s="1131"/>
      <c r="F4379" s="1132"/>
      <c r="G4379" s="1133" t="s">
        <v>261</v>
      </c>
      <c r="H4379" s="1131"/>
      <c r="I4379" s="1134" t="s">
        <v>262</v>
      </c>
      <c r="J4379" s="1135"/>
      <c r="K4379" s="288" t="s">
        <v>263</v>
      </c>
      <c r="L4379" s="1133" t="s">
        <v>264</v>
      </c>
      <c r="M4379" s="1136"/>
      <c r="N4379" s="289" t="s">
        <v>265</v>
      </c>
    </row>
    <row r="4380" spans="2:14" ht="13.5" thickBot="1">
      <c r="B4380" s="1179"/>
      <c r="C4380" s="1180"/>
      <c r="D4380" s="1180"/>
      <c r="E4380" s="1180"/>
      <c r="F4380" s="1181"/>
      <c r="G4380" s="295"/>
      <c r="H4380" s="294"/>
      <c r="I4380" s="1182"/>
      <c r="J4380" s="1183"/>
      <c r="K4380" s="290"/>
      <c r="L4380" s="1118"/>
      <c r="M4380" s="1119"/>
      <c r="N4380" s="290"/>
    </row>
    <row r="4381" spans="2:14" ht="13.5" thickBot="1">
      <c r="B4381" s="1100" t="s">
        <v>269</v>
      </c>
      <c r="C4381" s="1101"/>
      <c r="D4381" s="1101"/>
      <c r="E4381" s="1101"/>
      <c r="F4381" s="1101"/>
      <c r="G4381" s="1101"/>
      <c r="H4381" s="1101"/>
      <c r="I4381" s="1101"/>
      <c r="J4381" s="1101"/>
      <c r="K4381" s="1101"/>
      <c r="L4381" s="1101"/>
      <c r="M4381" s="1102"/>
      <c r="N4381" s="323">
        <v>0</v>
      </c>
    </row>
    <row r="4382" spans="2:14">
      <c r="B4382" s="1103" t="s">
        <v>270</v>
      </c>
      <c r="C4382" s="1104"/>
      <c r="D4382" s="1104"/>
      <c r="E4382" s="1104"/>
      <c r="F4382" s="1104"/>
      <c r="G4382" s="1104"/>
      <c r="H4382" s="1104"/>
      <c r="I4382" s="1104"/>
      <c r="J4382" s="1104"/>
      <c r="K4382" s="1104"/>
      <c r="L4382" s="1104"/>
      <c r="M4382" s="1104"/>
      <c r="N4382" s="1105"/>
    </row>
    <row r="4383" spans="2:14">
      <c r="B4383" s="1106"/>
      <c r="C4383" s="1107"/>
      <c r="D4383" s="1107"/>
      <c r="E4383" s="1107"/>
      <c r="F4383" s="1107"/>
      <c r="G4383" s="1107"/>
      <c r="H4383" s="1107"/>
      <c r="I4383" s="1107"/>
      <c r="J4383" s="1107"/>
      <c r="K4383" s="1107"/>
      <c r="L4383" s="1107"/>
      <c r="M4383" s="1107"/>
      <c r="N4383" s="1108"/>
    </row>
    <row r="4384" spans="2:14" ht="13.5" thickBot="1">
      <c r="B4384" s="1109"/>
      <c r="C4384" s="1110"/>
      <c r="D4384" s="1110"/>
      <c r="E4384" s="1110"/>
      <c r="F4384" s="1110"/>
      <c r="G4384" s="1110"/>
      <c r="H4384" s="1110"/>
      <c r="I4384" s="1110"/>
      <c r="J4384" s="1110"/>
      <c r="K4384" s="1110"/>
      <c r="L4384" s="1110"/>
      <c r="M4384" s="1110"/>
      <c r="N4384" s="1111"/>
    </row>
    <row r="4385" spans="2:14">
      <c r="B4385" s="1130" t="s">
        <v>258</v>
      </c>
      <c r="C4385" s="1139"/>
      <c r="D4385" s="1139"/>
      <c r="E4385" s="1139"/>
      <c r="F4385" s="1139"/>
      <c r="G4385" s="1139"/>
      <c r="H4385" s="1139"/>
      <c r="I4385" s="1136"/>
      <c r="J4385" s="299" t="s">
        <v>259</v>
      </c>
      <c r="K4385" s="288" t="s">
        <v>133</v>
      </c>
      <c r="L4385" s="1133" t="s">
        <v>271</v>
      </c>
      <c r="M4385" s="1136"/>
      <c r="N4385" s="289" t="s">
        <v>265</v>
      </c>
    </row>
    <row r="4386" spans="2:14">
      <c r="B4386" s="402" t="s">
        <v>371</v>
      </c>
      <c r="C4386" s="353"/>
      <c r="D4386" s="353"/>
      <c r="E4386" s="353"/>
      <c r="F4386" s="353"/>
      <c r="G4386" s="353"/>
      <c r="H4386" s="353"/>
      <c r="I4386" s="403"/>
      <c r="J4386" s="303" t="s">
        <v>190</v>
      </c>
      <c r="K4386" s="392">
        <v>2.5000000000000001E-2</v>
      </c>
      <c r="L4386" s="1144">
        <v>3780</v>
      </c>
      <c r="M4386" s="1145"/>
      <c r="N4386" s="363">
        <f>+K4386*L4386</f>
        <v>94.5</v>
      </c>
    </row>
    <row r="4387" spans="2:14" ht="13.5" thickBot="1">
      <c r="B4387" s="402" t="s">
        <v>373</v>
      </c>
      <c r="C4387" s="353"/>
      <c r="D4387" s="353"/>
      <c r="E4387" s="353"/>
      <c r="F4387" s="353"/>
      <c r="G4387" s="353"/>
      <c r="H4387" s="353"/>
      <c r="I4387" s="403"/>
      <c r="J4387" s="303" t="s">
        <v>141</v>
      </c>
      <c r="K4387" s="392">
        <v>1.05</v>
      </c>
      <c r="L4387" s="1144">
        <v>3140</v>
      </c>
      <c r="M4387" s="1145">
        <v>82007</v>
      </c>
      <c r="N4387" s="363">
        <f>+K4387*L4387</f>
        <v>3297</v>
      </c>
    </row>
    <row r="4388" spans="2:14" ht="13.5" thickBot="1">
      <c r="B4388" s="1100" t="s">
        <v>269</v>
      </c>
      <c r="C4388" s="1101"/>
      <c r="D4388" s="1101"/>
      <c r="E4388" s="1101"/>
      <c r="F4388" s="1101"/>
      <c r="G4388" s="1101"/>
      <c r="H4388" s="1101"/>
      <c r="I4388" s="1101"/>
      <c r="J4388" s="1101"/>
      <c r="K4388" s="1101"/>
      <c r="L4388" s="1101"/>
      <c r="M4388" s="1102"/>
      <c r="N4388" s="323">
        <f>+N4386+N4387</f>
        <v>3391.5</v>
      </c>
    </row>
    <row r="4389" spans="2:14">
      <c r="B4389" s="1103" t="s">
        <v>367</v>
      </c>
      <c r="C4389" s="1104"/>
      <c r="D4389" s="1104"/>
      <c r="E4389" s="1104"/>
      <c r="F4389" s="1104"/>
      <c r="G4389" s="1104"/>
      <c r="H4389" s="1104"/>
      <c r="I4389" s="1104"/>
      <c r="J4389" s="1104"/>
      <c r="K4389" s="1104"/>
      <c r="L4389" s="1104"/>
      <c r="M4389" s="1104"/>
      <c r="N4389" s="1105"/>
    </row>
    <row r="4390" spans="2:14">
      <c r="B4390" s="1106"/>
      <c r="C4390" s="1107"/>
      <c r="D4390" s="1107"/>
      <c r="E4390" s="1107"/>
      <c r="F4390" s="1107"/>
      <c r="G4390" s="1107"/>
      <c r="H4390" s="1107"/>
      <c r="I4390" s="1107"/>
      <c r="J4390" s="1107"/>
      <c r="K4390" s="1107"/>
      <c r="L4390" s="1107"/>
      <c r="M4390" s="1107"/>
      <c r="N4390" s="1108"/>
    </row>
    <row r="4391" spans="2:14" ht="13.5" thickBot="1">
      <c r="B4391" s="1109"/>
      <c r="C4391" s="1110"/>
      <c r="D4391" s="1110"/>
      <c r="E4391" s="1110"/>
      <c r="F4391" s="1110"/>
      <c r="G4391" s="1110"/>
      <c r="H4391" s="1110"/>
      <c r="I4391" s="1110"/>
      <c r="J4391" s="1110"/>
      <c r="K4391" s="1110"/>
      <c r="L4391" s="1110"/>
      <c r="M4391" s="1110"/>
      <c r="N4391" s="1111"/>
    </row>
    <row r="4392" spans="2:14">
      <c r="B4392" s="1130" t="s">
        <v>277</v>
      </c>
      <c r="C4392" s="1139"/>
      <c r="D4392" s="1139"/>
      <c r="E4392" s="1139"/>
      <c r="F4392" s="1139"/>
      <c r="G4392" s="1139"/>
      <c r="H4392" s="1139"/>
      <c r="I4392" s="288" t="s">
        <v>278</v>
      </c>
      <c r="J4392" s="306" t="s">
        <v>279</v>
      </c>
      <c r="K4392" s="307" t="s">
        <v>280</v>
      </c>
      <c r="L4392" s="1133" t="s">
        <v>281</v>
      </c>
      <c r="M4392" s="1136"/>
      <c r="N4392" s="289" t="s">
        <v>265</v>
      </c>
    </row>
    <row r="4393" spans="2:14" ht="13.5" thickBot="1">
      <c r="B4393" s="1112" t="s">
        <v>372</v>
      </c>
      <c r="C4393" s="1113"/>
      <c r="D4393" s="1113"/>
      <c r="E4393" s="1113"/>
      <c r="F4393" s="1113"/>
      <c r="G4393" s="1113"/>
      <c r="H4393" s="1113"/>
      <c r="I4393" s="393">
        <v>0.82</v>
      </c>
      <c r="J4393" s="309"/>
      <c r="K4393" s="308"/>
      <c r="L4393" s="1144">
        <v>80</v>
      </c>
      <c r="M4393" s="1145"/>
      <c r="N4393" s="363">
        <f>+I4393*L4393</f>
        <v>65.599999999999994</v>
      </c>
    </row>
    <row r="4394" spans="2:14" ht="13.5" thickBot="1">
      <c r="B4394" s="1100" t="s">
        <v>269</v>
      </c>
      <c r="C4394" s="1101"/>
      <c r="D4394" s="1101"/>
      <c r="E4394" s="1101"/>
      <c r="F4394" s="1101"/>
      <c r="G4394" s="1101"/>
      <c r="H4394" s="1101"/>
      <c r="I4394" s="1101"/>
      <c r="J4394" s="1101"/>
      <c r="K4394" s="1101"/>
      <c r="L4394" s="1101"/>
      <c r="M4394" s="1102"/>
      <c r="N4394" s="323">
        <f>+N4393</f>
        <v>65.599999999999994</v>
      </c>
    </row>
    <row r="4395" spans="2:14">
      <c r="B4395" s="1103" t="s">
        <v>282</v>
      </c>
      <c r="C4395" s="1104"/>
      <c r="D4395" s="1104"/>
      <c r="E4395" s="1104"/>
      <c r="F4395" s="1104"/>
      <c r="G4395" s="1104"/>
      <c r="H4395" s="1104"/>
      <c r="I4395" s="1104"/>
      <c r="J4395" s="1104"/>
      <c r="K4395" s="1104"/>
      <c r="L4395" s="1104"/>
      <c r="M4395" s="1104"/>
      <c r="N4395" s="1105"/>
    </row>
    <row r="4396" spans="2:14">
      <c r="B4396" s="1106"/>
      <c r="C4396" s="1107"/>
      <c r="D4396" s="1107"/>
      <c r="E4396" s="1107"/>
      <c r="F4396" s="1107"/>
      <c r="G4396" s="1107"/>
      <c r="H4396" s="1107"/>
      <c r="I4396" s="1107"/>
      <c r="J4396" s="1107"/>
      <c r="K4396" s="1107"/>
      <c r="L4396" s="1107"/>
      <c r="M4396" s="1107"/>
      <c r="N4396" s="1108"/>
    </row>
    <row r="4397" spans="2:14" ht="13.5" thickBot="1">
      <c r="B4397" s="1109"/>
      <c r="C4397" s="1110"/>
      <c r="D4397" s="1110"/>
      <c r="E4397" s="1110"/>
      <c r="F4397" s="1110"/>
      <c r="G4397" s="1110"/>
      <c r="H4397" s="1110"/>
      <c r="I4397" s="1110"/>
      <c r="J4397" s="1110"/>
      <c r="K4397" s="1110"/>
      <c r="L4397" s="1110"/>
      <c r="M4397" s="1110"/>
      <c r="N4397" s="1111"/>
    </row>
    <row r="4398" spans="2:14">
      <c r="B4398" s="1130" t="s">
        <v>283</v>
      </c>
      <c r="C4398" s="1139"/>
      <c r="D4398" s="1139"/>
      <c r="E4398" s="1139"/>
      <c r="F4398" s="1139"/>
      <c r="G4398" s="1139"/>
      <c r="H4398" s="1139"/>
      <c r="I4398" s="288" t="s">
        <v>284</v>
      </c>
      <c r="J4398" s="314" t="s">
        <v>285</v>
      </c>
      <c r="K4398" s="315" t="s">
        <v>286</v>
      </c>
      <c r="L4398" s="1140" t="s">
        <v>264</v>
      </c>
      <c r="M4398" s="1141"/>
      <c r="N4398" s="316" t="s">
        <v>265</v>
      </c>
    </row>
    <row r="4399" spans="2:14" ht="13.5" thickBot="1">
      <c r="B4399" s="317" t="s">
        <v>322</v>
      </c>
      <c r="C4399" s="318"/>
      <c r="D4399" s="318"/>
      <c r="E4399" s="318"/>
      <c r="F4399" s="318"/>
      <c r="G4399" s="318"/>
      <c r="H4399" s="318"/>
      <c r="I4399" s="319">
        <v>153482</v>
      </c>
      <c r="J4399" s="321">
        <v>0</v>
      </c>
      <c r="K4399" s="321">
        <f>+I4399+J4399</f>
        <v>153482</v>
      </c>
      <c r="L4399" s="1157">
        <v>150.15015</v>
      </c>
      <c r="M4399" s="1158"/>
      <c r="N4399" s="322">
        <f>+K4399/L4399</f>
        <v>1022.1901210221902</v>
      </c>
    </row>
    <row r="4400" spans="2:14" ht="13.5" thickBot="1">
      <c r="B4400" s="1100" t="s">
        <v>269</v>
      </c>
      <c r="C4400" s="1101"/>
      <c r="D4400" s="1101"/>
      <c r="E4400" s="1101"/>
      <c r="F4400" s="1101"/>
      <c r="G4400" s="1101"/>
      <c r="H4400" s="1101"/>
      <c r="I4400" s="1101"/>
      <c r="J4400" s="1101"/>
      <c r="K4400" s="1101"/>
      <c r="L4400" s="1101"/>
      <c r="M4400" s="1102"/>
      <c r="N4400" s="322">
        <f>+N4399</f>
        <v>1022.1901210221902</v>
      </c>
    </row>
    <row r="4401" spans="2:17" ht="13.5" thickBot="1">
      <c r="B4401" s="324" t="s">
        <v>288</v>
      </c>
      <c r="C4401" s="325"/>
      <c r="D4401" s="325"/>
      <c r="E4401" s="325"/>
      <c r="F4401" s="325"/>
      <c r="G4401" s="325"/>
      <c r="H4401" s="325"/>
      <c r="I4401" s="326"/>
      <c r="J4401" s="327"/>
      <c r="K4401" s="328"/>
      <c r="L4401" s="329"/>
      <c r="M4401" s="329"/>
      <c r="N4401" s="330"/>
    </row>
    <row r="4402" spans="2:17">
      <c r="B4402" s="1130" t="s">
        <v>17</v>
      </c>
      <c r="C4402" s="1139"/>
      <c r="D4402" s="1139"/>
      <c r="E4402" s="1139"/>
      <c r="F4402" s="1139"/>
      <c r="G4402" s="1139"/>
      <c r="H4402" s="1139"/>
      <c r="I4402" s="1136"/>
      <c r="J4402" s="299" t="s">
        <v>259</v>
      </c>
      <c r="K4402" s="288" t="s">
        <v>133</v>
      </c>
      <c r="L4402" s="1133" t="s">
        <v>271</v>
      </c>
      <c r="M4402" s="1136"/>
      <c r="N4402" s="316" t="s">
        <v>265</v>
      </c>
    </row>
    <row r="4403" spans="2:17" ht="13.5" thickBot="1">
      <c r="B4403" s="331" t="s">
        <v>289</v>
      </c>
      <c r="C4403" s="332"/>
      <c r="D4403" s="332"/>
      <c r="E4403" s="332"/>
      <c r="F4403" s="332"/>
      <c r="G4403" s="332"/>
      <c r="H4403" s="332"/>
      <c r="I4403" s="333"/>
      <c r="J4403" s="334" t="s">
        <v>290</v>
      </c>
      <c r="K4403" s="335">
        <v>5.2499999999999998E-2</v>
      </c>
      <c r="L4403" s="1144">
        <f>+N4400</f>
        <v>1022.1901210221902</v>
      </c>
      <c r="M4403" s="1145"/>
      <c r="N4403" s="322">
        <f>+K4403*L4403</f>
        <v>53.664981353664984</v>
      </c>
    </row>
    <row r="4404" spans="2:17" ht="13.5" thickBot="1">
      <c r="B4404" s="1100" t="s">
        <v>269</v>
      </c>
      <c r="C4404" s="1101"/>
      <c r="D4404" s="1101"/>
      <c r="E4404" s="1101"/>
      <c r="F4404" s="1101"/>
      <c r="G4404" s="1101"/>
      <c r="H4404" s="1101"/>
      <c r="I4404" s="1101"/>
      <c r="J4404" s="1101"/>
      <c r="K4404" s="1101"/>
      <c r="L4404" s="1101"/>
      <c r="M4404" s="1102"/>
      <c r="N4404" s="323">
        <f>+N4403</f>
        <v>53.664981353664984</v>
      </c>
    </row>
    <row r="4405" spans="2:17">
      <c r="B4405" s="280"/>
      <c r="C4405" s="281"/>
      <c r="D4405" s="281"/>
      <c r="E4405" s="281"/>
      <c r="F4405" s="281"/>
      <c r="G4405" s="281"/>
      <c r="H4405" s="281"/>
      <c r="I4405" s="281"/>
      <c r="J4405" s="281"/>
      <c r="K4405" s="281"/>
      <c r="L4405" s="281"/>
      <c r="M4405" s="281"/>
      <c r="N4405" s="282"/>
      <c r="P4405" s="408">
        <v>5437200</v>
      </c>
    </row>
    <row r="4406" spans="2:17" ht="13.5" thickBot="1">
      <c r="B4406" s="378"/>
      <c r="C4406" s="311"/>
      <c r="D4406" s="311"/>
      <c r="E4406" s="311"/>
      <c r="F4406" s="311"/>
      <c r="G4406" s="311"/>
      <c r="H4406" s="311"/>
      <c r="I4406" s="311"/>
      <c r="J4406" s="311"/>
      <c r="K4406" s="311"/>
      <c r="L4406" s="311"/>
      <c r="M4406" s="311"/>
      <c r="N4406" s="379"/>
    </row>
    <row r="4407" spans="2:17" ht="13.5" thickBot="1">
      <c r="B4407" s="1150" t="s">
        <v>291</v>
      </c>
      <c r="C4407" s="1151"/>
      <c r="D4407" s="1151"/>
      <c r="E4407" s="1151"/>
      <c r="F4407" s="1151"/>
      <c r="G4407" s="1151"/>
      <c r="H4407" s="1151"/>
      <c r="I4407" s="1151"/>
      <c r="J4407" s="1151"/>
      <c r="K4407" s="1151"/>
      <c r="L4407" s="1151"/>
      <c r="M4407" s="1152"/>
      <c r="N4407" s="336">
        <f>+N4381+N4388+N4394+N4400+N4404</f>
        <v>4532.9551023758549</v>
      </c>
      <c r="P4407" s="409">
        <f>+N4407*N4375</f>
        <v>5439546.1228510262</v>
      </c>
      <c r="Q4407" s="413">
        <f>+P4407-P4405</f>
        <v>2346.1228510262445</v>
      </c>
    </row>
    <row r="4408" spans="2:17">
      <c r="B4408" s="1103" t="s">
        <v>292</v>
      </c>
      <c r="C4408" s="1104"/>
      <c r="D4408" s="1104"/>
      <c r="E4408" s="1104"/>
      <c r="F4408" s="1104"/>
      <c r="G4408" s="1104"/>
      <c r="H4408" s="1104"/>
      <c r="I4408" s="1104"/>
      <c r="J4408" s="1104"/>
      <c r="K4408" s="1104"/>
      <c r="L4408" s="1104"/>
      <c r="M4408" s="1104"/>
      <c r="N4408" s="1105"/>
    </row>
    <row r="4409" spans="2:17">
      <c r="B4409" s="1106"/>
      <c r="C4409" s="1107"/>
      <c r="D4409" s="1107"/>
      <c r="E4409" s="1107"/>
      <c r="F4409" s="1107"/>
      <c r="G4409" s="1107"/>
      <c r="H4409" s="1107"/>
      <c r="I4409" s="1107"/>
      <c r="J4409" s="1107"/>
      <c r="K4409" s="1107"/>
      <c r="L4409" s="1107"/>
      <c r="M4409" s="1107"/>
      <c r="N4409" s="1108"/>
    </row>
    <row r="4410" spans="2:17" ht="13.5" thickBot="1">
      <c r="B4410" s="1109"/>
      <c r="C4410" s="1110"/>
      <c r="D4410" s="1110"/>
      <c r="E4410" s="1110"/>
      <c r="F4410" s="1110"/>
      <c r="G4410" s="1110"/>
      <c r="H4410" s="1110"/>
      <c r="I4410" s="1110"/>
      <c r="J4410" s="1110"/>
      <c r="K4410" s="1110"/>
      <c r="L4410" s="1110"/>
      <c r="M4410" s="1110"/>
      <c r="N4410" s="1111"/>
    </row>
    <row r="4411" spans="2:17">
      <c r="B4411" s="1130" t="s">
        <v>17</v>
      </c>
      <c r="C4411" s="1139"/>
      <c r="D4411" s="1139"/>
      <c r="E4411" s="1139"/>
      <c r="F4411" s="1139"/>
      <c r="G4411" s="1139"/>
      <c r="H4411" s="1139"/>
      <c r="I4411" s="306"/>
      <c r="J4411" s="337"/>
      <c r="K4411" s="315" t="s">
        <v>79</v>
      </c>
      <c r="L4411" s="1140" t="s">
        <v>11</v>
      </c>
      <c r="M4411" s="1141"/>
      <c r="N4411" s="316"/>
    </row>
    <row r="4412" spans="2:17">
      <c r="B4412" s="1112" t="s">
        <v>232</v>
      </c>
      <c r="C4412" s="1113"/>
      <c r="D4412" s="1113"/>
      <c r="E4412" s="1113"/>
      <c r="F4412" s="1113"/>
      <c r="G4412" s="1113"/>
      <c r="H4412" s="1113"/>
      <c r="I4412" s="338"/>
      <c r="J4412" s="339"/>
      <c r="K4412" s="340">
        <f>'PRESUPUESTO OFICIAL'!$K$100</f>
        <v>0</v>
      </c>
      <c r="L4412" s="1146">
        <f>K4412*N4407</f>
        <v>0</v>
      </c>
      <c r="M4412" s="1147"/>
      <c r="N4412" s="341"/>
    </row>
    <row r="4413" spans="2:17">
      <c r="B4413" s="292" t="s">
        <v>293</v>
      </c>
      <c r="C4413" s="293"/>
      <c r="D4413" s="293"/>
      <c r="E4413" s="293"/>
      <c r="F4413" s="293"/>
      <c r="G4413" s="293"/>
      <c r="H4413" s="293"/>
      <c r="I4413" s="338"/>
      <c r="J4413" s="339"/>
      <c r="K4413" s="340">
        <f>'PRESUPUESTO OFICIAL'!$K$101</f>
        <v>0</v>
      </c>
      <c r="L4413" s="1146">
        <f>K4413*N4407</f>
        <v>0</v>
      </c>
      <c r="M4413" s="1147"/>
      <c r="N4413" s="341"/>
    </row>
    <row r="4414" spans="2:17" ht="13.5" thickBot="1">
      <c r="B4414" s="277" t="s">
        <v>294</v>
      </c>
      <c r="C4414" s="278"/>
      <c r="D4414" s="278"/>
      <c r="E4414" s="278"/>
      <c r="F4414" s="278"/>
      <c r="G4414" s="278"/>
      <c r="H4414" s="278"/>
      <c r="I4414" s="342"/>
      <c r="J4414" s="343"/>
      <c r="K4414" s="340">
        <f>'PRESUPUESTO OFICIAL'!$K$102</f>
        <v>0</v>
      </c>
      <c r="L4414" s="1148">
        <f>K4414*N4407</f>
        <v>0</v>
      </c>
      <c r="M4414" s="1149"/>
      <c r="N4414" s="341"/>
    </row>
    <row r="4415" spans="2:17" ht="13.5" thickBot="1">
      <c r="B4415" s="1100" t="s">
        <v>269</v>
      </c>
      <c r="C4415" s="1101"/>
      <c r="D4415" s="1101"/>
      <c r="E4415" s="1101"/>
      <c r="F4415" s="1101"/>
      <c r="G4415" s="1101"/>
      <c r="H4415" s="1101"/>
      <c r="I4415" s="1101"/>
      <c r="J4415" s="1101"/>
      <c r="K4415" s="1101"/>
      <c r="L4415" s="1101"/>
      <c r="M4415" s="1102"/>
      <c r="N4415" s="344">
        <f>SUM(L4412:M4414)</f>
        <v>0</v>
      </c>
    </row>
    <row r="4416" spans="2:17" ht="13.5" thickBot="1">
      <c r="B4416" s="283"/>
      <c r="N4416" s="284"/>
    </row>
    <row r="4417" spans="2:14" ht="13.5" thickBot="1">
      <c r="B4417" s="1150" t="s">
        <v>295</v>
      </c>
      <c r="C4417" s="1151"/>
      <c r="D4417" s="1151"/>
      <c r="E4417" s="1151"/>
      <c r="F4417" s="1151"/>
      <c r="G4417" s="1151"/>
      <c r="H4417" s="1151"/>
      <c r="I4417" s="1151"/>
      <c r="J4417" s="1151"/>
      <c r="K4417" s="1151"/>
      <c r="L4417" s="1151"/>
      <c r="M4417" s="1152"/>
      <c r="N4417" s="345">
        <f>ROUND(N4407+N4415,0)</f>
        <v>4533</v>
      </c>
    </row>
    <row r="4418" spans="2:14">
      <c r="B4418" s="280"/>
      <c r="C4418" s="281"/>
      <c r="D4418" s="281"/>
      <c r="E4418" s="281"/>
      <c r="F4418" s="281"/>
      <c r="G4418" s="281"/>
      <c r="H4418" s="281"/>
      <c r="I4418" s="281"/>
      <c r="J4418" s="281"/>
      <c r="K4418" s="281"/>
      <c r="L4418" s="281"/>
      <c r="M4418" s="281"/>
      <c r="N4418" s="282"/>
    </row>
    <row r="4419" spans="2:14">
      <c r="B4419" s="283"/>
      <c r="N4419" s="284"/>
    </row>
    <row r="4420" spans="2:14">
      <c r="B4420" s="283"/>
      <c r="N4420" s="284"/>
    </row>
    <row r="4421" spans="2:14">
      <c r="B4421" s="283"/>
      <c r="G4421" s="346" t="s">
        <v>296</v>
      </c>
      <c r="H4421" s="346"/>
      <c r="I4421" s="346"/>
      <c r="J4421" s="346"/>
      <c r="N4421" s="284"/>
    </row>
    <row r="4422" spans="2:14">
      <c r="B4422" s="347"/>
      <c r="C4422" s="348"/>
      <c r="D4422" s="348"/>
      <c r="E4422" s="348"/>
      <c r="F4422" s="348"/>
      <c r="G4422" s="346" t="s">
        <v>297</v>
      </c>
      <c r="H4422" s="348"/>
      <c r="I4422" s="348"/>
      <c r="J4422" s="348"/>
      <c r="K4422" s="348"/>
      <c r="L4422" s="348"/>
      <c r="M4422" s="348"/>
      <c r="N4422" s="349"/>
    </row>
    <row r="4423" spans="2:14">
      <c r="B4423" s="347"/>
      <c r="C4423" s="348"/>
      <c r="D4423" s="348"/>
      <c r="E4423" s="348"/>
      <c r="F4423" s="348"/>
      <c r="G4423" s="346" t="s">
        <v>298</v>
      </c>
      <c r="J4423" s="348"/>
      <c r="K4423" s="348"/>
      <c r="L4423" s="348"/>
      <c r="M4423" s="348"/>
      <c r="N4423" s="349"/>
    </row>
    <row r="4424" spans="2:14">
      <c r="B4424" s="268"/>
      <c r="C4424" s="350"/>
      <c r="D4424" s="350"/>
      <c r="E4424" s="350"/>
      <c r="F4424" s="350"/>
      <c r="G4424" s="346" t="s">
        <v>299</v>
      </c>
      <c r="H4424" s="350"/>
      <c r="I4424" s="350"/>
      <c r="J4424" s="350"/>
      <c r="K4424" s="350"/>
      <c r="L4424" s="350"/>
      <c r="M4424" s="350"/>
      <c r="N4424" s="351"/>
    </row>
    <row r="4425" spans="2:14">
      <c r="B4425" s="283"/>
      <c r="G4425" s="258" t="s">
        <v>300</v>
      </c>
      <c r="N4425" s="284"/>
    </row>
    <row r="4426" spans="2:14">
      <c r="B4426" s="352" t="s">
        <v>301</v>
      </c>
      <c r="C4426" s="353"/>
      <c r="D4426" s="353"/>
      <c r="E4426" s="353"/>
      <c r="F4426" s="353"/>
      <c r="G4426" s="353"/>
      <c r="H4426" s="353"/>
      <c r="I4426" s="353"/>
      <c r="J4426" s="353"/>
      <c r="K4426" s="353"/>
      <c r="L4426" s="353"/>
      <c r="M4426" s="353"/>
      <c r="N4426" s="354"/>
    </row>
    <row r="4427" spans="2:14">
      <c r="B4427" s="1153"/>
      <c r="C4427" s="1154"/>
      <c r="D4427" s="1154"/>
      <c r="E4427" s="1154"/>
      <c r="F4427" s="1154"/>
      <c r="G4427" s="1154"/>
      <c r="H4427" s="1154"/>
      <c r="I4427" s="1154"/>
      <c r="J4427" s="1154"/>
      <c r="K4427" s="1154"/>
      <c r="L4427" s="1154"/>
      <c r="M4427" s="1154"/>
      <c r="N4427" s="1155"/>
    </row>
    <row r="4428" spans="2:14">
      <c r="B4428" s="1153"/>
      <c r="C4428" s="1154"/>
      <c r="D4428" s="1154"/>
      <c r="E4428" s="1154"/>
      <c r="F4428" s="1154"/>
      <c r="G4428" s="1154"/>
      <c r="H4428" s="1154"/>
      <c r="I4428" s="1154"/>
      <c r="J4428" s="1154"/>
      <c r="K4428" s="1154"/>
      <c r="L4428" s="1154"/>
      <c r="M4428" s="1154"/>
      <c r="N4428" s="1155"/>
    </row>
    <row r="4429" spans="2:14">
      <c r="B4429" s="268"/>
      <c r="C4429" s="350"/>
      <c r="D4429" s="350"/>
      <c r="E4429" s="350"/>
      <c r="F4429" s="350"/>
      <c r="G4429" s="350"/>
      <c r="H4429" s="350"/>
      <c r="I4429" s="350"/>
      <c r="J4429" s="350"/>
      <c r="K4429" s="350"/>
      <c r="L4429" s="350"/>
      <c r="M4429" s="350"/>
      <c r="N4429" s="351"/>
    </row>
    <row r="4430" spans="2:14">
      <c r="B4430" s="355" t="s">
        <v>302</v>
      </c>
      <c r="C4430" s="350"/>
      <c r="D4430" s="350"/>
      <c r="E4430" s="350"/>
      <c r="F4430" s="350"/>
      <c r="G4430" s="350"/>
      <c r="H4430" s="350"/>
      <c r="I4430" s="350"/>
      <c r="J4430" s="350"/>
      <c r="K4430" s="350"/>
      <c r="L4430" s="350"/>
      <c r="M4430" s="350"/>
      <c r="N4430" s="351"/>
    </row>
    <row r="4431" spans="2:14">
      <c r="B4431" s="1159" t="s">
        <v>303</v>
      </c>
      <c r="C4431" s="1160"/>
      <c r="D4431" s="1160"/>
      <c r="E4431" s="1160"/>
      <c r="F4431" s="1160"/>
      <c r="G4431" s="1160"/>
      <c r="H4431" s="1160"/>
      <c r="I4431" s="1160"/>
      <c r="J4431" s="1160"/>
      <c r="K4431" s="1160"/>
      <c r="L4431" s="1160"/>
      <c r="M4431" s="1160"/>
      <c r="N4431" s="1161"/>
    </row>
    <row r="4432" spans="2:14">
      <c r="B4432" s="1159"/>
      <c r="C4432" s="1160"/>
      <c r="D4432" s="1160"/>
      <c r="E4432" s="1160"/>
      <c r="F4432" s="1160"/>
      <c r="G4432" s="1160"/>
      <c r="H4432" s="1160"/>
      <c r="I4432" s="1160"/>
      <c r="J4432" s="1160"/>
      <c r="K4432" s="1160"/>
      <c r="L4432" s="1160"/>
      <c r="M4432" s="1160"/>
      <c r="N4432" s="1161"/>
    </row>
    <row r="4433" spans="2:14">
      <c r="B4433" s="1159" t="s">
        <v>304</v>
      </c>
      <c r="C4433" s="1160"/>
      <c r="D4433" s="1160"/>
      <c r="E4433" s="1160"/>
      <c r="F4433" s="1160"/>
      <c r="G4433" s="1160"/>
      <c r="H4433" s="1160"/>
      <c r="I4433" s="1160"/>
      <c r="J4433" s="1160"/>
      <c r="K4433" s="1160"/>
      <c r="L4433" s="1160"/>
      <c r="M4433" s="1160"/>
      <c r="N4433" s="1161"/>
    </row>
    <row r="4434" spans="2:14">
      <c r="B4434" s="1159"/>
      <c r="C4434" s="1160"/>
      <c r="D4434" s="1160"/>
      <c r="E4434" s="1160"/>
      <c r="F4434" s="1160"/>
      <c r="G4434" s="1160"/>
      <c r="H4434" s="1160"/>
      <c r="I4434" s="1160"/>
      <c r="J4434" s="1160"/>
      <c r="K4434" s="1160"/>
      <c r="L4434" s="1160"/>
      <c r="M4434" s="1160"/>
      <c r="N4434" s="1161"/>
    </row>
    <row r="4435" spans="2:14">
      <c r="B4435" s="268"/>
      <c r="C4435" s="350"/>
      <c r="D4435" s="350"/>
      <c r="E4435" s="350"/>
      <c r="F4435" s="350"/>
      <c r="G4435" s="350"/>
      <c r="H4435" s="350"/>
      <c r="I4435" s="350"/>
      <c r="J4435" s="350"/>
      <c r="K4435" s="350"/>
      <c r="L4435" s="350"/>
      <c r="M4435" s="350"/>
      <c r="N4435" s="351"/>
    </row>
    <row r="4436" spans="2:14">
      <c r="B4436" s="283"/>
      <c r="G4436" s="346" t="s">
        <v>296</v>
      </c>
      <c r="N4436" s="284"/>
    </row>
    <row r="4437" spans="2:14">
      <c r="B4437" s="283"/>
      <c r="G4437" s="258" t="s">
        <v>305</v>
      </c>
      <c r="H4437" s="293"/>
      <c r="I4437" s="293"/>
      <c r="J4437" s="293"/>
      <c r="N4437" s="284"/>
    </row>
    <row r="4438" spans="2:14">
      <c r="B4438" s="283"/>
      <c r="G4438" s="258" t="s">
        <v>306</v>
      </c>
      <c r="H4438" s="325"/>
      <c r="I4438" s="325"/>
      <c r="J4438" s="325"/>
      <c r="N4438" s="284"/>
    </row>
    <row r="4439" spans="2:14">
      <c r="B4439" s="356"/>
      <c r="C4439" s="350"/>
      <c r="D4439" s="350"/>
      <c r="E4439" s="350"/>
      <c r="F4439" s="350"/>
      <c r="G4439" s="258" t="s">
        <v>299</v>
      </c>
      <c r="K4439" s="350"/>
      <c r="L4439" s="350"/>
      <c r="M4439" s="350"/>
      <c r="N4439" s="351"/>
    </row>
    <row r="4440" spans="2:14">
      <c r="B4440" s="357"/>
      <c r="C4440" s="358"/>
      <c r="D4440" s="358"/>
      <c r="J4440" s="1162"/>
      <c r="K4440" s="1162"/>
      <c r="L4440" s="1162"/>
      <c r="M4440" s="1162"/>
      <c r="N4440" s="1163"/>
    </row>
    <row r="4441" spans="2:14" ht="13.5" thickBot="1">
      <c r="B4441" s="1166"/>
      <c r="C4441" s="1167"/>
      <c r="D4441" s="1167"/>
      <c r="E4441" s="311"/>
      <c r="F4441" s="311"/>
      <c r="G4441" s="311"/>
      <c r="H4441" s="311"/>
      <c r="I4441" s="311"/>
      <c r="J4441" s="1164"/>
      <c r="K4441" s="1164"/>
      <c r="L4441" s="1164"/>
      <c r="M4441" s="1164"/>
      <c r="N4441" s="1165"/>
    </row>
    <row r="4442" spans="2:14" ht="13.5" thickBot="1"/>
    <row r="4443" spans="2:14">
      <c r="B4443" s="1070"/>
      <c r="C4443" s="1072"/>
      <c r="D4443" s="1073"/>
      <c r="E4443" s="1073"/>
      <c r="F4443" s="1073"/>
      <c r="G4443" s="1073"/>
      <c r="H4443" s="1073"/>
      <c r="I4443" s="1073"/>
      <c r="J4443" s="1074"/>
      <c r="K4443" s="1075"/>
      <c r="L4443" s="1076"/>
      <c r="M4443" s="1076"/>
      <c r="N4443" s="1077"/>
    </row>
    <row r="4444" spans="2:14">
      <c r="B4444" s="1071"/>
      <c r="C4444" s="1062" t="s">
        <v>244</v>
      </c>
      <c r="D4444" s="1063"/>
      <c r="E4444" s="1063"/>
      <c r="F4444" s="1063"/>
      <c r="G4444" s="1063"/>
      <c r="H4444" s="1063"/>
      <c r="I4444" s="1063"/>
      <c r="J4444" s="1064"/>
      <c r="K4444" s="1078"/>
      <c r="L4444" s="1079"/>
      <c r="M4444" s="1079"/>
      <c r="N4444" s="1080"/>
    </row>
    <row r="4445" spans="2:14">
      <c r="B4445" s="1071"/>
      <c r="C4445" s="1081"/>
      <c r="D4445" s="1082"/>
      <c r="E4445" s="1082"/>
      <c r="F4445" s="1082"/>
      <c r="G4445" s="1082"/>
      <c r="H4445" s="1082"/>
      <c r="I4445" s="1082"/>
      <c r="J4445" s="1083"/>
      <c r="K4445" s="1058" t="s">
        <v>245</v>
      </c>
      <c r="L4445" s="1085"/>
      <c r="M4445" s="1086"/>
      <c r="N4445" s="1087"/>
    </row>
    <row r="4446" spans="2:14">
      <c r="B4446" s="1071"/>
      <c r="C4446" s="1062" t="s">
        <v>246</v>
      </c>
      <c r="D4446" s="1063"/>
      <c r="E4446" s="1063"/>
      <c r="F4446" s="1063"/>
      <c r="G4446" s="1063"/>
      <c r="H4446" s="1063"/>
      <c r="I4446" s="1063"/>
      <c r="J4446" s="1064"/>
      <c r="K4446" s="1084"/>
      <c r="L4446" s="1088"/>
      <c r="M4446" s="1089"/>
      <c r="N4446" s="1090"/>
    </row>
    <row r="4447" spans="2:14">
      <c r="B4447" s="1071"/>
      <c r="C4447" s="1091"/>
      <c r="D4447" s="1092"/>
      <c r="E4447" s="1092"/>
      <c r="F4447" s="1092"/>
      <c r="G4447" s="1092"/>
      <c r="H4447" s="1092"/>
      <c r="I4447" s="1092"/>
      <c r="J4447" s="1093"/>
      <c r="K4447" s="1058" t="s">
        <v>247</v>
      </c>
      <c r="L4447" s="1058">
        <v>50</v>
      </c>
      <c r="M4447" s="1058" t="s">
        <v>248</v>
      </c>
      <c r="N4447" s="1060">
        <v>80</v>
      </c>
    </row>
    <row r="4448" spans="2:14">
      <c r="B4448" s="1071"/>
      <c r="C4448" s="1091"/>
      <c r="D4448" s="1092"/>
      <c r="E4448" s="1092"/>
      <c r="F4448" s="1092"/>
      <c r="G4448" s="1092"/>
      <c r="H4448" s="1092"/>
      <c r="I4448" s="1092"/>
      <c r="J4448" s="1093"/>
      <c r="K4448" s="1059"/>
      <c r="L4448" s="1059"/>
      <c r="M4448" s="1059"/>
      <c r="N4448" s="1061"/>
    </row>
    <row r="4449" spans="2:14">
      <c r="B4449" s="1071"/>
      <c r="C4449" s="1062" t="s">
        <v>249</v>
      </c>
      <c r="D4449" s="1063"/>
      <c r="E4449" s="1063"/>
      <c r="F4449" s="1063"/>
      <c r="G4449" s="1063"/>
      <c r="H4449" s="1063"/>
      <c r="I4449" s="1063"/>
      <c r="J4449" s="1064"/>
      <c r="K4449" s="1059"/>
      <c r="L4449" s="1059"/>
      <c r="M4449" s="1059"/>
      <c r="N4449" s="1061"/>
    </row>
    <row r="4450" spans="2:14" ht="13.5" thickBot="1">
      <c r="B4450" s="259"/>
      <c r="C4450" s="260"/>
      <c r="D4450" s="260"/>
      <c r="E4450" s="260"/>
      <c r="F4450" s="260"/>
      <c r="G4450" s="260"/>
      <c r="H4450" s="260"/>
      <c r="I4450" s="260"/>
      <c r="J4450" s="260"/>
      <c r="K4450" s="260"/>
      <c r="L4450" s="261"/>
      <c r="M4450" s="261"/>
      <c r="N4450" s="262"/>
    </row>
    <row r="4451" spans="2:14">
      <c r="B4451" s="263"/>
      <c r="C4451" s="264"/>
      <c r="D4451" s="264"/>
      <c r="E4451" s="264"/>
      <c r="F4451" s="264"/>
      <c r="G4451" s="264"/>
      <c r="H4451" s="264"/>
      <c r="I4451" s="264"/>
      <c r="J4451" s="264"/>
      <c r="K4451" s="265" t="s">
        <v>250</v>
      </c>
      <c r="L4451" s="266" t="s">
        <v>251</v>
      </c>
      <c r="M4451" s="266" t="s">
        <v>252</v>
      </c>
      <c r="N4451" s="267" t="s">
        <v>253</v>
      </c>
    </row>
    <row r="4452" spans="2:14">
      <c r="B4452" s="268"/>
      <c r="C4452" s="269"/>
      <c r="D4452" s="269"/>
      <c r="E4452" s="269"/>
      <c r="F4452" s="269"/>
      <c r="G4452" s="269"/>
      <c r="H4452" s="269"/>
      <c r="I4452" s="269"/>
      <c r="J4452" s="269"/>
      <c r="K4452" s="270"/>
      <c r="L4452" s="271"/>
      <c r="M4452" s="271"/>
      <c r="N4452" s="272"/>
    </row>
    <row r="4453" spans="2:14">
      <c r="B4453" s="1065" t="s">
        <v>254</v>
      </c>
      <c r="C4453" s="1066"/>
      <c r="D4453" s="1066"/>
      <c r="E4453" s="1066"/>
      <c r="F4453" s="269"/>
      <c r="G4453" s="269"/>
      <c r="H4453" s="269" t="s">
        <v>255</v>
      </c>
      <c r="J4453" s="269"/>
      <c r="K4453" s="270"/>
      <c r="N4453" s="273"/>
    </row>
    <row r="4454" spans="2:14">
      <c r="B4454" s="274"/>
      <c r="C4454" s="275"/>
      <c r="D4454" s="275"/>
      <c r="E4454" s="275"/>
      <c r="F4454" s="275"/>
      <c r="G4454" s="275"/>
      <c r="H4454" s="275"/>
      <c r="I4454" s="275"/>
      <c r="J4454" s="275"/>
      <c r="K4454" s="275"/>
      <c r="L4454" s="275"/>
      <c r="M4454" s="275"/>
      <c r="N4454" s="276"/>
    </row>
    <row r="4455" spans="2:14" ht="13.5" thickBot="1">
      <c r="B4455" s="277"/>
      <c r="C4455" s="278"/>
      <c r="D4455" s="278"/>
      <c r="E4455" s="278"/>
      <c r="F4455" s="278"/>
      <c r="G4455" s="278"/>
      <c r="H4455" s="278"/>
      <c r="I4455" s="278"/>
      <c r="J4455" s="278"/>
      <c r="K4455" s="278"/>
      <c r="L4455" s="278"/>
      <c r="M4455" s="278"/>
      <c r="N4455" s="279"/>
    </row>
    <row r="4456" spans="2:14" ht="13.5" thickBot="1">
      <c r="B4456" s="280"/>
      <c r="C4456" s="281"/>
      <c r="D4456" s="281"/>
      <c r="E4456" s="281"/>
      <c r="F4456" s="281"/>
      <c r="G4456" s="281"/>
      <c r="J4456" s="281"/>
      <c r="K4456" s="281"/>
      <c r="L4456" s="281"/>
      <c r="M4456" s="281"/>
      <c r="N4456" s="282"/>
    </row>
    <row r="4457" spans="2:14">
      <c r="B4457" s="1067" t="s">
        <v>256</v>
      </c>
      <c r="C4457" s="1068"/>
      <c r="D4457" s="1068"/>
      <c r="E4457" s="1068"/>
      <c r="F4457" s="1068"/>
      <c r="G4457" s="1068"/>
      <c r="H4457" s="1068"/>
      <c r="I4457" s="1068"/>
      <c r="J4457" s="1068"/>
      <c r="K4457" s="1068"/>
      <c r="L4457" s="1068"/>
      <c r="M4457" s="1068"/>
      <c r="N4457" s="1069"/>
    </row>
    <row r="4458" spans="2:14" ht="13.5" thickBot="1">
      <c r="B4458" s="283"/>
      <c r="N4458" s="284"/>
    </row>
    <row r="4459" spans="2:14">
      <c r="B4459" s="285" t="s">
        <v>257</v>
      </c>
      <c r="C4459" s="1120" t="s">
        <v>258</v>
      </c>
      <c r="D4459" s="1121"/>
      <c r="E4459" s="1121"/>
      <c r="F4459" s="1121"/>
      <c r="G4459" s="1121"/>
      <c r="H4459" s="1121"/>
      <c r="I4459" s="1121"/>
      <c r="J4459" s="1121"/>
      <c r="K4459" s="1122"/>
      <c r="L4459" s="1123" t="s">
        <v>259</v>
      </c>
      <c r="M4459" s="1124"/>
      <c r="N4459" s="285" t="s">
        <v>133</v>
      </c>
    </row>
    <row r="4460" spans="2:14" ht="25.15" customHeight="1" thickBot="1">
      <c r="B4460" s="286">
        <v>50</v>
      </c>
      <c r="C4460" s="1125" t="s">
        <v>192</v>
      </c>
      <c r="D4460" s="1126"/>
      <c r="E4460" s="1126"/>
      <c r="F4460" s="1126"/>
      <c r="G4460" s="1126"/>
      <c r="H4460" s="1126"/>
      <c r="I4460" s="1126"/>
      <c r="J4460" s="1126"/>
      <c r="K4460" s="1127"/>
      <c r="L4460" s="1128" t="s">
        <v>143</v>
      </c>
      <c r="M4460" s="1129"/>
      <c r="N4460" s="366">
        <v>200</v>
      </c>
    </row>
    <row r="4461" spans="2:14">
      <c r="B4461" s="1103" t="s">
        <v>260</v>
      </c>
      <c r="C4461" s="1104"/>
      <c r="D4461" s="1104"/>
      <c r="E4461" s="1104"/>
      <c r="F4461" s="1104"/>
      <c r="G4461" s="1104"/>
      <c r="H4461" s="1104"/>
      <c r="I4461" s="1104"/>
      <c r="J4461" s="1104"/>
      <c r="K4461" s="1104"/>
      <c r="L4461" s="1104"/>
      <c r="M4461" s="1104"/>
      <c r="N4461" s="1105"/>
    </row>
    <row r="4462" spans="2:14">
      <c r="B4462" s="1106"/>
      <c r="C4462" s="1107"/>
      <c r="D4462" s="1107"/>
      <c r="E4462" s="1107"/>
      <c r="F4462" s="1107"/>
      <c r="G4462" s="1107"/>
      <c r="H4462" s="1107"/>
      <c r="I4462" s="1107"/>
      <c r="J4462" s="1107"/>
      <c r="K4462" s="1107"/>
      <c r="L4462" s="1107"/>
      <c r="M4462" s="1107"/>
      <c r="N4462" s="1108"/>
    </row>
    <row r="4463" spans="2:14" ht="13.5" thickBot="1">
      <c r="B4463" s="1109"/>
      <c r="C4463" s="1110"/>
      <c r="D4463" s="1110"/>
      <c r="E4463" s="1110"/>
      <c r="F4463" s="1110"/>
      <c r="G4463" s="1110"/>
      <c r="H4463" s="1110"/>
      <c r="I4463" s="1110"/>
      <c r="J4463" s="1110"/>
      <c r="K4463" s="1110"/>
      <c r="L4463" s="1110"/>
      <c r="M4463" s="1110"/>
      <c r="N4463" s="1111"/>
    </row>
    <row r="4464" spans="2:14">
      <c r="B4464" s="1130" t="s">
        <v>258</v>
      </c>
      <c r="C4464" s="1131"/>
      <c r="D4464" s="1131"/>
      <c r="E4464" s="1131"/>
      <c r="F4464" s="1132"/>
      <c r="G4464" s="1133" t="s">
        <v>261</v>
      </c>
      <c r="H4464" s="1131"/>
      <c r="I4464" s="1134" t="s">
        <v>262</v>
      </c>
      <c r="J4464" s="1135"/>
      <c r="K4464" s="288" t="s">
        <v>263</v>
      </c>
      <c r="L4464" s="1133" t="s">
        <v>264</v>
      </c>
      <c r="M4464" s="1136"/>
      <c r="N4464" s="289" t="s">
        <v>265</v>
      </c>
    </row>
    <row r="4465" spans="2:14" ht="13.5" thickBot="1">
      <c r="B4465" s="1179"/>
      <c r="C4465" s="1180"/>
      <c r="D4465" s="1180"/>
      <c r="E4465" s="1180"/>
      <c r="F4465" s="1181"/>
      <c r="G4465" s="295"/>
      <c r="H4465" s="294"/>
      <c r="I4465" s="1182"/>
      <c r="J4465" s="1183"/>
      <c r="K4465" s="290"/>
      <c r="L4465" s="1118"/>
      <c r="M4465" s="1119"/>
      <c r="N4465" s="290"/>
    </row>
    <row r="4466" spans="2:14" ht="13.5" thickBot="1">
      <c r="B4466" s="1100" t="s">
        <v>269</v>
      </c>
      <c r="C4466" s="1101"/>
      <c r="D4466" s="1101"/>
      <c r="E4466" s="1101"/>
      <c r="F4466" s="1101"/>
      <c r="G4466" s="1101"/>
      <c r="H4466" s="1101"/>
      <c r="I4466" s="1101"/>
      <c r="J4466" s="1101"/>
      <c r="K4466" s="1101"/>
      <c r="L4466" s="1101"/>
      <c r="M4466" s="1102"/>
      <c r="N4466" s="323">
        <v>0</v>
      </c>
    </row>
    <row r="4467" spans="2:14">
      <c r="B4467" s="1103" t="s">
        <v>270</v>
      </c>
      <c r="C4467" s="1104"/>
      <c r="D4467" s="1104"/>
      <c r="E4467" s="1104"/>
      <c r="F4467" s="1104"/>
      <c r="G4467" s="1104"/>
      <c r="H4467" s="1104"/>
      <c r="I4467" s="1104"/>
      <c r="J4467" s="1104"/>
      <c r="K4467" s="1104"/>
      <c r="L4467" s="1104"/>
      <c r="M4467" s="1104"/>
      <c r="N4467" s="1105"/>
    </row>
    <row r="4468" spans="2:14">
      <c r="B4468" s="1106"/>
      <c r="C4468" s="1107"/>
      <c r="D4468" s="1107"/>
      <c r="E4468" s="1107"/>
      <c r="F4468" s="1107"/>
      <c r="G4468" s="1107"/>
      <c r="H4468" s="1107"/>
      <c r="I4468" s="1107"/>
      <c r="J4468" s="1107"/>
      <c r="K4468" s="1107"/>
      <c r="L4468" s="1107"/>
      <c r="M4468" s="1107"/>
      <c r="N4468" s="1108"/>
    </row>
    <row r="4469" spans="2:14" ht="13.5" thickBot="1">
      <c r="B4469" s="1109"/>
      <c r="C4469" s="1110"/>
      <c r="D4469" s="1110"/>
      <c r="E4469" s="1110"/>
      <c r="F4469" s="1110"/>
      <c r="G4469" s="1110"/>
      <c r="H4469" s="1110"/>
      <c r="I4469" s="1110"/>
      <c r="J4469" s="1110"/>
      <c r="K4469" s="1110"/>
      <c r="L4469" s="1110"/>
      <c r="M4469" s="1110"/>
      <c r="N4469" s="1111"/>
    </row>
    <row r="4470" spans="2:14">
      <c r="B4470" s="1130" t="s">
        <v>258</v>
      </c>
      <c r="C4470" s="1139"/>
      <c r="D4470" s="1139"/>
      <c r="E4470" s="1139"/>
      <c r="F4470" s="1139"/>
      <c r="G4470" s="1139"/>
      <c r="H4470" s="1139"/>
      <c r="I4470" s="1136"/>
      <c r="J4470" s="299" t="s">
        <v>259</v>
      </c>
      <c r="K4470" s="288" t="s">
        <v>133</v>
      </c>
      <c r="L4470" s="1133" t="s">
        <v>271</v>
      </c>
      <c r="M4470" s="1136"/>
      <c r="N4470" s="289" t="s">
        <v>265</v>
      </c>
    </row>
    <row r="4471" spans="2:14">
      <c r="B4471" s="402" t="s">
        <v>374</v>
      </c>
      <c r="C4471" s="353"/>
      <c r="D4471" s="353"/>
      <c r="E4471" s="353"/>
      <c r="F4471" s="353"/>
      <c r="G4471" s="353"/>
      <c r="H4471" s="353"/>
      <c r="I4471" s="403"/>
      <c r="J4471" s="303" t="s">
        <v>143</v>
      </c>
      <c r="K4471" s="392">
        <v>1.05</v>
      </c>
      <c r="L4471" s="1144">
        <v>24628</v>
      </c>
      <c r="M4471" s="1145"/>
      <c r="N4471" s="363">
        <f>+K4471*L4471</f>
        <v>25859.4</v>
      </c>
    </row>
    <row r="4472" spans="2:14" ht="13.5" thickBot="1">
      <c r="B4472" s="402"/>
      <c r="C4472" s="353"/>
      <c r="D4472" s="353"/>
      <c r="E4472" s="353"/>
      <c r="F4472" s="353"/>
      <c r="G4472" s="353"/>
      <c r="H4472" s="353"/>
      <c r="I4472" s="403"/>
      <c r="J4472" s="303"/>
      <c r="K4472" s="392"/>
      <c r="L4472" s="1144"/>
      <c r="M4472" s="1145"/>
      <c r="N4472" s="363"/>
    </row>
    <row r="4473" spans="2:14" ht="13.5" thickBot="1">
      <c r="B4473" s="1100" t="s">
        <v>269</v>
      </c>
      <c r="C4473" s="1101"/>
      <c r="D4473" s="1101"/>
      <c r="E4473" s="1101"/>
      <c r="F4473" s="1101"/>
      <c r="G4473" s="1101"/>
      <c r="H4473" s="1101"/>
      <c r="I4473" s="1101"/>
      <c r="J4473" s="1101"/>
      <c r="K4473" s="1101"/>
      <c r="L4473" s="1101"/>
      <c r="M4473" s="1102"/>
      <c r="N4473" s="323">
        <f>+N4471+N4472</f>
        <v>25859.4</v>
      </c>
    </row>
    <row r="4474" spans="2:14">
      <c r="B4474" s="1103" t="s">
        <v>367</v>
      </c>
      <c r="C4474" s="1104"/>
      <c r="D4474" s="1104"/>
      <c r="E4474" s="1104"/>
      <c r="F4474" s="1104"/>
      <c r="G4474" s="1104"/>
      <c r="H4474" s="1104"/>
      <c r="I4474" s="1104"/>
      <c r="J4474" s="1104"/>
      <c r="K4474" s="1104"/>
      <c r="L4474" s="1104"/>
      <c r="M4474" s="1104"/>
      <c r="N4474" s="1105"/>
    </row>
    <row r="4475" spans="2:14">
      <c r="B4475" s="1106"/>
      <c r="C4475" s="1107"/>
      <c r="D4475" s="1107"/>
      <c r="E4475" s="1107"/>
      <c r="F4475" s="1107"/>
      <c r="G4475" s="1107"/>
      <c r="H4475" s="1107"/>
      <c r="I4475" s="1107"/>
      <c r="J4475" s="1107"/>
      <c r="K4475" s="1107"/>
      <c r="L4475" s="1107"/>
      <c r="M4475" s="1107"/>
      <c r="N4475" s="1108"/>
    </row>
    <row r="4476" spans="2:14" ht="13.5" thickBot="1">
      <c r="B4476" s="1109"/>
      <c r="C4476" s="1110"/>
      <c r="D4476" s="1110"/>
      <c r="E4476" s="1110"/>
      <c r="F4476" s="1110"/>
      <c r="G4476" s="1110"/>
      <c r="H4476" s="1110"/>
      <c r="I4476" s="1110"/>
      <c r="J4476" s="1110"/>
      <c r="K4476" s="1110"/>
      <c r="L4476" s="1110"/>
      <c r="M4476" s="1110"/>
      <c r="N4476" s="1111"/>
    </row>
    <row r="4477" spans="2:14">
      <c r="B4477" s="1130" t="s">
        <v>277</v>
      </c>
      <c r="C4477" s="1139"/>
      <c r="D4477" s="1139"/>
      <c r="E4477" s="1139"/>
      <c r="F4477" s="1139"/>
      <c r="G4477" s="1139"/>
      <c r="H4477" s="1139"/>
      <c r="I4477" s="288" t="s">
        <v>278</v>
      </c>
      <c r="J4477" s="306" t="s">
        <v>279</v>
      </c>
      <c r="K4477" s="307" t="s">
        <v>280</v>
      </c>
      <c r="L4477" s="1133" t="s">
        <v>281</v>
      </c>
      <c r="M4477" s="1136"/>
      <c r="N4477" s="289" t="s">
        <v>265</v>
      </c>
    </row>
    <row r="4478" spans="2:14" ht="13.5" thickBot="1">
      <c r="B4478" s="1112"/>
      <c r="C4478" s="1113"/>
      <c r="D4478" s="1113"/>
      <c r="E4478" s="1113"/>
      <c r="F4478" s="1113"/>
      <c r="G4478" s="1113"/>
      <c r="H4478" s="1113"/>
      <c r="I4478" s="393"/>
      <c r="J4478" s="309"/>
      <c r="K4478" s="308"/>
      <c r="L4478" s="1144"/>
      <c r="M4478" s="1145"/>
      <c r="N4478" s="363"/>
    </row>
    <row r="4479" spans="2:14" ht="13.5" thickBot="1">
      <c r="B4479" s="1100" t="s">
        <v>269</v>
      </c>
      <c r="C4479" s="1101"/>
      <c r="D4479" s="1101"/>
      <c r="E4479" s="1101"/>
      <c r="F4479" s="1101"/>
      <c r="G4479" s="1101"/>
      <c r="H4479" s="1101"/>
      <c r="I4479" s="1101"/>
      <c r="J4479" s="1101"/>
      <c r="K4479" s="1101"/>
      <c r="L4479" s="1101"/>
      <c r="M4479" s="1102"/>
      <c r="N4479" s="323">
        <f>+N4478</f>
        <v>0</v>
      </c>
    </row>
    <row r="4480" spans="2:14">
      <c r="B4480" s="1103" t="s">
        <v>282</v>
      </c>
      <c r="C4480" s="1104"/>
      <c r="D4480" s="1104"/>
      <c r="E4480" s="1104"/>
      <c r="F4480" s="1104"/>
      <c r="G4480" s="1104"/>
      <c r="H4480" s="1104"/>
      <c r="I4480" s="1104"/>
      <c r="J4480" s="1104"/>
      <c r="K4480" s="1104"/>
      <c r="L4480" s="1104"/>
      <c r="M4480" s="1104"/>
      <c r="N4480" s="1105"/>
    </row>
    <row r="4481" spans="2:17">
      <c r="B4481" s="1106"/>
      <c r="C4481" s="1107"/>
      <c r="D4481" s="1107"/>
      <c r="E4481" s="1107"/>
      <c r="F4481" s="1107"/>
      <c r="G4481" s="1107"/>
      <c r="H4481" s="1107"/>
      <c r="I4481" s="1107"/>
      <c r="J4481" s="1107"/>
      <c r="K4481" s="1107"/>
      <c r="L4481" s="1107"/>
      <c r="M4481" s="1107"/>
      <c r="N4481" s="1108"/>
    </row>
    <row r="4482" spans="2:17" ht="13.5" thickBot="1">
      <c r="B4482" s="1109"/>
      <c r="C4482" s="1110"/>
      <c r="D4482" s="1110"/>
      <c r="E4482" s="1110"/>
      <c r="F4482" s="1110"/>
      <c r="G4482" s="1110"/>
      <c r="H4482" s="1110"/>
      <c r="I4482" s="1110"/>
      <c r="J4482" s="1110"/>
      <c r="K4482" s="1110"/>
      <c r="L4482" s="1110"/>
      <c r="M4482" s="1110"/>
      <c r="N4482" s="1111"/>
    </row>
    <row r="4483" spans="2:17">
      <c r="B4483" s="1130" t="s">
        <v>283</v>
      </c>
      <c r="C4483" s="1139"/>
      <c r="D4483" s="1139"/>
      <c r="E4483" s="1139"/>
      <c r="F4483" s="1139"/>
      <c r="G4483" s="1139"/>
      <c r="H4483" s="1139"/>
      <c r="I4483" s="288" t="s">
        <v>284</v>
      </c>
      <c r="J4483" s="314" t="s">
        <v>285</v>
      </c>
      <c r="K4483" s="315" t="s">
        <v>286</v>
      </c>
      <c r="L4483" s="1140" t="s">
        <v>264</v>
      </c>
      <c r="M4483" s="1141"/>
      <c r="N4483" s="316" t="s">
        <v>265</v>
      </c>
    </row>
    <row r="4484" spans="2:17" ht="13.5" thickBot="1">
      <c r="B4484" s="317" t="s">
        <v>375</v>
      </c>
      <c r="C4484" s="318"/>
      <c r="D4484" s="318"/>
      <c r="E4484" s="318"/>
      <c r="F4484" s="318"/>
      <c r="G4484" s="318"/>
      <c r="H4484" s="318"/>
      <c r="I4484" s="319">
        <v>55853</v>
      </c>
      <c r="J4484" s="321">
        <v>41890</v>
      </c>
      <c r="K4484" s="321">
        <f>+I4484+J4484</f>
        <v>97743</v>
      </c>
      <c r="L4484" s="1157">
        <v>20</v>
      </c>
      <c r="M4484" s="1158"/>
      <c r="N4484" s="322">
        <f>+K4484/L4484</f>
        <v>4887.1499999999996</v>
      </c>
    </row>
    <row r="4485" spans="2:17" ht="13.5" thickBot="1">
      <c r="B4485" s="1100" t="s">
        <v>269</v>
      </c>
      <c r="C4485" s="1101"/>
      <c r="D4485" s="1101"/>
      <c r="E4485" s="1101"/>
      <c r="F4485" s="1101"/>
      <c r="G4485" s="1101"/>
      <c r="H4485" s="1101"/>
      <c r="I4485" s="1101"/>
      <c r="J4485" s="1101"/>
      <c r="K4485" s="1101"/>
      <c r="L4485" s="1101"/>
      <c r="M4485" s="1102"/>
      <c r="N4485" s="322">
        <f>+N4484</f>
        <v>4887.1499999999996</v>
      </c>
    </row>
    <row r="4486" spans="2:17" ht="13.5" thickBot="1">
      <c r="B4486" s="324" t="s">
        <v>288</v>
      </c>
      <c r="C4486" s="325"/>
      <c r="D4486" s="325"/>
      <c r="E4486" s="325"/>
      <c r="F4486" s="325"/>
      <c r="G4486" s="325"/>
      <c r="H4486" s="325"/>
      <c r="I4486" s="326"/>
      <c r="J4486" s="327"/>
      <c r="K4486" s="328"/>
      <c r="L4486" s="329"/>
      <c r="M4486" s="329"/>
      <c r="N4486" s="330"/>
    </row>
    <row r="4487" spans="2:17">
      <c r="B4487" s="1130" t="s">
        <v>17</v>
      </c>
      <c r="C4487" s="1139"/>
      <c r="D4487" s="1139"/>
      <c r="E4487" s="1139"/>
      <c r="F4487" s="1139"/>
      <c r="G4487" s="1139"/>
      <c r="H4487" s="1139"/>
      <c r="I4487" s="1136"/>
      <c r="J4487" s="299" t="s">
        <v>259</v>
      </c>
      <c r="K4487" s="288" t="s">
        <v>133</v>
      </c>
      <c r="L4487" s="1133" t="s">
        <v>271</v>
      </c>
      <c r="M4487" s="1136"/>
      <c r="N4487" s="316" t="s">
        <v>265</v>
      </c>
    </row>
    <row r="4488" spans="2:17" ht="13.5" thickBot="1">
      <c r="B4488" s="331" t="s">
        <v>289</v>
      </c>
      <c r="C4488" s="332"/>
      <c r="D4488" s="332"/>
      <c r="E4488" s="332"/>
      <c r="F4488" s="332"/>
      <c r="G4488" s="332"/>
      <c r="H4488" s="332"/>
      <c r="I4488" s="333"/>
      <c r="J4488" s="334" t="s">
        <v>290</v>
      </c>
      <c r="K4488" s="335">
        <v>0.05</v>
      </c>
      <c r="L4488" s="1144">
        <f>+N4485</f>
        <v>4887.1499999999996</v>
      </c>
      <c r="M4488" s="1145"/>
      <c r="N4488" s="322">
        <f>+K4488*L4488</f>
        <v>244.35749999999999</v>
      </c>
    </row>
    <row r="4489" spans="2:17" ht="13.5" thickBot="1">
      <c r="B4489" s="1100" t="s">
        <v>269</v>
      </c>
      <c r="C4489" s="1101"/>
      <c r="D4489" s="1101"/>
      <c r="E4489" s="1101"/>
      <c r="F4489" s="1101"/>
      <c r="G4489" s="1101"/>
      <c r="H4489" s="1101"/>
      <c r="I4489" s="1101"/>
      <c r="J4489" s="1101"/>
      <c r="K4489" s="1101"/>
      <c r="L4489" s="1101"/>
      <c r="M4489" s="1102"/>
      <c r="N4489" s="323">
        <f>+N4488</f>
        <v>244.35749999999999</v>
      </c>
    </row>
    <row r="4490" spans="2:17">
      <c r="B4490" s="280"/>
      <c r="C4490" s="281"/>
      <c r="D4490" s="281"/>
      <c r="E4490" s="281"/>
      <c r="F4490" s="281"/>
      <c r="G4490" s="281"/>
      <c r="H4490" s="281"/>
      <c r="I4490" s="281"/>
      <c r="J4490" s="281"/>
      <c r="K4490" s="281"/>
      <c r="L4490" s="281"/>
      <c r="M4490" s="281"/>
      <c r="N4490" s="282"/>
      <c r="P4490" s="408">
        <v>6198000</v>
      </c>
    </row>
    <row r="4491" spans="2:17" ht="13.5" thickBot="1">
      <c r="B4491" s="378"/>
      <c r="C4491" s="311"/>
      <c r="D4491" s="311"/>
      <c r="E4491" s="311"/>
      <c r="F4491" s="311"/>
      <c r="G4491" s="311"/>
      <c r="H4491" s="311"/>
      <c r="I4491" s="311"/>
      <c r="J4491" s="311"/>
      <c r="K4491" s="311"/>
      <c r="L4491" s="311"/>
      <c r="M4491" s="311"/>
      <c r="N4491" s="379"/>
    </row>
    <row r="4492" spans="2:17" ht="13.5" thickBot="1">
      <c r="B4492" s="1150" t="s">
        <v>291</v>
      </c>
      <c r="C4492" s="1151"/>
      <c r="D4492" s="1151"/>
      <c r="E4492" s="1151"/>
      <c r="F4492" s="1151"/>
      <c r="G4492" s="1151"/>
      <c r="H4492" s="1151"/>
      <c r="I4492" s="1151"/>
      <c r="J4492" s="1151"/>
      <c r="K4492" s="1151"/>
      <c r="L4492" s="1151"/>
      <c r="M4492" s="1152"/>
      <c r="N4492" s="336">
        <f>+N4466+N4473+N4479+N4485+N4489</f>
        <v>30990.907500000001</v>
      </c>
      <c r="P4492" s="409">
        <f>+N4492*N4460</f>
        <v>6198181.5</v>
      </c>
      <c r="Q4492" s="413">
        <f>+P4492-P4490</f>
        <v>181.5</v>
      </c>
    </row>
    <row r="4493" spans="2:17">
      <c r="B4493" s="1103" t="s">
        <v>292</v>
      </c>
      <c r="C4493" s="1104"/>
      <c r="D4493" s="1104"/>
      <c r="E4493" s="1104"/>
      <c r="F4493" s="1104"/>
      <c r="G4493" s="1104"/>
      <c r="H4493" s="1104"/>
      <c r="I4493" s="1104"/>
      <c r="J4493" s="1104"/>
      <c r="K4493" s="1104"/>
      <c r="L4493" s="1104"/>
      <c r="M4493" s="1104"/>
      <c r="N4493" s="1105"/>
    </row>
    <row r="4494" spans="2:17">
      <c r="B4494" s="1106"/>
      <c r="C4494" s="1107"/>
      <c r="D4494" s="1107"/>
      <c r="E4494" s="1107"/>
      <c r="F4494" s="1107"/>
      <c r="G4494" s="1107"/>
      <c r="H4494" s="1107"/>
      <c r="I4494" s="1107"/>
      <c r="J4494" s="1107"/>
      <c r="K4494" s="1107"/>
      <c r="L4494" s="1107"/>
      <c r="M4494" s="1107"/>
      <c r="N4494" s="1108"/>
    </row>
    <row r="4495" spans="2:17" ht="13.5" thickBot="1">
      <c r="B4495" s="1109"/>
      <c r="C4495" s="1110"/>
      <c r="D4495" s="1110"/>
      <c r="E4495" s="1110"/>
      <c r="F4495" s="1110"/>
      <c r="G4495" s="1110"/>
      <c r="H4495" s="1110"/>
      <c r="I4495" s="1110"/>
      <c r="J4495" s="1110"/>
      <c r="K4495" s="1110"/>
      <c r="L4495" s="1110"/>
      <c r="M4495" s="1110"/>
      <c r="N4495" s="1111"/>
    </row>
    <row r="4496" spans="2:17">
      <c r="B4496" s="1130" t="s">
        <v>17</v>
      </c>
      <c r="C4496" s="1139"/>
      <c r="D4496" s="1139"/>
      <c r="E4496" s="1139"/>
      <c r="F4496" s="1139"/>
      <c r="G4496" s="1139"/>
      <c r="H4496" s="1139"/>
      <c r="I4496" s="306"/>
      <c r="J4496" s="337"/>
      <c r="K4496" s="315" t="s">
        <v>79</v>
      </c>
      <c r="L4496" s="1140" t="s">
        <v>11</v>
      </c>
      <c r="M4496" s="1141"/>
      <c r="N4496" s="316"/>
    </row>
    <row r="4497" spans="2:14">
      <c r="B4497" s="1112" t="s">
        <v>232</v>
      </c>
      <c r="C4497" s="1113"/>
      <c r="D4497" s="1113"/>
      <c r="E4497" s="1113"/>
      <c r="F4497" s="1113"/>
      <c r="G4497" s="1113"/>
      <c r="H4497" s="1113"/>
      <c r="I4497" s="338"/>
      <c r="J4497" s="339"/>
      <c r="K4497" s="340">
        <f>'PRESUPUESTO OFICIAL'!$K$100</f>
        <v>0</v>
      </c>
      <c r="L4497" s="1146">
        <f>K4497*N4492</f>
        <v>0</v>
      </c>
      <c r="M4497" s="1147"/>
      <c r="N4497" s="341"/>
    </row>
    <row r="4498" spans="2:14">
      <c r="B4498" s="292" t="s">
        <v>293</v>
      </c>
      <c r="C4498" s="293"/>
      <c r="D4498" s="293"/>
      <c r="E4498" s="293"/>
      <c r="F4498" s="293"/>
      <c r="G4498" s="293"/>
      <c r="H4498" s="293"/>
      <c r="I4498" s="338"/>
      <c r="J4498" s="339"/>
      <c r="K4498" s="340">
        <f>'PRESUPUESTO OFICIAL'!$K$101</f>
        <v>0</v>
      </c>
      <c r="L4498" s="1146">
        <f>K4498*N4492</f>
        <v>0</v>
      </c>
      <c r="M4498" s="1147"/>
      <c r="N4498" s="341"/>
    </row>
    <row r="4499" spans="2:14" ht="13.5" thickBot="1">
      <c r="B4499" s="277" t="s">
        <v>294</v>
      </c>
      <c r="C4499" s="278"/>
      <c r="D4499" s="278"/>
      <c r="E4499" s="278"/>
      <c r="F4499" s="278"/>
      <c r="G4499" s="278"/>
      <c r="H4499" s="278"/>
      <c r="I4499" s="342"/>
      <c r="J4499" s="343"/>
      <c r="K4499" s="340">
        <f>'PRESUPUESTO OFICIAL'!$K$102</f>
        <v>0</v>
      </c>
      <c r="L4499" s="1148">
        <f>K4499*N4492</f>
        <v>0</v>
      </c>
      <c r="M4499" s="1149"/>
      <c r="N4499" s="341"/>
    </row>
    <row r="4500" spans="2:14" ht="13.5" thickBot="1">
      <c r="B4500" s="1100" t="s">
        <v>269</v>
      </c>
      <c r="C4500" s="1101"/>
      <c r="D4500" s="1101"/>
      <c r="E4500" s="1101"/>
      <c r="F4500" s="1101"/>
      <c r="G4500" s="1101"/>
      <c r="H4500" s="1101"/>
      <c r="I4500" s="1101"/>
      <c r="J4500" s="1101"/>
      <c r="K4500" s="1101"/>
      <c r="L4500" s="1101"/>
      <c r="M4500" s="1102"/>
      <c r="N4500" s="344">
        <f>SUM(L4497:M4499)</f>
        <v>0</v>
      </c>
    </row>
    <row r="4501" spans="2:14" ht="13.5" thickBot="1">
      <c r="B4501" s="283"/>
      <c r="N4501" s="284"/>
    </row>
    <row r="4502" spans="2:14" ht="13.5" thickBot="1">
      <c r="B4502" s="1150" t="s">
        <v>295</v>
      </c>
      <c r="C4502" s="1151"/>
      <c r="D4502" s="1151"/>
      <c r="E4502" s="1151"/>
      <c r="F4502" s="1151"/>
      <c r="G4502" s="1151"/>
      <c r="H4502" s="1151"/>
      <c r="I4502" s="1151"/>
      <c r="J4502" s="1151"/>
      <c r="K4502" s="1151"/>
      <c r="L4502" s="1151"/>
      <c r="M4502" s="1152"/>
      <c r="N4502" s="345">
        <f>ROUND(N4492+N4500,0)</f>
        <v>30991</v>
      </c>
    </row>
    <row r="4503" spans="2:14">
      <c r="B4503" s="280"/>
      <c r="C4503" s="281"/>
      <c r="D4503" s="281"/>
      <c r="E4503" s="281"/>
      <c r="F4503" s="281"/>
      <c r="G4503" s="281"/>
      <c r="H4503" s="281"/>
      <c r="I4503" s="281"/>
      <c r="J4503" s="281"/>
      <c r="K4503" s="281"/>
      <c r="L4503" s="281"/>
      <c r="M4503" s="281"/>
      <c r="N4503" s="282"/>
    </row>
    <row r="4504" spans="2:14">
      <c r="B4504" s="283"/>
      <c r="N4504" s="284"/>
    </row>
    <row r="4505" spans="2:14">
      <c r="B4505" s="283"/>
      <c r="N4505" s="284"/>
    </row>
    <row r="4506" spans="2:14">
      <c r="B4506" s="283"/>
      <c r="G4506" s="346" t="s">
        <v>296</v>
      </c>
      <c r="H4506" s="346"/>
      <c r="I4506" s="346"/>
      <c r="J4506" s="346"/>
      <c r="N4506" s="284"/>
    </row>
    <row r="4507" spans="2:14">
      <c r="B4507" s="347"/>
      <c r="C4507" s="348"/>
      <c r="D4507" s="348"/>
      <c r="E4507" s="348"/>
      <c r="F4507" s="348"/>
      <c r="G4507" s="346" t="s">
        <v>297</v>
      </c>
      <c r="H4507" s="348"/>
      <c r="I4507" s="348"/>
      <c r="J4507" s="348"/>
      <c r="K4507" s="348"/>
      <c r="L4507" s="348"/>
      <c r="M4507" s="348"/>
      <c r="N4507" s="349"/>
    </row>
    <row r="4508" spans="2:14">
      <c r="B4508" s="347"/>
      <c r="C4508" s="348"/>
      <c r="D4508" s="348"/>
      <c r="E4508" s="348"/>
      <c r="F4508" s="348"/>
      <c r="G4508" s="346" t="s">
        <v>298</v>
      </c>
      <c r="J4508" s="348"/>
      <c r="K4508" s="348"/>
      <c r="L4508" s="348"/>
      <c r="M4508" s="348"/>
      <c r="N4508" s="349"/>
    </row>
    <row r="4509" spans="2:14">
      <c r="B4509" s="268"/>
      <c r="C4509" s="350"/>
      <c r="D4509" s="350"/>
      <c r="E4509" s="350"/>
      <c r="F4509" s="350"/>
      <c r="G4509" s="346" t="s">
        <v>299</v>
      </c>
      <c r="H4509" s="350"/>
      <c r="I4509" s="350"/>
      <c r="J4509" s="350"/>
      <c r="K4509" s="350"/>
      <c r="L4509" s="350"/>
      <c r="M4509" s="350"/>
      <c r="N4509" s="351"/>
    </row>
    <row r="4510" spans="2:14">
      <c r="B4510" s="283"/>
      <c r="G4510" s="258" t="s">
        <v>300</v>
      </c>
      <c r="N4510" s="284"/>
    </row>
    <row r="4511" spans="2:14">
      <c r="B4511" s="352" t="s">
        <v>301</v>
      </c>
      <c r="C4511" s="353"/>
      <c r="D4511" s="353"/>
      <c r="E4511" s="353"/>
      <c r="F4511" s="353"/>
      <c r="G4511" s="353"/>
      <c r="H4511" s="353"/>
      <c r="I4511" s="353"/>
      <c r="J4511" s="353"/>
      <c r="K4511" s="353"/>
      <c r="L4511" s="353"/>
      <c r="M4511" s="353"/>
      <c r="N4511" s="354"/>
    </row>
    <row r="4512" spans="2:14">
      <c r="B4512" s="1153"/>
      <c r="C4512" s="1154"/>
      <c r="D4512" s="1154"/>
      <c r="E4512" s="1154"/>
      <c r="F4512" s="1154"/>
      <c r="G4512" s="1154"/>
      <c r="H4512" s="1154"/>
      <c r="I4512" s="1154"/>
      <c r="J4512" s="1154"/>
      <c r="K4512" s="1154"/>
      <c r="L4512" s="1154"/>
      <c r="M4512" s="1154"/>
      <c r="N4512" s="1155"/>
    </row>
    <row r="4513" spans="2:14">
      <c r="B4513" s="1153"/>
      <c r="C4513" s="1154"/>
      <c r="D4513" s="1154"/>
      <c r="E4513" s="1154"/>
      <c r="F4513" s="1154"/>
      <c r="G4513" s="1154"/>
      <c r="H4513" s="1154"/>
      <c r="I4513" s="1154"/>
      <c r="J4513" s="1154"/>
      <c r="K4513" s="1154"/>
      <c r="L4513" s="1154"/>
      <c r="M4513" s="1154"/>
      <c r="N4513" s="1155"/>
    </row>
    <row r="4514" spans="2:14">
      <c r="B4514" s="268"/>
      <c r="C4514" s="350"/>
      <c r="D4514" s="350"/>
      <c r="E4514" s="350"/>
      <c r="F4514" s="350"/>
      <c r="G4514" s="350"/>
      <c r="H4514" s="350"/>
      <c r="I4514" s="350"/>
      <c r="J4514" s="350"/>
      <c r="K4514" s="350"/>
      <c r="L4514" s="350"/>
      <c r="M4514" s="350"/>
      <c r="N4514" s="351"/>
    </row>
    <row r="4515" spans="2:14">
      <c r="B4515" s="355" t="s">
        <v>302</v>
      </c>
      <c r="C4515" s="350"/>
      <c r="D4515" s="350"/>
      <c r="E4515" s="350"/>
      <c r="F4515" s="350"/>
      <c r="G4515" s="350"/>
      <c r="H4515" s="350"/>
      <c r="I4515" s="350"/>
      <c r="J4515" s="350"/>
      <c r="K4515" s="350"/>
      <c r="L4515" s="350"/>
      <c r="M4515" s="350"/>
      <c r="N4515" s="351"/>
    </row>
    <row r="4516" spans="2:14">
      <c r="B4516" s="1159" t="s">
        <v>303</v>
      </c>
      <c r="C4516" s="1160"/>
      <c r="D4516" s="1160"/>
      <c r="E4516" s="1160"/>
      <c r="F4516" s="1160"/>
      <c r="G4516" s="1160"/>
      <c r="H4516" s="1160"/>
      <c r="I4516" s="1160"/>
      <c r="J4516" s="1160"/>
      <c r="K4516" s="1160"/>
      <c r="L4516" s="1160"/>
      <c r="M4516" s="1160"/>
      <c r="N4516" s="1161"/>
    </row>
    <row r="4517" spans="2:14">
      <c r="B4517" s="1159"/>
      <c r="C4517" s="1160"/>
      <c r="D4517" s="1160"/>
      <c r="E4517" s="1160"/>
      <c r="F4517" s="1160"/>
      <c r="G4517" s="1160"/>
      <c r="H4517" s="1160"/>
      <c r="I4517" s="1160"/>
      <c r="J4517" s="1160"/>
      <c r="K4517" s="1160"/>
      <c r="L4517" s="1160"/>
      <c r="M4517" s="1160"/>
      <c r="N4517" s="1161"/>
    </row>
    <row r="4518" spans="2:14">
      <c r="B4518" s="1159" t="s">
        <v>304</v>
      </c>
      <c r="C4518" s="1160"/>
      <c r="D4518" s="1160"/>
      <c r="E4518" s="1160"/>
      <c r="F4518" s="1160"/>
      <c r="G4518" s="1160"/>
      <c r="H4518" s="1160"/>
      <c r="I4518" s="1160"/>
      <c r="J4518" s="1160"/>
      <c r="K4518" s="1160"/>
      <c r="L4518" s="1160"/>
      <c r="M4518" s="1160"/>
      <c r="N4518" s="1161"/>
    </row>
    <row r="4519" spans="2:14">
      <c r="B4519" s="1159"/>
      <c r="C4519" s="1160"/>
      <c r="D4519" s="1160"/>
      <c r="E4519" s="1160"/>
      <c r="F4519" s="1160"/>
      <c r="G4519" s="1160"/>
      <c r="H4519" s="1160"/>
      <c r="I4519" s="1160"/>
      <c r="J4519" s="1160"/>
      <c r="K4519" s="1160"/>
      <c r="L4519" s="1160"/>
      <c r="M4519" s="1160"/>
      <c r="N4519" s="1161"/>
    </row>
    <row r="4520" spans="2:14">
      <c r="B4520" s="268"/>
      <c r="C4520" s="350"/>
      <c r="D4520" s="350"/>
      <c r="E4520" s="350"/>
      <c r="F4520" s="350"/>
      <c r="G4520" s="350"/>
      <c r="H4520" s="350"/>
      <c r="I4520" s="350"/>
      <c r="J4520" s="350"/>
      <c r="K4520" s="350"/>
      <c r="L4520" s="350"/>
      <c r="M4520" s="350"/>
      <c r="N4520" s="351"/>
    </row>
    <row r="4521" spans="2:14">
      <c r="B4521" s="283"/>
      <c r="G4521" s="346" t="s">
        <v>296</v>
      </c>
      <c r="N4521" s="284"/>
    </row>
    <row r="4522" spans="2:14">
      <c r="B4522" s="283"/>
      <c r="G4522" s="258" t="s">
        <v>305</v>
      </c>
      <c r="H4522" s="293"/>
      <c r="I4522" s="293"/>
      <c r="J4522" s="293"/>
      <c r="N4522" s="284"/>
    </row>
    <row r="4523" spans="2:14">
      <c r="B4523" s="283"/>
      <c r="G4523" s="258" t="s">
        <v>306</v>
      </c>
      <c r="H4523" s="325"/>
      <c r="I4523" s="325"/>
      <c r="J4523" s="325"/>
      <c r="N4523" s="284"/>
    </row>
    <row r="4524" spans="2:14">
      <c r="B4524" s="356"/>
      <c r="C4524" s="350"/>
      <c r="D4524" s="350"/>
      <c r="E4524" s="350"/>
      <c r="F4524" s="350"/>
      <c r="G4524" s="258" t="s">
        <v>299</v>
      </c>
      <c r="K4524" s="350"/>
      <c r="L4524" s="350"/>
      <c r="M4524" s="350"/>
      <c r="N4524" s="351"/>
    </row>
    <row r="4525" spans="2:14">
      <c r="B4525" s="357"/>
      <c r="C4525" s="358"/>
      <c r="D4525" s="358"/>
      <c r="J4525" s="1162"/>
      <c r="K4525" s="1162"/>
      <c r="L4525" s="1162"/>
      <c r="M4525" s="1162"/>
      <c r="N4525" s="1163"/>
    </row>
    <row r="4526" spans="2:14" ht="13.5" thickBot="1">
      <c r="B4526" s="1166"/>
      <c r="C4526" s="1167"/>
      <c r="D4526" s="1167"/>
      <c r="E4526" s="311"/>
      <c r="F4526" s="311"/>
      <c r="G4526" s="311"/>
      <c r="H4526" s="311"/>
      <c r="I4526" s="311"/>
      <c r="J4526" s="1164"/>
      <c r="K4526" s="1164"/>
      <c r="L4526" s="1164"/>
      <c r="M4526" s="1164"/>
      <c r="N4526" s="1165"/>
    </row>
    <row r="4527" spans="2:14" ht="13.5" thickBot="1"/>
    <row r="4528" spans="2:14">
      <c r="B4528" s="1070"/>
      <c r="C4528" s="1072"/>
      <c r="D4528" s="1073"/>
      <c r="E4528" s="1073"/>
      <c r="F4528" s="1073"/>
      <c r="G4528" s="1073"/>
      <c r="H4528" s="1073"/>
      <c r="I4528" s="1073"/>
      <c r="J4528" s="1074"/>
      <c r="K4528" s="1075"/>
      <c r="L4528" s="1076"/>
      <c r="M4528" s="1076"/>
      <c r="N4528" s="1077"/>
    </row>
    <row r="4529" spans="2:14">
      <c r="B4529" s="1071"/>
      <c r="C4529" s="1062" t="s">
        <v>244</v>
      </c>
      <c r="D4529" s="1063"/>
      <c r="E4529" s="1063"/>
      <c r="F4529" s="1063"/>
      <c r="G4529" s="1063"/>
      <c r="H4529" s="1063"/>
      <c r="I4529" s="1063"/>
      <c r="J4529" s="1064"/>
      <c r="K4529" s="1078"/>
      <c r="L4529" s="1079"/>
      <c r="M4529" s="1079"/>
      <c r="N4529" s="1080"/>
    </row>
    <row r="4530" spans="2:14">
      <c r="B4530" s="1071"/>
      <c r="C4530" s="1081"/>
      <c r="D4530" s="1082"/>
      <c r="E4530" s="1082"/>
      <c r="F4530" s="1082"/>
      <c r="G4530" s="1082"/>
      <c r="H4530" s="1082"/>
      <c r="I4530" s="1082"/>
      <c r="J4530" s="1083"/>
      <c r="K4530" s="1058" t="s">
        <v>245</v>
      </c>
      <c r="L4530" s="1085"/>
      <c r="M4530" s="1086"/>
      <c r="N4530" s="1087"/>
    </row>
    <row r="4531" spans="2:14">
      <c r="B4531" s="1071"/>
      <c r="C4531" s="1062" t="s">
        <v>246</v>
      </c>
      <c r="D4531" s="1063"/>
      <c r="E4531" s="1063"/>
      <c r="F4531" s="1063"/>
      <c r="G4531" s="1063"/>
      <c r="H4531" s="1063"/>
      <c r="I4531" s="1063"/>
      <c r="J4531" s="1064"/>
      <c r="K4531" s="1084"/>
      <c r="L4531" s="1088"/>
      <c r="M4531" s="1089"/>
      <c r="N4531" s="1090"/>
    </row>
    <row r="4532" spans="2:14">
      <c r="B4532" s="1071"/>
      <c r="C4532" s="1091"/>
      <c r="D4532" s="1092"/>
      <c r="E4532" s="1092"/>
      <c r="F4532" s="1092"/>
      <c r="G4532" s="1092"/>
      <c r="H4532" s="1092"/>
      <c r="I4532" s="1092"/>
      <c r="J4532" s="1093"/>
      <c r="K4532" s="1058" t="s">
        <v>247</v>
      </c>
      <c r="L4532" s="1058">
        <v>51</v>
      </c>
      <c r="M4532" s="1058" t="s">
        <v>248</v>
      </c>
      <c r="N4532" s="1060">
        <v>80</v>
      </c>
    </row>
    <row r="4533" spans="2:14">
      <c r="B4533" s="1071"/>
      <c r="C4533" s="1091"/>
      <c r="D4533" s="1092"/>
      <c r="E4533" s="1092"/>
      <c r="F4533" s="1092"/>
      <c r="G4533" s="1092"/>
      <c r="H4533" s="1092"/>
      <c r="I4533" s="1092"/>
      <c r="J4533" s="1093"/>
      <c r="K4533" s="1059"/>
      <c r="L4533" s="1059"/>
      <c r="M4533" s="1059"/>
      <c r="N4533" s="1061"/>
    </row>
    <row r="4534" spans="2:14">
      <c r="B4534" s="1071"/>
      <c r="C4534" s="1062" t="s">
        <v>249</v>
      </c>
      <c r="D4534" s="1063"/>
      <c r="E4534" s="1063"/>
      <c r="F4534" s="1063"/>
      <c r="G4534" s="1063"/>
      <c r="H4534" s="1063"/>
      <c r="I4534" s="1063"/>
      <c r="J4534" s="1064"/>
      <c r="K4534" s="1059"/>
      <c r="L4534" s="1059"/>
      <c r="M4534" s="1059"/>
      <c r="N4534" s="1061"/>
    </row>
    <row r="4535" spans="2:14" ht="13.5" thickBot="1">
      <c r="B4535" s="259"/>
      <c r="C4535" s="260"/>
      <c r="D4535" s="260"/>
      <c r="E4535" s="260"/>
      <c r="F4535" s="260"/>
      <c r="G4535" s="260"/>
      <c r="H4535" s="260"/>
      <c r="I4535" s="260"/>
      <c r="J4535" s="260"/>
      <c r="K4535" s="260"/>
      <c r="L4535" s="261"/>
      <c r="M4535" s="261"/>
      <c r="N4535" s="262"/>
    </row>
    <row r="4536" spans="2:14">
      <c r="B4536" s="263"/>
      <c r="C4536" s="264"/>
      <c r="D4536" s="264"/>
      <c r="E4536" s="264"/>
      <c r="F4536" s="264"/>
      <c r="G4536" s="264"/>
      <c r="H4536" s="264"/>
      <c r="I4536" s="264"/>
      <c r="J4536" s="264"/>
      <c r="K4536" s="265" t="s">
        <v>250</v>
      </c>
      <c r="L4536" s="266" t="s">
        <v>251</v>
      </c>
      <c r="M4536" s="266" t="s">
        <v>252</v>
      </c>
      <c r="N4536" s="267" t="s">
        <v>253</v>
      </c>
    </row>
    <row r="4537" spans="2:14">
      <c r="B4537" s="268"/>
      <c r="C4537" s="269"/>
      <c r="D4537" s="269"/>
      <c r="E4537" s="269"/>
      <c r="F4537" s="269"/>
      <c r="G4537" s="269"/>
      <c r="H4537" s="269"/>
      <c r="I4537" s="269"/>
      <c r="J4537" s="269"/>
      <c r="K4537" s="270"/>
      <c r="L4537" s="271"/>
      <c r="M4537" s="271"/>
      <c r="N4537" s="272"/>
    </row>
    <row r="4538" spans="2:14">
      <c r="B4538" s="1065" t="s">
        <v>254</v>
      </c>
      <c r="C4538" s="1066"/>
      <c r="D4538" s="1066"/>
      <c r="E4538" s="1066"/>
      <c r="F4538" s="269"/>
      <c r="G4538" s="269"/>
      <c r="H4538" s="269" t="s">
        <v>255</v>
      </c>
      <c r="J4538" s="269"/>
      <c r="K4538" s="270"/>
      <c r="N4538" s="273"/>
    </row>
    <row r="4539" spans="2:14">
      <c r="B4539" s="274"/>
      <c r="C4539" s="275"/>
      <c r="D4539" s="275"/>
      <c r="E4539" s="275"/>
      <c r="F4539" s="275"/>
      <c r="G4539" s="275"/>
      <c r="H4539" s="275"/>
      <c r="I4539" s="275"/>
      <c r="J4539" s="275"/>
      <c r="K4539" s="275"/>
      <c r="L4539" s="275"/>
      <c r="M4539" s="275"/>
      <c r="N4539" s="276"/>
    </row>
    <row r="4540" spans="2:14" ht="13.5" thickBot="1">
      <c r="B4540" s="277"/>
      <c r="C4540" s="278"/>
      <c r="D4540" s="278"/>
      <c r="E4540" s="278"/>
      <c r="F4540" s="278"/>
      <c r="G4540" s="278"/>
      <c r="H4540" s="278"/>
      <c r="I4540" s="278"/>
      <c r="J4540" s="278"/>
      <c r="K4540" s="278"/>
      <c r="L4540" s="278"/>
      <c r="M4540" s="278"/>
      <c r="N4540" s="279"/>
    </row>
    <row r="4541" spans="2:14" ht="13.5" thickBot="1">
      <c r="B4541" s="280"/>
      <c r="C4541" s="281"/>
      <c r="D4541" s="281"/>
      <c r="E4541" s="281"/>
      <c r="F4541" s="281"/>
      <c r="G4541" s="281"/>
      <c r="J4541" s="281"/>
      <c r="K4541" s="281"/>
      <c r="L4541" s="281"/>
      <c r="M4541" s="281"/>
      <c r="N4541" s="282"/>
    </row>
    <row r="4542" spans="2:14">
      <c r="B4542" s="1067" t="s">
        <v>256</v>
      </c>
      <c r="C4542" s="1068"/>
      <c r="D4542" s="1068"/>
      <c r="E4542" s="1068"/>
      <c r="F4542" s="1068"/>
      <c r="G4542" s="1068"/>
      <c r="H4542" s="1068"/>
      <c r="I4542" s="1068"/>
      <c r="J4542" s="1068"/>
      <c r="K4542" s="1068"/>
      <c r="L4542" s="1068"/>
      <c r="M4542" s="1068"/>
      <c r="N4542" s="1069"/>
    </row>
    <row r="4543" spans="2:14" ht="13.5" thickBot="1">
      <c r="B4543" s="283"/>
      <c r="N4543" s="284"/>
    </row>
    <row r="4544" spans="2:14">
      <c r="B4544" s="285" t="s">
        <v>257</v>
      </c>
      <c r="C4544" s="1120" t="s">
        <v>258</v>
      </c>
      <c r="D4544" s="1121"/>
      <c r="E4544" s="1121"/>
      <c r="F4544" s="1121"/>
      <c r="G4544" s="1121"/>
      <c r="H4544" s="1121"/>
      <c r="I4544" s="1121"/>
      <c r="J4544" s="1121"/>
      <c r="K4544" s="1122"/>
      <c r="L4544" s="1123" t="s">
        <v>259</v>
      </c>
      <c r="M4544" s="1124"/>
      <c r="N4544" s="285" t="s">
        <v>133</v>
      </c>
    </row>
    <row r="4545" spans="2:14" ht="28.15" customHeight="1" thickBot="1">
      <c r="B4545" s="286">
        <v>51</v>
      </c>
      <c r="C4545" s="1125" t="s">
        <v>193</v>
      </c>
      <c r="D4545" s="1126"/>
      <c r="E4545" s="1126"/>
      <c r="F4545" s="1126"/>
      <c r="G4545" s="1126"/>
      <c r="H4545" s="1126"/>
      <c r="I4545" s="1126"/>
      <c r="J4545" s="1126"/>
      <c r="K4545" s="1127"/>
      <c r="L4545" s="1128" t="s">
        <v>141</v>
      </c>
      <c r="M4545" s="1129"/>
      <c r="N4545" s="366">
        <v>900</v>
      </c>
    </row>
    <row r="4546" spans="2:14">
      <c r="B4546" s="1103" t="s">
        <v>260</v>
      </c>
      <c r="C4546" s="1104"/>
      <c r="D4546" s="1104"/>
      <c r="E4546" s="1104"/>
      <c r="F4546" s="1104"/>
      <c r="G4546" s="1104"/>
      <c r="H4546" s="1104"/>
      <c r="I4546" s="1104"/>
      <c r="J4546" s="1104"/>
      <c r="K4546" s="1104"/>
      <c r="L4546" s="1104"/>
      <c r="M4546" s="1104"/>
      <c r="N4546" s="1105"/>
    </row>
    <row r="4547" spans="2:14">
      <c r="B4547" s="1106"/>
      <c r="C4547" s="1107"/>
      <c r="D4547" s="1107"/>
      <c r="E4547" s="1107"/>
      <c r="F4547" s="1107"/>
      <c r="G4547" s="1107"/>
      <c r="H4547" s="1107"/>
      <c r="I4547" s="1107"/>
      <c r="J4547" s="1107"/>
      <c r="K4547" s="1107"/>
      <c r="L4547" s="1107"/>
      <c r="M4547" s="1107"/>
      <c r="N4547" s="1108"/>
    </row>
    <row r="4548" spans="2:14" ht="13.5" thickBot="1">
      <c r="B4548" s="1109"/>
      <c r="C4548" s="1110"/>
      <c r="D4548" s="1110"/>
      <c r="E4548" s="1110"/>
      <c r="F4548" s="1110"/>
      <c r="G4548" s="1110"/>
      <c r="H4548" s="1110"/>
      <c r="I4548" s="1110"/>
      <c r="J4548" s="1110"/>
      <c r="K4548" s="1110"/>
      <c r="L4548" s="1110"/>
      <c r="M4548" s="1110"/>
      <c r="N4548" s="1111"/>
    </row>
    <row r="4549" spans="2:14">
      <c r="B4549" s="1130" t="s">
        <v>258</v>
      </c>
      <c r="C4549" s="1131"/>
      <c r="D4549" s="1131"/>
      <c r="E4549" s="1131"/>
      <c r="F4549" s="1132"/>
      <c r="G4549" s="1133" t="s">
        <v>261</v>
      </c>
      <c r="H4549" s="1131"/>
      <c r="I4549" s="1134" t="s">
        <v>262</v>
      </c>
      <c r="J4549" s="1135"/>
      <c r="K4549" s="288" t="s">
        <v>263</v>
      </c>
      <c r="L4549" s="1133" t="s">
        <v>264</v>
      </c>
      <c r="M4549" s="1136"/>
      <c r="N4549" s="289" t="s">
        <v>265</v>
      </c>
    </row>
    <row r="4550" spans="2:14" ht="13.5" thickBot="1">
      <c r="B4550" s="1179"/>
      <c r="C4550" s="1180"/>
      <c r="D4550" s="1180"/>
      <c r="E4550" s="1180"/>
      <c r="F4550" s="1181"/>
      <c r="G4550" s="295"/>
      <c r="H4550" s="294"/>
      <c r="I4550" s="1182"/>
      <c r="J4550" s="1183"/>
      <c r="K4550" s="290"/>
      <c r="L4550" s="1118"/>
      <c r="M4550" s="1119"/>
      <c r="N4550" s="290"/>
    </row>
    <row r="4551" spans="2:14" ht="13.5" thickBot="1">
      <c r="B4551" s="1100" t="s">
        <v>269</v>
      </c>
      <c r="C4551" s="1101"/>
      <c r="D4551" s="1101"/>
      <c r="E4551" s="1101"/>
      <c r="F4551" s="1101"/>
      <c r="G4551" s="1101"/>
      <c r="H4551" s="1101"/>
      <c r="I4551" s="1101"/>
      <c r="J4551" s="1101"/>
      <c r="K4551" s="1101"/>
      <c r="L4551" s="1101"/>
      <c r="M4551" s="1102"/>
      <c r="N4551" s="323">
        <v>0</v>
      </c>
    </row>
    <row r="4552" spans="2:14">
      <c r="B4552" s="1103" t="s">
        <v>270</v>
      </c>
      <c r="C4552" s="1104"/>
      <c r="D4552" s="1104"/>
      <c r="E4552" s="1104"/>
      <c r="F4552" s="1104"/>
      <c r="G4552" s="1104"/>
      <c r="H4552" s="1104"/>
      <c r="I4552" s="1104"/>
      <c r="J4552" s="1104"/>
      <c r="K4552" s="1104"/>
      <c r="L4552" s="1104"/>
      <c r="M4552" s="1104"/>
      <c r="N4552" s="1105"/>
    </row>
    <row r="4553" spans="2:14">
      <c r="B4553" s="1106"/>
      <c r="C4553" s="1107"/>
      <c r="D4553" s="1107"/>
      <c r="E4553" s="1107"/>
      <c r="F4553" s="1107"/>
      <c r="G4553" s="1107"/>
      <c r="H4553" s="1107"/>
      <c r="I4553" s="1107"/>
      <c r="J4553" s="1107"/>
      <c r="K4553" s="1107"/>
      <c r="L4553" s="1107"/>
      <c r="M4553" s="1107"/>
      <c r="N4553" s="1108"/>
    </row>
    <row r="4554" spans="2:14" ht="13.5" thickBot="1">
      <c r="B4554" s="1109"/>
      <c r="C4554" s="1110"/>
      <c r="D4554" s="1110"/>
      <c r="E4554" s="1110"/>
      <c r="F4554" s="1110"/>
      <c r="G4554" s="1110"/>
      <c r="H4554" s="1110"/>
      <c r="I4554" s="1110"/>
      <c r="J4554" s="1110"/>
      <c r="K4554" s="1110"/>
      <c r="L4554" s="1110"/>
      <c r="M4554" s="1110"/>
      <c r="N4554" s="1111"/>
    </row>
    <row r="4555" spans="2:14">
      <c r="B4555" s="1130" t="s">
        <v>258</v>
      </c>
      <c r="C4555" s="1139"/>
      <c r="D4555" s="1139"/>
      <c r="E4555" s="1139"/>
      <c r="F4555" s="1139"/>
      <c r="G4555" s="1139"/>
      <c r="H4555" s="1139"/>
      <c r="I4555" s="1136"/>
      <c r="J4555" s="299" t="s">
        <v>259</v>
      </c>
      <c r="K4555" s="288" t="s">
        <v>133</v>
      </c>
      <c r="L4555" s="1133" t="s">
        <v>271</v>
      </c>
      <c r="M4555" s="1136"/>
      <c r="N4555" s="289" t="s">
        <v>265</v>
      </c>
    </row>
    <row r="4556" spans="2:14">
      <c r="B4556" s="402" t="s">
        <v>376</v>
      </c>
      <c r="C4556" s="353"/>
      <c r="D4556" s="353"/>
      <c r="E4556" s="353"/>
      <c r="F4556" s="353"/>
      <c r="G4556" s="353"/>
      <c r="H4556" s="353"/>
      <c r="I4556" s="403"/>
      <c r="J4556" s="303" t="s">
        <v>141</v>
      </c>
      <c r="K4556" s="392">
        <v>1.1000000000000001</v>
      </c>
      <c r="L4556" s="1144">
        <v>6293</v>
      </c>
      <c r="M4556" s="1145"/>
      <c r="N4556" s="363">
        <f>+K4556*L4556</f>
        <v>6922.3</v>
      </c>
    </row>
    <row r="4557" spans="2:14" ht="13.5" thickBot="1">
      <c r="B4557" s="402"/>
      <c r="C4557" s="353"/>
      <c r="D4557" s="353"/>
      <c r="E4557" s="353"/>
      <c r="F4557" s="353"/>
      <c r="G4557" s="353"/>
      <c r="H4557" s="353"/>
      <c r="I4557" s="403"/>
      <c r="J4557" s="303"/>
      <c r="K4557" s="392"/>
      <c r="L4557" s="1144"/>
      <c r="M4557" s="1145"/>
      <c r="N4557" s="363"/>
    </row>
    <row r="4558" spans="2:14" ht="13.5" thickBot="1">
      <c r="B4558" s="1100" t="s">
        <v>269</v>
      </c>
      <c r="C4558" s="1101"/>
      <c r="D4558" s="1101"/>
      <c r="E4558" s="1101"/>
      <c r="F4558" s="1101"/>
      <c r="G4558" s="1101"/>
      <c r="H4558" s="1101"/>
      <c r="I4558" s="1101"/>
      <c r="J4558" s="1101"/>
      <c r="K4558" s="1101"/>
      <c r="L4558" s="1101"/>
      <c r="M4558" s="1102"/>
      <c r="N4558" s="323">
        <f>+N4556+N4557</f>
        <v>6922.3</v>
      </c>
    </row>
    <row r="4559" spans="2:14">
      <c r="B4559" s="1103" t="s">
        <v>367</v>
      </c>
      <c r="C4559" s="1104"/>
      <c r="D4559" s="1104"/>
      <c r="E4559" s="1104"/>
      <c r="F4559" s="1104"/>
      <c r="G4559" s="1104"/>
      <c r="H4559" s="1104"/>
      <c r="I4559" s="1104"/>
      <c r="J4559" s="1104"/>
      <c r="K4559" s="1104"/>
      <c r="L4559" s="1104"/>
      <c r="M4559" s="1104"/>
      <c r="N4559" s="1105"/>
    </row>
    <row r="4560" spans="2:14">
      <c r="B4560" s="1106"/>
      <c r="C4560" s="1107"/>
      <c r="D4560" s="1107"/>
      <c r="E4560" s="1107"/>
      <c r="F4560" s="1107"/>
      <c r="G4560" s="1107"/>
      <c r="H4560" s="1107"/>
      <c r="I4560" s="1107"/>
      <c r="J4560" s="1107"/>
      <c r="K4560" s="1107"/>
      <c r="L4560" s="1107"/>
      <c r="M4560" s="1107"/>
      <c r="N4560" s="1108"/>
    </row>
    <row r="4561" spans="2:16" ht="13.5" thickBot="1">
      <c r="B4561" s="1109"/>
      <c r="C4561" s="1110"/>
      <c r="D4561" s="1110"/>
      <c r="E4561" s="1110"/>
      <c r="F4561" s="1110"/>
      <c r="G4561" s="1110"/>
      <c r="H4561" s="1110"/>
      <c r="I4561" s="1110"/>
      <c r="J4561" s="1110"/>
      <c r="K4561" s="1110"/>
      <c r="L4561" s="1110"/>
      <c r="M4561" s="1110"/>
      <c r="N4561" s="1111"/>
    </row>
    <row r="4562" spans="2:16">
      <c r="B4562" s="1130" t="s">
        <v>277</v>
      </c>
      <c r="C4562" s="1139"/>
      <c r="D4562" s="1139"/>
      <c r="E4562" s="1139"/>
      <c r="F4562" s="1139"/>
      <c r="G4562" s="1139"/>
      <c r="H4562" s="1139"/>
      <c r="I4562" s="288" t="s">
        <v>278</v>
      </c>
      <c r="J4562" s="306" t="s">
        <v>279</v>
      </c>
      <c r="K4562" s="307" t="s">
        <v>280</v>
      </c>
      <c r="L4562" s="1133" t="s">
        <v>281</v>
      </c>
      <c r="M4562" s="1136"/>
      <c r="N4562" s="289" t="s">
        <v>265</v>
      </c>
    </row>
    <row r="4563" spans="2:16" ht="13.5" thickBot="1">
      <c r="B4563" s="1112"/>
      <c r="C4563" s="1113"/>
      <c r="D4563" s="1113"/>
      <c r="E4563" s="1113"/>
      <c r="F4563" s="1113"/>
      <c r="G4563" s="1113"/>
      <c r="H4563" s="1113"/>
      <c r="I4563" s="393"/>
      <c r="J4563" s="309"/>
      <c r="K4563" s="308"/>
      <c r="L4563" s="1144"/>
      <c r="M4563" s="1145"/>
      <c r="N4563" s="363"/>
    </row>
    <row r="4564" spans="2:16" ht="13.5" thickBot="1">
      <c r="B4564" s="1100" t="s">
        <v>269</v>
      </c>
      <c r="C4564" s="1101"/>
      <c r="D4564" s="1101"/>
      <c r="E4564" s="1101"/>
      <c r="F4564" s="1101"/>
      <c r="G4564" s="1101"/>
      <c r="H4564" s="1101"/>
      <c r="I4564" s="1101"/>
      <c r="J4564" s="1101"/>
      <c r="K4564" s="1101"/>
      <c r="L4564" s="1101"/>
      <c r="M4564" s="1102"/>
      <c r="N4564" s="323">
        <f>+N4563</f>
        <v>0</v>
      </c>
    </row>
    <row r="4565" spans="2:16">
      <c r="B4565" s="1103" t="s">
        <v>282</v>
      </c>
      <c r="C4565" s="1104"/>
      <c r="D4565" s="1104"/>
      <c r="E4565" s="1104"/>
      <c r="F4565" s="1104"/>
      <c r="G4565" s="1104"/>
      <c r="H4565" s="1104"/>
      <c r="I4565" s="1104"/>
      <c r="J4565" s="1104"/>
      <c r="K4565" s="1104"/>
      <c r="L4565" s="1104"/>
      <c r="M4565" s="1104"/>
      <c r="N4565" s="1105"/>
    </row>
    <row r="4566" spans="2:16">
      <c r="B4566" s="1106"/>
      <c r="C4566" s="1107"/>
      <c r="D4566" s="1107"/>
      <c r="E4566" s="1107"/>
      <c r="F4566" s="1107"/>
      <c r="G4566" s="1107"/>
      <c r="H4566" s="1107"/>
      <c r="I4566" s="1107"/>
      <c r="J4566" s="1107"/>
      <c r="K4566" s="1107"/>
      <c r="L4566" s="1107"/>
      <c r="M4566" s="1107"/>
      <c r="N4566" s="1108"/>
    </row>
    <row r="4567" spans="2:16" ht="13.5" thickBot="1">
      <c r="B4567" s="1109"/>
      <c r="C4567" s="1110"/>
      <c r="D4567" s="1110"/>
      <c r="E4567" s="1110"/>
      <c r="F4567" s="1110"/>
      <c r="G4567" s="1110"/>
      <c r="H4567" s="1110"/>
      <c r="I4567" s="1110"/>
      <c r="J4567" s="1110"/>
      <c r="K4567" s="1110"/>
      <c r="L4567" s="1110"/>
      <c r="M4567" s="1110"/>
      <c r="N4567" s="1111"/>
    </row>
    <row r="4568" spans="2:16">
      <c r="B4568" s="1130" t="s">
        <v>283</v>
      </c>
      <c r="C4568" s="1139"/>
      <c r="D4568" s="1139"/>
      <c r="E4568" s="1139"/>
      <c r="F4568" s="1139"/>
      <c r="G4568" s="1139"/>
      <c r="H4568" s="1139"/>
      <c r="I4568" s="288" t="s">
        <v>284</v>
      </c>
      <c r="J4568" s="314" t="s">
        <v>285</v>
      </c>
      <c r="K4568" s="315" t="s">
        <v>286</v>
      </c>
      <c r="L4568" s="1140" t="s">
        <v>264</v>
      </c>
      <c r="M4568" s="1141"/>
      <c r="N4568" s="316" t="s">
        <v>265</v>
      </c>
    </row>
    <row r="4569" spans="2:16" ht="13.5" thickBot="1">
      <c r="B4569" s="317" t="s">
        <v>375</v>
      </c>
      <c r="C4569" s="318"/>
      <c r="D4569" s="318"/>
      <c r="E4569" s="318"/>
      <c r="F4569" s="318"/>
      <c r="G4569" s="318"/>
      <c r="H4569" s="318"/>
      <c r="I4569" s="319">
        <v>55853</v>
      </c>
      <c r="J4569" s="321">
        <v>41890</v>
      </c>
      <c r="K4569" s="321">
        <f>+I4569+J4569</f>
        <v>97743</v>
      </c>
      <c r="L4569" s="1157">
        <v>84.997874999999993</v>
      </c>
      <c r="M4569" s="1158"/>
      <c r="N4569" s="322">
        <f>+K4569/L4569</f>
        <v>1149.9463957187165</v>
      </c>
    </row>
    <row r="4570" spans="2:16" ht="13.5" thickBot="1">
      <c r="B4570" s="1100" t="s">
        <v>269</v>
      </c>
      <c r="C4570" s="1101"/>
      <c r="D4570" s="1101"/>
      <c r="E4570" s="1101"/>
      <c r="F4570" s="1101"/>
      <c r="G4570" s="1101"/>
      <c r="H4570" s="1101"/>
      <c r="I4570" s="1101"/>
      <c r="J4570" s="1101"/>
      <c r="K4570" s="1101"/>
      <c r="L4570" s="1101"/>
      <c r="M4570" s="1102"/>
      <c r="N4570" s="322">
        <f>+N4569</f>
        <v>1149.9463957187165</v>
      </c>
    </row>
    <row r="4571" spans="2:16" ht="13.5" thickBot="1">
      <c r="B4571" s="324" t="s">
        <v>288</v>
      </c>
      <c r="C4571" s="325"/>
      <c r="D4571" s="325"/>
      <c r="E4571" s="325"/>
      <c r="F4571" s="325"/>
      <c r="G4571" s="325"/>
      <c r="H4571" s="325"/>
      <c r="I4571" s="326"/>
      <c r="J4571" s="327"/>
      <c r="K4571" s="328"/>
      <c r="L4571" s="329"/>
      <c r="M4571" s="329"/>
      <c r="N4571" s="330"/>
    </row>
    <row r="4572" spans="2:16">
      <c r="B4572" s="1130" t="s">
        <v>17</v>
      </c>
      <c r="C4572" s="1139"/>
      <c r="D4572" s="1139"/>
      <c r="E4572" s="1139"/>
      <c r="F4572" s="1139"/>
      <c r="G4572" s="1139"/>
      <c r="H4572" s="1139"/>
      <c r="I4572" s="1136"/>
      <c r="J4572" s="299" t="s">
        <v>259</v>
      </c>
      <c r="K4572" s="288" t="s">
        <v>133</v>
      </c>
      <c r="L4572" s="1133" t="s">
        <v>271</v>
      </c>
      <c r="M4572" s="1136"/>
      <c r="N4572" s="316" t="s">
        <v>265</v>
      </c>
    </row>
    <row r="4573" spans="2:16" ht="13.5" thickBot="1">
      <c r="B4573" s="331" t="s">
        <v>289</v>
      </c>
      <c r="C4573" s="332"/>
      <c r="D4573" s="332"/>
      <c r="E4573" s="332"/>
      <c r="F4573" s="332"/>
      <c r="G4573" s="332"/>
      <c r="H4573" s="332"/>
      <c r="I4573" s="333"/>
      <c r="J4573" s="334" t="s">
        <v>290</v>
      </c>
      <c r="K4573" s="335">
        <v>0.05</v>
      </c>
      <c r="L4573" s="1144">
        <f>+N4570</f>
        <v>1149.9463957187165</v>
      </c>
      <c r="M4573" s="1145"/>
      <c r="N4573" s="322">
        <f>+K4573*L4573</f>
        <v>57.497319785935829</v>
      </c>
    </row>
    <row r="4574" spans="2:16" ht="13.5" thickBot="1">
      <c r="B4574" s="1100" t="s">
        <v>269</v>
      </c>
      <c r="C4574" s="1101"/>
      <c r="D4574" s="1101"/>
      <c r="E4574" s="1101"/>
      <c r="F4574" s="1101"/>
      <c r="G4574" s="1101"/>
      <c r="H4574" s="1101"/>
      <c r="I4574" s="1101"/>
      <c r="J4574" s="1101"/>
      <c r="K4574" s="1101"/>
      <c r="L4574" s="1101"/>
      <c r="M4574" s="1102"/>
      <c r="N4574" s="322">
        <f>+N4573</f>
        <v>57.497319785935829</v>
      </c>
    </row>
    <row r="4575" spans="2:16">
      <c r="B4575" s="280"/>
      <c r="C4575" s="281"/>
      <c r="D4575" s="281"/>
      <c r="E4575" s="281"/>
      <c r="F4575" s="281"/>
      <c r="G4575" s="281"/>
      <c r="H4575" s="281"/>
      <c r="I4575" s="281"/>
      <c r="J4575" s="281"/>
      <c r="K4575" s="281"/>
      <c r="L4575" s="281"/>
      <c r="M4575" s="281"/>
      <c r="N4575" s="282"/>
      <c r="P4575" s="408">
        <v>7317000</v>
      </c>
    </row>
    <row r="4576" spans="2:16" ht="13.5" thickBot="1">
      <c r="B4576" s="378"/>
      <c r="C4576" s="311"/>
      <c r="D4576" s="311"/>
      <c r="E4576" s="311"/>
      <c r="F4576" s="311"/>
      <c r="G4576" s="311"/>
      <c r="H4576" s="311"/>
      <c r="I4576" s="311"/>
      <c r="J4576" s="311"/>
      <c r="K4576" s="311"/>
      <c r="L4576" s="311"/>
      <c r="M4576" s="311"/>
      <c r="N4576" s="379"/>
    </row>
    <row r="4577" spans="2:17" ht="13.5" thickBot="1">
      <c r="B4577" s="1150" t="s">
        <v>291</v>
      </c>
      <c r="C4577" s="1151"/>
      <c r="D4577" s="1151"/>
      <c r="E4577" s="1151"/>
      <c r="F4577" s="1151"/>
      <c r="G4577" s="1151"/>
      <c r="H4577" s="1151"/>
      <c r="I4577" s="1151"/>
      <c r="J4577" s="1151"/>
      <c r="K4577" s="1151"/>
      <c r="L4577" s="1151"/>
      <c r="M4577" s="1152"/>
      <c r="N4577" s="336">
        <f>+N4551+N4558+N4564+N4570+N4574</f>
        <v>8129.7437155046528</v>
      </c>
      <c r="P4577" s="409">
        <f>+N4577*N4545</f>
        <v>7316769.3439541878</v>
      </c>
      <c r="Q4577" s="413">
        <f>+P4577-P4575</f>
        <v>-230.65604581218213</v>
      </c>
    </row>
    <row r="4578" spans="2:17">
      <c r="B4578" s="1103" t="s">
        <v>292</v>
      </c>
      <c r="C4578" s="1104"/>
      <c r="D4578" s="1104"/>
      <c r="E4578" s="1104"/>
      <c r="F4578" s="1104"/>
      <c r="G4578" s="1104"/>
      <c r="H4578" s="1104"/>
      <c r="I4578" s="1104"/>
      <c r="J4578" s="1104"/>
      <c r="K4578" s="1104"/>
      <c r="L4578" s="1104"/>
      <c r="M4578" s="1104"/>
      <c r="N4578" s="1105"/>
    </row>
    <row r="4579" spans="2:17">
      <c r="B4579" s="1106"/>
      <c r="C4579" s="1107"/>
      <c r="D4579" s="1107"/>
      <c r="E4579" s="1107"/>
      <c r="F4579" s="1107"/>
      <c r="G4579" s="1107"/>
      <c r="H4579" s="1107"/>
      <c r="I4579" s="1107"/>
      <c r="J4579" s="1107"/>
      <c r="K4579" s="1107"/>
      <c r="L4579" s="1107"/>
      <c r="M4579" s="1107"/>
      <c r="N4579" s="1108"/>
    </row>
    <row r="4580" spans="2:17" ht="13.5" thickBot="1">
      <c r="B4580" s="1109"/>
      <c r="C4580" s="1110"/>
      <c r="D4580" s="1110"/>
      <c r="E4580" s="1110"/>
      <c r="F4580" s="1110"/>
      <c r="G4580" s="1110"/>
      <c r="H4580" s="1110"/>
      <c r="I4580" s="1110"/>
      <c r="J4580" s="1110"/>
      <c r="K4580" s="1110"/>
      <c r="L4580" s="1110"/>
      <c r="M4580" s="1110"/>
      <c r="N4580" s="1111"/>
    </row>
    <row r="4581" spans="2:17">
      <c r="B4581" s="1130" t="s">
        <v>17</v>
      </c>
      <c r="C4581" s="1139"/>
      <c r="D4581" s="1139"/>
      <c r="E4581" s="1139"/>
      <c r="F4581" s="1139"/>
      <c r="G4581" s="1139"/>
      <c r="H4581" s="1139"/>
      <c r="I4581" s="306"/>
      <c r="J4581" s="337"/>
      <c r="K4581" s="315" t="s">
        <v>79</v>
      </c>
      <c r="L4581" s="1140" t="s">
        <v>11</v>
      </c>
      <c r="M4581" s="1141"/>
      <c r="N4581" s="316"/>
    </row>
    <row r="4582" spans="2:17">
      <c r="B4582" s="1112" t="s">
        <v>232</v>
      </c>
      <c r="C4582" s="1113"/>
      <c r="D4582" s="1113"/>
      <c r="E4582" s="1113"/>
      <c r="F4582" s="1113"/>
      <c r="G4582" s="1113"/>
      <c r="H4582" s="1113"/>
      <c r="I4582" s="338"/>
      <c r="J4582" s="339"/>
      <c r="K4582" s="340">
        <f>'PRESUPUESTO OFICIAL'!$K$100</f>
        <v>0</v>
      </c>
      <c r="L4582" s="1146">
        <f>K4582*N4577</f>
        <v>0</v>
      </c>
      <c r="M4582" s="1147"/>
      <c r="N4582" s="341"/>
    </row>
    <row r="4583" spans="2:17">
      <c r="B4583" s="292" t="s">
        <v>293</v>
      </c>
      <c r="C4583" s="293"/>
      <c r="D4583" s="293"/>
      <c r="E4583" s="293"/>
      <c r="F4583" s="293"/>
      <c r="G4583" s="293"/>
      <c r="H4583" s="293"/>
      <c r="I4583" s="338"/>
      <c r="J4583" s="339"/>
      <c r="K4583" s="340">
        <f>'PRESUPUESTO OFICIAL'!$K$101</f>
        <v>0</v>
      </c>
      <c r="L4583" s="1146">
        <f>K4583*N4577</f>
        <v>0</v>
      </c>
      <c r="M4583" s="1147"/>
      <c r="N4583" s="341"/>
    </row>
    <row r="4584" spans="2:17" ht="13.5" thickBot="1">
      <c r="B4584" s="277" t="s">
        <v>294</v>
      </c>
      <c r="C4584" s="278"/>
      <c r="D4584" s="278"/>
      <c r="E4584" s="278"/>
      <c r="F4584" s="278"/>
      <c r="G4584" s="278"/>
      <c r="H4584" s="278"/>
      <c r="I4584" s="342"/>
      <c r="J4584" s="343"/>
      <c r="K4584" s="340">
        <f>'PRESUPUESTO OFICIAL'!$K$102</f>
        <v>0</v>
      </c>
      <c r="L4584" s="1148">
        <f>K4584*N4577</f>
        <v>0</v>
      </c>
      <c r="M4584" s="1149"/>
      <c r="N4584" s="341"/>
    </row>
    <row r="4585" spans="2:17" ht="13.5" thickBot="1">
      <c r="B4585" s="1100" t="s">
        <v>269</v>
      </c>
      <c r="C4585" s="1101"/>
      <c r="D4585" s="1101"/>
      <c r="E4585" s="1101"/>
      <c r="F4585" s="1101"/>
      <c r="G4585" s="1101"/>
      <c r="H4585" s="1101"/>
      <c r="I4585" s="1101"/>
      <c r="J4585" s="1101"/>
      <c r="K4585" s="1101"/>
      <c r="L4585" s="1101"/>
      <c r="M4585" s="1102"/>
      <c r="N4585" s="344">
        <f>SUM(L4582:M4584)</f>
        <v>0</v>
      </c>
    </row>
    <row r="4586" spans="2:17" ht="13.5" thickBot="1">
      <c r="B4586" s="283"/>
      <c r="N4586" s="284"/>
    </row>
    <row r="4587" spans="2:17" ht="13.5" thickBot="1">
      <c r="B4587" s="1150" t="s">
        <v>295</v>
      </c>
      <c r="C4587" s="1151"/>
      <c r="D4587" s="1151"/>
      <c r="E4587" s="1151"/>
      <c r="F4587" s="1151"/>
      <c r="G4587" s="1151"/>
      <c r="H4587" s="1151"/>
      <c r="I4587" s="1151"/>
      <c r="J4587" s="1151"/>
      <c r="K4587" s="1151"/>
      <c r="L4587" s="1151"/>
      <c r="M4587" s="1152"/>
      <c r="N4587" s="345">
        <f>ROUND(N4577+N4585,0)</f>
        <v>8130</v>
      </c>
    </row>
    <row r="4588" spans="2:17">
      <c r="B4588" s="280"/>
      <c r="C4588" s="281"/>
      <c r="D4588" s="281"/>
      <c r="E4588" s="281"/>
      <c r="F4588" s="281"/>
      <c r="G4588" s="281"/>
      <c r="H4588" s="281"/>
      <c r="I4588" s="281"/>
      <c r="J4588" s="281"/>
      <c r="K4588" s="281"/>
      <c r="L4588" s="281"/>
      <c r="M4588" s="281"/>
      <c r="N4588" s="282"/>
    </row>
    <row r="4589" spans="2:17">
      <c r="B4589" s="283"/>
      <c r="N4589" s="284"/>
    </row>
    <row r="4590" spans="2:17">
      <c r="B4590" s="283"/>
      <c r="N4590" s="284"/>
    </row>
    <row r="4591" spans="2:17">
      <c r="B4591" s="283"/>
      <c r="G4591" s="346" t="s">
        <v>296</v>
      </c>
      <c r="H4591" s="346"/>
      <c r="I4591" s="346"/>
      <c r="J4591" s="346"/>
      <c r="N4591" s="284"/>
    </row>
    <row r="4592" spans="2:17">
      <c r="B4592" s="347"/>
      <c r="C4592" s="348"/>
      <c r="D4592" s="348"/>
      <c r="E4592" s="348"/>
      <c r="F4592" s="348"/>
      <c r="G4592" s="346" t="s">
        <v>297</v>
      </c>
      <c r="H4592" s="348"/>
      <c r="I4592" s="348"/>
      <c r="J4592" s="348"/>
      <c r="K4592" s="348"/>
      <c r="L4592" s="348"/>
      <c r="M4592" s="348"/>
      <c r="N4592" s="349"/>
    </row>
    <row r="4593" spans="2:14">
      <c r="B4593" s="347"/>
      <c r="C4593" s="348"/>
      <c r="D4593" s="348"/>
      <c r="E4593" s="348"/>
      <c r="F4593" s="348"/>
      <c r="G4593" s="346" t="s">
        <v>298</v>
      </c>
      <c r="J4593" s="348"/>
      <c r="K4593" s="348"/>
      <c r="L4593" s="348"/>
      <c r="M4593" s="348"/>
      <c r="N4593" s="349"/>
    </row>
    <row r="4594" spans="2:14">
      <c r="B4594" s="268"/>
      <c r="C4594" s="350"/>
      <c r="D4594" s="350"/>
      <c r="E4594" s="350"/>
      <c r="F4594" s="350"/>
      <c r="G4594" s="346" t="s">
        <v>299</v>
      </c>
      <c r="H4594" s="350"/>
      <c r="I4594" s="350"/>
      <c r="J4594" s="350"/>
      <c r="K4594" s="350"/>
      <c r="L4594" s="350"/>
      <c r="M4594" s="350"/>
      <c r="N4594" s="351"/>
    </row>
    <row r="4595" spans="2:14">
      <c r="B4595" s="283"/>
      <c r="G4595" s="258" t="s">
        <v>300</v>
      </c>
      <c r="N4595" s="284"/>
    </row>
    <row r="4596" spans="2:14">
      <c r="B4596" s="352" t="s">
        <v>301</v>
      </c>
      <c r="C4596" s="353"/>
      <c r="D4596" s="353"/>
      <c r="E4596" s="353"/>
      <c r="F4596" s="353"/>
      <c r="G4596" s="353"/>
      <c r="H4596" s="353"/>
      <c r="I4596" s="353"/>
      <c r="J4596" s="353"/>
      <c r="K4596" s="353"/>
      <c r="L4596" s="353"/>
      <c r="M4596" s="353"/>
      <c r="N4596" s="354"/>
    </row>
    <row r="4597" spans="2:14">
      <c r="B4597" s="1153"/>
      <c r="C4597" s="1154"/>
      <c r="D4597" s="1154"/>
      <c r="E4597" s="1154"/>
      <c r="F4597" s="1154"/>
      <c r="G4597" s="1154"/>
      <c r="H4597" s="1154"/>
      <c r="I4597" s="1154"/>
      <c r="J4597" s="1154"/>
      <c r="K4597" s="1154"/>
      <c r="L4597" s="1154"/>
      <c r="M4597" s="1154"/>
      <c r="N4597" s="1155"/>
    </row>
    <row r="4598" spans="2:14">
      <c r="B4598" s="1153"/>
      <c r="C4598" s="1154"/>
      <c r="D4598" s="1154"/>
      <c r="E4598" s="1154"/>
      <c r="F4598" s="1154"/>
      <c r="G4598" s="1154"/>
      <c r="H4598" s="1154"/>
      <c r="I4598" s="1154"/>
      <c r="J4598" s="1154"/>
      <c r="K4598" s="1154"/>
      <c r="L4598" s="1154"/>
      <c r="M4598" s="1154"/>
      <c r="N4598" s="1155"/>
    </row>
    <row r="4599" spans="2:14">
      <c r="B4599" s="268"/>
      <c r="C4599" s="350"/>
      <c r="D4599" s="350"/>
      <c r="E4599" s="350"/>
      <c r="F4599" s="350"/>
      <c r="G4599" s="350"/>
      <c r="H4599" s="350"/>
      <c r="I4599" s="350"/>
      <c r="J4599" s="350"/>
      <c r="K4599" s="350"/>
      <c r="L4599" s="350"/>
      <c r="M4599" s="350"/>
      <c r="N4599" s="351"/>
    </row>
    <row r="4600" spans="2:14">
      <c r="B4600" s="355" t="s">
        <v>302</v>
      </c>
      <c r="C4600" s="350"/>
      <c r="D4600" s="350"/>
      <c r="E4600" s="350"/>
      <c r="F4600" s="350"/>
      <c r="G4600" s="350"/>
      <c r="H4600" s="350"/>
      <c r="I4600" s="350"/>
      <c r="J4600" s="350"/>
      <c r="K4600" s="350"/>
      <c r="L4600" s="350"/>
      <c r="M4600" s="350"/>
      <c r="N4600" s="351"/>
    </row>
    <row r="4601" spans="2:14">
      <c r="B4601" s="1159" t="s">
        <v>303</v>
      </c>
      <c r="C4601" s="1160"/>
      <c r="D4601" s="1160"/>
      <c r="E4601" s="1160"/>
      <c r="F4601" s="1160"/>
      <c r="G4601" s="1160"/>
      <c r="H4601" s="1160"/>
      <c r="I4601" s="1160"/>
      <c r="J4601" s="1160"/>
      <c r="K4601" s="1160"/>
      <c r="L4601" s="1160"/>
      <c r="M4601" s="1160"/>
      <c r="N4601" s="1161"/>
    </row>
    <row r="4602" spans="2:14">
      <c r="B4602" s="1159"/>
      <c r="C4602" s="1160"/>
      <c r="D4602" s="1160"/>
      <c r="E4602" s="1160"/>
      <c r="F4602" s="1160"/>
      <c r="G4602" s="1160"/>
      <c r="H4602" s="1160"/>
      <c r="I4602" s="1160"/>
      <c r="J4602" s="1160"/>
      <c r="K4602" s="1160"/>
      <c r="L4602" s="1160"/>
      <c r="M4602" s="1160"/>
      <c r="N4602" s="1161"/>
    </row>
    <row r="4603" spans="2:14">
      <c r="B4603" s="1159" t="s">
        <v>304</v>
      </c>
      <c r="C4603" s="1160"/>
      <c r="D4603" s="1160"/>
      <c r="E4603" s="1160"/>
      <c r="F4603" s="1160"/>
      <c r="G4603" s="1160"/>
      <c r="H4603" s="1160"/>
      <c r="I4603" s="1160"/>
      <c r="J4603" s="1160"/>
      <c r="K4603" s="1160"/>
      <c r="L4603" s="1160"/>
      <c r="M4603" s="1160"/>
      <c r="N4603" s="1161"/>
    </row>
    <row r="4604" spans="2:14">
      <c r="B4604" s="1159"/>
      <c r="C4604" s="1160"/>
      <c r="D4604" s="1160"/>
      <c r="E4604" s="1160"/>
      <c r="F4604" s="1160"/>
      <c r="G4604" s="1160"/>
      <c r="H4604" s="1160"/>
      <c r="I4604" s="1160"/>
      <c r="J4604" s="1160"/>
      <c r="K4604" s="1160"/>
      <c r="L4604" s="1160"/>
      <c r="M4604" s="1160"/>
      <c r="N4604" s="1161"/>
    </row>
    <row r="4605" spans="2:14">
      <c r="B4605" s="268"/>
      <c r="C4605" s="350"/>
      <c r="D4605" s="350"/>
      <c r="E4605" s="350"/>
      <c r="F4605" s="350"/>
      <c r="G4605" s="350"/>
      <c r="H4605" s="350"/>
      <c r="I4605" s="350"/>
      <c r="J4605" s="350"/>
      <c r="K4605" s="350"/>
      <c r="L4605" s="350"/>
      <c r="M4605" s="350"/>
      <c r="N4605" s="351"/>
    </row>
    <row r="4606" spans="2:14">
      <c r="B4606" s="283"/>
      <c r="G4606" s="346" t="s">
        <v>296</v>
      </c>
      <c r="N4606" s="284"/>
    </row>
    <row r="4607" spans="2:14">
      <c r="B4607" s="283"/>
      <c r="G4607" s="258" t="s">
        <v>305</v>
      </c>
      <c r="H4607" s="293"/>
      <c r="I4607" s="293"/>
      <c r="J4607" s="293"/>
      <c r="N4607" s="284"/>
    </row>
    <row r="4608" spans="2:14">
      <c r="B4608" s="283"/>
      <c r="G4608" s="258" t="s">
        <v>306</v>
      </c>
      <c r="H4608" s="325"/>
      <c r="I4608" s="325"/>
      <c r="J4608" s="325"/>
      <c r="N4608" s="284"/>
    </row>
    <row r="4609" spans="2:14">
      <c r="B4609" s="356"/>
      <c r="C4609" s="350"/>
      <c r="D4609" s="350"/>
      <c r="E4609" s="350"/>
      <c r="F4609" s="350"/>
      <c r="G4609" s="258" t="s">
        <v>299</v>
      </c>
      <c r="K4609" s="350"/>
      <c r="L4609" s="350"/>
      <c r="M4609" s="350"/>
      <c r="N4609" s="351"/>
    </row>
    <row r="4610" spans="2:14">
      <c r="B4610" s="357"/>
      <c r="C4610" s="358"/>
      <c r="D4610" s="358"/>
      <c r="J4610" s="1162"/>
      <c r="K4610" s="1162"/>
      <c r="L4610" s="1162"/>
      <c r="M4610" s="1162"/>
      <c r="N4610" s="1163"/>
    </row>
    <row r="4611" spans="2:14" ht="13.5" thickBot="1">
      <c r="B4611" s="1166"/>
      <c r="C4611" s="1167"/>
      <c r="D4611" s="1167"/>
      <c r="E4611" s="311"/>
      <c r="F4611" s="311"/>
      <c r="G4611" s="311"/>
      <c r="H4611" s="311"/>
      <c r="I4611" s="311"/>
      <c r="J4611" s="1164"/>
      <c r="K4611" s="1164"/>
      <c r="L4611" s="1164"/>
      <c r="M4611" s="1164"/>
      <c r="N4611" s="1165"/>
    </row>
    <row r="4612" spans="2:14" ht="13.5" thickBot="1"/>
    <row r="4613" spans="2:14">
      <c r="B4613" s="1070"/>
      <c r="C4613" s="1072"/>
      <c r="D4613" s="1073"/>
      <c r="E4613" s="1073"/>
      <c r="F4613" s="1073"/>
      <c r="G4613" s="1073"/>
      <c r="H4613" s="1073"/>
      <c r="I4613" s="1073"/>
      <c r="J4613" s="1074"/>
      <c r="K4613" s="1075"/>
      <c r="L4613" s="1076"/>
      <c r="M4613" s="1076"/>
      <c r="N4613" s="1077"/>
    </row>
    <row r="4614" spans="2:14">
      <c r="B4614" s="1071"/>
      <c r="C4614" s="1062" t="s">
        <v>244</v>
      </c>
      <c r="D4614" s="1063"/>
      <c r="E4614" s="1063"/>
      <c r="F4614" s="1063"/>
      <c r="G4614" s="1063"/>
      <c r="H4614" s="1063"/>
      <c r="I4614" s="1063"/>
      <c r="J4614" s="1064"/>
      <c r="K4614" s="1078"/>
      <c r="L4614" s="1079"/>
      <c r="M4614" s="1079"/>
      <c r="N4614" s="1080"/>
    </row>
    <row r="4615" spans="2:14">
      <c r="B4615" s="1071"/>
      <c r="C4615" s="1081"/>
      <c r="D4615" s="1082"/>
      <c r="E4615" s="1082"/>
      <c r="F4615" s="1082"/>
      <c r="G4615" s="1082"/>
      <c r="H4615" s="1082"/>
      <c r="I4615" s="1082"/>
      <c r="J4615" s="1083"/>
      <c r="K4615" s="1058" t="s">
        <v>245</v>
      </c>
      <c r="L4615" s="1085"/>
      <c r="M4615" s="1086"/>
      <c r="N4615" s="1087"/>
    </row>
    <row r="4616" spans="2:14">
      <c r="B4616" s="1071"/>
      <c r="C4616" s="1062" t="s">
        <v>246</v>
      </c>
      <c r="D4616" s="1063"/>
      <c r="E4616" s="1063"/>
      <c r="F4616" s="1063"/>
      <c r="G4616" s="1063"/>
      <c r="H4616" s="1063"/>
      <c r="I4616" s="1063"/>
      <c r="J4616" s="1064"/>
      <c r="K4616" s="1084"/>
      <c r="L4616" s="1088"/>
      <c r="M4616" s="1089"/>
      <c r="N4616" s="1090"/>
    </row>
    <row r="4617" spans="2:14">
      <c r="B4617" s="1071"/>
      <c r="C4617" s="1091"/>
      <c r="D4617" s="1092"/>
      <c r="E4617" s="1092"/>
      <c r="F4617" s="1092"/>
      <c r="G4617" s="1092"/>
      <c r="H4617" s="1092"/>
      <c r="I4617" s="1092"/>
      <c r="J4617" s="1093"/>
      <c r="K4617" s="1058" t="s">
        <v>247</v>
      </c>
      <c r="L4617" s="1058">
        <v>52</v>
      </c>
      <c r="M4617" s="1058" t="s">
        <v>248</v>
      </c>
      <c r="N4617" s="1060">
        <v>80</v>
      </c>
    </row>
    <row r="4618" spans="2:14">
      <c r="B4618" s="1071"/>
      <c r="C4618" s="1091"/>
      <c r="D4618" s="1092"/>
      <c r="E4618" s="1092"/>
      <c r="F4618" s="1092"/>
      <c r="G4618" s="1092"/>
      <c r="H4618" s="1092"/>
      <c r="I4618" s="1092"/>
      <c r="J4618" s="1093"/>
      <c r="K4618" s="1059"/>
      <c r="L4618" s="1059"/>
      <c r="M4618" s="1059"/>
      <c r="N4618" s="1061"/>
    </row>
    <row r="4619" spans="2:14">
      <c r="B4619" s="1071"/>
      <c r="C4619" s="1062" t="s">
        <v>249</v>
      </c>
      <c r="D4619" s="1063"/>
      <c r="E4619" s="1063"/>
      <c r="F4619" s="1063"/>
      <c r="G4619" s="1063"/>
      <c r="H4619" s="1063"/>
      <c r="I4619" s="1063"/>
      <c r="J4619" s="1064"/>
      <c r="K4619" s="1059"/>
      <c r="L4619" s="1059"/>
      <c r="M4619" s="1059"/>
      <c r="N4619" s="1061"/>
    </row>
    <row r="4620" spans="2:14" ht="13.5" thickBot="1">
      <c r="B4620" s="259"/>
      <c r="C4620" s="260"/>
      <c r="D4620" s="260"/>
      <c r="E4620" s="260"/>
      <c r="F4620" s="260"/>
      <c r="G4620" s="260"/>
      <c r="H4620" s="260"/>
      <c r="I4620" s="260"/>
      <c r="J4620" s="260"/>
      <c r="K4620" s="260"/>
      <c r="L4620" s="261"/>
      <c r="M4620" s="261"/>
      <c r="N4620" s="262"/>
    </row>
    <row r="4621" spans="2:14">
      <c r="B4621" s="263"/>
      <c r="C4621" s="264"/>
      <c r="D4621" s="264"/>
      <c r="E4621" s="264"/>
      <c r="F4621" s="264"/>
      <c r="G4621" s="264"/>
      <c r="H4621" s="264"/>
      <c r="I4621" s="264"/>
      <c r="J4621" s="264"/>
      <c r="K4621" s="265" t="s">
        <v>250</v>
      </c>
      <c r="L4621" s="266" t="s">
        <v>251</v>
      </c>
      <c r="M4621" s="266" t="s">
        <v>252</v>
      </c>
      <c r="N4621" s="267" t="s">
        <v>253</v>
      </c>
    </row>
    <row r="4622" spans="2:14">
      <c r="B4622" s="268"/>
      <c r="C4622" s="269"/>
      <c r="D4622" s="269"/>
      <c r="E4622" s="269"/>
      <c r="F4622" s="269"/>
      <c r="G4622" s="269"/>
      <c r="H4622" s="269"/>
      <c r="I4622" s="269"/>
      <c r="J4622" s="269"/>
      <c r="K4622" s="270"/>
      <c r="L4622" s="271"/>
      <c r="M4622" s="271"/>
      <c r="N4622" s="272"/>
    </row>
    <row r="4623" spans="2:14">
      <c r="B4623" s="1065" t="s">
        <v>254</v>
      </c>
      <c r="C4623" s="1066"/>
      <c r="D4623" s="1066"/>
      <c r="E4623" s="1066"/>
      <c r="F4623" s="269"/>
      <c r="G4623" s="269"/>
      <c r="H4623" s="269" t="s">
        <v>255</v>
      </c>
      <c r="J4623" s="269"/>
      <c r="K4623" s="270"/>
      <c r="N4623" s="273"/>
    </row>
    <row r="4624" spans="2:14">
      <c r="B4624" s="274"/>
      <c r="C4624" s="275"/>
      <c r="D4624" s="275"/>
      <c r="E4624" s="275"/>
      <c r="F4624" s="275"/>
      <c r="G4624" s="275"/>
      <c r="H4624" s="275"/>
      <c r="I4624" s="275"/>
      <c r="J4624" s="275"/>
      <c r="K4624" s="275"/>
      <c r="L4624" s="275"/>
      <c r="M4624" s="275"/>
      <c r="N4624" s="276"/>
    </row>
    <row r="4625" spans="2:14" ht="13.5" thickBot="1">
      <c r="B4625" s="277"/>
      <c r="C4625" s="278"/>
      <c r="D4625" s="278"/>
      <c r="E4625" s="278"/>
      <c r="F4625" s="278"/>
      <c r="G4625" s="278"/>
      <c r="H4625" s="278"/>
      <c r="I4625" s="278"/>
      <c r="J4625" s="278"/>
      <c r="K4625" s="278"/>
      <c r="L4625" s="278"/>
      <c r="M4625" s="278"/>
      <c r="N4625" s="279"/>
    </row>
    <row r="4626" spans="2:14" ht="13.5" thickBot="1">
      <c r="B4626" s="280"/>
      <c r="C4626" s="281"/>
      <c r="D4626" s="281"/>
      <c r="E4626" s="281"/>
      <c r="F4626" s="281"/>
      <c r="G4626" s="281"/>
      <c r="J4626" s="281"/>
      <c r="K4626" s="281"/>
      <c r="L4626" s="281"/>
      <c r="M4626" s="281"/>
      <c r="N4626" s="282"/>
    </row>
    <row r="4627" spans="2:14">
      <c r="B4627" s="1067" t="s">
        <v>256</v>
      </c>
      <c r="C4627" s="1068"/>
      <c r="D4627" s="1068"/>
      <c r="E4627" s="1068"/>
      <c r="F4627" s="1068"/>
      <c r="G4627" s="1068"/>
      <c r="H4627" s="1068"/>
      <c r="I4627" s="1068"/>
      <c r="J4627" s="1068"/>
      <c r="K4627" s="1068"/>
      <c r="L4627" s="1068"/>
      <c r="M4627" s="1068"/>
      <c r="N4627" s="1069"/>
    </row>
    <row r="4628" spans="2:14" ht="13.5" thickBot="1">
      <c r="B4628" s="283"/>
      <c r="N4628" s="284"/>
    </row>
    <row r="4629" spans="2:14">
      <c r="B4629" s="285" t="s">
        <v>257</v>
      </c>
      <c r="C4629" s="1120" t="s">
        <v>258</v>
      </c>
      <c r="D4629" s="1121"/>
      <c r="E4629" s="1121"/>
      <c r="F4629" s="1121"/>
      <c r="G4629" s="1121"/>
      <c r="H4629" s="1121"/>
      <c r="I4629" s="1121"/>
      <c r="J4629" s="1121"/>
      <c r="K4629" s="1122"/>
      <c r="L4629" s="1123" t="s">
        <v>259</v>
      </c>
      <c r="M4629" s="1124"/>
      <c r="N4629" s="285" t="s">
        <v>133</v>
      </c>
    </row>
    <row r="4630" spans="2:14" ht="63" customHeight="1" thickBot="1">
      <c r="B4630" s="286">
        <v>52</v>
      </c>
      <c r="C4630" s="1125" t="s">
        <v>194</v>
      </c>
      <c r="D4630" s="1126"/>
      <c r="E4630" s="1126"/>
      <c r="F4630" s="1126"/>
      <c r="G4630" s="1126"/>
      <c r="H4630" s="1126"/>
      <c r="I4630" s="1126"/>
      <c r="J4630" s="1126"/>
      <c r="K4630" s="1127"/>
      <c r="L4630" s="1128" t="s">
        <v>143</v>
      </c>
      <c r="M4630" s="1129"/>
      <c r="N4630" s="366">
        <v>120</v>
      </c>
    </row>
    <row r="4631" spans="2:14">
      <c r="B4631" s="1103" t="s">
        <v>260</v>
      </c>
      <c r="C4631" s="1104"/>
      <c r="D4631" s="1104"/>
      <c r="E4631" s="1104"/>
      <c r="F4631" s="1104"/>
      <c r="G4631" s="1104"/>
      <c r="H4631" s="1104"/>
      <c r="I4631" s="1104"/>
      <c r="J4631" s="1104"/>
      <c r="K4631" s="1104"/>
      <c r="L4631" s="1104"/>
      <c r="M4631" s="1104"/>
      <c r="N4631" s="1105"/>
    </row>
    <row r="4632" spans="2:14">
      <c r="B4632" s="1106"/>
      <c r="C4632" s="1107"/>
      <c r="D4632" s="1107"/>
      <c r="E4632" s="1107"/>
      <c r="F4632" s="1107"/>
      <c r="G4632" s="1107"/>
      <c r="H4632" s="1107"/>
      <c r="I4632" s="1107"/>
      <c r="J4632" s="1107"/>
      <c r="K4632" s="1107"/>
      <c r="L4632" s="1107"/>
      <c r="M4632" s="1107"/>
      <c r="N4632" s="1108"/>
    </row>
    <row r="4633" spans="2:14" ht="13.5" thickBot="1">
      <c r="B4633" s="1109"/>
      <c r="C4633" s="1110"/>
      <c r="D4633" s="1110"/>
      <c r="E4633" s="1110"/>
      <c r="F4633" s="1110"/>
      <c r="G4633" s="1110"/>
      <c r="H4633" s="1110"/>
      <c r="I4633" s="1110"/>
      <c r="J4633" s="1110"/>
      <c r="K4633" s="1110"/>
      <c r="L4633" s="1110"/>
      <c r="M4633" s="1110"/>
      <c r="N4633" s="1111"/>
    </row>
    <row r="4634" spans="2:14">
      <c r="B4634" s="1130" t="s">
        <v>258</v>
      </c>
      <c r="C4634" s="1131"/>
      <c r="D4634" s="1131"/>
      <c r="E4634" s="1131"/>
      <c r="F4634" s="1132"/>
      <c r="G4634" s="1133" t="s">
        <v>261</v>
      </c>
      <c r="H4634" s="1131"/>
      <c r="I4634" s="1134" t="s">
        <v>262</v>
      </c>
      <c r="J4634" s="1135"/>
      <c r="K4634" s="288" t="s">
        <v>263</v>
      </c>
      <c r="L4634" s="1133" t="s">
        <v>264</v>
      </c>
      <c r="M4634" s="1136"/>
      <c r="N4634" s="289" t="s">
        <v>265</v>
      </c>
    </row>
    <row r="4635" spans="2:14" ht="13.5" thickBot="1">
      <c r="B4635" s="1179"/>
      <c r="C4635" s="1180"/>
      <c r="D4635" s="1180"/>
      <c r="E4635" s="1180"/>
      <c r="F4635" s="1181"/>
      <c r="G4635" s="295"/>
      <c r="H4635" s="294"/>
      <c r="I4635" s="1182"/>
      <c r="J4635" s="1183"/>
      <c r="K4635" s="290"/>
      <c r="L4635" s="1118"/>
      <c r="M4635" s="1119"/>
      <c r="N4635" s="290"/>
    </row>
    <row r="4636" spans="2:14" ht="13.5" thickBot="1">
      <c r="B4636" s="1100" t="s">
        <v>269</v>
      </c>
      <c r="C4636" s="1101"/>
      <c r="D4636" s="1101"/>
      <c r="E4636" s="1101"/>
      <c r="F4636" s="1101"/>
      <c r="G4636" s="1101"/>
      <c r="H4636" s="1101"/>
      <c r="I4636" s="1101"/>
      <c r="J4636" s="1101"/>
      <c r="K4636" s="1101"/>
      <c r="L4636" s="1101"/>
      <c r="M4636" s="1102"/>
      <c r="N4636" s="323">
        <v>0</v>
      </c>
    </row>
    <row r="4637" spans="2:14">
      <c r="B4637" s="1103" t="s">
        <v>270</v>
      </c>
      <c r="C4637" s="1104"/>
      <c r="D4637" s="1104"/>
      <c r="E4637" s="1104"/>
      <c r="F4637" s="1104"/>
      <c r="G4637" s="1104"/>
      <c r="H4637" s="1104"/>
      <c r="I4637" s="1104"/>
      <c r="J4637" s="1104"/>
      <c r="K4637" s="1104"/>
      <c r="L4637" s="1104"/>
      <c r="M4637" s="1104"/>
      <c r="N4637" s="1105"/>
    </row>
    <row r="4638" spans="2:14">
      <c r="B4638" s="1106"/>
      <c r="C4638" s="1107"/>
      <c r="D4638" s="1107"/>
      <c r="E4638" s="1107"/>
      <c r="F4638" s="1107"/>
      <c r="G4638" s="1107"/>
      <c r="H4638" s="1107"/>
      <c r="I4638" s="1107"/>
      <c r="J4638" s="1107"/>
      <c r="K4638" s="1107"/>
      <c r="L4638" s="1107"/>
      <c r="M4638" s="1107"/>
      <c r="N4638" s="1108"/>
    </row>
    <row r="4639" spans="2:14" ht="13.5" thickBot="1">
      <c r="B4639" s="1109"/>
      <c r="C4639" s="1110"/>
      <c r="D4639" s="1110"/>
      <c r="E4639" s="1110"/>
      <c r="F4639" s="1110"/>
      <c r="G4639" s="1110"/>
      <c r="H4639" s="1110"/>
      <c r="I4639" s="1110"/>
      <c r="J4639" s="1110"/>
      <c r="K4639" s="1110"/>
      <c r="L4639" s="1110"/>
      <c r="M4639" s="1110"/>
      <c r="N4639" s="1111"/>
    </row>
    <row r="4640" spans="2:14">
      <c r="B4640" s="1130" t="s">
        <v>258</v>
      </c>
      <c r="C4640" s="1139"/>
      <c r="D4640" s="1139"/>
      <c r="E4640" s="1139"/>
      <c r="F4640" s="1139"/>
      <c r="G4640" s="1139"/>
      <c r="H4640" s="1139"/>
      <c r="I4640" s="1136"/>
      <c r="J4640" s="299" t="s">
        <v>259</v>
      </c>
      <c r="K4640" s="288" t="s">
        <v>133</v>
      </c>
      <c r="L4640" s="1133" t="s">
        <v>271</v>
      </c>
      <c r="M4640" s="1136"/>
      <c r="N4640" s="289" t="s">
        <v>265</v>
      </c>
    </row>
    <row r="4641" spans="2:14">
      <c r="B4641" s="402" t="s">
        <v>348</v>
      </c>
      <c r="C4641" s="353"/>
      <c r="D4641" s="353"/>
      <c r="E4641" s="353"/>
      <c r="F4641" s="353"/>
      <c r="G4641" s="353"/>
      <c r="H4641" s="353"/>
      <c r="I4641" s="403"/>
      <c r="J4641" s="303" t="s">
        <v>147</v>
      </c>
      <c r="K4641" s="392">
        <v>6.3E-2</v>
      </c>
      <c r="L4641" s="1144">
        <v>369520</v>
      </c>
      <c r="M4641" s="1145"/>
      <c r="N4641" s="363">
        <f>+K4641*L4641</f>
        <v>23279.759999999998</v>
      </c>
    </row>
    <row r="4642" spans="2:14">
      <c r="B4642" s="402" t="s">
        <v>377</v>
      </c>
      <c r="C4642" s="353"/>
      <c r="D4642" s="353"/>
      <c r="E4642" s="353"/>
      <c r="F4642" s="353"/>
      <c r="G4642" s="353"/>
      <c r="H4642" s="353"/>
      <c r="I4642" s="403"/>
      <c r="J4642" s="303" t="s">
        <v>196</v>
      </c>
      <c r="K4642" s="392">
        <v>0.27</v>
      </c>
      <c r="L4642" s="1144">
        <v>33272</v>
      </c>
      <c r="M4642" s="1145">
        <v>33272</v>
      </c>
      <c r="N4642" s="363">
        <f>+K4642*L4642</f>
        <v>8983.44</v>
      </c>
    </row>
    <row r="4643" spans="2:14">
      <c r="B4643" s="402" t="s">
        <v>378</v>
      </c>
      <c r="C4643" s="353"/>
      <c r="D4643" s="353"/>
      <c r="E4643" s="353"/>
      <c r="F4643" s="353"/>
      <c r="G4643" s="353"/>
      <c r="H4643" s="353"/>
      <c r="I4643" s="403"/>
      <c r="J4643" s="303" t="s">
        <v>196</v>
      </c>
      <c r="K4643" s="392">
        <v>0.27</v>
      </c>
      <c r="L4643" s="1144">
        <v>150502</v>
      </c>
      <c r="M4643" s="1145">
        <v>150502</v>
      </c>
      <c r="N4643" s="363">
        <f>+K4643*L4643</f>
        <v>40635.54</v>
      </c>
    </row>
    <row r="4644" spans="2:14" ht="13.5" thickBot="1">
      <c r="B4644" s="402" t="s">
        <v>379</v>
      </c>
      <c r="C4644" s="353"/>
      <c r="D4644" s="353"/>
      <c r="E4644" s="353"/>
      <c r="F4644" s="353"/>
      <c r="G4644" s="353"/>
      <c r="H4644" s="353"/>
      <c r="I4644" s="403"/>
      <c r="J4644" s="303" t="s">
        <v>196</v>
      </c>
      <c r="K4644" s="392">
        <v>0.1958</v>
      </c>
      <c r="L4644" s="1144">
        <v>229738</v>
      </c>
      <c r="M4644" s="1145">
        <v>229738</v>
      </c>
      <c r="N4644" s="363">
        <f>+K4644*L4644</f>
        <v>44982.700400000002</v>
      </c>
    </row>
    <row r="4645" spans="2:14" ht="13.5" thickBot="1">
      <c r="B4645" s="1100" t="s">
        <v>269</v>
      </c>
      <c r="C4645" s="1101"/>
      <c r="D4645" s="1101"/>
      <c r="E4645" s="1101"/>
      <c r="F4645" s="1101"/>
      <c r="G4645" s="1101"/>
      <c r="H4645" s="1101"/>
      <c r="I4645" s="1101"/>
      <c r="J4645" s="1101"/>
      <c r="K4645" s="1101"/>
      <c r="L4645" s="1101"/>
      <c r="M4645" s="1102"/>
      <c r="N4645" s="323">
        <f>+N4641+N4642+N4643+N4644</f>
        <v>117881.44039999999</v>
      </c>
    </row>
    <row r="4646" spans="2:14">
      <c r="B4646" s="1103" t="s">
        <v>367</v>
      </c>
      <c r="C4646" s="1104"/>
      <c r="D4646" s="1104"/>
      <c r="E4646" s="1104"/>
      <c r="F4646" s="1104"/>
      <c r="G4646" s="1104"/>
      <c r="H4646" s="1104"/>
      <c r="I4646" s="1104"/>
      <c r="J4646" s="1104"/>
      <c r="K4646" s="1104"/>
      <c r="L4646" s="1104"/>
      <c r="M4646" s="1104"/>
      <c r="N4646" s="1105"/>
    </row>
    <row r="4647" spans="2:14">
      <c r="B4647" s="1106"/>
      <c r="C4647" s="1107"/>
      <c r="D4647" s="1107"/>
      <c r="E4647" s="1107"/>
      <c r="F4647" s="1107"/>
      <c r="G4647" s="1107"/>
      <c r="H4647" s="1107"/>
      <c r="I4647" s="1107"/>
      <c r="J4647" s="1107"/>
      <c r="K4647" s="1107"/>
      <c r="L4647" s="1107"/>
      <c r="M4647" s="1107"/>
      <c r="N4647" s="1108"/>
    </row>
    <row r="4648" spans="2:14" ht="13.5" thickBot="1">
      <c r="B4648" s="1109"/>
      <c r="C4648" s="1110"/>
      <c r="D4648" s="1110"/>
      <c r="E4648" s="1110"/>
      <c r="F4648" s="1110"/>
      <c r="G4648" s="1110"/>
      <c r="H4648" s="1110"/>
      <c r="I4648" s="1110"/>
      <c r="J4648" s="1110"/>
      <c r="K4648" s="1110"/>
      <c r="L4648" s="1110"/>
      <c r="M4648" s="1110"/>
      <c r="N4648" s="1111"/>
    </row>
    <row r="4649" spans="2:14">
      <c r="B4649" s="1130" t="s">
        <v>277</v>
      </c>
      <c r="C4649" s="1139"/>
      <c r="D4649" s="1139"/>
      <c r="E4649" s="1139"/>
      <c r="F4649" s="1139"/>
      <c r="G4649" s="1139"/>
      <c r="H4649" s="1139"/>
      <c r="I4649" s="288" t="s">
        <v>278</v>
      </c>
      <c r="J4649" s="306" t="s">
        <v>279</v>
      </c>
      <c r="K4649" s="307" t="s">
        <v>280</v>
      </c>
      <c r="L4649" s="1133" t="s">
        <v>281</v>
      </c>
      <c r="M4649" s="1136"/>
      <c r="N4649" s="289" t="s">
        <v>265</v>
      </c>
    </row>
    <row r="4650" spans="2:14" ht="13.5" thickBot="1">
      <c r="B4650" s="1112" t="s">
        <v>380</v>
      </c>
      <c r="C4650" s="1113"/>
      <c r="D4650" s="1113"/>
      <c r="E4650" s="1113"/>
      <c r="F4650" s="1113"/>
      <c r="G4650" s="1113"/>
      <c r="H4650" s="1113"/>
      <c r="I4650" s="393">
        <v>10</v>
      </c>
      <c r="J4650" s="309"/>
      <c r="K4650" s="308"/>
      <c r="L4650" s="1144">
        <v>1000</v>
      </c>
      <c r="M4650" s="1145"/>
      <c r="N4650" s="363">
        <f>+I4650*L4650</f>
        <v>10000</v>
      </c>
    </row>
    <row r="4651" spans="2:14" ht="13.5" thickBot="1">
      <c r="B4651" s="1100" t="s">
        <v>269</v>
      </c>
      <c r="C4651" s="1101"/>
      <c r="D4651" s="1101"/>
      <c r="E4651" s="1101"/>
      <c r="F4651" s="1101"/>
      <c r="G4651" s="1101"/>
      <c r="H4651" s="1101"/>
      <c r="I4651" s="1101"/>
      <c r="J4651" s="1101"/>
      <c r="K4651" s="1101"/>
      <c r="L4651" s="1101"/>
      <c r="M4651" s="1102"/>
      <c r="N4651" s="323">
        <f>+N4650</f>
        <v>10000</v>
      </c>
    </row>
    <row r="4652" spans="2:14">
      <c r="B4652" s="1103" t="s">
        <v>282</v>
      </c>
      <c r="C4652" s="1104"/>
      <c r="D4652" s="1104"/>
      <c r="E4652" s="1104"/>
      <c r="F4652" s="1104"/>
      <c r="G4652" s="1104"/>
      <c r="H4652" s="1104"/>
      <c r="I4652" s="1104"/>
      <c r="J4652" s="1104"/>
      <c r="K4652" s="1104"/>
      <c r="L4652" s="1104"/>
      <c r="M4652" s="1104"/>
      <c r="N4652" s="1105"/>
    </row>
    <row r="4653" spans="2:14">
      <c r="B4653" s="1106"/>
      <c r="C4653" s="1107"/>
      <c r="D4653" s="1107"/>
      <c r="E4653" s="1107"/>
      <c r="F4653" s="1107"/>
      <c r="G4653" s="1107"/>
      <c r="H4653" s="1107"/>
      <c r="I4653" s="1107"/>
      <c r="J4653" s="1107"/>
      <c r="K4653" s="1107"/>
      <c r="L4653" s="1107"/>
      <c r="M4653" s="1107"/>
      <c r="N4653" s="1108"/>
    </row>
    <row r="4654" spans="2:14" ht="13.5" thickBot="1">
      <c r="B4654" s="1109"/>
      <c r="C4654" s="1110"/>
      <c r="D4654" s="1110"/>
      <c r="E4654" s="1110"/>
      <c r="F4654" s="1110"/>
      <c r="G4654" s="1110"/>
      <c r="H4654" s="1110"/>
      <c r="I4654" s="1110"/>
      <c r="J4654" s="1110"/>
      <c r="K4654" s="1110"/>
      <c r="L4654" s="1110"/>
      <c r="M4654" s="1110"/>
      <c r="N4654" s="1111"/>
    </row>
    <row r="4655" spans="2:14">
      <c r="B4655" s="1130" t="s">
        <v>283</v>
      </c>
      <c r="C4655" s="1139"/>
      <c r="D4655" s="1139"/>
      <c r="E4655" s="1139"/>
      <c r="F4655" s="1139"/>
      <c r="G4655" s="1139"/>
      <c r="H4655" s="1139"/>
      <c r="I4655" s="288" t="s">
        <v>284</v>
      </c>
      <c r="J4655" s="314" t="s">
        <v>285</v>
      </c>
      <c r="K4655" s="315" t="s">
        <v>286</v>
      </c>
      <c r="L4655" s="1140" t="s">
        <v>264</v>
      </c>
      <c r="M4655" s="1141"/>
      <c r="N4655" s="316" t="s">
        <v>265</v>
      </c>
    </row>
    <row r="4656" spans="2:14" ht="13.5" thickBot="1">
      <c r="B4656" s="317" t="s">
        <v>322</v>
      </c>
      <c r="C4656" s="318"/>
      <c r="D4656" s="318"/>
      <c r="E4656" s="318"/>
      <c r="F4656" s="318"/>
      <c r="G4656" s="318"/>
      <c r="H4656" s="318"/>
      <c r="I4656" s="319">
        <v>153482</v>
      </c>
      <c r="J4656" s="321">
        <v>0</v>
      </c>
      <c r="K4656" s="321">
        <f>+I4656+J4656</f>
        <v>153482</v>
      </c>
      <c r="L4656" s="1157">
        <v>3.000003</v>
      </c>
      <c r="M4656" s="1158"/>
      <c r="N4656" s="322">
        <f>+K4656/L4656</f>
        <v>51160.615506051159</v>
      </c>
    </row>
    <row r="4657" spans="2:17" ht="13.5" thickBot="1">
      <c r="B4657" s="1100" t="s">
        <v>269</v>
      </c>
      <c r="C4657" s="1101"/>
      <c r="D4657" s="1101"/>
      <c r="E4657" s="1101"/>
      <c r="F4657" s="1101"/>
      <c r="G4657" s="1101"/>
      <c r="H4657" s="1101"/>
      <c r="I4657" s="1101"/>
      <c r="J4657" s="1101"/>
      <c r="K4657" s="1101"/>
      <c r="L4657" s="1101"/>
      <c r="M4657" s="1102"/>
      <c r="N4657" s="322">
        <f>+N4656</f>
        <v>51160.615506051159</v>
      </c>
    </row>
    <row r="4658" spans="2:17" ht="13.5" thickBot="1">
      <c r="B4658" s="324" t="s">
        <v>288</v>
      </c>
      <c r="C4658" s="325"/>
      <c r="D4658" s="325"/>
      <c r="E4658" s="325"/>
      <c r="F4658" s="325"/>
      <c r="G4658" s="325"/>
      <c r="H4658" s="325"/>
      <c r="I4658" s="326"/>
      <c r="J4658" s="327"/>
      <c r="K4658" s="328"/>
      <c r="L4658" s="329"/>
      <c r="M4658" s="329"/>
      <c r="N4658" s="330"/>
    </row>
    <row r="4659" spans="2:17">
      <c r="B4659" s="1130" t="s">
        <v>17</v>
      </c>
      <c r="C4659" s="1139"/>
      <c r="D4659" s="1139"/>
      <c r="E4659" s="1139"/>
      <c r="F4659" s="1139"/>
      <c r="G4659" s="1139"/>
      <c r="H4659" s="1139"/>
      <c r="I4659" s="1136"/>
      <c r="J4659" s="299" t="s">
        <v>259</v>
      </c>
      <c r="K4659" s="288" t="s">
        <v>133</v>
      </c>
      <c r="L4659" s="1133" t="s">
        <v>271</v>
      </c>
      <c r="M4659" s="1136"/>
      <c r="N4659" s="316" t="s">
        <v>265</v>
      </c>
    </row>
    <row r="4660" spans="2:17" ht="13.5" thickBot="1">
      <c r="B4660" s="331" t="s">
        <v>289</v>
      </c>
      <c r="C4660" s="332"/>
      <c r="D4660" s="332"/>
      <c r="E4660" s="332"/>
      <c r="F4660" s="332"/>
      <c r="G4660" s="332"/>
      <c r="H4660" s="332"/>
      <c r="I4660" s="333"/>
      <c r="J4660" s="334" t="s">
        <v>290</v>
      </c>
      <c r="K4660" s="335">
        <v>0.05</v>
      </c>
      <c r="L4660" s="1144">
        <f>+N4657</f>
        <v>51160.615506051159</v>
      </c>
      <c r="M4660" s="1145"/>
      <c r="N4660" s="322">
        <f>+K4660*L4660</f>
        <v>2558.0307753025581</v>
      </c>
    </row>
    <row r="4661" spans="2:17" ht="13.5" thickBot="1">
      <c r="B4661" s="1100" t="s">
        <v>269</v>
      </c>
      <c r="C4661" s="1101"/>
      <c r="D4661" s="1101"/>
      <c r="E4661" s="1101"/>
      <c r="F4661" s="1101"/>
      <c r="G4661" s="1101"/>
      <c r="H4661" s="1101"/>
      <c r="I4661" s="1101"/>
      <c r="J4661" s="1101"/>
      <c r="K4661" s="1101"/>
      <c r="L4661" s="1101"/>
      <c r="M4661" s="1102"/>
      <c r="N4661" s="322">
        <f>+N4660</f>
        <v>2558.0307753025581</v>
      </c>
    </row>
    <row r="4662" spans="2:17" ht="13.5" thickBot="1">
      <c r="B4662" s="324" t="s">
        <v>338</v>
      </c>
      <c r="C4662" s="325"/>
      <c r="D4662" s="325"/>
      <c r="E4662" s="325"/>
      <c r="F4662" s="325"/>
      <c r="G4662" s="325"/>
      <c r="H4662" s="325"/>
      <c r="I4662" s="326"/>
      <c r="J4662" s="327"/>
      <c r="K4662" s="328"/>
      <c r="L4662" s="329"/>
      <c r="M4662" s="329"/>
      <c r="N4662" s="330"/>
    </row>
    <row r="4663" spans="2:17">
      <c r="B4663" s="1130" t="s">
        <v>17</v>
      </c>
      <c r="C4663" s="1139"/>
      <c r="D4663" s="1139"/>
      <c r="E4663" s="1139"/>
      <c r="F4663" s="1139"/>
      <c r="G4663" s="1139"/>
      <c r="H4663" s="1139"/>
      <c r="I4663" s="1136"/>
      <c r="J4663" s="299" t="s">
        <v>259</v>
      </c>
      <c r="K4663" s="288" t="s">
        <v>133</v>
      </c>
      <c r="L4663" s="1133" t="s">
        <v>271</v>
      </c>
      <c r="M4663" s="1136"/>
      <c r="N4663" s="316" t="s">
        <v>265</v>
      </c>
    </row>
    <row r="4664" spans="2:17" ht="33" customHeight="1" thickBot="1">
      <c r="B4664" s="1191" t="s">
        <v>381</v>
      </c>
      <c r="C4664" s="1192"/>
      <c r="D4664" s="1192"/>
      <c r="E4664" s="1192"/>
      <c r="F4664" s="1192"/>
      <c r="G4664" s="1192"/>
      <c r="H4664" s="1193"/>
      <c r="I4664" s="333"/>
      <c r="J4664" s="334" t="s">
        <v>147</v>
      </c>
      <c r="K4664" s="335">
        <v>6.3E-2</v>
      </c>
      <c r="L4664" s="1144">
        <v>29298</v>
      </c>
      <c r="M4664" s="1145"/>
      <c r="N4664" s="322">
        <f>+K4664*L4664</f>
        <v>1845.7740000000001</v>
      </c>
      <c r="P4664" s="408">
        <v>22013640</v>
      </c>
    </row>
    <row r="4665" spans="2:17" ht="13.5" thickBot="1">
      <c r="B4665" s="1100" t="s">
        <v>269</v>
      </c>
      <c r="C4665" s="1101"/>
      <c r="D4665" s="1101"/>
      <c r="E4665" s="1101"/>
      <c r="F4665" s="1101"/>
      <c r="G4665" s="1101"/>
      <c r="H4665" s="1101"/>
      <c r="I4665" s="1101"/>
      <c r="J4665" s="1101"/>
      <c r="K4665" s="1101"/>
      <c r="L4665" s="1101"/>
      <c r="M4665" s="1102"/>
      <c r="N4665" s="420">
        <f>+N4664</f>
        <v>1845.7740000000001</v>
      </c>
      <c r="O4665" s="421"/>
      <c r="P4665" s="421">
        <f>+N4667*N4630</f>
        <v>22013503.281762447</v>
      </c>
      <c r="Q4665" s="413">
        <f>+P4665-P4664</f>
        <v>-136.71823755279183</v>
      </c>
    </row>
    <row r="4666" spans="2:17" ht="13.5" thickBot="1">
      <c r="B4666" s="1100"/>
      <c r="C4666" s="1101"/>
      <c r="D4666" s="1101"/>
      <c r="E4666" s="1101"/>
      <c r="F4666" s="1101"/>
      <c r="G4666" s="1101"/>
      <c r="H4666" s="1101"/>
      <c r="I4666" s="1101"/>
      <c r="J4666" s="1101"/>
      <c r="K4666" s="1101"/>
      <c r="L4666" s="1101"/>
      <c r="M4666" s="1102"/>
      <c r="N4666" s="322"/>
    </row>
    <row r="4667" spans="2:17" ht="13.5" thickBot="1">
      <c r="B4667" s="1150" t="s">
        <v>291</v>
      </c>
      <c r="C4667" s="1151"/>
      <c r="D4667" s="1151"/>
      <c r="E4667" s="1151"/>
      <c r="F4667" s="1151"/>
      <c r="G4667" s="1151"/>
      <c r="H4667" s="1151"/>
      <c r="I4667" s="1151"/>
      <c r="J4667" s="1151"/>
      <c r="K4667" s="1151"/>
      <c r="L4667" s="1151"/>
      <c r="M4667" s="1152"/>
      <c r="N4667" s="336">
        <f>+N4636+N4645+N4651+N4657+N4661+N4665</f>
        <v>183445.86068135372</v>
      </c>
    </row>
    <row r="4668" spans="2:17">
      <c r="B4668" s="1103" t="s">
        <v>292</v>
      </c>
      <c r="C4668" s="1104"/>
      <c r="D4668" s="1104"/>
      <c r="E4668" s="1104"/>
      <c r="F4668" s="1104"/>
      <c r="G4668" s="1104"/>
      <c r="H4668" s="1104"/>
      <c r="I4668" s="1104"/>
      <c r="J4668" s="1104"/>
      <c r="K4668" s="1104"/>
      <c r="L4668" s="1104"/>
      <c r="M4668" s="1104"/>
      <c r="N4668" s="1105"/>
    </row>
    <row r="4669" spans="2:17">
      <c r="B4669" s="1106"/>
      <c r="C4669" s="1107"/>
      <c r="D4669" s="1107"/>
      <c r="E4669" s="1107"/>
      <c r="F4669" s="1107"/>
      <c r="G4669" s="1107"/>
      <c r="H4669" s="1107"/>
      <c r="I4669" s="1107"/>
      <c r="J4669" s="1107"/>
      <c r="K4669" s="1107"/>
      <c r="L4669" s="1107"/>
      <c r="M4669" s="1107"/>
      <c r="N4669" s="1108"/>
    </row>
    <row r="4670" spans="2:17" ht="13.5" thickBot="1">
      <c r="B4670" s="1109"/>
      <c r="C4670" s="1110"/>
      <c r="D4670" s="1110"/>
      <c r="E4670" s="1110"/>
      <c r="F4670" s="1110"/>
      <c r="G4670" s="1110"/>
      <c r="H4670" s="1110"/>
      <c r="I4670" s="1110"/>
      <c r="J4670" s="1110"/>
      <c r="K4670" s="1110"/>
      <c r="L4670" s="1110"/>
      <c r="M4670" s="1110"/>
      <c r="N4670" s="1111"/>
    </row>
    <row r="4671" spans="2:17">
      <c r="B4671" s="1130" t="s">
        <v>17</v>
      </c>
      <c r="C4671" s="1139"/>
      <c r="D4671" s="1139"/>
      <c r="E4671" s="1139"/>
      <c r="F4671" s="1139"/>
      <c r="G4671" s="1139"/>
      <c r="H4671" s="1139"/>
      <c r="I4671" s="306"/>
      <c r="J4671" s="337"/>
      <c r="K4671" s="315" t="s">
        <v>79</v>
      </c>
      <c r="L4671" s="1140" t="s">
        <v>11</v>
      </c>
      <c r="M4671" s="1141"/>
      <c r="N4671" s="316"/>
    </row>
    <row r="4672" spans="2:17">
      <c r="B4672" s="1112" t="s">
        <v>232</v>
      </c>
      <c r="C4672" s="1113"/>
      <c r="D4672" s="1113"/>
      <c r="E4672" s="1113"/>
      <c r="F4672" s="1113"/>
      <c r="G4672" s="1113"/>
      <c r="H4672" s="1113"/>
      <c r="I4672" s="338"/>
      <c r="J4672" s="339"/>
      <c r="K4672" s="340">
        <f>'PRESUPUESTO OFICIAL'!$K$100</f>
        <v>0</v>
      </c>
      <c r="L4672" s="1146">
        <f>K4672*N4667</f>
        <v>0</v>
      </c>
      <c r="M4672" s="1147"/>
      <c r="N4672" s="341"/>
    </row>
    <row r="4673" spans="2:14">
      <c r="B4673" s="292" t="s">
        <v>293</v>
      </c>
      <c r="C4673" s="293"/>
      <c r="D4673" s="293"/>
      <c r="E4673" s="293"/>
      <c r="F4673" s="293"/>
      <c r="G4673" s="293"/>
      <c r="H4673" s="293"/>
      <c r="I4673" s="338"/>
      <c r="J4673" s="339"/>
      <c r="K4673" s="340">
        <f>'PRESUPUESTO OFICIAL'!$K$101</f>
        <v>0</v>
      </c>
      <c r="L4673" s="1146">
        <f>K4673*N4667</f>
        <v>0</v>
      </c>
      <c r="M4673" s="1147"/>
      <c r="N4673" s="341"/>
    </row>
    <row r="4674" spans="2:14" ht="13.5" thickBot="1">
      <c r="B4674" s="277" t="s">
        <v>294</v>
      </c>
      <c r="C4674" s="278"/>
      <c r="D4674" s="278"/>
      <c r="E4674" s="278"/>
      <c r="F4674" s="278"/>
      <c r="G4674" s="278"/>
      <c r="H4674" s="278"/>
      <c r="I4674" s="342"/>
      <c r="J4674" s="343"/>
      <c r="K4674" s="340">
        <f>'PRESUPUESTO OFICIAL'!$K$102</f>
        <v>0</v>
      </c>
      <c r="L4674" s="1148">
        <f>K4674*N4667</f>
        <v>0</v>
      </c>
      <c r="M4674" s="1149"/>
      <c r="N4674" s="341"/>
    </row>
    <row r="4675" spans="2:14" ht="13.5" thickBot="1">
      <c r="B4675" s="1100" t="s">
        <v>269</v>
      </c>
      <c r="C4675" s="1101"/>
      <c r="D4675" s="1101"/>
      <c r="E4675" s="1101"/>
      <c r="F4675" s="1101"/>
      <c r="G4675" s="1101"/>
      <c r="H4675" s="1101"/>
      <c r="I4675" s="1101"/>
      <c r="J4675" s="1101"/>
      <c r="K4675" s="1101"/>
      <c r="L4675" s="1101"/>
      <c r="M4675" s="1102"/>
      <c r="N4675" s="344">
        <f>SUM(L4672:M4674)</f>
        <v>0</v>
      </c>
    </row>
    <row r="4676" spans="2:14" ht="13.5" thickBot="1">
      <c r="B4676" s="283"/>
      <c r="N4676" s="284"/>
    </row>
    <row r="4677" spans="2:14" ht="13.5" thickBot="1">
      <c r="B4677" s="1150" t="s">
        <v>295</v>
      </c>
      <c r="C4677" s="1151"/>
      <c r="D4677" s="1151"/>
      <c r="E4677" s="1151"/>
      <c r="F4677" s="1151"/>
      <c r="G4677" s="1151"/>
      <c r="H4677" s="1151"/>
      <c r="I4677" s="1151"/>
      <c r="J4677" s="1151"/>
      <c r="K4677" s="1151"/>
      <c r="L4677" s="1151"/>
      <c r="M4677" s="1152"/>
      <c r="N4677" s="345">
        <f>ROUND(N4667+N4675,0)</f>
        <v>183446</v>
      </c>
    </row>
    <row r="4678" spans="2:14">
      <c r="B4678" s="280"/>
      <c r="C4678" s="281"/>
      <c r="D4678" s="281"/>
      <c r="E4678" s="281"/>
      <c r="F4678" s="281"/>
      <c r="G4678" s="281"/>
      <c r="H4678" s="281"/>
      <c r="I4678" s="281"/>
      <c r="J4678" s="281"/>
      <c r="K4678" s="281"/>
      <c r="L4678" s="281"/>
      <c r="M4678" s="281"/>
      <c r="N4678" s="282"/>
    </row>
    <row r="4679" spans="2:14">
      <c r="B4679" s="283"/>
      <c r="N4679" s="284"/>
    </row>
    <row r="4680" spans="2:14">
      <c r="B4680" s="283"/>
      <c r="N4680" s="284"/>
    </row>
    <row r="4681" spans="2:14">
      <c r="B4681" s="283"/>
      <c r="G4681" s="346" t="s">
        <v>296</v>
      </c>
      <c r="H4681" s="346"/>
      <c r="I4681" s="346"/>
      <c r="J4681" s="346"/>
      <c r="N4681" s="284"/>
    </row>
    <row r="4682" spans="2:14">
      <c r="B4682" s="347"/>
      <c r="C4682" s="348"/>
      <c r="D4682" s="348"/>
      <c r="E4682" s="348"/>
      <c r="F4682" s="348"/>
      <c r="G4682" s="346" t="s">
        <v>297</v>
      </c>
      <c r="H4682" s="348"/>
      <c r="I4682" s="348"/>
      <c r="J4682" s="348"/>
      <c r="K4682" s="348"/>
      <c r="L4682" s="348"/>
      <c r="M4682" s="348"/>
      <c r="N4682" s="349"/>
    </row>
    <row r="4683" spans="2:14">
      <c r="B4683" s="347"/>
      <c r="C4683" s="348"/>
      <c r="D4683" s="348"/>
      <c r="E4683" s="348"/>
      <c r="F4683" s="348"/>
      <c r="G4683" s="346" t="s">
        <v>298</v>
      </c>
      <c r="J4683" s="348"/>
      <c r="K4683" s="348"/>
      <c r="L4683" s="348"/>
      <c r="M4683" s="348"/>
      <c r="N4683" s="349"/>
    </row>
    <row r="4684" spans="2:14">
      <c r="B4684" s="268"/>
      <c r="C4684" s="350"/>
      <c r="D4684" s="350"/>
      <c r="E4684" s="350"/>
      <c r="F4684" s="350"/>
      <c r="G4684" s="346" t="s">
        <v>299</v>
      </c>
      <c r="H4684" s="350"/>
      <c r="I4684" s="350"/>
      <c r="J4684" s="350"/>
      <c r="K4684" s="350"/>
      <c r="L4684" s="350"/>
      <c r="M4684" s="350"/>
      <c r="N4684" s="351"/>
    </row>
    <row r="4685" spans="2:14">
      <c r="B4685" s="283"/>
      <c r="G4685" s="258" t="s">
        <v>300</v>
      </c>
      <c r="N4685" s="284"/>
    </row>
    <row r="4686" spans="2:14">
      <c r="B4686" s="352" t="s">
        <v>301</v>
      </c>
      <c r="C4686" s="353"/>
      <c r="D4686" s="353"/>
      <c r="E4686" s="353"/>
      <c r="F4686" s="353"/>
      <c r="G4686" s="353"/>
      <c r="H4686" s="353"/>
      <c r="I4686" s="353"/>
      <c r="J4686" s="353"/>
      <c r="K4686" s="353"/>
      <c r="L4686" s="353"/>
      <c r="M4686" s="353"/>
      <c r="N4686" s="354"/>
    </row>
    <row r="4687" spans="2:14">
      <c r="B4687" s="1153"/>
      <c r="C4687" s="1154"/>
      <c r="D4687" s="1154"/>
      <c r="E4687" s="1154"/>
      <c r="F4687" s="1154"/>
      <c r="G4687" s="1154"/>
      <c r="H4687" s="1154"/>
      <c r="I4687" s="1154"/>
      <c r="J4687" s="1154"/>
      <c r="K4687" s="1154"/>
      <c r="L4687" s="1154"/>
      <c r="M4687" s="1154"/>
      <c r="N4687" s="1155"/>
    </row>
    <row r="4688" spans="2:14">
      <c r="B4688" s="1153"/>
      <c r="C4688" s="1154"/>
      <c r="D4688" s="1154"/>
      <c r="E4688" s="1154"/>
      <c r="F4688" s="1154"/>
      <c r="G4688" s="1154"/>
      <c r="H4688" s="1154"/>
      <c r="I4688" s="1154"/>
      <c r="J4688" s="1154"/>
      <c r="K4688" s="1154"/>
      <c r="L4688" s="1154"/>
      <c r="M4688" s="1154"/>
      <c r="N4688" s="1155"/>
    </row>
    <row r="4689" spans="2:14">
      <c r="B4689" s="268"/>
      <c r="C4689" s="350"/>
      <c r="D4689" s="350"/>
      <c r="E4689" s="350"/>
      <c r="F4689" s="350"/>
      <c r="G4689" s="350"/>
      <c r="H4689" s="350"/>
      <c r="I4689" s="350"/>
      <c r="J4689" s="350"/>
      <c r="K4689" s="350"/>
      <c r="L4689" s="350"/>
      <c r="M4689" s="350"/>
      <c r="N4689" s="351"/>
    </row>
    <row r="4690" spans="2:14">
      <c r="B4690" s="355" t="s">
        <v>302</v>
      </c>
      <c r="C4690" s="350"/>
      <c r="D4690" s="350"/>
      <c r="E4690" s="350"/>
      <c r="F4690" s="350"/>
      <c r="G4690" s="350"/>
      <c r="H4690" s="350"/>
      <c r="I4690" s="350"/>
      <c r="J4690" s="350"/>
      <c r="K4690" s="350"/>
      <c r="L4690" s="350"/>
      <c r="M4690" s="350"/>
      <c r="N4690" s="351"/>
    </row>
    <row r="4691" spans="2:14">
      <c r="B4691" s="1159" t="s">
        <v>303</v>
      </c>
      <c r="C4691" s="1160"/>
      <c r="D4691" s="1160"/>
      <c r="E4691" s="1160"/>
      <c r="F4691" s="1160"/>
      <c r="G4691" s="1160"/>
      <c r="H4691" s="1160"/>
      <c r="I4691" s="1160"/>
      <c r="J4691" s="1160"/>
      <c r="K4691" s="1160"/>
      <c r="L4691" s="1160"/>
      <c r="M4691" s="1160"/>
      <c r="N4691" s="1161"/>
    </row>
    <row r="4692" spans="2:14">
      <c r="B4692" s="1159"/>
      <c r="C4692" s="1160"/>
      <c r="D4692" s="1160"/>
      <c r="E4692" s="1160"/>
      <c r="F4692" s="1160"/>
      <c r="G4692" s="1160"/>
      <c r="H4692" s="1160"/>
      <c r="I4692" s="1160"/>
      <c r="J4692" s="1160"/>
      <c r="K4692" s="1160"/>
      <c r="L4692" s="1160"/>
      <c r="M4692" s="1160"/>
      <c r="N4692" s="1161"/>
    </row>
    <row r="4693" spans="2:14">
      <c r="B4693" s="1159" t="s">
        <v>304</v>
      </c>
      <c r="C4693" s="1160"/>
      <c r="D4693" s="1160"/>
      <c r="E4693" s="1160"/>
      <c r="F4693" s="1160"/>
      <c r="G4693" s="1160"/>
      <c r="H4693" s="1160"/>
      <c r="I4693" s="1160"/>
      <c r="J4693" s="1160"/>
      <c r="K4693" s="1160"/>
      <c r="L4693" s="1160"/>
      <c r="M4693" s="1160"/>
      <c r="N4693" s="1161"/>
    </row>
    <row r="4694" spans="2:14">
      <c r="B4694" s="1159"/>
      <c r="C4694" s="1160"/>
      <c r="D4694" s="1160"/>
      <c r="E4694" s="1160"/>
      <c r="F4694" s="1160"/>
      <c r="G4694" s="1160"/>
      <c r="H4694" s="1160"/>
      <c r="I4694" s="1160"/>
      <c r="J4694" s="1160"/>
      <c r="K4694" s="1160"/>
      <c r="L4694" s="1160"/>
      <c r="M4694" s="1160"/>
      <c r="N4694" s="1161"/>
    </row>
    <row r="4695" spans="2:14">
      <c r="B4695" s="268"/>
      <c r="C4695" s="350"/>
      <c r="D4695" s="350"/>
      <c r="E4695" s="350"/>
      <c r="F4695" s="350"/>
      <c r="G4695" s="350"/>
      <c r="H4695" s="350"/>
      <c r="I4695" s="350"/>
      <c r="J4695" s="350"/>
      <c r="K4695" s="350"/>
      <c r="L4695" s="350"/>
      <c r="M4695" s="350"/>
      <c r="N4695" s="351"/>
    </row>
    <row r="4696" spans="2:14">
      <c r="B4696" s="283"/>
      <c r="G4696" s="346" t="s">
        <v>296</v>
      </c>
      <c r="N4696" s="284"/>
    </row>
    <row r="4697" spans="2:14">
      <c r="B4697" s="283"/>
      <c r="G4697" s="258" t="s">
        <v>305</v>
      </c>
      <c r="H4697" s="293"/>
      <c r="I4697" s="293"/>
      <c r="J4697" s="293"/>
      <c r="N4697" s="284"/>
    </row>
    <row r="4698" spans="2:14">
      <c r="B4698" s="283"/>
      <c r="G4698" s="258" t="s">
        <v>306</v>
      </c>
      <c r="H4698" s="325"/>
      <c r="I4698" s="325"/>
      <c r="J4698" s="325"/>
      <c r="N4698" s="284"/>
    </row>
    <row r="4699" spans="2:14">
      <c r="B4699" s="356"/>
      <c r="C4699" s="350"/>
      <c r="D4699" s="350"/>
      <c r="E4699" s="350"/>
      <c r="F4699" s="350"/>
      <c r="G4699" s="258" t="s">
        <v>299</v>
      </c>
      <c r="K4699" s="350"/>
      <c r="L4699" s="350"/>
      <c r="M4699" s="350"/>
      <c r="N4699" s="351"/>
    </row>
    <row r="4700" spans="2:14">
      <c r="B4700" s="357"/>
      <c r="C4700" s="358"/>
      <c r="D4700" s="358"/>
      <c r="J4700" s="1162"/>
      <c r="K4700" s="1162"/>
      <c r="L4700" s="1162"/>
      <c r="M4700" s="1162"/>
      <c r="N4700" s="1163"/>
    </row>
    <row r="4701" spans="2:14" ht="13.5" thickBot="1">
      <c r="B4701" s="1166"/>
      <c r="C4701" s="1167"/>
      <c r="D4701" s="1167"/>
      <c r="E4701" s="311"/>
      <c r="F4701" s="311"/>
      <c r="G4701" s="311"/>
      <c r="H4701" s="311"/>
      <c r="I4701" s="311"/>
      <c r="J4701" s="1164"/>
      <c r="K4701" s="1164"/>
      <c r="L4701" s="1164"/>
      <c r="M4701" s="1164"/>
      <c r="N4701" s="1165"/>
    </row>
    <row r="4702" spans="2:14" ht="13.5" thickBot="1"/>
    <row r="4703" spans="2:14">
      <c r="B4703" s="1070"/>
      <c r="C4703" s="1072"/>
      <c r="D4703" s="1073"/>
      <c r="E4703" s="1073"/>
      <c r="F4703" s="1073"/>
      <c r="G4703" s="1073"/>
      <c r="H4703" s="1073"/>
      <c r="I4703" s="1073"/>
      <c r="J4703" s="1074"/>
      <c r="K4703" s="1075"/>
      <c r="L4703" s="1076"/>
      <c r="M4703" s="1076"/>
      <c r="N4703" s="1077"/>
    </row>
    <row r="4704" spans="2:14">
      <c r="B4704" s="1071"/>
      <c r="C4704" s="1062" t="s">
        <v>244</v>
      </c>
      <c r="D4704" s="1063"/>
      <c r="E4704" s="1063"/>
      <c r="F4704" s="1063"/>
      <c r="G4704" s="1063"/>
      <c r="H4704" s="1063"/>
      <c r="I4704" s="1063"/>
      <c r="J4704" s="1064"/>
      <c r="K4704" s="1078"/>
      <c r="L4704" s="1079"/>
      <c r="M4704" s="1079"/>
      <c r="N4704" s="1080"/>
    </row>
    <row r="4705" spans="2:14">
      <c r="B4705" s="1071"/>
      <c r="C4705" s="1081"/>
      <c r="D4705" s="1082"/>
      <c r="E4705" s="1082"/>
      <c r="F4705" s="1082"/>
      <c r="G4705" s="1082"/>
      <c r="H4705" s="1082"/>
      <c r="I4705" s="1082"/>
      <c r="J4705" s="1083"/>
      <c r="K4705" s="1058" t="s">
        <v>245</v>
      </c>
      <c r="L4705" s="1085"/>
      <c r="M4705" s="1086"/>
      <c r="N4705" s="1087"/>
    </row>
    <row r="4706" spans="2:14">
      <c r="B4706" s="1071"/>
      <c r="C4706" s="1062" t="s">
        <v>246</v>
      </c>
      <c r="D4706" s="1063"/>
      <c r="E4706" s="1063"/>
      <c r="F4706" s="1063"/>
      <c r="G4706" s="1063"/>
      <c r="H4706" s="1063"/>
      <c r="I4706" s="1063"/>
      <c r="J4706" s="1064"/>
      <c r="K4706" s="1084"/>
      <c r="L4706" s="1088"/>
      <c r="M4706" s="1089"/>
      <c r="N4706" s="1090"/>
    </row>
    <row r="4707" spans="2:14">
      <c r="B4707" s="1071"/>
      <c r="C4707" s="1091"/>
      <c r="D4707" s="1092"/>
      <c r="E4707" s="1092"/>
      <c r="F4707" s="1092"/>
      <c r="G4707" s="1092"/>
      <c r="H4707" s="1092"/>
      <c r="I4707" s="1092"/>
      <c r="J4707" s="1093"/>
      <c r="K4707" s="1058" t="s">
        <v>247</v>
      </c>
      <c r="L4707" s="1058">
        <v>53</v>
      </c>
      <c r="M4707" s="1058" t="s">
        <v>248</v>
      </c>
      <c r="N4707" s="1060">
        <v>80</v>
      </c>
    </row>
    <row r="4708" spans="2:14">
      <c r="B4708" s="1071"/>
      <c r="C4708" s="1091"/>
      <c r="D4708" s="1092"/>
      <c r="E4708" s="1092"/>
      <c r="F4708" s="1092"/>
      <c r="G4708" s="1092"/>
      <c r="H4708" s="1092"/>
      <c r="I4708" s="1092"/>
      <c r="J4708" s="1093"/>
      <c r="K4708" s="1059"/>
      <c r="L4708" s="1059"/>
      <c r="M4708" s="1059"/>
      <c r="N4708" s="1061"/>
    </row>
    <row r="4709" spans="2:14">
      <c r="B4709" s="1071"/>
      <c r="C4709" s="1062" t="s">
        <v>249</v>
      </c>
      <c r="D4709" s="1063"/>
      <c r="E4709" s="1063"/>
      <c r="F4709" s="1063"/>
      <c r="G4709" s="1063"/>
      <c r="H4709" s="1063"/>
      <c r="I4709" s="1063"/>
      <c r="J4709" s="1064"/>
      <c r="K4709" s="1059"/>
      <c r="L4709" s="1059"/>
      <c r="M4709" s="1059"/>
      <c r="N4709" s="1061"/>
    </row>
    <row r="4710" spans="2:14" ht="13.5" thickBot="1">
      <c r="B4710" s="259"/>
      <c r="C4710" s="260"/>
      <c r="D4710" s="260"/>
      <c r="E4710" s="260"/>
      <c r="F4710" s="260"/>
      <c r="G4710" s="260"/>
      <c r="H4710" s="260"/>
      <c r="I4710" s="260"/>
      <c r="J4710" s="260"/>
      <c r="K4710" s="260"/>
      <c r="L4710" s="261"/>
      <c r="M4710" s="261"/>
      <c r="N4710" s="262"/>
    </row>
    <row r="4711" spans="2:14">
      <c r="B4711" s="263"/>
      <c r="C4711" s="264"/>
      <c r="D4711" s="264"/>
      <c r="E4711" s="264"/>
      <c r="F4711" s="264"/>
      <c r="G4711" s="264"/>
      <c r="H4711" s="264"/>
      <c r="I4711" s="264"/>
      <c r="J4711" s="264"/>
      <c r="K4711" s="265" t="s">
        <v>250</v>
      </c>
      <c r="L4711" s="266" t="s">
        <v>251</v>
      </c>
      <c r="M4711" s="266" t="s">
        <v>252</v>
      </c>
      <c r="N4711" s="267" t="s">
        <v>253</v>
      </c>
    </row>
    <row r="4712" spans="2:14">
      <c r="B4712" s="268"/>
      <c r="C4712" s="269"/>
      <c r="D4712" s="269"/>
      <c r="E4712" s="269"/>
      <c r="F4712" s="269"/>
      <c r="G4712" s="269"/>
      <c r="H4712" s="269"/>
      <c r="I4712" s="269"/>
      <c r="J4712" s="269"/>
      <c r="K4712" s="270"/>
      <c r="L4712" s="271"/>
      <c r="M4712" s="271"/>
      <c r="N4712" s="272"/>
    </row>
    <row r="4713" spans="2:14">
      <c r="B4713" s="1065" t="s">
        <v>254</v>
      </c>
      <c r="C4713" s="1066"/>
      <c r="D4713" s="1066"/>
      <c r="E4713" s="1066"/>
      <c r="F4713" s="269"/>
      <c r="G4713" s="269"/>
      <c r="H4713" s="269" t="s">
        <v>255</v>
      </c>
      <c r="J4713" s="269"/>
      <c r="K4713" s="270"/>
      <c r="N4713" s="273"/>
    </row>
    <row r="4714" spans="2:14">
      <c r="B4714" s="274"/>
      <c r="C4714" s="275"/>
      <c r="D4714" s="275"/>
      <c r="E4714" s="275"/>
      <c r="F4714" s="275"/>
      <c r="G4714" s="275"/>
      <c r="H4714" s="275"/>
      <c r="I4714" s="275"/>
      <c r="J4714" s="275"/>
      <c r="K4714" s="275"/>
      <c r="L4714" s="275"/>
      <c r="M4714" s="275"/>
      <c r="N4714" s="276"/>
    </row>
    <row r="4715" spans="2:14" ht="13.5" thickBot="1">
      <c r="B4715" s="277"/>
      <c r="C4715" s="278"/>
      <c r="D4715" s="278"/>
      <c r="E4715" s="278"/>
      <c r="F4715" s="278"/>
      <c r="G4715" s="278"/>
      <c r="H4715" s="278"/>
      <c r="I4715" s="278"/>
      <c r="J4715" s="278"/>
      <c r="K4715" s="278"/>
      <c r="L4715" s="278"/>
      <c r="M4715" s="278"/>
      <c r="N4715" s="279"/>
    </row>
    <row r="4716" spans="2:14" ht="13.5" thickBot="1">
      <c r="B4716" s="280"/>
      <c r="C4716" s="281"/>
      <c r="D4716" s="281"/>
      <c r="E4716" s="281"/>
      <c r="F4716" s="281"/>
      <c r="G4716" s="281"/>
      <c r="J4716" s="281"/>
      <c r="K4716" s="281"/>
      <c r="L4716" s="281"/>
      <c r="M4716" s="281"/>
      <c r="N4716" s="282"/>
    </row>
    <row r="4717" spans="2:14">
      <c r="B4717" s="1067" t="s">
        <v>256</v>
      </c>
      <c r="C4717" s="1068"/>
      <c r="D4717" s="1068"/>
      <c r="E4717" s="1068"/>
      <c r="F4717" s="1068"/>
      <c r="G4717" s="1068"/>
      <c r="H4717" s="1068"/>
      <c r="I4717" s="1068"/>
      <c r="J4717" s="1068"/>
      <c r="K4717" s="1068"/>
      <c r="L4717" s="1068"/>
      <c r="M4717" s="1068"/>
      <c r="N4717" s="1069"/>
    </row>
    <row r="4718" spans="2:14" ht="13.5" thickBot="1">
      <c r="B4718" s="283"/>
      <c r="N4718" s="284"/>
    </row>
    <row r="4719" spans="2:14">
      <c r="B4719" s="285" t="s">
        <v>257</v>
      </c>
      <c r="C4719" s="1120" t="s">
        <v>258</v>
      </c>
      <c r="D4719" s="1121"/>
      <c r="E4719" s="1121"/>
      <c r="F4719" s="1121"/>
      <c r="G4719" s="1121"/>
      <c r="H4719" s="1121"/>
      <c r="I4719" s="1121"/>
      <c r="J4719" s="1121"/>
      <c r="K4719" s="1122"/>
      <c r="L4719" s="1123" t="s">
        <v>259</v>
      </c>
      <c r="M4719" s="1124"/>
      <c r="N4719" s="285" t="s">
        <v>133</v>
      </c>
    </row>
    <row r="4720" spans="2:14" ht="13.5" thickBot="1">
      <c r="B4720" s="286">
        <v>53</v>
      </c>
      <c r="C4720" s="1125" t="s">
        <v>195</v>
      </c>
      <c r="D4720" s="1126"/>
      <c r="E4720" s="1126"/>
      <c r="F4720" s="1126"/>
      <c r="G4720" s="1126"/>
      <c r="H4720" s="1126"/>
      <c r="I4720" s="1126"/>
      <c r="J4720" s="1126"/>
      <c r="K4720" s="1127"/>
      <c r="L4720" s="1128" t="s">
        <v>196</v>
      </c>
      <c r="M4720" s="1129"/>
      <c r="N4720" s="366">
        <v>600</v>
      </c>
    </row>
    <row r="4721" spans="2:14">
      <c r="B4721" s="1103" t="s">
        <v>260</v>
      </c>
      <c r="C4721" s="1104"/>
      <c r="D4721" s="1104"/>
      <c r="E4721" s="1104"/>
      <c r="F4721" s="1104"/>
      <c r="G4721" s="1104"/>
      <c r="H4721" s="1104"/>
      <c r="I4721" s="1104"/>
      <c r="J4721" s="1104"/>
      <c r="K4721" s="1104"/>
      <c r="L4721" s="1104"/>
      <c r="M4721" s="1104"/>
      <c r="N4721" s="1105"/>
    </row>
    <row r="4722" spans="2:14">
      <c r="B4722" s="1106"/>
      <c r="C4722" s="1107"/>
      <c r="D4722" s="1107"/>
      <c r="E4722" s="1107"/>
      <c r="F4722" s="1107"/>
      <c r="G4722" s="1107"/>
      <c r="H4722" s="1107"/>
      <c r="I4722" s="1107"/>
      <c r="J4722" s="1107"/>
      <c r="K4722" s="1107"/>
      <c r="L4722" s="1107"/>
      <c r="M4722" s="1107"/>
      <c r="N4722" s="1108"/>
    </row>
    <row r="4723" spans="2:14" ht="13.5" thickBot="1">
      <c r="B4723" s="1109"/>
      <c r="C4723" s="1110"/>
      <c r="D4723" s="1110"/>
      <c r="E4723" s="1110"/>
      <c r="F4723" s="1110"/>
      <c r="G4723" s="1110"/>
      <c r="H4723" s="1110"/>
      <c r="I4723" s="1110"/>
      <c r="J4723" s="1110"/>
      <c r="K4723" s="1110"/>
      <c r="L4723" s="1110"/>
      <c r="M4723" s="1110"/>
      <c r="N4723" s="1111"/>
    </row>
    <row r="4724" spans="2:14">
      <c r="B4724" s="1130" t="s">
        <v>258</v>
      </c>
      <c r="C4724" s="1131"/>
      <c r="D4724" s="1131"/>
      <c r="E4724" s="1131"/>
      <c r="F4724" s="1132"/>
      <c r="G4724" s="1133" t="s">
        <v>261</v>
      </c>
      <c r="H4724" s="1131"/>
      <c r="I4724" s="1134" t="s">
        <v>262</v>
      </c>
      <c r="J4724" s="1135"/>
      <c r="K4724" s="288" t="s">
        <v>263</v>
      </c>
      <c r="L4724" s="1133" t="s">
        <v>264</v>
      </c>
      <c r="M4724" s="1136"/>
      <c r="N4724" s="289" t="s">
        <v>265</v>
      </c>
    </row>
    <row r="4725" spans="2:14" ht="13.5" thickBot="1">
      <c r="B4725" s="1179"/>
      <c r="C4725" s="1180"/>
      <c r="D4725" s="1180"/>
      <c r="E4725" s="1180"/>
      <c r="F4725" s="1181"/>
      <c r="G4725" s="295"/>
      <c r="H4725" s="294"/>
      <c r="I4725" s="1182"/>
      <c r="J4725" s="1183"/>
      <c r="K4725" s="290"/>
      <c r="L4725" s="1118"/>
      <c r="M4725" s="1119"/>
      <c r="N4725" s="290"/>
    </row>
    <row r="4726" spans="2:14" ht="13.5" thickBot="1">
      <c r="B4726" s="1100" t="s">
        <v>269</v>
      </c>
      <c r="C4726" s="1101"/>
      <c r="D4726" s="1101"/>
      <c r="E4726" s="1101"/>
      <c r="F4726" s="1101"/>
      <c r="G4726" s="1101"/>
      <c r="H4726" s="1101"/>
      <c r="I4726" s="1101"/>
      <c r="J4726" s="1101"/>
      <c r="K4726" s="1101"/>
      <c r="L4726" s="1101"/>
      <c r="M4726" s="1102"/>
      <c r="N4726" s="323">
        <v>0</v>
      </c>
    </row>
    <row r="4727" spans="2:14">
      <c r="B4727" s="1103" t="s">
        <v>270</v>
      </c>
      <c r="C4727" s="1104"/>
      <c r="D4727" s="1104"/>
      <c r="E4727" s="1104"/>
      <c r="F4727" s="1104"/>
      <c r="G4727" s="1104"/>
      <c r="H4727" s="1104"/>
      <c r="I4727" s="1104"/>
      <c r="J4727" s="1104"/>
      <c r="K4727" s="1104"/>
      <c r="L4727" s="1104"/>
      <c r="M4727" s="1104"/>
      <c r="N4727" s="1105"/>
    </row>
    <row r="4728" spans="2:14">
      <c r="B4728" s="1106"/>
      <c r="C4728" s="1107"/>
      <c r="D4728" s="1107"/>
      <c r="E4728" s="1107"/>
      <c r="F4728" s="1107"/>
      <c r="G4728" s="1107"/>
      <c r="H4728" s="1107"/>
      <c r="I4728" s="1107"/>
      <c r="J4728" s="1107"/>
      <c r="K4728" s="1107"/>
      <c r="L4728" s="1107"/>
      <c r="M4728" s="1107"/>
      <c r="N4728" s="1108"/>
    </row>
    <row r="4729" spans="2:14" ht="13.5" thickBot="1">
      <c r="B4729" s="1109"/>
      <c r="C4729" s="1110"/>
      <c r="D4729" s="1110"/>
      <c r="E4729" s="1110"/>
      <c r="F4729" s="1110"/>
      <c r="G4729" s="1110"/>
      <c r="H4729" s="1110"/>
      <c r="I4729" s="1110"/>
      <c r="J4729" s="1110"/>
      <c r="K4729" s="1110"/>
      <c r="L4729" s="1110"/>
      <c r="M4729" s="1110"/>
      <c r="N4729" s="1111"/>
    </row>
    <row r="4730" spans="2:14">
      <c r="B4730" s="1130" t="s">
        <v>258</v>
      </c>
      <c r="C4730" s="1139"/>
      <c r="D4730" s="1139"/>
      <c r="E4730" s="1139"/>
      <c r="F4730" s="1139"/>
      <c r="G4730" s="1139"/>
      <c r="H4730" s="1139"/>
      <c r="I4730" s="1136"/>
      <c r="J4730" s="299" t="s">
        <v>259</v>
      </c>
      <c r="K4730" s="288" t="s">
        <v>133</v>
      </c>
      <c r="L4730" s="1133" t="s">
        <v>271</v>
      </c>
      <c r="M4730" s="1136"/>
      <c r="N4730" s="289" t="s">
        <v>265</v>
      </c>
    </row>
    <row r="4731" spans="2:14">
      <c r="B4731" s="402"/>
      <c r="C4731" s="353"/>
      <c r="D4731" s="353"/>
      <c r="E4731" s="353"/>
      <c r="F4731" s="353"/>
      <c r="G4731" s="353"/>
      <c r="H4731" s="353"/>
      <c r="I4731" s="403"/>
      <c r="J4731" s="303"/>
      <c r="K4731" s="392"/>
      <c r="L4731" s="1144"/>
      <c r="M4731" s="1145"/>
      <c r="N4731" s="363"/>
    </row>
    <row r="4732" spans="2:14" ht="13.5" thickBot="1">
      <c r="B4732" s="402"/>
      <c r="C4732" s="353"/>
      <c r="D4732" s="353"/>
      <c r="E4732" s="353"/>
      <c r="F4732" s="353"/>
      <c r="G4732" s="353"/>
      <c r="H4732" s="353"/>
      <c r="I4732" s="403"/>
      <c r="J4732" s="303"/>
      <c r="K4732" s="392"/>
      <c r="L4732" s="1144"/>
      <c r="M4732" s="1145"/>
      <c r="N4732" s="363"/>
    </row>
    <row r="4733" spans="2:14" ht="13.5" thickBot="1">
      <c r="B4733" s="1100" t="s">
        <v>269</v>
      </c>
      <c r="C4733" s="1101"/>
      <c r="D4733" s="1101"/>
      <c r="E4733" s="1101"/>
      <c r="F4733" s="1101"/>
      <c r="G4733" s="1101"/>
      <c r="H4733" s="1101"/>
      <c r="I4733" s="1101"/>
      <c r="J4733" s="1101"/>
      <c r="K4733" s="1101"/>
      <c r="L4733" s="1101"/>
      <c r="M4733" s="1102"/>
      <c r="N4733" s="323">
        <f>+N4731+N4732</f>
        <v>0</v>
      </c>
    </row>
    <row r="4734" spans="2:14">
      <c r="B4734" s="1103" t="s">
        <v>367</v>
      </c>
      <c r="C4734" s="1104"/>
      <c r="D4734" s="1104"/>
      <c r="E4734" s="1104"/>
      <c r="F4734" s="1104"/>
      <c r="G4734" s="1104"/>
      <c r="H4734" s="1104"/>
      <c r="I4734" s="1104"/>
      <c r="J4734" s="1104"/>
      <c r="K4734" s="1104"/>
      <c r="L4734" s="1104"/>
      <c r="M4734" s="1104"/>
      <c r="N4734" s="1105"/>
    </row>
    <row r="4735" spans="2:14">
      <c r="B4735" s="1106"/>
      <c r="C4735" s="1107"/>
      <c r="D4735" s="1107"/>
      <c r="E4735" s="1107"/>
      <c r="F4735" s="1107"/>
      <c r="G4735" s="1107"/>
      <c r="H4735" s="1107"/>
      <c r="I4735" s="1107"/>
      <c r="J4735" s="1107"/>
      <c r="K4735" s="1107"/>
      <c r="L4735" s="1107"/>
      <c r="M4735" s="1107"/>
      <c r="N4735" s="1108"/>
    </row>
    <row r="4736" spans="2:14" ht="13.5" thickBot="1">
      <c r="B4736" s="1109"/>
      <c r="C4736" s="1110"/>
      <c r="D4736" s="1110"/>
      <c r="E4736" s="1110"/>
      <c r="F4736" s="1110"/>
      <c r="G4736" s="1110"/>
      <c r="H4736" s="1110"/>
      <c r="I4736" s="1110"/>
      <c r="J4736" s="1110"/>
      <c r="K4736" s="1110"/>
      <c r="L4736" s="1110"/>
      <c r="M4736" s="1110"/>
      <c r="N4736" s="1111"/>
    </row>
    <row r="4737" spans="2:16">
      <c r="B4737" s="1130" t="s">
        <v>277</v>
      </c>
      <c r="C4737" s="1139"/>
      <c r="D4737" s="1139"/>
      <c r="E4737" s="1139"/>
      <c r="F4737" s="1139"/>
      <c r="G4737" s="1139"/>
      <c r="H4737" s="1139"/>
      <c r="I4737" s="288" t="s">
        <v>278</v>
      </c>
      <c r="J4737" s="306" t="s">
        <v>279</v>
      </c>
      <c r="K4737" s="307" t="s">
        <v>280</v>
      </c>
      <c r="L4737" s="1133" t="s">
        <v>281</v>
      </c>
      <c r="M4737" s="1136"/>
      <c r="N4737" s="289" t="s">
        <v>265</v>
      </c>
    </row>
    <row r="4738" spans="2:16" ht="13.5" thickBot="1">
      <c r="B4738" s="1112"/>
      <c r="C4738" s="1113"/>
      <c r="D4738" s="1113"/>
      <c r="E4738" s="1113"/>
      <c r="F4738" s="1113"/>
      <c r="G4738" s="1113"/>
      <c r="H4738" s="1113"/>
      <c r="I4738" s="393"/>
      <c r="J4738" s="309"/>
      <c r="K4738" s="308"/>
      <c r="L4738" s="1144"/>
      <c r="M4738" s="1145"/>
      <c r="N4738" s="363"/>
    </row>
    <row r="4739" spans="2:16" ht="13.5" thickBot="1">
      <c r="B4739" s="1100" t="s">
        <v>269</v>
      </c>
      <c r="C4739" s="1101"/>
      <c r="D4739" s="1101"/>
      <c r="E4739" s="1101"/>
      <c r="F4739" s="1101"/>
      <c r="G4739" s="1101"/>
      <c r="H4739" s="1101"/>
      <c r="I4739" s="1101"/>
      <c r="J4739" s="1101"/>
      <c r="K4739" s="1101"/>
      <c r="L4739" s="1101"/>
      <c r="M4739" s="1102"/>
      <c r="N4739" s="323">
        <f>+N4738</f>
        <v>0</v>
      </c>
    </row>
    <row r="4740" spans="2:16">
      <c r="B4740" s="1103" t="s">
        <v>282</v>
      </c>
      <c r="C4740" s="1104"/>
      <c r="D4740" s="1104"/>
      <c r="E4740" s="1104"/>
      <c r="F4740" s="1104"/>
      <c r="G4740" s="1104"/>
      <c r="H4740" s="1104"/>
      <c r="I4740" s="1104"/>
      <c r="J4740" s="1104"/>
      <c r="K4740" s="1104"/>
      <c r="L4740" s="1104"/>
      <c r="M4740" s="1104"/>
      <c r="N4740" s="1105"/>
    </row>
    <row r="4741" spans="2:16">
      <c r="B4741" s="1106"/>
      <c r="C4741" s="1107"/>
      <c r="D4741" s="1107"/>
      <c r="E4741" s="1107"/>
      <c r="F4741" s="1107"/>
      <c r="G4741" s="1107"/>
      <c r="H4741" s="1107"/>
      <c r="I4741" s="1107"/>
      <c r="J4741" s="1107"/>
      <c r="K4741" s="1107"/>
      <c r="L4741" s="1107"/>
      <c r="M4741" s="1107"/>
      <c r="N4741" s="1108"/>
    </row>
    <row r="4742" spans="2:16" ht="13.5" thickBot="1">
      <c r="B4742" s="1109"/>
      <c r="C4742" s="1110"/>
      <c r="D4742" s="1110"/>
      <c r="E4742" s="1110"/>
      <c r="F4742" s="1110"/>
      <c r="G4742" s="1110"/>
      <c r="H4742" s="1110"/>
      <c r="I4742" s="1110"/>
      <c r="J4742" s="1110"/>
      <c r="K4742" s="1110"/>
      <c r="L4742" s="1110"/>
      <c r="M4742" s="1110"/>
      <c r="N4742" s="1111"/>
    </row>
    <row r="4743" spans="2:16">
      <c r="B4743" s="1130" t="s">
        <v>283</v>
      </c>
      <c r="C4743" s="1139"/>
      <c r="D4743" s="1139"/>
      <c r="E4743" s="1139"/>
      <c r="F4743" s="1139"/>
      <c r="G4743" s="1139"/>
      <c r="H4743" s="1139"/>
      <c r="I4743" s="288" t="s">
        <v>284</v>
      </c>
      <c r="J4743" s="314" t="s">
        <v>285</v>
      </c>
      <c r="K4743" s="315" t="s">
        <v>286</v>
      </c>
      <c r="L4743" s="1140" t="s">
        <v>264</v>
      </c>
      <c r="M4743" s="1141"/>
      <c r="N4743" s="316" t="s">
        <v>265</v>
      </c>
    </row>
    <row r="4744" spans="2:16" ht="13.5" thickBot="1">
      <c r="B4744" s="317"/>
      <c r="C4744" s="318"/>
      <c r="D4744" s="318"/>
      <c r="E4744" s="318"/>
      <c r="F4744" s="318"/>
      <c r="G4744" s="318"/>
      <c r="H4744" s="318"/>
      <c r="I4744" s="319"/>
      <c r="J4744" s="321"/>
      <c r="K4744" s="321"/>
      <c r="L4744" s="1157"/>
      <c r="M4744" s="1158"/>
      <c r="N4744" s="322"/>
    </row>
    <row r="4745" spans="2:16" ht="13.5" thickBot="1">
      <c r="B4745" s="1100" t="s">
        <v>269</v>
      </c>
      <c r="C4745" s="1101"/>
      <c r="D4745" s="1101"/>
      <c r="E4745" s="1101"/>
      <c r="F4745" s="1101"/>
      <c r="G4745" s="1101"/>
      <c r="H4745" s="1101"/>
      <c r="I4745" s="1101"/>
      <c r="J4745" s="1101"/>
      <c r="K4745" s="1101"/>
      <c r="L4745" s="1101"/>
      <c r="M4745" s="1102"/>
      <c r="N4745" s="322">
        <f>+N4744</f>
        <v>0</v>
      </c>
    </row>
    <row r="4746" spans="2:16" ht="13.5" thickBot="1">
      <c r="B4746" s="324" t="s">
        <v>338</v>
      </c>
      <c r="C4746" s="325"/>
      <c r="D4746" s="325"/>
      <c r="E4746" s="325"/>
      <c r="F4746" s="325"/>
      <c r="G4746" s="325"/>
      <c r="H4746" s="325"/>
      <c r="I4746" s="326"/>
      <c r="J4746" s="327"/>
      <c r="K4746" s="328"/>
      <c r="L4746" s="329"/>
      <c r="M4746" s="329"/>
      <c r="N4746" s="330"/>
    </row>
    <row r="4747" spans="2:16">
      <c r="B4747" s="1130" t="s">
        <v>17</v>
      </c>
      <c r="C4747" s="1139"/>
      <c r="D4747" s="1139"/>
      <c r="E4747" s="1139"/>
      <c r="F4747" s="1139"/>
      <c r="G4747" s="1139"/>
      <c r="H4747" s="1139"/>
      <c r="I4747" s="1136"/>
      <c r="J4747" s="299" t="s">
        <v>259</v>
      </c>
      <c r="K4747" s="288" t="s">
        <v>133</v>
      </c>
      <c r="L4747" s="1133" t="s">
        <v>271</v>
      </c>
      <c r="M4747" s="1136"/>
      <c r="N4747" s="316" t="s">
        <v>265</v>
      </c>
    </row>
    <row r="4748" spans="2:16" ht="13.5" thickBot="1">
      <c r="B4748" s="331" t="s">
        <v>382</v>
      </c>
      <c r="C4748" s="332"/>
      <c r="D4748" s="332"/>
      <c r="E4748" s="332"/>
      <c r="F4748" s="332"/>
      <c r="G4748" s="332"/>
      <c r="H4748" s="332"/>
      <c r="I4748" s="333"/>
      <c r="J4748" s="334" t="s">
        <v>196</v>
      </c>
      <c r="K4748" s="335">
        <v>1</v>
      </c>
      <c r="L4748" s="1144">
        <v>10495</v>
      </c>
      <c r="M4748" s="1145"/>
      <c r="N4748" s="322">
        <f>+K4748*L4748</f>
        <v>10495</v>
      </c>
    </row>
    <row r="4749" spans="2:16" ht="13.5" thickBot="1">
      <c r="B4749" s="1100" t="s">
        <v>269</v>
      </c>
      <c r="C4749" s="1101"/>
      <c r="D4749" s="1101"/>
      <c r="E4749" s="1101"/>
      <c r="F4749" s="1101"/>
      <c r="G4749" s="1101"/>
      <c r="H4749" s="1101"/>
      <c r="I4749" s="1101"/>
      <c r="J4749" s="1101"/>
      <c r="K4749" s="1101"/>
      <c r="L4749" s="1101"/>
      <c r="M4749" s="1102"/>
      <c r="N4749" s="322">
        <f>+N4748</f>
        <v>10495</v>
      </c>
    </row>
    <row r="4750" spans="2:16" ht="15.5">
      <c r="B4750" s="280"/>
      <c r="C4750" s="281"/>
      <c r="D4750" s="281"/>
      <c r="E4750" s="281"/>
      <c r="F4750" s="281"/>
      <c r="G4750" s="281"/>
      <c r="H4750" s="281"/>
      <c r="I4750" s="281"/>
      <c r="J4750" s="281"/>
      <c r="K4750" s="281"/>
      <c r="L4750" s="281"/>
      <c r="M4750" s="281"/>
      <c r="N4750" s="282"/>
      <c r="P4750" s="422"/>
    </row>
    <row r="4751" spans="2:16" ht="13.5" thickBot="1">
      <c r="B4751" s="378"/>
      <c r="C4751" s="311"/>
      <c r="D4751" s="311"/>
      <c r="E4751" s="311"/>
      <c r="F4751" s="311"/>
      <c r="G4751" s="311"/>
      <c r="H4751" s="311"/>
      <c r="I4751" s="311"/>
      <c r="J4751" s="311"/>
      <c r="K4751" s="311"/>
      <c r="L4751" s="311"/>
      <c r="M4751" s="311"/>
      <c r="N4751" s="379"/>
    </row>
    <row r="4752" spans="2:16" ht="13.5" thickBot="1">
      <c r="B4752" s="1150" t="s">
        <v>291</v>
      </c>
      <c r="C4752" s="1151"/>
      <c r="D4752" s="1151"/>
      <c r="E4752" s="1151"/>
      <c r="F4752" s="1151"/>
      <c r="G4752" s="1151"/>
      <c r="H4752" s="1151"/>
      <c r="I4752" s="1151"/>
      <c r="J4752" s="1151"/>
      <c r="K4752" s="1151"/>
      <c r="L4752" s="1151"/>
      <c r="M4752" s="1152"/>
      <c r="N4752" s="336">
        <f>+N4726+N4733+N4739+N4745+N4749</f>
        <v>10495</v>
      </c>
      <c r="P4752" s="409">
        <f>+N4752*N4720</f>
        <v>6297000</v>
      </c>
    </row>
    <row r="4753" spans="2:14">
      <c r="B4753" s="1103" t="s">
        <v>292</v>
      </c>
      <c r="C4753" s="1104"/>
      <c r="D4753" s="1104"/>
      <c r="E4753" s="1104"/>
      <c r="F4753" s="1104"/>
      <c r="G4753" s="1104"/>
      <c r="H4753" s="1104"/>
      <c r="I4753" s="1104"/>
      <c r="J4753" s="1104"/>
      <c r="K4753" s="1104"/>
      <c r="L4753" s="1104"/>
      <c r="M4753" s="1104"/>
      <c r="N4753" s="1105"/>
    </row>
    <row r="4754" spans="2:14">
      <c r="B4754" s="1106"/>
      <c r="C4754" s="1107"/>
      <c r="D4754" s="1107"/>
      <c r="E4754" s="1107"/>
      <c r="F4754" s="1107"/>
      <c r="G4754" s="1107"/>
      <c r="H4754" s="1107"/>
      <c r="I4754" s="1107"/>
      <c r="J4754" s="1107"/>
      <c r="K4754" s="1107"/>
      <c r="L4754" s="1107"/>
      <c r="M4754" s="1107"/>
      <c r="N4754" s="1108"/>
    </row>
    <row r="4755" spans="2:14" ht="13.5" thickBot="1">
      <c r="B4755" s="1109"/>
      <c r="C4755" s="1110"/>
      <c r="D4755" s="1110"/>
      <c r="E4755" s="1110"/>
      <c r="F4755" s="1110"/>
      <c r="G4755" s="1110"/>
      <c r="H4755" s="1110"/>
      <c r="I4755" s="1110"/>
      <c r="J4755" s="1110"/>
      <c r="K4755" s="1110"/>
      <c r="L4755" s="1110"/>
      <c r="M4755" s="1110"/>
      <c r="N4755" s="1111"/>
    </row>
    <row r="4756" spans="2:14">
      <c r="B4756" s="1130" t="s">
        <v>17</v>
      </c>
      <c r="C4756" s="1139"/>
      <c r="D4756" s="1139"/>
      <c r="E4756" s="1139"/>
      <c r="F4756" s="1139"/>
      <c r="G4756" s="1139"/>
      <c r="H4756" s="1139"/>
      <c r="I4756" s="306"/>
      <c r="J4756" s="337"/>
      <c r="K4756" s="315" t="s">
        <v>79</v>
      </c>
      <c r="L4756" s="1140" t="s">
        <v>11</v>
      </c>
      <c r="M4756" s="1141"/>
      <c r="N4756" s="316"/>
    </row>
    <row r="4757" spans="2:14">
      <c r="B4757" s="1112" t="s">
        <v>232</v>
      </c>
      <c r="C4757" s="1113"/>
      <c r="D4757" s="1113"/>
      <c r="E4757" s="1113"/>
      <c r="F4757" s="1113"/>
      <c r="G4757" s="1113"/>
      <c r="H4757" s="1113"/>
      <c r="I4757" s="338"/>
      <c r="J4757" s="339"/>
      <c r="K4757" s="340">
        <f>'PRESUPUESTO OFICIAL'!$K$100</f>
        <v>0</v>
      </c>
      <c r="L4757" s="1146">
        <f>K4757*N4752</f>
        <v>0</v>
      </c>
      <c r="M4757" s="1147"/>
      <c r="N4757" s="341"/>
    </row>
    <row r="4758" spans="2:14">
      <c r="B4758" s="292" t="s">
        <v>293</v>
      </c>
      <c r="C4758" s="293"/>
      <c r="D4758" s="293"/>
      <c r="E4758" s="293"/>
      <c r="F4758" s="293"/>
      <c r="G4758" s="293"/>
      <c r="H4758" s="293"/>
      <c r="I4758" s="338"/>
      <c r="J4758" s="339"/>
      <c r="K4758" s="340">
        <f>'PRESUPUESTO OFICIAL'!$K$101</f>
        <v>0</v>
      </c>
      <c r="L4758" s="1146">
        <f>K4758*N4752</f>
        <v>0</v>
      </c>
      <c r="M4758" s="1147"/>
      <c r="N4758" s="341"/>
    </row>
    <row r="4759" spans="2:14" ht="13.5" thickBot="1">
      <c r="B4759" s="277" t="s">
        <v>294</v>
      </c>
      <c r="C4759" s="278"/>
      <c r="D4759" s="278"/>
      <c r="E4759" s="278"/>
      <c r="F4759" s="278"/>
      <c r="G4759" s="278"/>
      <c r="H4759" s="278"/>
      <c r="I4759" s="342"/>
      <c r="J4759" s="343"/>
      <c r="K4759" s="340">
        <f>'PRESUPUESTO OFICIAL'!$K$102</f>
        <v>0</v>
      </c>
      <c r="L4759" s="1148">
        <f>K4759*N4752</f>
        <v>0</v>
      </c>
      <c r="M4759" s="1149"/>
      <c r="N4759" s="341"/>
    </row>
    <row r="4760" spans="2:14" ht="13.5" thickBot="1">
      <c r="B4760" s="1100" t="s">
        <v>269</v>
      </c>
      <c r="C4760" s="1101"/>
      <c r="D4760" s="1101"/>
      <c r="E4760" s="1101"/>
      <c r="F4760" s="1101"/>
      <c r="G4760" s="1101"/>
      <c r="H4760" s="1101"/>
      <c r="I4760" s="1101"/>
      <c r="J4760" s="1101"/>
      <c r="K4760" s="1101"/>
      <c r="L4760" s="1101"/>
      <c r="M4760" s="1102"/>
      <c r="N4760" s="344">
        <f>SUM(L4757:M4759)</f>
        <v>0</v>
      </c>
    </row>
    <row r="4761" spans="2:14" ht="13.5" thickBot="1">
      <c r="B4761" s="283"/>
      <c r="N4761" s="284"/>
    </row>
    <row r="4762" spans="2:14" ht="13.5" thickBot="1">
      <c r="B4762" s="1150" t="s">
        <v>295</v>
      </c>
      <c r="C4762" s="1151"/>
      <c r="D4762" s="1151"/>
      <c r="E4762" s="1151"/>
      <c r="F4762" s="1151"/>
      <c r="G4762" s="1151"/>
      <c r="H4762" s="1151"/>
      <c r="I4762" s="1151"/>
      <c r="J4762" s="1151"/>
      <c r="K4762" s="1151"/>
      <c r="L4762" s="1151"/>
      <c r="M4762" s="1152"/>
      <c r="N4762" s="345">
        <f>ROUND(N4752+N4760,0)</f>
        <v>10495</v>
      </c>
    </row>
    <row r="4763" spans="2:14">
      <c r="B4763" s="280"/>
      <c r="C4763" s="281"/>
      <c r="D4763" s="281"/>
      <c r="E4763" s="281"/>
      <c r="F4763" s="281"/>
      <c r="G4763" s="281"/>
      <c r="H4763" s="281"/>
      <c r="I4763" s="281"/>
      <c r="J4763" s="281"/>
      <c r="K4763" s="281"/>
      <c r="L4763" s="281"/>
      <c r="M4763" s="281"/>
      <c r="N4763" s="282"/>
    </row>
    <row r="4764" spans="2:14">
      <c r="B4764" s="283"/>
      <c r="N4764" s="284"/>
    </row>
    <row r="4765" spans="2:14">
      <c r="B4765" s="283"/>
      <c r="N4765" s="284"/>
    </row>
    <row r="4766" spans="2:14">
      <c r="B4766" s="283"/>
      <c r="G4766" s="346" t="s">
        <v>296</v>
      </c>
      <c r="H4766" s="346"/>
      <c r="I4766" s="346"/>
      <c r="J4766" s="346"/>
      <c r="N4766" s="284"/>
    </row>
    <row r="4767" spans="2:14">
      <c r="B4767" s="347"/>
      <c r="C4767" s="348"/>
      <c r="D4767" s="348"/>
      <c r="E4767" s="348"/>
      <c r="F4767" s="348"/>
      <c r="G4767" s="346" t="s">
        <v>297</v>
      </c>
      <c r="H4767" s="348"/>
      <c r="I4767" s="348"/>
      <c r="J4767" s="348"/>
      <c r="K4767" s="348"/>
      <c r="L4767" s="348"/>
      <c r="M4767" s="348"/>
      <c r="N4767" s="349"/>
    </row>
    <row r="4768" spans="2:14">
      <c r="B4768" s="347"/>
      <c r="C4768" s="348"/>
      <c r="D4768" s="348"/>
      <c r="E4768" s="348"/>
      <c r="F4768" s="348"/>
      <c r="G4768" s="346" t="s">
        <v>298</v>
      </c>
      <c r="J4768" s="348"/>
      <c r="K4768" s="348"/>
      <c r="L4768" s="348"/>
      <c r="M4768" s="348"/>
      <c r="N4768" s="349"/>
    </row>
    <row r="4769" spans="2:14">
      <c r="B4769" s="268"/>
      <c r="C4769" s="350"/>
      <c r="D4769" s="350"/>
      <c r="E4769" s="350"/>
      <c r="F4769" s="350"/>
      <c r="G4769" s="346" t="s">
        <v>299</v>
      </c>
      <c r="H4769" s="350"/>
      <c r="I4769" s="350"/>
      <c r="J4769" s="350"/>
      <c r="K4769" s="350"/>
      <c r="L4769" s="350"/>
      <c r="M4769" s="350"/>
      <c r="N4769" s="351"/>
    </row>
    <row r="4770" spans="2:14">
      <c r="B4770" s="283"/>
      <c r="G4770" s="258" t="s">
        <v>300</v>
      </c>
      <c r="N4770" s="284"/>
    </row>
    <row r="4771" spans="2:14">
      <c r="B4771" s="352" t="s">
        <v>301</v>
      </c>
      <c r="C4771" s="353"/>
      <c r="D4771" s="353"/>
      <c r="E4771" s="353"/>
      <c r="F4771" s="353"/>
      <c r="G4771" s="353"/>
      <c r="H4771" s="353"/>
      <c r="I4771" s="353"/>
      <c r="J4771" s="353"/>
      <c r="K4771" s="353"/>
      <c r="L4771" s="353"/>
      <c r="M4771" s="353"/>
      <c r="N4771" s="354"/>
    </row>
    <row r="4772" spans="2:14">
      <c r="B4772" s="1153"/>
      <c r="C4772" s="1154"/>
      <c r="D4772" s="1154"/>
      <c r="E4772" s="1154"/>
      <c r="F4772" s="1154"/>
      <c r="G4772" s="1154"/>
      <c r="H4772" s="1154"/>
      <c r="I4772" s="1154"/>
      <c r="J4772" s="1154"/>
      <c r="K4772" s="1154"/>
      <c r="L4772" s="1154"/>
      <c r="M4772" s="1154"/>
      <c r="N4772" s="1155"/>
    </row>
    <row r="4773" spans="2:14">
      <c r="B4773" s="1153"/>
      <c r="C4773" s="1154"/>
      <c r="D4773" s="1154"/>
      <c r="E4773" s="1154"/>
      <c r="F4773" s="1154"/>
      <c r="G4773" s="1154"/>
      <c r="H4773" s="1154"/>
      <c r="I4773" s="1154"/>
      <c r="J4773" s="1154"/>
      <c r="K4773" s="1154"/>
      <c r="L4773" s="1154"/>
      <c r="M4773" s="1154"/>
      <c r="N4773" s="1155"/>
    </row>
    <row r="4774" spans="2:14">
      <c r="B4774" s="268"/>
      <c r="C4774" s="350"/>
      <c r="D4774" s="350"/>
      <c r="E4774" s="350"/>
      <c r="F4774" s="350"/>
      <c r="G4774" s="350"/>
      <c r="H4774" s="350"/>
      <c r="I4774" s="350"/>
      <c r="J4774" s="350"/>
      <c r="K4774" s="350"/>
      <c r="L4774" s="350"/>
      <c r="M4774" s="350"/>
      <c r="N4774" s="351"/>
    </row>
    <row r="4775" spans="2:14">
      <c r="B4775" s="355" t="s">
        <v>302</v>
      </c>
      <c r="C4775" s="350"/>
      <c r="D4775" s="350"/>
      <c r="E4775" s="350"/>
      <c r="F4775" s="350"/>
      <c r="G4775" s="350"/>
      <c r="H4775" s="350"/>
      <c r="I4775" s="350"/>
      <c r="J4775" s="350"/>
      <c r="K4775" s="350"/>
      <c r="L4775" s="350"/>
      <c r="M4775" s="350"/>
      <c r="N4775" s="351"/>
    </row>
    <row r="4776" spans="2:14">
      <c r="B4776" s="1159" t="s">
        <v>303</v>
      </c>
      <c r="C4776" s="1160"/>
      <c r="D4776" s="1160"/>
      <c r="E4776" s="1160"/>
      <c r="F4776" s="1160"/>
      <c r="G4776" s="1160"/>
      <c r="H4776" s="1160"/>
      <c r="I4776" s="1160"/>
      <c r="J4776" s="1160"/>
      <c r="K4776" s="1160"/>
      <c r="L4776" s="1160"/>
      <c r="M4776" s="1160"/>
      <c r="N4776" s="1161"/>
    </row>
    <row r="4777" spans="2:14">
      <c r="B4777" s="1159"/>
      <c r="C4777" s="1160"/>
      <c r="D4777" s="1160"/>
      <c r="E4777" s="1160"/>
      <c r="F4777" s="1160"/>
      <c r="G4777" s="1160"/>
      <c r="H4777" s="1160"/>
      <c r="I4777" s="1160"/>
      <c r="J4777" s="1160"/>
      <c r="K4777" s="1160"/>
      <c r="L4777" s="1160"/>
      <c r="M4777" s="1160"/>
      <c r="N4777" s="1161"/>
    </row>
    <row r="4778" spans="2:14">
      <c r="B4778" s="1159" t="s">
        <v>304</v>
      </c>
      <c r="C4778" s="1160"/>
      <c r="D4778" s="1160"/>
      <c r="E4778" s="1160"/>
      <c r="F4778" s="1160"/>
      <c r="G4778" s="1160"/>
      <c r="H4778" s="1160"/>
      <c r="I4778" s="1160"/>
      <c r="J4778" s="1160"/>
      <c r="K4778" s="1160"/>
      <c r="L4778" s="1160"/>
      <c r="M4778" s="1160"/>
      <c r="N4778" s="1161"/>
    </row>
    <row r="4779" spans="2:14">
      <c r="B4779" s="1159"/>
      <c r="C4779" s="1160"/>
      <c r="D4779" s="1160"/>
      <c r="E4779" s="1160"/>
      <c r="F4779" s="1160"/>
      <c r="G4779" s="1160"/>
      <c r="H4779" s="1160"/>
      <c r="I4779" s="1160"/>
      <c r="J4779" s="1160"/>
      <c r="K4779" s="1160"/>
      <c r="L4779" s="1160"/>
      <c r="M4779" s="1160"/>
      <c r="N4779" s="1161"/>
    </row>
    <row r="4780" spans="2:14">
      <c r="B4780" s="268"/>
      <c r="C4780" s="350"/>
      <c r="D4780" s="350"/>
      <c r="E4780" s="350"/>
      <c r="F4780" s="350"/>
      <c r="G4780" s="350"/>
      <c r="H4780" s="350"/>
      <c r="I4780" s="350"/>
      <c r="J4780" s="350"/>
      <c r="K4780" s="350"/>
      <c r="L4780" s="350"/>
      <c r="M4780" s="350"/>
      <c r="N4780" s="351"/>
    </row>
    <row r="4781" spans="2:14">
      <c r="B4781" s="283"/>
      <c r="G4781" s="346" t="s">
        <v>296</v>
      </c>
      <c r="N4781" s="284"/>
    </row>
    <row r="4782" spans="2:14">
      <c r="B4782" s="283"/>
      <c r="G4782" s="258" t="s">
        <v>305</v>
      </c>
      <c r="H4782" s="293"/>
      <c r="I4782" s="293"/>
      <c r="J4782" s="293"/>
      <c r="N4782" s="284"/>
    </row>
    <row r="4783" spans="2:14">
      <c r="B4783" s="283"/>
      <c r="G4783" s="258" t="s">
        <v>306</v>
      </c>
      <c r="H4783" s="325"/>
      <c r="I4783" s="325"/>
      <c r="J4783" s="325"/>
      <c r="N4783" s="284"/>
    </row>
    <row r="4784" spans="2:14">
      <c r="B4784" s="356"/>
      <c r="C4784" s="350"/>
      <c r="D4784" s="350"/>
      <c r="E4784" s="350"/>
      <c r="F4784" s="350"/>
      <c r="G4784" s="258" t="s">
        <v>299</v>
      </c>
      <c r="K4784" s="350"/>
      <c r="L4784" s="350"/>
      <c r="M4784" s="350"/>
      <c r="N4784" s="351"/>
    </row>
    <row r="4785" spans="2:14">
      <c r="B4785" s="357"/>
      <c r="C4785" s="358"/>
      <c r="D4785" s="358"/>
      <c r="J4785" s="1162"/>
      <c r="K4785" s="1162"/>
      <c r="L4785" s="1162"/>
      <c r="M4785" s="1162"/>
      <c r="N4785" s="1163"/>
    </row>
    <row r="4786" spans="2:14" ht="13.5" thickBot="1">
      <c r="B4786" s="1166"/>
      <c r="C4786" s="1167"/>
      <c r="D4786" s="1167"/>
      <c r="E4786" s="311"/>
      <c r="F4786" s="311"/>
      <c r="G4786" s="311"/>
      <c r="H4786" s="311"/>
      <c r="I4786" s="311"/>
      <c r="J4786" s="1164"/>
      <c r="K4786" s="1164"/>
      <c r="L4786" s="1164"/>
      <c r="M4786" s="1164"/>
      <c r="N4786" s="1165"/>
    </row>
    <row r="4787" spans="2:14" ht="13.5" thickBot="1"/>
    <row r="4788" spans="2:14">
      <c r="B4788" s="1070"/>
      <c r="C4788" s="1072"/>
      <c r="D4788" s="1073"/>
      <c r="E4788" s="1073"/>
      <c r="F4788" s="1073"/>
      <c r="G4788" s="1073"/>
      <c r="H4788" s="1073"/>
      <c r="I4788" s="1073"/>
      <c r="J4788" s="1074"/>
      <c r="K4788" s="1075"/>
      <c r="L4788" s="1076"/>
      <c r="M4788" s="1076"/>
      <c r="N4788" s="1077"/>
    </row>
    <row r="4789" spans="2:14">
      <c r="B4789" s="1071"/>
      <c r="C4789" s="1062" t="s">
        <v>244</v>
      </c>
      <c r="D4789" s="1063"/>
      <c r="E4789" s="1063"/>
      <c r="F4789" s="1063"/>
      <c r="G4789" s="1063"/>
      <c r="H4789" s="1063"/>
      <c r="I4789" s="1063"/>
      <c r="J4789" s="1064"/>
      <c r="K4789" s="1078"/>
      <c r="L4789" s="1079"/>
      <c r="M4789" s="1079"/>
      <c r="N4789" s="1080"/>
    </row>
    <row r="4790" spans="2:14">
      <c r="B4790" s="1071"/>
      <c r="C4790" s="1081"/>
      <c r="D4790" s="1082"/>
      <c r="E4790" s="1082"/>
      <c r="F4790" s="1082"/>
      <c r="G4790" s="1082"/>
      <c r="H4790" s="1082"/>
      <c r="I4790" s="1082"/>
      <c r="J4790" s="1083"/>
      <c r="K4790" s="1058" t="s">
        <v>245</v>
      </c>
      <c r="L4790" s="1085"/>
      <c r="M4790" s="1086"/>
      <c r="N4790" s="1087"/>
    </row>
    <row r="4791" spans="2:14">
      <c r="B4791" s="1071"/>
      <c r="C4791" s="1062" t="s">
        <v>246</v>
      </c>
      <c r="D4791" s="1063"/>
      <c r="E4791" s="1063"/>
      <c r="F4791" s="1063"/>
      <c r="G4791" s="1063"/>
      <c r="H4791" s="1063"/>
      <c r="I4791" s="1063"/>
      <c r="J4791" s="1064"/>
      <c r="K4791" s="1084"/>
      <c r="L4791" s="1088"/>
      <c r="M4791" s="1089"/>
      <c r="N4791" s="1090"/>
    </row>
    <row r="4792" spans="2:14">
      <c r="B4792" s="1071"/>
      <c r="C4792" s="1091"/>
      <c r="D4792" s="1092"/>
      <c r="E4792" s="1092"/>
      <c r="F4792" s="1092"/>
      <c r="G4792" s="1092"/>
      <c r="H4792" s="1092"/>
      <c r="I4792" s="1092"/>
      <c r="J4792" s="1093"/>
      <c r="K4792" s="1058" t="s">
        <v>247</v>
      </c>
      <c r="L4792" s="1058">
        <v>54</v>
      </c>
      <c r="M4792" s="1058" t="s">
        <v>248</v>
      </c>
      <c r="N4792" s="1060">
        <v>80</v>
      </c>
    </row>
    <row r="4793" spans="2:14">
      <c r="B4793" s="1071"/>
      <c r="C4793" s="1091"/>
      <c r="D4793" s="1092"/>
      <c r="E4793" s="1092"/>
      <c r="F4793" s="1092"/>
      <c r="G4793" s="1092"/>
      <c r="H4793" s="1092"/>
      <c r="I4793" s="1092"/>
      <c r="J4793" s="1093"/>
      <c r="K4793" s="1059"/>
      <c r="L4793" s="1059"/>
      <c r="M4793" s="1059"/>
      <c r="N4793" s="1061"/>
    </row>
    <row r="4794" spans="2:14">
      <c r="B4794" s="1071"/>
      <c r="C4794" s="1062" t="s">
        <v>249</v>
      </c>
      <c r="D4794" s="1063"/>
      <c r="E4794" s="1063"/>
      <c r="F4794" s="1063"/>
      <c r="G4794" s="1063"/>
      <c r="H4794" s="1063"/>
      <c r="I4794" s="1063"/>
      <c r="J4794" s="1064"/>
      <c r="K4794" s="1059"/>
      <c r="L4794" s="1059"/>
      <c r="M4794" s="1059"/>
      <c r="N4794" s="1061"/>
    </row>
    <row r="4795" spans="2:14" ht="13.5" thickBot="1">
      <c r="B4795" s="259"/>
      <c r="C4795" s="260"/>
      <c r="D4795" s="260"/>
      <c r="E4795" s="260"/>
      <c r="F4795" s="260"/>
      <c r="G4795" s="260"/>
      <c r="H4795" s="260"/>
      <c r="I4795" s="260"/>
      <c r="J4795" s="260"/>
      <c r="K4795" s="260"/>
      <c r="L4795" s="261"/>
      <c r="M4795" s="261"/>
      <c r="N4795" s="262"/>
    </row>
    <row r="4796" spans="2:14">
      <c r="B4796" s="263"/>
      <c r="C4796" s="264"/>
      <c r="D4796" s="264"/>
      <c r="E4796" s="264"/>
      <c r="F4796" s="264"/>
      <c r="G4796" s="264"/>
      <c r="H4796" s="264"/>
      <c r="I4796" s="264"/>
      <c r="J4796" s="264"/>
      <c r="K4796" s="265" t="s">
        <v>250</v>
      </c>
      <c r="L4796" s="266" t="s">
        <v>251</v>
      </c>
      <c r="M4796" s="266" t="s">
        <v>252</v>
      </c>
      <c r="N4796" s="267" t="s">
        <v>253</v>
      </c>
    </row>
    <row r="4797" spans="2:14">
      <c r="B4797" s="268"/>
      <c r="C4797" s="269"/>
      <c r="D4797" s="269"/>
      <c r="E4797" s="269"/>
      <c r="F4797" s="269"/>
      <c r="G4797" s="269"/>
      <c r="H4797" s="269"/>
      <c r="I4797" s="269"/>
      <c r="J4797" s="269"/>
      <c r="K4797" s="270"/>
      <c r="L4797" s="271"/>
      <c r="M4797" s="271"/>
      <c r="N4797" s="272"/>
    </row>
    <row r="4798" spans="2:14">
      <c r="B4798" s="1065" t="s">
        <v>254</v>
      </c>
      <c r="C4798" s="1066"/>
      <c r="D4798" s="1066"/>
      <c r="E4798" s="1066"/>
      <c r="F4798" s="269"/>
      <c r="G4798" s="269"/>
      <c r="H4798" s="269" t="s">
        <v>255</v>
      </c>
      <c r="J4798" s="269"/>
      <c r="K4798" s="270"/>
      <c r="N4798" s="273"/>
    </row>
    <row r="4799" spans="2:14">
      <c r="B4799" s="274"/>
      <c r="C4799" s="275"/>
      <c r="D4799" s="275"/>
      <c r="E4799" s="275"/>
      <c r="F4799" s="275"/>
      <c r="G4799" s="275"/>
      <c r="H4799" s="275"/>
      <c r="I4799" s="275"/>
      <c r="J4799" s="275"/>
      <c r="K4799" s="275"/>
      <c r="L4799" s="275"/>
      <c r="M4799" s="275"/>
      <c r="N4799" s="276"/>
    </row>
    <row r="4800" spans="2:14" ht="13.5" thickBot="1">
      <c r="B4800" s="277"/>
      <c r="C4800" s="278"/>
      <c r="D4800" s="278"/>
      <c r="E4800" s="278"/>
      <c r="F4800" s="278"/>
      <c r="G4800" s="278"/>
      <c r="H4800" s="278"/>
      <c r="I4800" s="278"/>
      <c r="J4800" s="278"/>
      <c r="K4800" s="278"/>
      <c r="L4800" s="278"/>
      <c r="M4800" s="278"/>
      <c r="N4800" s="279"/>
    </row>
    <row r="4801" spans="2:14" ht="13.5" thickBot="1">
      <c r="B4801" s="280"/>
      <c r="C4801" s="281"/>
      <c r="D4801" s="281"/>
      <c r="E4801" s="281"/>
      <c r="F4801" s="281"/>
      <c r="G4801" s="281"/>
      <c r="J4801" s="281"/>
      <c r="K4801" s="281"/>
      <c r="L4801" s="281"/>
      <c r="M4801" s="281"/>
      <c r="N4801" s="282"/>
    </row>
    <row r="4802" spans="2:14">
      <c r="B4802" s="1067" t="s">
        <v>256</v>
      </c>
      <c r="C4802" s="1068"/>
      <c r="D4802" s="1068"/>
      <c r="E4802" s="1068"/>
      <c r="F4802" s="1068"/>
      <c r="G4802" s="1068"/>
      <c r="H4802" s="1068"/>
      <c r="I4802" s="1068"/>
      <c r="J4802" s="1068"/>
      <c r="K4802" s="1068"/>
      <c r="L4802" s="1068"/>
      <c r="M4802" s="1068"/>
      <c r="N4802" s="1069"/>
    </row>
    <row r="4803" spans="2:14" ht="13.5" thickBot="1">
      <c r="B4803" s="283"/>
      <c r="N4803" s="284"/>
    </row>
    <row r="4804" spans="2:14">
      <c r="B4804" s="285" t="s">
        <v>257</v>
      </c>
      <c r="C4804" s="1120" t="s">
        <v>258</v>
      </c>
      <c r="D4804" s="1121"/>
      <c r="E4804" s="1121"/>
      <c r="F4804" s="1121"/>
      <c r="G4804" s="1121"/>
      <c r="H4804" s="1121"/>
      <c r="I4804" s="1121"/>
      <c r="J4804" s="1121"/>
      <c r="K4804" s="1122"/>
      <c r="L4804" s="1123" t="s">
        <v>259</v>
      </c>
      <c r="M4804" s="1124"/>
      <c r="N4804" s="285" t="s">
        <v>133</v>
      </c>
    </row>
    <row r="4805" spans="2:14" ht="29.25" customHeight="1" thickBot="1">
      <c r="B4805" s="286">
        <v>54</v>
      </c>
      <c r="C4805" s="1125" t="s">
        <v>197</v>
      </c>
      <c r="D4805" s="1126"/>
      <c r="E4805" s="1126"/>
      <c r="F4805" s="1126"/>
      <c r="G4805" s="1126"/>
      <c r="H4805" s="1126"/>
      <c r="I4805" s="1126"/>
      <c r="J4805" s="1126"/>
      <c r="K4805" s="1127"/>
      <c r="L4805" s="1128" t="s">
        <v>143</v>
      </c>
      <c r="M4805" s="1129"/>
      <c r="N4805" s="366">
        <v>120</v>
      </c>
    </row>
    <row r="4806" spans="2:14">
      <c r="B4806" s="1103" t="s">
        <v>260</v>
      </c>
      <c r="C4806" s="1104"/>
      <c r="D4806" s="1104"/>
      <c r="E4806" s="1104"/>
      <c r="F4806" s="1104"/>
      <c r="G4806" s="1104"/>
      <c r="H4806" s="1104"/>
      <c r="I4806" s="1104"/>
      <c r="J4806" s="1104"/>
      <c r="K4806" s="1104"/>
      <c r="L4806" s="1104"/>
      <c r="M4806" s="1104"/>
      <c r="N4806" s="1105"/>
    </row>
    <row r="4807" spans="2:14">
      <c r="B4807" s="1106"/>
      <c r="C4807" s="1107"/>
      <c r="D4807" s="1107"/>
      <c r="E4807" s="1107"/>
      <c r="F4807" s="1107"/>
      <c r="G4807" s="1107"/>
      <c r="H4807" s="1107"/>
      <c r="I4807" s="1107"/>
      <c r="J4807" s="1107"/>
      <c r="K4807" s="1107"/>
      <c r="L4807" s="1107"/>
      <c r="M4807" s="1107"/>
      <c r="N4807" s="1108"/>
    </row>
    <row r="4808" spans="2:14" ht="13.5" thickBot="1">
      <c r="B4808" s="1109"/>
      <c r="C4808" s="1110"/>
      <c r="D4808" s="1110"/>
      <c r="E4808" s="1110"/>
      <c r="F4808" s="1110"/>
      <c r="G4808" s="1110"/>
      <c r="H4808" s="1110"/>
      <c r="I4808" s="1110"/>
      <c r="J4808" s="1110"/>
      <c r="K4808" s="1110"/>
      <c r="L4808" s="1110"/>
      <c r="M4808" s="1110"/>
      <c r="N4808" s="1111"/>
    </row>
    <row r="4809" spans="2:14">
      <c r="B4809" s="1130" t="s">
        <v>258</v>
      </c>
      <c r="C4809" s="1131"/>
      <c r="D4809" s="1131"/>
      <c r="E4809" s="1131"/>
      <c r="F4809" s="1132"/>
      <c r="G4809" s="1133" t="s">
        <v>261</v>
      </c>
      <c r="H4809" s="1131"/>
      <c r="I4809" s="1134" t="s">
        <v>262</v>
      </c>
      <c r="J4809" s="1135"/>
      <c r="K4809" s="288" t="s">
        <v>263</v>
      </c>
      <c r="L4809" s="1133" t="s">
        <v>264</v>
      </c>
      <c r="M4809" s="1136"/>
      <c r="N4809" s="289" t="s">
        <v>265</v>
      </c>
    </row>
    <row r="4810" spans="2:14" ht="13.5" thickBot="1">
      <c r="B4810" s="1179"/>
      <c r="C4810" s="1180"/>
      <c r="D4810" s="1180"/>
      <c r="E4810" s="1180"/>
      <c r="F4810" s="1181"/>
      <c r="G4810" s="295"/>
      <c r="H4810" s="294"/>
      <c r="I4810" s="1182"/>
      <c r="J4810" s="1183"/>
      <c r="K4810" s="290"/>
      <c r="L4810" s="1118"/>
      <c r="M4810" s="1119"/>
      <c r="N4810" s="290"/>
    </row>
    <row r="4811" spans="2:14" ht="13.5" thickBot="1">
      <c r="B4811" s="1100" t="s">
        <v>269</v>
      </c>
      <c r="C4811" s="1101"/>
      <c r="D4811" s="1101"/>
      <c r="E4811" s="1101"/>
      <c r="F4811" s="1101"/>
      <c r="G4811" s="1101"/>
      <c r="H4811" s="1101"/>
      <c r="I4811" s="1101"/>
      <c r="J4811" s="1101"/>
      <c r="K4811" s="1101"/>
      <c r="L4811" s="1101"/>
      <c r="M4811" s="1102"/>
      <c r="N4811" s="323">
        <v>0</v>
      </c>
    </row>
    <row r="4812" spans="2:14">
      <c r="B4812" s="1103" t="s">
        <v>270</v>
      </c>
      <c r="C4812" s="1104"/>
      <c r="D4812" s="1104"/>
      <c r="E4812" s="1104"/>
      <c r="F4812" s="1104"/>
      <c r="G4812" s="1104"/>
      <c r="H4812" s="1104"/>
      <c r="I4812" s="1104"/>
      <c r="J4812" s="1104"/>
      <c r="K4812" s="1104"/>
      <c r="L4812" s="1104"/>
      <c r="M4812" s="1104"/>
      <c r="N4812" s="1105"/>
    </row>
    <row r="4813" spans="2:14">
      <c r="B4813" s="1106"/>
      <c r="C4813" s="1107"/>
      <c r="D4813" s="1107"/>
      <c r="E4813" s="1107"/>
      <c r="F4813" s="1107"/>
      <c r="G4813" s="1107"/>
      <c r="H4813" s="1107"/>
      <c r="I4813" s="1107"/>
      <c r="J4813" s="1107"/>
      <c r="K4813" s="1107"/>
      <c r="L4813" s="1107"/>
      <c r="M4813" s="1107"/>
      <c r="N4813" s="1108"/>
    </row>
    <row r="4814" spans="2:14" ht="13.5" thickBot="1">
      <c r="B4814" s="1109"/>
      <c r="C4814" s="1110"/>
      <c r="D4814" s="1110"/>
      <c r="E4814" s="1110"/>
      <c r="F4814" s="1110"/>
      <c r="G4814" s="1110"/>
      <c r="H4814" s="1110"/>
      <c r="I4814" s="1110"/>
      <c r="J4814" s="1110"/>
      <c r="K4814" s="1110"/>
      <c r="L4814" s="1110"/>
      <c r="M4814" s="1110"/>
      <c r="N4814" s="1111"/>
    </row>
    <row r="4815" spans="2:14">
      <c r="B4815" s="1130" t="s">
        <v>258</v>
      </c>
      <c r="C4815" s="1139"/>
      <c r="D4815" s="1139"/>
      <c r="E4815" s="1139"/>
      <c r="F4815" s="1139"/>
      <c r="G4815" s="1139"/>
      <c r="H4815" s="1139"/>
      <c r="I4815" s="1136"/>
      <c r="J4815" s="299" t="s">
        <v>259</v>
      </c>
      <c r="K4815" s="288" t="s">
        <v>133</v>
      </c>
      <c r="L4815" s="1133" t="s">
        <v>271</v>
      </c>
      <c r="M4815" s="1136"/>
      <c r="N4815" s="289" t="s">
        <v>265</v>
      </c>
    </row>
    <row r="4816" spans="2:14">
      <c r="B4816" s="402" t="s">
        <v>342</v>
      </c>
      <c r="C4816" s="353"/>
      <c r="D4816" s="353"/>
      <c r="E4816" s="353"/>
      <c r="F4816" s="353"/>
      <c r="G4816" s="353"/>
      <c r="H4816" s="353"/>
      <c r="I4816" s="403"/>
      <c r="J4816" s="303" t="s">
        <v>147</v>
      </c>
      <c r="K4816" s="392">
        <v>0.05</v>
      </c>
      <c r="L4816" s="1144">
        <v>337058</v>
      </c>
      <c r="M4816" s="1145"/>
      <c r="N4816" s="363">
        <f>+K4816*L4816</f>
        <v>16852.900000000001</v>
      </c>
    </row>
    <row r="4817" spans="2:14" ht="13.5" thickBot="1">
      <c r="B4817" s="402" t="s">
        <v>383</v>
      </c>
      <c r="C4817" s="353"/>
      <c r="D4817" s="353"/>
      <c r="E4817" s="353"/>
      <c r="F4817" s="353"/>
      <c r="G4817" s="353"/>
      <c r="H4817" s="353"/>
      <c r="I4817" s="403"/>
      <c r="J4817" s="303" t="s">
        <v>196</v>
      </c>
      <c r="K4817" s="392">
        <v>0.5</v>
      </c>
      <c r="L4817" s="1144">
        <v>6367</v>
      </c>
      <c r="M4817" s="1145">
        <v>33272</v>
      </c>
      <c r="N4817" s="363">
        <f>+K4817*L4817</f>
        <v>3183.5</v>
      </c>
    </row>
    <row r="4818" spans="2:14" ht="13.5" thickBot="1">
      <c r="B4818" s="1100" t="s">
        <v>269</v>
      </c>
      <c r="C4818" s="1101"/>
      <c r="D4818" s="1101"/>
      <c r="E4818" s="1101"/>
      <c r="F4818" s="1101"/>
      <c r="G4818" s="1101"/>
      <c r="H4818" s="1101"/>
      <c r="I4818" s="1101"/>
      <c r="J4818" s="1101"/>
      <c r="K4818" s="1101"/>
      <c r="L4818" s="1101"/>
      <c r="M4818" s="1102"/>
      <c r="N4818" s="323">
        <f>+N4816+N4817</f>
        <v>20036.400000000001</v>
      </c>
    </row>
    <row r="4819" spans="2:14">
      <c r="B4819" s="1103" t="s">
        <v>367</v>
      </c>
      <c r="C4819" s="1104"/>
      <c r="D4819" s="1104"/>
      <c r="E4819" s="1104"/>
      <c r="F4819" s="1104"/>
      <c r="G4819" s="1104"/>
      <c r="H4819" s="1104"/>
      <c r="I4819" s="1104"/>
      <c r="J4819" s="1104"/>
      <c r="K4819" s="1104"/>
      <c r="L4819" s="1104"/>
      <c r="M4819" s="1104"/>
      <c r="N4819" s="1105"/>
    </row>
    <row r="4820" spans="2:14">
      <c r="B4820" s="1106"/>
      <c r="C4820" s="1107"/>
      <c r="D4820" s="1107"/>
      <c r="E4820" s="1107"/>
      <c r="F4820" s="1107"/>
      <c r="G4820" s="1107"/>
      <c r="H4820" s="1107"/>
      <c r="I4820" s="1107"/>
      <c r="J4820" s="1107"/>
      <c r="K4820" s="1107"/>
      <c r="L4820" s="1107"/>
      <c r="M4820" s="1107"/>
      <c r="N4820" s="1108"/>
    </row>
    <row r="4821" spans="2:14" ht="13.5" thickBot="1">
      <c r="B4821" s="1109"/>
      <c r="C4821" s="1110"/>
      <c r="D4821" s="1110"/>
      <c r="E4821" s="1110"/>
      <c r="F4821" s="1110"/>
      <c r="G4821" s="1110"/>
      <c r="H4821" s="1110"/>
      <c r="I4821" s="1110"/>
      <c r="J4821" s="1110"/>
      <c r="K4821" s="1110"/>
      <c r="L4821" s="1110"/>
      <c r="M4821" s="1110"/>
      <c r="N4821" s="1111"/>
    </row>
    <row r="4822" spans="2:14">
      <c r="B4822" s="1130" t="s">
        <v>277</v>
      </c>
      <c r="C4822" s="1139"/>
      <c r="D4822" s="1139"/>
      <c r="E4822" s="1139"/>
      <c r="F4822" s="1139"/>
      <c r="G4822" s="1139"/>
      <c r="H4822" s="1139"/>
      <c r="I4822" s="288" t="s">
        <v>278</v>
      </c>
      <c r="J4822" s="306" t="s">
        <v>279</v>
      </c>
      <c r="K4822" s="307" t="s">
        <v>280</v>
      </c>
      <c r="L4822" s="1133" t="s">
        <v>281</v>
      </c>
      <c r="M4822" s="1136"/>
      <c r="N4822" s="289" t="s">
        <v>265</v>
      </c>
    </row>
    <row r="4823" spans="2:14" ht="13.5" thickBot="1">
      <c r="B4823" s="1112"/>
      <c r="C4823" s="1113"/>
      <c r="D4823" s="1113"/>
      <c r="E4823" s="1113"/>
      <c r="F4823" s="1113"/>
      <c r="G4823" s="1113"/>
      <c r="H4823" s="1113"/>
      <c r="I4823" s="393"/>
      <c r="J4823" s="309"/>
      <c r="K4823" s="308"/>
      <c r="L4823" s="1144"/>
      <c r="M4823" s="1145"/>
      <c r="N4823" s="363"/>
    </row>
    <row r="4824" spans="2:14" ht="13.5" thickBot="1">
      <c r="B4824" s="1100" t="s">
        <v>269</v>
      </c>
      <c r="C4824" s="1101"/>
      <c r="D4824" s="1101"/>
      <c r="E4824" s="1101"/>
      <c r="F4824" s="1101"/>
      <c r="G4824" s="1101"/>
      <c r="H4824" s="1101"/>
      <c r="I4824" s="1101"/>
      <c r="J4824" s="1101"/>
      <c r="K4824" s="1101"/>
      <c r="L4824" s="1101"/>
      <c r="M4824" s="1102"/>
      <c r="N4824" s="323">
        <f>+N4823</f>
        <v>0</v>
      </c>
    </row>
    <row r="4825" spans="2:14">
      <c r="B4825" s="1103" t="s">
        <v>282</v>
      </c>
      <c r="C4825" s="1104"/>
      <c r="D4825" s="1104"/>
      <c r="E4825" s="1104"/>
      <c r="F4825" s="1104"/>
      <c r="G4825" s="1104"/>
      <c r="H4825" s="1104"/>
      <c r="I4825" s="1104"/>
      <c r="J4825" s="1104"/>
      <c r="K4825" s="1104"/>
      <c r="L4825" s="1104"/>
      <c r="M4825" s="1104"/>
      <c r="N4825" s="1105"/>
    </row>
    <row r="4826" spans="2:14">
      <c r="B4826" s="1106"/>
      <c r="C4826" s="1107"/>
      <c r="D4826" s="1107"/>
      <c r="E4826" s="1107"/>
      <c r="F4826" s="1107"/>
      <c r="G4826" s="1107"/>
      <c r="H4826" s="1107"/>
      <c r="I4826" s="1107"/>
      <c r="J4826" s="1107"/>
      <c r="K4826" s="1107"/>
      <c r="L4826" s="1107"/>
      <c r="M4826" s="1107"/>
      <c r="N4826" s="1108"/>
    </row>
    <row r="4827" spans="2:14" ht="13.5" thickBot="1">
      <c r="B4827" s="1109"/>
      <c r="C4827" s="1110"/>
      <c r="D4827" s="1110"/>
      <c r="E4827" s="1110"/>
      <c r="F4827" s="1110"/>
      <c r="G4827" s="1110"/>
      <c r="H4827" s="1110"/>
      <c r="I4827" s="1110"/>
      <c r="J4827" s="1110"/>
      <c r="K4827" s="1110"/>
      <c r="L4827" s="1110"/>
      <c r="M4827" s="1110"/>
      <c r="N4827" s="1111"/>
    </row>
    <row r="4828" spans="2:14">
      <c r="B4828" s="1130" t="s">
        <v>283</v>
      </c>
      <c r="C4828" s="1139"/>
      <c r="D4828" s="1139"/>
      <c r="E4828" s="1139"/>
      <c r="F4828" s="1139"/>
      <c r="G4828" s="1139"/>
      <c r="H4828" s="1139"/>
      <c r="I4828" s="288" t="s">
        <v>284</v>
      </c>
      <c r="J4828" s="314" t="s">
        <v>285</v>
      </c>
      <c r="K4828" s="315" t="s">
        <v>286</v>
      </c>
      <c r="L4828" s="1140" t="s">
        <v>264</v>
      </c>
      <c r="M4828" s="1141"/>
      <c r="N4828" s="316" t="s">
        <v>265</v>
      </c>
    </row>
    <row r="4829" spans="2:14" ht="13.5" thickBot="1">
      <c r="B4829" s="317" t="s">
        <v>322</v>
      </c>
      <c r="C4829" s="318"/>
      <c r="D4829" s="318"/>
      <c r="E4829" s="318"/>
      <c r="F4829" s="318"/>
      <c r="G4829" s="318"/>
      <c r="H4829" s="318"/>
      <c r="I4829" s="319">
        <v>153482</v>
      </c>
      <c r="J4829" s="321">
        <v>0</v>
      </c>
      <c r="K4829" s="321">
        <f>+I4829+J4829</f>
        <v>153482</v>
      </c>
      <c r="L4829" s="1157">
        <v>10</v>
      </c>
      <c r="M4829" s="1158"/>
      <c r="N4829" s="322">
        <f>+K4829/L4829</f>
        <v>15348.2</v>
      </c>
    </row>
    <row r="4830" spans="2:14" ht="13.5" thickBot="1">
      <c r="B4830" s="1100" t="s">
        <v>269</v>
      </c>
      <c r="C4830" s="1101"/>
      <c r="D4830" s="1101"/>
      <c r="E4830" s="1101"/>
      <c r="F4830" s="1101"/>
      <c r="G4830" s="1101"/>
      <c r="H4830" s="1101"/>
      <c r="I4830" s="1101"/>
      <c r="J4830" s="1101"/>
      <c r="K4830" s="1101"/>
      <c r="L4830" s="1101"/>
      <c r="M4830" s="1102"/>
      <c r="N4830" s="322">
        <f>+N4829</f>
        <v>15348.2</v>
      </c>
    </row>
    <row r="4831" spans="2:14" ht="13.5" thickBot="1">
      <c r="B4831" s="324" t="s">
        <v>288</v>
      </c>
      <c r="C4831" s="325"/>
      <c r="D4831" s="325"/>
      <c r="E4831" s="325"/>
      <c r="F4831" s="325"/>
      <c r="G4831" s="325"/>
      <c r="H4831" s="325"/>
      <c r="I4831" s="326"/>
      <c r="J4831" s="327"/>
      <c r="K4831" s="328"/>
      <c r="L4831" s="329"/>
      <c r="M4831" s="329"/>
      <c r="N4831" s="330"/>
    </row>
    <row r="4832" spans="2:14">
      <c r="B4832" s="1130" t="s">
        <v>17</v>
      </c>
      <c r="C4832" s="1139"/>
      <c r="D4832" s="1139"/>
      <c r="E4832" s="1139"/>
      <c r="F4832" s="1139"/>
      <c r="G4832" s="1139"/>
      <c r="H4832" s="1139"/>
      <c r="I4832" s="1136"/>
      <c r="J4832" s="299" t="s">
        <v>259</v>
      </c>
      <c r="K4832" s="288" t="s">
        <v>133</v>
      </c>
      <c r="L4832" s="1133" t="s">
        <v>271</v>
      </c>
      <c r="M4832" s="1136"/>
      <c r="N4832" s="316" t="s">
        <v>265</v>
      </c>
    </row>
    <row r="4833" spans="2:17" ht="13.5" thickBot="1">
      <c r="B4833" s="331" t="s">
        <v>289</v>
      </c>
      <c r="C4833" s="332"/>
      <c r="D4833" s="332"/>
      <c r="E4833" s="332"/>
      <c r="F4833" s="332"/>
      <c r="G4833" s="332"/>
      <c r="H4833" s="332"/>
      <c r="I4833" s="333"/>
      <c r="J4833" s="334" t="s">
        <v>290</v>
      </c>
      <c r="K4833" s="335">
        <v>0.05</v>
      </c>
      <c r="L4833" s="1144">
        <f>+N4830</f>
        <v>15348.2</v>
      </c>
      <c r="M4833" s="1145"/>
      <c r="N4833" s="322">
        <f>+K4833*L4833</f>
        <v>767.41000000000008</v>
      </c>
    </row>
    <row r="4834" spans="2:17" ht="13.5" thickBot="1">
      <c r="B4834" s="1100" t="s">
        <v>269</v>
      </c>
      <c r="C4834" s="1101"/>
      <c r="D4834" s="1101"/>
      <c r="E4834" s="1101"/>
      <c r="F4834" s="1101"/>
      <c r="G4834" s="1101"/>
      <c r="H4834" s="1101"/>
      <c r="I4834" s="1101"/>
      <c r="J4834" s="1101"/>
      <c r="K4834" s="1101"/>
      <c r="L4834" s="1101"/>
      <c r="M4834" s="1102"/>
      <c r="N4834" s="322">
        <f>+N4833</f>
        <v>767.41000000000008</v>
      </c>
      <c r="P4834" s="408">
        <v>4338240</v>
      </c>
    </row>
    <row r="4835" spans="2:17" ht="13.5" thickBot="1">
      <c r="B4835" s="1100"/>
      <c r="C4835" s="1101"/>
      <c r="D4835" s="1101"/>
      <c r="E4835" s="1101"/>
      <c r="F4835" s="1101"/>
      <c r="G4835" s="1101"/>
      <c r="H4835" s="1101"/>
      <c r="I4835" s="1101"/>
      <c r="J4835" s="1101"/>
      <c r="K4835" s="1101"/>
      <c r="L4835" s="1101"/>
      <c r="M4835" s="1102"/>
      <c r="N4835" s="322"/>
    </row>
    <row r="4836" spans="2:17" ht="13.5" thickBot="1">
      <c r="B4836" s="1150" t="s">
        <v>291</v>
      </c>
      <c r="C4836" s="1151"/>
      <c r="D4836" s="1151"/>
      <c r="E4836" s="1151"/>
      <c r="F4836" s="1151"/>
      <c r="G4836" s="1151"/>
      <c r="H4836" s="1151"/>
      <c r="I4836" s="1151"/>
      <c r="J4836" s="1151"/>
      <c r="K4836" s="1151"/>
      <c r="L4836" s="1151"/>
      <c r="M4836" s="1152"/>
      <c r="N4836" s="336">
        <f>+N4811+N4818+N4824+N4830+N4834</f>
        <v>36152.010000000009</v>
      </c>
      <c r="P4836" s="409">
        <f>+N4836*N4805</f>
        <v>4338241.2000000011</v>
      </c>
      <c r="Q4836" s="413">
        <f>+P4836-P4834</f>
        <v>1.2000000011175871</v>
      </c>
    </row>
    <row r="4837" spans="2:17">
      <c r="B4837" s="1103" t="s">
        <v>292</v>
      </c>
      <c r="C4837" s="1104"/>
      <c r="D4837" s="1104"/>
      <c r="E4837" s="1104"/>
      <c r="F4837" s="1104"/>
      <c r="G4837" s="1104"/>
      <c r="H4837" s="1104"/>
      <c r="I4837" s="1104"/>
      <c r="J4837" s="1104"/>
      <c r="K4837" s="1104"/>
      <c r="L4837" s="1104"/>
      <c r="M4837" s="1104"/>
      <c r="N4837" s="1105"/>
    </row>
    <row r="4838" spans="2:17">
      <c r="B4838" s="1106"/>
      <c r="C4838" s="1107"/>
      <c r="D4838" s="1107"/>
      <c r="E4838" s="1107"/>
      <c r="F4838" s="1107"/>
      <c r="G4838" s="1107"/>
      <c r="H4838" s="1107"/>
      <c r="I4838" s="1107"/>
      <c r="J4838" s="1107"/>
      <c r="K4838" s="1107"/>
      <c r="L4838" s="1107"/>
      <c r="M4838" s="1107"/>
      <c r="N4838" s="1108"/>
    </row>
    <row r="4839" spans="2:17" ht="13.5" thickBot="1">
      <c r="B4839" s="1109"/>
      <c r="C4839" s="1110"/>
      <c r="D4839" s="1110"/>
      <c r="E4839" s="1110"/>
      <c r="F4839" s="1110"/>
      <c r="G4839" s="1110"/>
      <c r="H4839" s="1110"/>
      <c r="I4839" s="1110"/>
      <c r="J4839" s="1110"/>
      <c r="K4839" s="1110"/>
      <c r="L4839" s="1110"/>
      <c r="M4839" s="1110"/>
      <c r="N4839" s="1111"/>
    </row>
    <row r="4840" spans="2:17">
      <c r="B4840" s="1130" t="s">
        <v>17</v>
      </c>
      <c r="C4840" s="1139"/>
      <c r="D4840" s="1139"/>
      <c r="E4840" s="1139"/>
      <c r="F4840" s="1139"/>
      <c r="G4840" s="1139"/>
      <c r="H4840" s="1139"/>
      <c r="I4840" s="306"/>
      <c r="J4840" s="337"/>
      <c r="K4840" s="315" t="s">
        <v>79</v>
      </c>
      <c r="L4840" s="1140" t="s">
        <v>11</v>
      </c>
      <c r="M4840" s="1141"/>
      <c r="N4840" s="316"/>
    </row>
    <row r="4841" spans="2:17">
      <c r="B4841" s="1112" t="s">
        <v>232</v>
      </c>
      <c r="C4841" s="1113"/>
      <c r="D4841" s="1113"/>
      <c r="E4841" s="1113"/>
      <c r="F4841" s="1113"/>
      <c r="G4841" s="1113"/>
      <c r="H4841" s="1113"/>
      <c r="I4841" s="338"/>
      <c r="J4841" s="339"/>
      <c r="K4841" s="340">
        <f>'PRESUPUESTO OFICIAL'!$K$100</f>
        <v>0</v>
      </c>
      <c r="L4841" s="1146">
        <f>K4841*N4836</f>
        <v>0</v>
      </c>
      <c r="M4841" s="1147"/>
      <c r="N4841" s="341"/>
    </row>
    <row r="4842" spans="2:17">
      <c r="B4842" s="292" t="s">
        <v>293</v>
      </c>
      <c r="C4842" s="293"/>
      <c r="D4842" s="293"/>
      <c r="E4842" s="293"/>
      <c r="F4842" s="293"/>
      <c r="G4842" s="293"/>
      <c r="H4842" s="293"/>
      <c r="I4842" s="338"/>
      <c r="J4842" s="339"/>
      <c r="K4842" s="340">
        <f>'PRESUPUESTO OFICIAL'!$K$101</f>
        <v>0</v>
      </c>
      <c r="L4842" s="1146">
        <f>K4842*N4836</f>
        <v>0</v>
      </c>
      <c r="M4842" s="1147"/>
      <c r="N4842" s="341"/>
    </row>
    <row r="4843" spans="2:17" ht="13.5" thickBot="1">
      <c r="B4843" s="277" t="s">
        <v>294</v>
      </c>
      <c r="C4843" s="278"/>
      <c r="D4843" s="278"/>
      <c r="E4843" s="278"/>
      <c r="F4843" s="278"/>
      <c r="G4843" s="278"/>
      <c r="H4843" s="278"/>
      <c r="I4843" s="342"/>
      <c r="J4843" s="343"/>
      <c r="K4843" s="340">
        <f>'PRESUPUESTO OFICIAL'!$K$102</f>
        <v>0</v>
      </c>
      <c r="L4843" s="1148">
        <f>K4843*N4836</f>
        <v>0</v>
      </c>
      <c r="M4843" s="1149"/>
      <c r="N4843" s="341"/>
    </row>
    <row r="4844" spans="2:17" ht="13.5" thickBot="1">
      <c r="B4844" s="1100" t="s">
        <v>269</v>
      </c>
      <c r="C4844" s="1101"/>
      <c r="D4844" s="1101"/>
      <c r="E4844" s="1101"/>
      <c r="F4844" s="1101"/>
      <c r="G4844" s="1101"/>
      <c r="H4844" s="1101"/>
      <c r="I4844" s="1101"/>
      <c r="J4844" s="1101"/>
      <c r="K4844" s="1101"/>
      <c r="L4844" s="1101"/>
      <c r="M4844" s="1102"/>
      <c r="N4844" s="344">
        <f>SUM(L4841:M4843)</f>
        <v>0</v>
      </c>
    </row>
    <row r="4845" spans="2:17" ht="13.5" thickBot="1">
      <c r="B4845" s="283"/>
      <c r="N4845" s="284"/>
    </row>
    <row r="4846" spans="2:17" ht="13.5" thickBot="1">
      <c r="B4846" s="1150" t="s">
        <v>295</v>
      </c>
      <c r="C4846" s="1151"/>
      <c r="D4846" s="1151"/>
      <c r="E4846" s="1151"/>
      <c r="F4846" s="1151"/>
      <c r="G4846" s="1151"/>
      <c r="H4846" s="1151"/>
      <c r="I4846" s="1151"/>
      <c r="J4846" s="1151"/>
      <c r="K4846" s="1151"/>
      <c r="L4846" s="1151"/>
      <c r="M4846" s="1152"/>
      <c r="N4846" s="345">
        <f>ROUND(N4836+N4844,0)</f>
        <v>36152</v>
      </c>
    </row>
    <row r="4847" spans="2:17">
      <c r="B4847" s="280"/>
      <c r="C4847" s="281"/>
      <c r="D4847" s="281"/>
      <c r="E4847" s="281"/>
      <c r="F4847" s="281"/>
      <c r="G4847" s="281"/>
      <c r="H4847" s="281"/>
      <c r="I4847" s="281"/>
      <c r="J4847" s="281"/>
      <c r="K4847" s="281"/>
      <c r="L4847" s="281"/>
      <c r="M4847" s="281"/>
      <c r="N4847" s="282"/>
    </row>
    <row r="4848" spans="2:17">
      <c r="B4848" s="283"/>
      <c r="N4848" s="284"/>
    </row>
    <row r="4849" spans="2:14">
      <c r="B4849" s="283"/>
      <c r="N4849" s="284"/>
    </row>
    <row r="4850" spans="2:14">
      <c r="B4850" s="283"/>
      <c r="G4850" s="346" t="s">
        <v>296</v>
      </c>
      <c r="H4850" s="346"/>
      <c r="I4850" s="346"/>
      <c r="J4850" s="346"/>
      <c r="N4850" s="284"/>
    </row>
    <row r="4851" spans="2:14">
      <c r="B4851" s="347"/>
      <c r="C4851" s="348"/>
      <c r="D4851" s="348"/>
      <c r="E4851" s="348"/>
      <c r="F4851" s="348"/>
      <c r="G4851" s="346" t="s">
        <v>297</v>
      </c>
      <c r="H4851" s="348"/>
      <c r="I4851" s="348"/>
      <c r="J4851" s="348"/>
      <c r="K4851" s="348"/>
      <c r="L4851" s="348"/>
      <c r="M4851" s="348"/>
      <c r="N4851" s="349"/>
    </row>
    <row r="4852" spans="2:14">
      <c r="B4852" s="347"/>
      <c r="C4852" s="348"/>
      <c r="D4852" s="348"/>
      <c r="E4852" s="348"/>
      <c r="F4852" s="348"/>
      <c r="G4852" s="346" t="s">
        <v>298</v>
      </c>
      <c r="J4852" s="348"/>
      <c r="K4852" s="348"/>
      <c r="L4852" s="348"/>
      <c r="M4852" s="348"/>
      <c r="N4852" s="349"/>
    </row>
    <row r="4853" spans="2:14">
      <c r="B4853" s="268"/>
      <c r="C4853" s="350"/>
      <c r="D4853" s="350"/>
      <c r="E4853" s="350"/>
      <c r="F4853" s="350"/>
      <c r="G4853" s="346" t="s">
        <v>299</v>
      </c>
      <c r="H4853" s="350"/>
      <c r="I4853" s="350"/>
      <c r="J4853" s="350"/>
      <c r="K4853" s="350"/>
      <c r="L4853" s="350"/>
      <c r="M4853" s="350"/>
      <c r="N4853" s="351"/>
    </row>
    <row r="4854" spans="2:14">
      <c r="B4854" s="283"/>
      <c r="G4854" s="258" t="s">
        <v>300</v>
      </c>
      <c r="N4854" s="284"/>
    </row>
    <row r="4855" spans="2:14">
      <c r="B4855" s="352" t="s">
        <v>301</v>
      </c>
      <c r="C4855" s="353"/>
      <c r="D4855" s="353"/>
      <c r="E4855" s="353"/>
      <c r="F4855" s="353"/>
      <c r="G4855" s="353"/>
      <c r="H4855" s="353"/>
      <c r="I4855" s="353"/>
      <c r="J4855" s="353"/>
      <c r="K4855" s="353"/>
      <c r="L4855" s="353"/>
      <c r="M4855" s="353"/>
      <c r="N4855" s="354"/>
    </row>
    <row r="4856" spans="2:14">
      <c r="B4856" s="1153"/>
      <c r="C4856" s="1154"/>
      <c r="D4856" s="1154"/>
      <c r="E4856" s="1154"/>
      <c r="F4856" s="1154"/>
      <c r="G4856" s="1154"/>
      <c r="H4856" s="1154"/>
      <c r="I4856" s="1154"/>
      <c r="J4856" s="1154"/>
      <c r="K4856" s="1154"/>
      <c r="L4856" s="1154"/>
      <c r="M4856" s="1154"/>
      <c r="N4856" s="1155"/>
    </row>
    <row r="4857" spans="2:14">
      <c r="B4857" s="1153"/>
      <c r="C4857" s="1154"/>
      <c r="D4857" s="1154"/>
      <c r="E4857" s="1154"/>
      <c r="F4857" s="1154"/>
      <c r="G4857" s="1154"/>
      <c r="H4857" s="1154"/>
      <c r="I4857" s="1154"/>
      <c r="J4857" s="1154"/>
      <c r="K4857" s="1154"/>
      <c r="L4857" s="1154"/>
      <c r="M4857" s="1154"/>
      <c r="N4857" s="1155"/>
    </row>
    <row r="4858" spans="2:14">
      <c r="B4858" s="268"/>
      <c r="C4858" s="350"/>
      <c r="D4858" s="350"/>
      <c r="E4858" s="350"/>
      <c r="F4858" s="350"/>
      <c r="G4858" s="350"/>
      <c r="H4858" s="350"/>
      <c r="I4858" s="350"/>
      <c r="J4858" s="350"/>
      <c r="K4858" s="350"/>
      <c r="L4858" s="350"/>
      <c r="M4858" s="350"/>
      <c r="N4858" s="351"/>
    </row>
    <row r="4859" spans="2:14">
      <c r="B4859" s="355" t="s">
        <v>302</v>
      </c>
      <c r="C4859" s="350"/>
      <c r="D4859" s="350"/>
      <c r="E4859" s="350"/>
      <c r="F4859" s="350"/>
      <c r="G4859" s="350"/>
      <c r="H4859" s="350"/>
      <c r="I4859" s="350"/>
      <c r="J4859" s="350"/>
      <c r="K4859" s="350"/>
      <c r="L4859" s="350"/>
      <c r="M4859" s="350"/>
      <c r="N4859" s="351"/>
    </row>
    <row r="4860" spans="2:14">
      <c r="B4860" s="1159" t="s">
        <v>303</v>
      </c>
      <c r="C4860" s="1160"/>
      <c r="D4860" s="1160"/>
      <c r="E4860" s="1160"/>
      <c r="F4860" s="1160"/>
      <c r="G4860" s="1160"/>
      <c r="H4860" s="1160"/>
      <c r="I4860" s="1160"/>
      <c r="J4860" s="1160"/>
      <c r="K4860" s="1160"/>
      <c r="L4860" s="1160"/>
      <c r="M4860" s="1160"/>
      <c r="N4860" s="1161"/>
    </row>
    <row r="4861" spans="2:14">
      <c r="B4861" s="1159"/>
      <c r="C4861" s="1160"/>
      <c r="D4861" s="1160"/>
      <c r="E4861" s="1160"/>
      <c r="F4861" s="1160"/>
      <c r="G4861" s="1160"/>
      <c r="H4861" s="1160"/>
      <c r="I4861" s="1160"/>
      <c r="J4861" s="1160"/>
      <c r="K4861" s="1160"/>
      <c r="L4861" s="1160"/>
      <c r="M4861" s="1160"/>
      <c r="N4861" s="1161"/>
    </row>
    <row r="4862" spans="2:14">
      <c r="B4862" s="1159" t="s">
        <v>304</v>
      </c>
      <c r="C4862" s="1160"/>
      <c r="D4862" s="1160"/>
      <c r="E4862" s="1160"/>
      <c r="F4862" s="1160"/>
      <c r="G4862" s="1160"/>
      <c r="H4862" s="1160"/>
      <c r="I4862" s="1160"/>
      <c r="J4862" s="1160"/>
      <c r="K4862" s="1160"/>
      <c r="L4862" s="1160"/>
      <c r="M4862" s="1160"/>
      <c r="N4862" s="1161"/>
    </row>
    <row r="4863" spans="2:14">
      <c r="B4863" s="1159"/>
      <c r="C4863" s="1160"/>
      <c r="D4863" s="1160"/>
      <c r="E4863" s="1160"/>
      <c r="F4863" s="1160"/>
      <c r="G4863" s="1160"/>
      <c r="H4863" s="1160"/>
      <c r="I4863" s="1160"/>
      <c r="J4863" s="1160"/>
      <c r="K4863" s="1160"/>
      <c r="L4863" s="1160"/>
      <c r="M4863" s="1160"/>
      <c r="N4863" s="1161"/>
    </row>
    <row r="4864" spans="2:14">
      <c r="B4864" s="268"/>
      <c r="C4864" s="350"/>
      <c r="D4864" s="350"/>
      <c r="E4864" s="350"/>
      <c r="F4864" s="350"/>
      <c r="G4864" s="350"/>
      <c r="H4864" s="350"/>
      <c r="I4864" s="350"/>
      <c r="J4864" s="350"/>
      <c r="K4864" s="350"/>
      <c r="L4864" s="350"/>
      <c r="M4864" s="350"/>
      <c r="N4864" s="351"/>
    </row>
    <row r="4865" spans="2:14">
      <c r="B4865" s="283"/>
      <c r="G4865" s="346" t="s">
        <v>296</v>
      </c>
      <c r="N4865" s="284"/>
    </row>
    <row r="4866" spans="2:14">
      <c r="B4866" s="283"/>
      <c r="G4866" s="258" t="s">
        <v>305</v>
      </c>
      <c r="H4866" s="293"/>
      <c r="I4866" s="293"/>
      <c r="J4866" s="293"/>
      <c r="N4866" s="284"/>
    </row>
    <row r="4867" spans="2:14">
      <c r="B4867" s="283"/>
      <c r="G4867" s="258" t="s">
        <v>306</v>
      </c>
      <c r="H4867" s="325"/>
      <c r="I4867" s="325"/>
      <c r="J4867" s="325"/>
      <c r="N4867" s="284"/>
    </row>
    <row r="4868" spans="2:14">
      <c r="B4868" s="356"/>
      <c r="C4868" s="350"/>
      <c r="D4868" s="350"/>
      <c r="E4868" s="350"/>
      <c r="F4868" s="350"/>
      <c r="G4868" s="258" t="s">
        <v>299</v>
      </c>
      <c r="K4868" s="350"/>
      <c r="L4868" s="350"/>
      <c r="M4868" s="350"/>
      <c r="N4868" s="351"/>
    </row>
    <row r="4869" spans="2:14">
      <c r="B4869" s="357"/>
      <c r="C4869" s="358"/>
      <c r="D4869" s="358"/>
      <c r="J4869" s="1162"/>
      <c r="K4869" s="1162"/>
      <c r="L4869" s="1162"/>
      <c r="M4869" s="1162"/>
      <c r="N4869" s="1163"/>
    </row>
    <row r="4870" spans="2:14" ht="13.5" thickBot="1">
      <c r="B4870" s="1166"/>
      <c r="C4870" s="1167"/>
      <c r="D4870" s="1167"/>
      <c r="E4870" s="311"/>
      <c r="F4870" s="311"/>
      <c r="G4870" s="311"/>
      <c r="H4870" s="311"/>
      <c r="I4870" s="311"/>
      <c r="J4870" s="1164"/>
      <c r="K4870" s="1164"/>
      <c r="L4870" s="1164"/>
      <c r="M4870" s="1164"/>
      <c r="N4870" s="1165"/>
    </row>
    <row r="4871" spans="2:14" ht="13.5" thickBot="1"/>
    <row r="4872" spans="2:14">
      <c r="B4872" s="1070"/>
      <c r="C4872" s="1072"/>
      <c r="D4872" s="1073"/>
      <c r="E4872" s="1073"/>
      <c r="F4872" s="1073"/>
      <c r="G4872" s="1073"/>
      <c r="H4872" s="1073"/>
      <c r="I4872" s="1073"/>
      <c r="J4872" s="1074"/>
      <c r="K4872" s="1075"/>
      <c r="L4872" s="1076"/>
      <c r="M4872" s="1076"/>
      <c r="N4872" s="1077"/>
    </row>
    <row r="4873" spans="2:14">
      <c r="B4873" s="1071"/>
      <c r="C4873" s="1062" t="s">
        <v>244</v>
      </c>
      <c r="D4873" s="1063"/>
      <c r="E4873" s="1063"/>
      <c r="F4873" s="1063"/>
      <c r="G4873" s="1063"/>
      <c r="H4873" s="1063"/>
      <c r="I4873" s="1063"/>
      <c r="J4873" s="1064"/>
      <c r="K4873" s="1078"/>
      <c r="L4873" s="1079"/>
      <c r="M4873" s="1079"/>
      <c r="N4873" s="1080"/>
    </row>
    <row r="4874" spans="2:14">
      <c r="B4874" s="1071"/>
      <c r="C4874" s="1081"/>
      <c r="D4874" s="1082"/>
      <c r="E4874" s="1082"/>
      <c r="F4874" s="1082"/>
      <c r="G4874" s="1082"/>
      <c r="H4874" s="1082"/>
      <c r="I4874" s="1082"/>
      <c r="J4874" s="1083"/>
      <c r="K4874" s="1058" t="s">
        <v>245</v>
      </c>
      <c r="L4874" s="1085"/>
      <c r="M4874" s="1086"/>
      <c r="N4874" s="1087"/>
    </row>
    <row r="4875" spans="2:14">
      <c r="B4875" s="1071"/>
      <c r="C4875" s="1062" t="s">
        <v>246</v>
      </c>
      <c r="D4875" s="1063"/>
      <c r="E4875" s="1063"/>
      <c r="F4875" s="1063"/>
      <c r="G4875" s="1063"/>
      <c r="H4875" s="1063"/>
      <c r="I4875" s="1063"/>
      <c r="J4875" s="1064"/>
      <c r="K4875" s="1084"/>
      <c r="L4875" s="1088"/>
      <c r="M4875" s="1089"/>
      <c r="N4875" s="1090"/>
    </row>
    <row r="4876" spans="2:14">
      <c r="B4876" s="1071"/>
      <c r="C4876" s="1091"/>
      <c r="D4876" s="1092"/>
      <c r="E4876" s="1092"/>
      <c r="F4876" s="1092"/>
      <c r="G4876" s="1092"/>
      <c r="H4876" s="1092"/>
      <c r="I4876" s="1092"/>
      <c r="J4876" s="1093"/>
      <c r="K4876" s="1058" t="s">
        <v>247</v>
      </c>
      <c r="L4876" s="1058">
        <v>55</v>
      </c>
      <c r="M4876" s="1058" t="s">
        <v>248</v>
      </c>
      <c r="N4876" s="1060">
        <v>80</v>
      </c>
    </row>
    <row r="4877" spans="2:14">
      <c r="B4877" s="1071"/>
      <c r="C4877" s="1091"/>
      <c r="D4877" s="1092"/>
      <c r="E4877" s="1092"/>
      <c r="F4877" s="1092"/>
      <c r="G4877" s="1092"/>
      <c r="H4877" s="1092"/>
      <c r="I4877" s="1092"/>
      <c r="J4877" s="1093"/>
      <c r="K4877" s="1059"/>
      <c r="L4877" s="1059"/>
      <c r="M4877" s="1059"/>
      <c r="N4877" s="1061"/>
    </row>
    <row r="4878" spans="2:14">
      <c r="B4878" s="1071"/>
      <c r="C4878" s="1062" t="s">
        <v>249</v>
      </c>
      <c r="D4878" s="1063"/>
      <c r="E4878" s="1063"/>
      <c r="F4878" s="1063"/>
      <c r="G4878" s="1063"/>
      <c r="H4878" s="1063"/>
      <c r="I4878" s="1063"/>
      <c r="J4878" s="1064"/>
      <c r="K4878" s="1059"/>
      <c r="L4878" s="1059"/>
      <c r="M4878" s="1059"/>
      <c r="N4878" s="1061"/>
    </row>
    <row r="4879" spans="2:14" ht="13.5" thickBot="1">
      <c r="B4879" s="259"/>
      <c r="C4879" s="260"/>
      <c r="D4879" s="260"/>
      <c r="E4879" s="260"/>
      <c r="F4879" s="260"/>
      <c r="G4879" s="260"/>
      <c r="H4879" s="260"/>
      <c r="I4879" s="260"/>
      <c r="J4879" s="260"/>
      <c r="K4879" s="260"/>
      <c r="L4879" s="261"/>
      <c r="M4879" s="261"/>
      <c r="N4879" s="262"/>
    </row>
    <row r="4880" spans="2:14">
      <c r="B4880" s="263"/>
      <c r="C4880" s="264"/>
      <c r="D4880" s="264"/>
      <c r="E4880" s="264"/>
      <c r="F4880" s="264"/>
      <c r="G4880" s="264"/>
      <c r="H4880" s="264"/>
      <c r="I4880" s="264"/>
      <c r="J4880" s="264"/>
      <c r="K4880" s="265" t="s">
        <v>250</v>
      </c>
      <c r="L4880" s="266" t="s">
        <v>251</v>
      </c>
      <c r="M4880" s="266" t="s">
        <v>252</v>
      </c>
      <c r="N4880" s="267" t="s">
        <v>253</v>
      </c>
    </row>
    <row r="4881" spans="2:14">
      <c r="B4881" s="268"/>
      <c r="C4881" s="269"/>
      <c r="D4881" s="269"/>
      <c r="E4881" s="269"/>
      <c r="F4881" s="269"/>
      <c r="G4881" s="269"/>
      <c r="H4881" s="269"/>
      <c r="I4881" s="269"/>
      <c r="J4881" s="269"/>
      <c r="K4881" s="270"/>
      <c r="L4881" s="271"/>
      <c r="M4881" s="271"/>
      <c r="N4881" s="272"/>
    </row>
    <row r="4882" spans="2:14">
      <c r="B4882" s="1065" t="s">
        <v>254</v>
      </c>
      <c r="C4882" s="1066"/>
      <c r="D4882" s="1066"/>
      <c r="E4882" s="1066"/>
      <c r="F4882" s="269"/>
      <c r="G4882" s="269"/>
      <c r="H4882" s="269" t="s">
        <v>255</v>
      </c>
      <c r="J4882" s="269"/>
      <c r="K4882" s="270"/>
      <c r="N4882" s="273"/>
    </row>
    <row r="4883" spans="2:14">
      <c r="B4883" s="274"/>
      <c r="C4883" s="275"/>
      <c r="D4883" s="275"/>
      <c r="E4883" s="275"/>
      <c r="F4883" s="275"/>
      <c r="G4883" s="275"/>
      <c r="H4883" s="275"/>
      <c r="I4883" s="275"/>
      <c r="J4883" s="275"/>
      <c r="K4883" s="275"/>
      <c r="L4883" s="275"/>
      <c r="M4883" s="275"/>
      <c r="N4883" s="276"/>
    </row>
    <row r="4884" spans="2:14" ht="13.5" thickBot="1">
      <c r="B4884" s="277"/>
      <c r="C4884" s="278"/>
      <c r="D4884" s="278"/>
      <c r="E4884" s="278"/>
      <c r="F4884" s="278"/>
      <c r="G4884" s="278"/>
      <c r="H4884" s="278"/>
      <c r="I4884" s="278"/>
      <c r="J4884" s="278"/>
      <c r="K4884" s="278"/>
      <c r="L4884" s="278"/>
      <c r="M4884" s="278"/>
      <c r="N4884" s="279"/>
    </row>
    <row r="4885" spans="2:14" ht="13.5" thickBot="1">
      <c r="B4885" s="280"/>
      <c r="C4885" s="281"/>
      <c r="D4885" s="281"/>
      <c r="E4885" s="281"/>
      <c r="F4885" s="281"/>
      <c r="G4885" s="281"/>
      <c r="J4885" s="281"/>
      <c r="K4885" s="281"/>
      <c r="L4885" s="281"/>
      <c r="M4885" s="281"/>
      <c r="N4885" s="282"/>
    </row>
    <row r="4886" spans="2:14">
      <c r="B4886" s="1067" t="s">
        <v>256</v>
      </c>
      <c r="C4886" s="1068"/>
      <c r="D4886" s="1068"/>
      <c r="E4886" s="1068"/>
      <c r="F4886" s="1068"/>
      <c r="G4886" s="1068"/>
      <c r="H4886" s="1068"/>
      <c r="I4886" s="1068"/>
      <c r="J4886" s="1068"/>
      <c r="K4886" s="1068"/>
      <c r="L4886" s="1068"/>
      <c r="M4886" s="1068"/>
      <c r="N4886" s="1069"/>
    </row>
    <row r="4887" spans="2:14" ht="13.5" thickBot="1">
      <c r="B4887" s="283"/>
      <c r="N4887" s="284"/>
    </row>
    <row r="4888" spans="2:14">
      <c r="B4888" s="285" t="s">
        <v>257</v>
      </c>
      <c r="C4888" s="1120" t="s">
        <v>258</v>
      </c>
      <c r="D4888" s="1121"/>
      <c r="E4888" s="1121"/>
      <c r="F4888" s="1121"/>
      <c r="G4888" s="1121"/>
      <c r="H4888" s="1121"/>
      <c r="I4888" s="1121"/>
      <c r="J4888" s="1121"/>
      <c r="K4888" s="1122"/>
      <c r="L4888" s="1123" t="s">
        <v>259</v>
      </c>
      <c r="M4888" s="1124"/>
      <c r="N4888" s="285" t="s">
        <v>133</v>
      </c>
    </row>
    <row r="4889" spans="2:14" ht="25.5" customHeight="1" thickBot="1">
      <c r="B4889" s="286">
        <v>55</v>
      </c>
      <c r="C4889" s="1125" t="s">
        <v>198</v>
      </c>
      <c r="D4889" s="1126"/>
      <c r="E4889" s="1126"/>
      <c r="F4889" s="1126"/>
      <c r="G4889" s="1126"/>
      <c r="H4889" s="1126"/>
      <c r="I4889" s="1126"/>
      <c r="J4889" s="1126"/>
      <c r="K4889" s="1127"/>
      <c r="L4889" s="1128" t="s">
        <v>143</v>
      </c>
      <c r="M4889" s="1129"/>
      <c r="N4889" s="366">
        <v>120</v>
      </c>
    </row>
    <row r="4890" spans="2:14">
      <c r="B4890" s="1103" t="s">
        <v>260</v>
      </c>
      <c r="C4890" s="1104"/>
      <c r="D4890" s="1104"/>
      <c r="E4890" s="1104"/>
      <c r="F4890" s="1104"/>
      <c r="G4890" s="1104"/>
      <c r="H4890" s="1104"/>
      <c r="I4890" s="1104"/>
      <c r="J4890" s="1104"/>
      <c r="K4890" s="1104"/>
      <c r="L4890" s="1104"/>
      <c r="M4890" s="1104"/>
      <c r="N4890" s="1105"/>
    </row>
    <row r="4891" spans="2:14">
      <c r="B4891" s="1106"/>
      <c r="C4891" s="1107"/>
      <c r="D4891" s="1107"/>
      <c r="E4891" s="1107"/>
      <c r="F4891" s="1107"/>
      <c r="G4891" s="1107"/>
      <c r="H4891" s="1107"/>
      <c r="I4891" s="1107"/>
      <c r="J4891" s="1107"/>
      <c r="K4891" s="1107"/>
      <c r="L4891" s="1107"/>
      <c r="M4891" s="1107"/>
      <c r="N4891" s="1108"/>
    </row>
    <row r="4892" spans="2:14" ht="13.5" thickBot="1">
      <c r="B4892" s="1109"/>
      <c r="C4892" s="1110"/>
      <c r="D4892" s="1110"/>
      <c r="E4892" s="1110"/>
      <c r="F4892" s="1110"/>
      <c r="G4892" s="1110"/>
      <c r="H4892" s="1110"/>
      <c r="I4892" s="1110"/>
      <c r="J4892" s="1110"/>
      <c r="K4892" s="1110"/>
      <c r="L4892" s="1110"/>
      <c r="M4892" s="1110"/>
      <c r="N4892" s="1111"/>
    </row>
    <row r="4893" spans="2:14">
      <c r="B4893" s="1130" t="s">
        <v>258</v>
      </c>
      <c r="C4893" s="1131"/>
      <c r="D4893" s="1131"/>
      <c r="E4893" s="1131"/>
      <c r="F4893" s="1132"/>
      <c r="G4893" s="1133" t="s">
        <v>261</v>
      </c>
      <c r="H4893" s="1131"/>
      <c r="I4893" s="1134" t="s">
        <v>262</v>
      </c>
      <c r="J4893" s="1135"/>
      <c r="K4893" s="288" t="s">
        <v>263</v>
      </c>
      <c r="L4893" s="1133" t="s">
        <v>264</v>
      </c>
      <c r="M4893" s="1136"/>
      <c r="N4893" s="289" t="s">
        <v>265</v>
      </c>
    </row>
    <row r="4894" spans="2:14" ht="13.5" thickBot="1">
      <c r="B4894" s="1179"/>
      <c r="C4894" s="1180"/>
      <c r="D4894" s="1180"/>
      <c r="E4894" s="1180"/>
      <c r="F4894" s="1181"/>
      <c r="G4894" s="295"/>
      <c r="H4894" s="294"/>
      <c r="I4894" s="1182"/>
      <c r="J4894" s="1183"/>
      <c r="K4894" s="290"/>
      <c r="L4894" s="1118"/>
      <c r="M4894" s="1119"/>
      <c r="N4894" s="290"/>
    </row>
    <row r="4895" spans="2:14" ht="13.5" thickBot="1">
      <c r="B4895" s="1100" t="s">
        <v>269</v>
      </c>
      <c r="C4895" s="1101"/>
      <c r="D4895" s="1101"/>
      <c r="E4895" s="1101"/>
      <c r="F4895" s="1101"/>
      <c r="G4895" s="1101"/>
      <c r="H4895" s="1101"/>
      <c r="I4895" s="1101"/>
      <c r="J4895" s="1101"/>
      <c r="K4895" s="1101"/>
      <c r="L4895" s="1101"/>
      <c r="M4895" s="1102"/>
      <c r="N4895" s="323">
        <v>0</v>
      </c>
    </row>
    <row r="4896" spans="2:14">
      <c r="B4896" s="1103" t="s">
        <v>270</v>
      </c>
      <c r="C4896" s="1104"/>
      <c r="D4896" s="1104"/>
      <c r="E4896" s="1104"/>
      <c r="F4896" s="1104"/>
      <c r="G4896" s="1104"/>
      <c r="H4896" s="1104"/>
      <c r="I4896" s="1104"/>
      <c r="J4896" s="1104"/>
      <c r="K4896" s="1104"/>
      <c r="L4896" s="1104"/>
      <c r="M4896" s="1104"/>
      <c r="N4896" s="1105"/>
    </row>
    <row r="4897" spans="2:14">
      <c r="B4897" s="1106"/>
      <c r="C4897" s="1107"/>
      <c r="D4897" s="1107"/>
      <c r="E4897" s="1107"/>
      <c r="F4897" s="1107"/>
      <c r="G4897" s="1107"/>
      <c r="H4897" s="1107"/>
      <c r="I4897" s="1107"/>
      <c r="J4897" s="1107"/>
      <c r="K4897" s="1107"/>
      <c r="L4897" s="1107"/>
      <c r="M4897" s="1107"/>
      <c r="N4897" s="1108"/>
    </row>
    <row r="4898" spans="2:14" ht="13.5" thickBot="1">
      <c r="B4898" s="1109"/>
      <c r="C4898" s="1110"/>
      <c r="D4898" s="1110"/>
      <c r="E4898" s="1110"/>
      <c r="F4898" s="1110"/>
      <c r="G4898" s="1110"/>
      <c r="H4898" s="1110"/>
      <c r="I4898" s="1110"/>
      <c r="J4898" s="1110"/>
      <c r="K4898" s="1110"/>
      <c r="L4898" s="1110"/>
      <c r="M4898" s="1110"/>
      <c r="N4898" s="1111"/>
    </row>
    <row r="4899" spans="2:14">
      <c r="B4899" s="1130" t="s">
        <v>258</v>
      </c>
      <c r="C4899" s="1139"/>
      <c r="D4899" s="1139"/>
      <c r="E4899" s="1139"/>
      <c r="F4899" s="1139"/>
      <c r="G4899" s="1139"/>
      <c r="H4899" s="1139"/>
      <c r="I4899" s="1136"/>
      <c r="J4899" s="299" t="s">
        <v>259</v>
      </c>
      <c r="K4899" s="288" t="s">
        <v>133</v>
      </c>
      <c r="L4899" s="1133" t="s">
        <v>271</v>
      </c>
      <c r="M4899" s="1136"/>
      <c r="N4899" s="289" t="s">
        <v>265</v>
      </c>
    </row>
    <row r="4900" spans="2:14">
      <c r="B4900" s="402" t="s">
        <v>348</v>
      </c>
      <c r="C4900" s="353"/>
      <c r="D4900" s="353"/>
      <c r="E4900" s="353"/>
      <c r="F4900" s="353"/>
      <c r="G4900" s="353"/>
      <c r="H4900" s="353"/>
      <c r="I4900" s="403"/>
      <c r="J4900" s="303" t="s">
        <v>147</v>
      </c>
      <c r="K4900" s="392">
        <v>7.0999999999999994E-2</v>
      </c>
      <c r="L4900" s="1144">
        <v>369520</v>
      </c>
      <c r="M4900" s="1145"/>
      <c r="N4900" s="363">
        <f>+K4900*L4900</f>
        <v>26235.919999999998</v>
      </c>
    </row>
    <row r="4901" spans="2:14">
      <c r="B4901" s="402" t="s">
        <v>384</v>
      </c>
      <c r="C4901" s="353"/>
      <c r="D4901" s="353"/>
      <c r="E4901" s="353"/>
      <c r="F4901" s="353"/>
      <c r="G4901" s="353"/>
      <c r="H4901" s="353"/>
      <c r="I4901" s="403"/>
      <c r="J4901" s="303" t="s">
        <v>147</v>
      </c>
      <c r="K4901" s="392">
        <v>2.1000000000000001E-2</v>
      </c>
      <c r="L4901" s="1144">
        <v>8613</v>
      </c>
      <c r="M4901" s="1145">
        <v>8613</v>
      </c>
      <c r="N4901" s="363">
        <f>+K4901*L4901</f>
        <v>180.87300000000002</v>
      </c>
    </row>
    <row r="4902" spans="2:14">
      <c r="B4902" s="402" t="s">
        <v>349</v>
      </c>
      <c r="C4902" s="353"/>
      <c r="D4902" s="353"/>
      <c r="E4902" s="353"/>
      <c r="F4902" s="353"/>
      <c r="G4902" s="353"/>
      <c r="H4902" s="353"/>
      <c r="I4902" s="403"/>
      <c r="J4902" s="303" t="s">
        <v>147</v>
      </c>
      <c r="K4902" s="392">
        <v>0.05</v>
      </c>
      <c r="L4902" s="1144">
        <v>59537</v>
      </c>
      <c r="M4902" s="1145"/>
      <c r="N4902" s="363">
        <f>+K4902*L4902</f>
        <v>2976.8500000000004</v>
      </c>
    </row>
    <row r="4903" spans="2:14" ht="13.5" thickBot="1">
      <c r="B4903" s="402" t="s">
        <v>332</v>
      </c>
      <c r="C4903" s="353"/>
      <c r="D4903" s="353"/>
      <c r="E4903" s="353"/>
      <c r="F4903" s="353"/>
      <c r="G4903" s="353"/>
      <c r="H4903" s="353"/>
      <c r="I4903" s="403"/>
      <c r="J4903" s="303" t="s">
        <v>196</v>
      </c>
      <c r="K4903" s="392">
        <v>0.5</v>
      </c>
      <c r="L4903" s="1144">
        <v>10710</v>
      </c>
      <c r="M4903" s="1145">
        <v>33272</v>
      </c>
      <c r="N4903" s="363">
        <f>+K4903*L4903</f>
        <v>5355</v>
      </c>
    </row>
    <row r="4904" spans="2:14" ht="13.5" thickBot="1">
      <c r="B4904" s="1100" t="s">
        <v>269</v>
      </c>
      <c r="C4904" s="1101"/>
      <c r="D4904" s="1101"/>
      <c r="E4904" s="1101"/>
      <c r="F4904" s="1101"/>
      <c r="G4904" s="1101"/>
      <c r="H4904" s="1101"/>
      <c r="I4904" s="1101"/>
      <c r="J4904" s="1101"/>
      <c r="K4904" s="1101"/>
      <c r="L4904" s="1101"/>
      <c r="M4904" s="1102"/>
      <c r="N4904" s="323">
        <f>+N4900+N4901+N4902+N4903</f>
        <v>34748.642999999996</v>
      </c>
    </row>
    <row r="4905" spans="2:14">
      <c r="B4905" s="1103" t="s">
        <v>367</v>
      </c>
      <c r="C4905" s="1104"/>
      <c r="D4905" s="1104"/>
      <c r="E4905" s="1104"/>
      <c r="F4905" s="1104"/>
      <c r="G4905" s="1104"/>
      <c r="H4905" s="1104"/>
      <c r="I4905" s="1104"/>
      <c r="J4905" s="1104"/>
      <c r="K4905" s="1104"/>
      <c r="L4905" s="1104"/>
      <c r="M4905" s="1104"/>
      <c r="N4905" s="1105"/>
    </row>
    <row r="4906" spans="2:14">
      <c r="B4906" s="1106"/>
      <c r="C4906" s="1107"/>
      <c r="D4906" s="1107"/>
      <c r="E4906" s="1107"/>
      <c r="F4906" s="1107"/>
      <c r="G4906" s="1107"/>
      <c r="H4906" s="1107"/>
      <c r="I4906" s="1107"/>
      <c r="J4906" s="1107"/>
      <c r="K4906" s="1107"/>
      <c r="L4906" s="1107"/>
      <c r="M4906" s="1107"/>
      <c r="N4906" s="1108"/>
    </row>
    <row r="4907" spans="2:14" ht="13.5" thickBot="1">
      <c r="B4907" s="1109"/>
      <c r="C4907" s="1110"/>
      <c r="D4907" s="1110"/>
      <c r="E4907" s="1110"/>
      <c r="F4907" s="1110"/>
      <c r="G4907" s="1110"/>
      <c r="H4907" s="1110"/>
      <c r="I4907" s="1110"/>
      <c r="J4907" s="1110"/>
      <c r="K4907" s="1110"/>
      <c r="L4907" s="1110"/>
      <c r="M4907" s="1110"/>
      <c r="N4907" s="1111"/>
    </row>
    <row r="4908" spans="2:14">
      <c r="B4908" s="1130" t="s">
        <v>277</v>
      </c>
      <c r="C4908" s="1139"/>
      <c r="D4908" s="1139"/>
      <c r="E4908" s="1139"/>
      <c r="F4908" s="1139"/>
      <c r="G4908" s="1139"/>
      <c r="H4908" s="1139"/>
      <c r="I4908" s="288" t="s">
        <v>278</v>
      </c>
      <c r="J4908" s="306" t="s">
        <v>279</v>
      </c>
      <c r="K4908" s="307" t="s">
        <v>280</v>
      </c>
      <c r="L4908" s="1133" t="s">
        <v>281</v>
      </c>
      <c r="M4908" s="1136"/>
      <c r="N4908" s="289" t="s">
        <v>265</v>
      </c>
    </row>
    <row r="4909" spans="2:14" ht="13.5" thickBot="1">
      <c r="B4909" s="1112" t="s">
        <v>336</v>
      </c>
      <c r="C4909" s="1113"/>
      <c r="D4909" s="1113"/>
      <c r="E4909" s="1113"/>
      <c r="F4909" s="1113"/>
      <c r="G4909" s="1113"/>
      <c r="H4909" s="1113"/>
      <c r="I4909" s="393">
        <v>1.07</v>
      </c>
      <c r="J4909" s="309"/>
      <c r="K4909" s="308"/>
      <c r="L4909" s="1144">
        <v>1498</v>
      </c>
      <c r="M4909" s="1145"/>
      <c r="N4909" s="363">
        <f>+I4909*L4909</f>
        <v>1602.8600000000001</v>
      </c>
    </row>
    <row r="4910" spans="2:14" ht="13.5" thickBot="1">
      <c r="B4910" s="1100" t="s">
        <v>269</v>
      </c>
      <c r="C4910" s="1101"/>
      <c r="D4910" s="1101"/>
      <c r="E4910" s="1101"/>
      <c r="F4910" s="1101"/>
      <c r="G4910" s="1101"/>
      <c r="H4910" s="1101"/>
      <c r="I4910" s="1101"/>
      <c r="J4910" s="1101"/>
      <c r="K4910" s="1101"/>
      <c r="L4910" s="1101"/>
      <c r="M4910" s="1102"/>
      <c r="N4910" s="323">
        <f>+N4909</f>
        <v>1602.8600000000001</v>
      </c>
    </row>
    <row r="4911" spans="2:14">
      <c r="B4911" s="1103" t="s">
        <v>282</v>
      </c>
      <c r="C4911" s="1104"/>
      <c r="D4911" s="1104"/>
      <c r="E4911" s="1104"/>
      <c r="F4911" s="1104"/>
      <c r="G4911" s="1104"/>
      <c r="H4911" s="1104"/>
      <c r="I4911" s="1104"/>
      <c r="J4911" s="1104"/>
      <c r="K4911" s="1104"/>
      <c r="L4911" s="1104"/>
      <c r="M4911" s="1104"/>
      <c r="N4911" s="1105"/>
    </row>
    <row r="4912" spans="2:14">
      <c r="B4912" s="1106"/>
      <c r="C4912" s="1107"/>
      <c r="D4912" s="1107"/>
      <c r="E4912" s="1107"/>
      <c r="F4912" s="1107"/>
      <c r="G4912" s="1107"/>
      <c r="H4912" s="1107"/>
      <c r="I4912" s="1107"/>
      <c r="J4912" s="1107"/>
      <c r="K4912" s="1107"/>
      <c r="L4912" s="1107"/>
      <c r="M4912" s="1107"/>
      <c r="N4912" s="1108"/>
    </row>
    <row r="4913" spans="2:17" ht="13.5" thickBot="1">
      <c r="B4913" s="1109"/>
      <c r="C4913" s="1110"/>
      <c r="D4913" s="1110"/>
      <c r="E4913" s="1110"/>
      <c r="F4913" s="1110"/>
      <c r="G4913" s="1110"/>
      <c r="H4913" s="1110"/>
      <c r="I4913" s="1110"/>
      <c r="J4913" s="1110"/>
      <c r="K4913" s="1110"/>
      <c r="L4913" s="1110"/>
      <c r="M4913" s="1110"/>
      <c r="N4913" s="1111"/>
    </row>
    <row r="4914" spans="2:17">
      <c r="B4914" s="1130" t="s">
        <v>283</v>
      </c>
      <c r="C4914" s="1139"/>
      <c r="D4914" s="1139"/>
      <c r="E4914" s="1139"/>
      <c r="F4914" s="1139"/>
      <c r="G4914" s="1139"/>
      <c r="H4914" s="1139"/>
      <c r="I4914" s="288" t="s">
        <v>284</v>
      </c>
      <c r="J4914" s="314" t="s">
        <v>285</v>
      </c>
      <c r="K4914" s="315" t="s">
        <v>286</v>
      </c>
      <c r="L4914" s="1140" t="s">
        <v>264</v>
      </c>
      <c r="M4914" s="1141"/>
      <c r="N4914" s="316" t="s">
        <v>265</v>
      </c>
    </row>
    <row r="4915" spans="2:17" ht="13.5" thickBot="1">
      <c r="B4915" s="317" t="s">
        <v>322</v>
      </c>
      <c r="C4915" s="318"/>
      <c r="D4915" s="318"/>
      <c r="E4915" s="318"/>
      <c r="F4915" s="318"/>
      <c r="G4915" s="318"/>
      <c r="H4915" s="318"/>
      <c r="I4915" s="319">
        <v>153482</v>
      </c>
      <c r="J4915" s="321">
        <v>0</v>
      </c>
      <c r="K4915" s="321">
        <f>+I4915+J4915</f>
        <v>153482</v>
      </c>
      <c r="L4915" s="1157">
        <v>7.0000070000000001</v>
      </c>
      <c r="M4915" s="1158"/>
      <c r="N4915" s="322">
        <f>+K4915/L4915</f>
        <v>21925.978074021925</v>
      </c>
    </row>
    <row r="4916" spans="2:17" ht="13.5" thickBot="1">
      <c r="B4916" s="1100" t="s">
        <v>269</v>
      </c>
      <c r="C4916" s="1101"/>
      <c r="D4916" s="1101"/>
      <c r="E4916" s="1101"/>
      <c r="F4916" s="1101"/>
      <c r="G4916" s="1101"/>
      <c r="H4916" s="1101"/>
      <c r="I4916" s="1101"/>
      <c r="J4916" s="1101"/>
      <c r="K4916" s="1101"/>
      <c r="L4916" s="1101"/>
      <c r="M4916" s="1102"/>
      <c r="N4916" s="322">
        <f>+N4915</f>
        <v>21925.978074021925</v>
      </c>
    </row>
    <row r="4917" spans="2:17" ht="13.5" thickBot="1">
      <c r="B4917" s="324" t="s">
        <v>288</v>
      </c>
      <c r="C4917" s="325"/>
      <c r="D4917" s="325"/>
      <c r="E4917" s="325"/>
      <c r="F4917" s="325"/>
      <c r="G4917" s="325"/>
      <c r="H4917" s="325"/>
      <c r="I4917" s="326"/>
      <c r="J4917" s="327"/>
      <c r="K4917" s="328"/>
      <c r="L4917" s="329"/>
      <c r="M4917" s="329"/>
      <c r="N4917" s="330"/>
    </row>
    <row r="4918" spans="2:17">
      <c r="B4918" s="1130" t="s">
        <v>17</v>
      </c>
      <c r="C4918" s="1139"/>
      <c r="D4918" s="1139"/>
      <c r="E4918" s="1139"/>
      <c r="F4918" s="1139"/>
      <c r="G4918" s="1139"/>
      <c r="H4918" s="1139"/>
      <c r="I4918" s="1136"/>
      <c r="J4918" s="299" t="s">
        <v>259</v>
      </c>
      <c r="K4918" s="288" t="s">
        <v>133</v>
      </c>
      <c r="L4918" s="1133" t="s">
        <v>271</v>
      </c>
      <c r="M4918" s="1136"/>
      <c r="N4918" s="316" t="s">
        <v>265</v>
      </c>
    </row>
    <row r="4919" spans="2:17" ht="13.5" thickBot="1">
      <c r="B4919" s="331" t="s">
        <v>289</v>
      </c>
      <c r="C4919" s="332"/>
      <c r="D4919" s="332"/>
      <c r="E4919" s="332"/>
      <c r="F4919" s="332"/>
      <c r="G4919" s="332"/>
      <c r="H4919" s="332"/>
      <c r="I4919" s="333"/>
      <c r="J4919" s="334" t="s">
        <v>290</v>
      </c>
      <c r="K4919" s="335">
        <v>0.05</v>
      </c>
      <c r="L4919" s="1144">
        <f>+N4916</f>
        <v>21925.978074021925</v>
      </c>
      <c r="M4919" s="1145"/>
      <c r="N4919" s="322">
        <f>+K4919*L4919</f>
        <v>1096.2989037010964</v>
      </c>
    </row>
    <row r="4920" spans="2:17" ht="13.5" thickBot="1">
      <c r="B4920" s="1100" t="s">
        <v>269</v>
      </c>
      <c r="C4920" s="1101"/>
      <c r="D4920" s="1101"/>
      <c r="E4920" s="1101"/>
      <c r="F4920" s="1101"/>
      <c r="G4920" s="1101"/>
      <c r="H4920" s="1101"/>
      <c r="I4920" s="1101"/>
      <c r="J4920" s="1101"/>
      <c r="K4920" s="1101"/>
      <c r="L4920" s="1101"/>
      <c r="M4920" s="1102"/>
      <c r="N4920" s="322">
        <f>+N4919</f>
        <v>1096.2989037010964</v>
      </c>
      <c r="P4920" s="408">
        <v>7124880</v>
      </c>
    </row>
    <row r="4921" spans="2:17" ht="13.5" thickBot="1">
      <c r="B4921" s="1100"/>
      <c r="C4921" s="1101"/>
      <c r="D4921" s="1101"/>
      <c r="E4921" s="1101"/>
      <c r="F4921" s="1101"/>
      <c r="G4921" s="1101"/>
      <c r="H4921" s="1101"/>
      <c r="I4921" s="1101"/>
      <c r="J4921" s="1101"/>
      <c r="K4921" s="1101"/>
      <c r="L4921" s="1101"/>
      <c r="M4921" s="1102"/>
      <c r="N4921" s="322"/>
    </row>
    <row r="4922" spans="2:17" ht="13.5" thickBot="1">
      <c r="B4922" s="1150" t="s">
        <v>291</v>
      </c>
      <c r="C4922" s="1151"/>
      <c r="D4922" s="1151"/>
      <c r="E4922" s="1151"/>
      <c r="F4922" s="1151"/>
      <c r="G4922" s="1151"/>
      <c r="H4922" s="1151"/>
      <c r="I4922" s="1151"/>
      <c r="J4922" s="1151"/>
      <c r="K4922" s="1151"/>
      <c r="L4922" s="1151"/>
      <c r="M4922" s="1152"/>
      <c r="N4922" s="336">
        <f>+N4895+N4904+N4910+N4916+N4920</f>
        <v>59373.779977723025</v>
      </c>
      <c r="P4922" s="409">
        <f>+N4922*N4889</f>
        <v>7124853.597326763</v>
      </c>
      <c r="Q4922" s="413">
        <f>+P4922-P4920</f>
        <v>-26.402673237025738</v>
      </c>
    </row>
    <row r="4923" spans="2:17">
      <c r="B4923" s="1103" t="s">
        <v>292</v>
      </c>
      <c r="C4923" s="1104"/>
      <c r="D4923" s="1104"/>
      <c r="E4923" s="1104"/>
      <c r="F4923" s="1104"/>
      <c r="G4923" s="1104"/>
      <c r="H4923" s="1104"/>
      <c r="I4923" s="1104"/>
      <c r="J4923" s="1104"/>
      <c r="K4923" s="1104"/>
      <c r="L4923" s="1104"/>
      <c r="M4923" s="1104"/>
      <c r="N4923" s="1105"/>
    </row>
    <row r="4924" spans="2:17">
      <c r="B4924" s="1106"/>
      <c r="C4924" s="1107"/>
      <c r="D4924" s="1107"/>
      <c r="E4924" s="1107"/>
      <c r="F4924" s="1107"/>
      <c r="G4924" s="1107"/>
      <c r="H4924" s="1107"/>
      <c r="I4924" s="1107"/>
      <c r="J4924" s="1107"/>
      <c r="K4924" s="1107"/>
      <c r="L4924" s="1107"/>
      <c r="M4924" s="1107"/>
      <c r="N4924" s="1108"/>
    </row>
    <row r="4925" spans="2:17" ht="13.5" thickBot="1">
      <c r="B4925" s="1109"/>
      <c r="C4925" s="1110"/>
      <c r="D4925" s="1110"/>
      <c r="E4925" s="1110"/>
      <c r="F4925" s="1110"/>
      <c r="G4925" s="1110"/>
      <c r="H4925" s="1110"/>
      <c r="I4925" s="1110"/>
      <c r="J4925" s="1110"/>
      <c r="K4925" s="1110"/>
      <c r="L4925" s="1110"/>
      <c r="M4925" s="1110"/>
      <c r="N4925" s="1111"/>
    </row>
    <row r="4926" spans="2:17">
      <c r="B4926" s="1130" t="s">
        <v>17</v>
      </c>
      <c r="C4926" s="1139"/>
      <c r="D4926" s="1139"/>
      <c r="E4926" s="1139"/>
      <c r="F4926" s="1139"/>
      <c r="G4926" s="1139"/>
      <c r="H4926" s="1139"/>
      <c r="I4926" s="306"/>
      <c r="J4926" s="337"/>
      <c r="K4926" s="315" t="s">
        <v>79</v>
      </c>
      <c r="L4926" s="1140" t="s">
        <v>11</v>
      </c>
      <c r="M4926" s="1141"/>
      <c r="N4926" s="316"/>
    </row>
    <row r="4927" spans="2:17">
      <c r="B4927" s="1112" t="s">
        <v>232</v>
      </c>
      <c r="C4927" s="1113"/>
      <c r="D4927" s="1113"/>
      <c r="E4927" s="1113"/>
      <c r="F4927" s="1113"/>
      <c r="G4927" s="1113"/>
      <c r="H4927" s="1113"/>
      <c r="I4927" s="338"/>
      <c r="J4927" s="339"/>
      <c r="K4927" s="340">
        <f>'PRESUPUESTO OFICIAL'!$K$100</f>
        <v>0</v>
      </c>
      <c r="L4927" s="1146">
        <f>K4927*N4922</f>
        <v>0</v>
      </c>
      <c r="M4927" s="1147"/>
      <c r="N4927" s="341"/>
    </row>
    <row r="4928" spans="2:17">
      <c r="B4928" s="292" t="s">
        <v>293</v>
      </c>
      <c r="C4928" s="293"/>
      <c r="D4928" s="293"/>
      <c r="E4928" s="293"/>
      <c r="F4928" s="293"/>
      <c r="G4928" s="293"/>
      <c r="H4928" s="293"/>
      <c r="I4928" s="338"/>
      <c r="J4928" s="339"/>
      <c r="K4928" s="340">
        <f>'PRESUPUESTO OFICIAL'!$K$101</f>
        <v>0</v>
      </c>
      <c r="L4928" s="1146">
        <f>K4928*N4922</f>
        <v>0</v>
      </c>
      <c r="M4928" s="1147"/>
      <c r="N4928" s="341"/>
    </row>
    <row r="4929" spans="2:14" ht="13.5" thickBot="1">
      <c r="B4929" s="277" t="s">
        <v>294</v>
      </c>
      <c r="C4929" s="278"/>
      <c r="D4929" s="278"/>
      <c r="E4929" s="278"/>
      <c r="F4929" s="278"/>
      <c r="G4929" s="278"/>
      <c r="H4929" s="278"/>
      <c r="I4929" s="342"/>
      <c r="J4929" s="343"/>
      <c r="K4929" s="340">
        <f>'PRESUPUESTO OFICIAL'!$K$102</f>
        <v>0</v>
      </c>
      <c r="L4929" s="1148">
        <f>K4929*N4922</f>
        <v>0</v>
      </c>
      <c r="M4929" s="1149"/>
      <c r="N4929" s="341"/>
    </row>
    <row r="4930" spans="2:14" ht="13.5" thickBot="1">
      <c r="B4930" s="1100" t="s">
        <v>269</v>
      </c>
      <c r="C4930" s="1101"/>
      <c r="D4930" s="1101"/>
      <c r="E4930" s="1101"/>
      <c r="F4930" s="1101"/>
      <c r="G4930" s="1101"/>
      <c r="H4930" s="1101"/>
      <c r="I4930" s="1101"/>
      <c r="J4930" s="1101"/>
      <c r="K4930" s="1101"/>
      <c r="L4930" s="1101"/>
      <c r="M4930" s="1102"/>
      <c r="N4930" s="344">
        <f>SUM(L4927:M4929)</f>
        <v>0</v>
      </c>
    </row>
    <row r="4931" spans="2:14" ht="13.5" thickBot="1">
      <c r="B4931" s="283"/>
      <c r="N4931" s="284"/>
    </row>
    <row r="4932" spans="2:14" ht="13.5" thickBot="1">
      <c r="B4932" s="1150" t="s">
        <v>295</v>
      </c>
      <c r="C4932" s="1151"/>
      <c r="D4932" s="1151"/>
      <c r="E4932" s="1151"/>
      <c r="F4932" s="1151"/>
      <c r="G4932" s="1151"/>
      <c r="H4932" s="1151"/>
      <c r="I4932" s="1151"/>
      <c r="J4932" s="1151"/>
      <c r="K4932" s="1151"/>
      <c r="L4932" s="1151"/>
      <c r="M4932" s="1152"/>
      <c r="N4932" s="345">
        <f>ROUND(N4922+N4930,0)</f>
        <v>59374</v>
      </c>
    </row>
    <row r="4933" spans="2:14">
      <c r="B4933" s="280"/>
      <c r="C4933" s="281"/>
      <c r="D4933" s="281"/>
      <c r="E4933" s="281"/>
      <c r="F4933" s="281"/>
      <c r="G4933" s="281"/>
      <c r="H4933" s="281"/>
      <c r="I4933" s="281"/>
      <c r="J4933" s="281"/>
      <c r="K4933" s="281"/>
      <c r="L4933" s="281"/>
      <c r="M4933" s="281"/>
      <c r="N4933" s="282"/>
    </row>
    <row r="4934" spans="2:14">
      <c r="B4934" s="283"/>
      <c r="N4934" s="284"/>
    </row>
    <row r="4935" spans="2:14">
      <c r="B4935" s="283"/>
      <c r="N4935" s="284"/>
    </row>
    <row r="4936" spans="2:14">
      <c r="B4936" s="283"/>
      <c r="G4936" s="346" t="s">
        <v>296</v>
      </c>
      <c r="H4936" s="346"/>
      <c r="I4936" s="346"/>
      <c r="J4936" s="346"/>
      <c r="N4936" s="284"/>
    </row>
    <row r="4937" spans="2:14">
      <c r="B4937" s="347"/>
      <c r="C4937" s="348"/>
      <c r="D4937" s="348"/>
      <c r="E4937" s="348"/>
      <c r="F4937" s="348"/>
      <c r="G4937" s="346" t="s">
        <v>297</v>
      </c>
      <c r="H4937" s="348"/>
      <c r="I4937" s="348"/>
      <c r="J4937" s="348"/>
      <c r="K4937" s="348"/>
      <c r="L4937" s="348"/>
      <c r="M4937" s="348"/>
      <c r="N4937" s="349"/>
    </row>
    <row r="4938" spans="2:14">
      <c r="B4938" s="347"/>
      <c r="C4938" s="348"/>
      <c r="D4938" s="348"/>
      <c r="E4938" s="348"/>
      <c r="F4938" s="348"/>
      <c r="G4938" s="346" t="s">
        <v>298</v>
      </c>
      <c r="J4938" s="348"/>
      <c r="K4938" s="348"/>
      <c r="L4938" s="348"/>
      <c r="M4938" s="348"/>
      <c r="N4938" s="349"/>
    </row>
    <row r="4939" spans="2:14">
      <c r="B4939" s="268"/>
      <c r="C4939" s="350"/>
      <c r="D4939" s="350"/>
      <c r="E4939" s="350"/>
      <c r="F4939" s="350"/>
      <c r="G4939" s="346" t="s">
        <v>299</v>
      </c>
      <c r="H4939" s="350"/>
      <c r="I4939" s="350"/>
      <c r="J4939" s="350"/>
      <c r="K4939" s="350"/>
      <c r="L4939" s="350"/>
      <c r="M4939" s="350"/>
      <c r="N4939" s="351"/>
    </row>
    <row r="4940" spans="2:14">
      <c r="B4940" s="283"/>
      <c r="G4940" s="258" t="s">
        <v>300</v>
      </c>
      <c r="N4940" s="284"/>
    </row>
    <row r="4941" spans="2:14">
      <c r="B4941" s="352" t="s">
        <v>301</v>
      </c>
      <c r="C4941" s="353"/>
      <c r="D4941" s="353"/>
      <c r="E4941" s="353"/>
      <c r="F4941" s="353"/>
      <c r="G4941" s="353"/>
      <c r="H4941" s="353"/>
      <c r="I4941" s="353"/>
      <c r="J4941" s="353"/>
      <c r="K4941" s="353"/>
      <c r="L4941" s="353"/>
      <c r="M4941" s="353"/>
      <c r="N4941" s="354"/>
    </row>
    <row r="4942" spans="2:14">
      <c r="B4942" s="1153"/>
      <c r="C4942" s="1154"/>
      <c r="D4942" s="1154"/>
      <c r="E4942" s="1154"/>
      <c r="F4942" s="1154"/>
      <c r="G4942" s="1154"/>
      <c r="H4942" s="1154"/>
      <c r="I4942" s="1154"/>
      <c r="J4942" s="1154"/>
      <c r="K4942" s="1154"/>
      <c r="L4942" s="1154"/>
      <c r="M4942" s="1154"/>
      <c r="N4942" s="1155"/>
    </row>
    <row r="4943" spans="2:14">
      <c r="B4943" s="1153"/>
      <c r="C4943" s="1154"/>
      <c r="D4943" s="1154"/>
      <c r="E4943" s="1154"/>
      <c r="F4943" s="1154"/>
      <c r="G4943" s="1154"/>
      <c r="H4943" s="1154"/>
      <c r="I4943" s="1154"/>
      <c r="J4943" s="1154"/>
      <c r="K4943" s="1154"/>
      <c r="L4943" s="1154"/>
      <c r="M4943" s="1154"/>
      <c r="N4943" s="1155"/>
    </row>
    <row r="4944" spans="2:14">
      <c r="B4944" s="268"/>
      <c r="C4944" s="350"/>
      <c r="D4944" s="350"/>
      <c r="E4944" s="350"/>
      <c r="F4944" s="350"/>
      <c r="G4944" s="350"/>
      <c r="H4944" s="350"/>
      <c r="I4944" s="350"/>
      <c r="J4944" s="350"/>
      <c r="K4944" s="350"/>
      <c r="L4944" s="350"/>
      <c r="M4944" s="350"/>
      <c r="N4944" s="351"/>
    </row>
    <row r="4945" spans="2:14">
      <c r="B4945" s="355" t="s">
        <v>302</v>
      </c>
      <c r="C4945" s="350"/>
      <c r="D4945" s="350"/>
      <c r="E4945" s="350"/>
      <c r="F4945" s="350"/>
      <c r="G4945" s="350"/>
      <c r="H4945" s="350"/>
      <c r="I4945" s="350"/>
      <c r="J4945" s="350"/>
      <c r="K4945" s="350"/>
      <c r="L4945" s="350"/>
      <c r="M4945" s="350"/>
      <c r="N4945" s="351"/>
    </row>
    <row r="4946" spans="2:14">
      <c r="B4946" s="1159" t="s">
        <v>303</v>
      </c>
      <c r="C4946" s="1160"/>
      <c r="D4946" s="1160"/>
      <c r="E4946" s="1160"/>
      <c r="F4946" s="1160"/>
      <c r="G4946" s="1160"/>
      <c r="H4946" s="1160"/>
      <c r="I4946" s="1160"/>
      <c r="J4946" s="1160"/>
      <c r="K4946" s="1160"/>
      <c r="L4946" s="1160"/>
      <c r="M4946" s="1160"/>
      <c r="N4946" s="1161"/>
    </row>
    <row r="4947" spans="2:14">
      <c r="B4947" s="1159"/>
      <c r="C4947" s="1160"/>
      <c r="D4947" s="1160"/>
      <c r="E4947" s="1160"/>
      <c r="F4947" s="1160"/>
      <c r="G4947" s="1160"/>
      <c r="H4947" s="1160"/>
      <c r="I4947" s="1160"/>
      <c r="J4947" s="1160"/>
      <c r="K4947" s="1160"/>
      <c r="L4947" s="1160"/>
      <c r="M4947" s="1160"/>
      <c r="N4947" s="1161"/>
    </row>
    <row r="4948" spans="2:14">
      <c r="B4948" s="1159" t="s">
        <v>304</v>
      </c>
      <c r="C4948" s="1160"/>
      <c r="D4948" s="1160"/>
      <c r="E4948" s="1160"/>
      <c r="F4948" s="1160"/>
      <c r="G4948" s="1160"/>
      <c r="H4948" s="1160"/>
      <c r="I4948" s="1160"/>
      <c r="J4948" s="1160"/>
      <c r="K4948" s="1160"/>
      <c r="L4948" s="1160"/>
      <c r="M4948" s="1160"/>
      <c r="N4948" s="1161"/>
    </row>
    <row r="4949" spans="2:14">
      <c r="B4949" s="1159"/>
      <c r="C4949" s="1160"/>
      <c r="D4949" s="1160"/>
      <c r="E4949" s="1160"/>
      <c r="F4949" s="1160"/>
      <c r="G4949" s="1160"/>
      <c r="H4949" s="1160"/>
      <c r="I4949" s="1160"/>
      <c r="J4949" s="1160"/>
      <c r="K4949" s="1160"/>
      <c r="L4949" s="1160"/>
      <c r="M4949" s="1160"/>
      <c r="N4949" s="1161"/>
    </row>
    <row r="4950" spans="2:14">
      <c r="B4950" s="268"/>
      <c r="C4950" s="350"/>
      <c r="D4950" s="350"/>
      <c r="E4950" s="350"/>
      <c r="F4950" s="350"/>
      <c r="G4950" s="350"/>
      <c r="H4950" s="350"/>
      <c r="I4950" s="350"/>
      <c r="J4950" s="350"/>
      <c r="K4950" s="350"/>
      <c r="L4950" s="350"/>
      <c r="M4950" s="350"/>
      <c r="N4950" s="351"/>
    </row>
    <row r="4951" spans="2:14">
      <c r="B4951" s="283"/>
      <c r="G4951" s="346" t="s">
        <v>296</v>
      </c>
      <c r="N4951" s="284"/>
    </row>
    <row r="4952" spans="2:14">
      <c r="B4952" s="283"/>
      <c r="G4952" s="258" t="s">
        <v>305</v>
      </c>
      <c r="H4952" s="293"/>
      <c r="I4952" s="293"/>
      <c r="J4952" s="293"/>
      <c r="N4952" s="284"/>
    </row>
    <row r="4953" spans="2:14">
      <c r="B4953" s="283"/>
      <c r="G4953" s="258" t="s">
        <v>306</v>
      </c>
      <c r="H4953" s="325"/>
      <c r="I4953" s="325"/>
      <c r="J4953" s="325"/>
      <c r="N4953" s="284"/>
    </row>
    <row r="4954" spans="2:14">
      <c r="B4954" s="356"/>
      <c r="C4954" s="350"/>
      <c r="D4954" s="350"/>
      <c r="E4954" s="350"/>
      <c r="F4954" s="350"/>
      <c r="G4954" s="258" t="s">
        <v>299</v>
      </c>
      <c r="K4954" s="350"/>
      <c r="L4954" s="350"/>
      <c r="M4954" s="350"/>
      <c r="N4954" s="351"/>
    </row>
    <row r="4955" spans="2:14">
      <c r="B4955" s="357"/>
      <c r="C4955" s="358"/>
      <c r="D4955" s="358"/>
      <c r="J4955" s="1162"/>
      <c r="K4955" s="1162"/>
      <c r="L4955" s="1162"/>
      <c r="M4955" s="1162"/>
      <c r="N4955" s="1163"/>
    </row>
    <row r="4956" spans="2:14" ht="13.5" thickBot="1">
      <c r="B4956" s="1166"/>
      <c r="C4956" s="1167"/>
      <c r="D4956" s="1167"/>
      <c r="E4956" s="311"/>
      <c r="F4956" s="311"/>
      <c r="G4956" s="311"/>
      <c r="H4956" s="311"/>
      <c r="I4956" s="311"/>
      <c r="J4956" s="1164"/>
      <c r="K4956" s="1164"/>
      <c r="L4956" s="1164"/>
      <c r="M4956" s="1164"/>
      <c r="N4956" s="1165"/>
    </row>
    <row r="4957" spans="2:14" ht="13.5" thickBot="1"/>
    <row r="4958" spans="2:14">
      <c r="B4958" s="1070"/>
      <c r="C4958" s="1072"/>
      <c r="D4958" s="1073"/>
      <c r="E4958" s="1073"/>
      <c r="F4958" s="1073"/>
      <c r="G4958" s="1073"/>
      <c r="H4958" s="1073"/>
      <c r="I4958" s="1073"/>
      <c r="J4958" s="1074"/>
      <c r="K4958" s="1075"/>
      <c r="L4958" s="1076"/>
      <c r="M4958" s="1076"/>
      <c r="N4958" s="1077"/>
    </row>
    <row r="4959" spans="2:14">
      <c r="B4959" s="1071"/>
      <c r="C4959" s="1062" t="s">
        <v>244</v>
      </c>
      <c r="D4959" s="1063"/>
      <c r="E4959" s="1063"/>
      <c r="F4959" s="1063"/>
      <c r="G4959" s="1063"/>
      <c r="H4959" s="1063"/>
      <c r="I4959" s="1063"/>
      <c r="J4959" s="1064"/>
      <c r="K4959" s="1078"/>
      <c r="L4959" s="1079"/>
      <c r="M4959" s="1079"/>
      <c r="N4959" s="1080"/>
    </row>
    <row r="4960" spans="2:14">
      <c r="B4960" s="1071"/>
      <c r="C4960" s="1081"/>
      <c r="D4960" s="1082"/>
      <c r="E4960" s="1082"/>
      <c r="F4960" s="1082"/>
      <c r="G4960" s="1082"/>
      <c r="H4960" s="1082"/>
      <c r="I4960" s="1082"/>
      <c r="J4960" s="1083"/>
      <c r="K4960" s="1058" t="s">
        <v>245</v>
      </c>
      <c r="L4960" s="1085"/>
      <c r="M4960" s="1086"/>
      <c r="N4960" s="1087"/>
    </row>
    <row r="4961" spans="2:14">
      <c r="B4961" s="1071"/>
      <c r="C4961" s="1062" t="s">
        <v>246</v>
      </c>
      <c r="D4961" s="1063"/>
      <c r="E4961" s="1063"/>
      <c r="F4961" s="1063"/>
      <c r="G4961" s="1063"/>
      <c r="H4961" s="1063"/>
      <c r="I4961" s="1063"/>
      <c r="J4961" s="1064"/>
      <c r="K4961" s="1084"/>
      <c r="L4961" s="1088"/>
      <c r="M4961" s="1089"/>
      <c r="N4961" s="1090"/>
    </row>
    <row r="4962" spans="2:14">
      <c r="B4962" s="1071"/>
      <c r="C4962" s="1091"/>
      <c r="D4962" s="1092"/>
      <c r="E4962" s="1092"/>
      <c r="F4962" s="1092"/>
      <c r="G4962" s="1092"/>
      <c r="H4962" s="1092"/>
      <c r="I4962" s="1092"/>
      <c r="J4962" s="1093"/>
      <c r="K4962" s="1058" t="s">
        <v>247</v>
      </c>
      <c r="L4962" s="1058">
        <v>56</v>
      </c>
      <c r="M4962" s="1058" t="s">
        <v>248</v>
      </c>
      <c r="N4962" s="1060">
        <v>80</v>
      </c>
    </row>
    <row r="4963" spans="2:14">
      <c r="B4963" s="1071"/>
      <c r="C4963" s="1091"/>
      <c r="D4963" s="1092"/>
      <c r="E4963" s="1092"/>
      <c r="F4963" s="1092"/>
      <c r="G4963" s="1092"/>
      <c r="H4963" s="1092"/>
      <c r="I4963" s="1092"/>
      <c r="J4963" s="1093"/>
      <c r="K4963" s="1059"/>
      <c r="L4963" s="1059"/>
      <c r="M4963" s="1059"/>
      <c r="N4963" s="1061"/>
    </row>
    <row r="4964" spans="2:14">
      <c r="B4964" s="1071"/>
      <c r="C4964" s="1062" t="s">
        <v>249</v>
      </c>
      <c r="D4964" s="1063"/>
      <c r="E4964" s="1063"/>
      <c r="F4964" s="1063"/>
      <c r="G4964" s="1063"/>
      <c r="H4964" s="1063"/>
      <c r="I4964" s="1063"/>
      <c r="J4964" s="1064"/>
      <c r="K4964" s="1059"/>
      <c r="L4964" s="1059"/>
      <c r="M4964" s="1059"/>
      <c r="N4964" s="1061"/>
    </row>
    <row r="4965" spans="2:14" ht="13.5" thickBot="1">
      <c r="B4965" s="259"/>
      <c r="C4965" s="260"/>
      <c r="D4965" s="260"/>
      <c r="E4965" s="260"/>
      <c r="F4965" s="260"/>
      <c r="G4965" s="260"/>
      <c r="H4965" s="260"/>
      <c r="I4965" s="260"/>
      <c r="J4965" s="260"/>
      <c r="K4965" s="260"/>
      <c r="L4965" s="261"/>
      <c r="M4965" s="261"/>
      <c r="N4965" s="262"/>
    </row>
    <row r="4966" spans="2:14">
      <c r="B4966" s="263"/>
      <c r="C4966" s="264"/>
      <c r="D4966" s="264"/>
      <c r="E4966" s="264"/>
      <c r="F4966" s="264"/>
      <c r="G4966" s="264"/>
      <c r="H4966" s="264"/>
      <c r="I4966" s="264"/>
      <c r="J4966" s="264"/>
      <c r="K4966" s="265" t="s">
        <v>250</v>
      </c>
      <c r="L4966" s="266" t="s">
        <v>251</v>
      </c>
      <c r="M4966" s="266" t="s">
        <v>252</v>
      </c>
      <c r="N4966" s="267" t="s">
        <v>253</v>
      </c>
    </row>
    <row r="4967" spans="2:14">
      <c r="B4967" s="268"/>
      <c r="C4967" s="269"/>
      <c r="D4967" s="269"/>
      <c r="E4967" s="269"/>
      <c r="F4967" s="269"/>
      <c r="G4967" s="269"/>
      <c r="H4967" s="269"/>
      <c r="I4967" s="269"/>
      <c r="J4967" s="269"/>
      <c r="K4967" s="270"/>
      <c r="L4967" s="271"/>
      <c r="M4967" s="271"/>
      <c r="N4967" s="272"/>
    </row>
    <row r="4968" spans="2:14">
      <c r="B4968" s="1065" t="s">
        <v>254</v>
      </c>
      <c r="C4968" s="1066"/>
      <c r="D4968" s="1066"/>
      <c r="E4968" s="1066"/>
      <c r="F4968" s="269"/>
      <c r="G4968" s="269"/>
      <c r="H4968" s="269" t="s">
        <v>255</v>
      </c>
      <c r="J4968" s="269"/>
      <c r="K4968" s="270"/>
      <c r="N4968" s="273"/>
    </row>
    <row r="4969" spans="2:14">
      <c r="B4969" s="274"/>
      <c r="C4969" s="275"/>
      <c r="D4969" s="275"/>
      <c r="E4969" s="275"/>
      <c r="F4969" s="275"/>
      <c r="G4969" s="275"/>
      <c r="H4969" s="275"/>
      <c r="I4969" s="275"/>
      <c r="J4969" s="275"/>
      <c r="K4969" s="275"/>
      <c r="L4969" s="275"/>
      <c r="M4969" s="275"/>
      <c r="N4969" s="276"/>
    </row>
    <row r="4970" spans="2:14" ht="13.5" thickBot="1">
      <c r="B4970" s="277"/>
      <c r="C4970" s="278"/>
      <c r="D4970" s="278"/>
      <c r="E4970" s="278"/>
      <c r="F4970" s="278"/>
      <c r="G4970" s="278"/>
      <c r="H4970" s="278"/>
      <c r="I4970" s="278"/>
      <c r="J4970" s="278"/>
      <c r="K4970" s="278"/>
      <c r="L4970" s="278"/>
      <c r="M4970" s="278"/>
      <c r="N4970" s="279"/>
    </row>
    <row r="4971" spans="2:14" ht="13.5" thickBot="1">
      <c r="B4971" s="280"/>
      <c r="C4971" s="281"/>
      <c r="D4971" s="281"/>
      <c r="E4971" s="281"/>
      <c r="F4971" s="281"/>
      <c r="G4971" s="281"/>
      <c r="J4971" s="281"/>
      <c r="K4971" s="281"/>
      <c r="L4971" s="281"/>
      <c r="M4971" s="281"/>
      <c r="N4971" s="282"/>
    </row>
    <row r="4972" spans="2:14">
      <c r="B4972" s="1067" t="s">
        <v>256</v>
      </c>
      <c r="C4972" s="1068"/>
      <c r="D4972" s="1068"/>
      <c r="E4972" s="1068"/>
      <c r="F4972" s="1068"/>
      <c r="G4972" s="1068"/>
      <c r="H4972" s="1068"/>
      <c r="I4972" s="1068"/>
      <c r="J4972" s="1068"/>
      <c r="K4972" s="1068"/>
      <c r="L4972" s="1068"/>
      <c r="M4972" s="1068"/>
      <c r="N4972" s="1069"/>
    </row>
    <row r="4973" spans="2:14" ht="13.5" thickBot="1">
      <c r="B4973" s="283"/>
      <c r="N4973" s="284"/>
    </row>
    <row r="4974" spans="2:14">
      <c r="B4974" s="285" t="s">
        <v>257</v>
      </c>
      <c r="C4974" s="1120" t="s">
        <v>258</v>
      </c>
      <c r="D4974" s="1121"/>
      <c r="E4974" s="1121"/>
      <c r="F4974" s="1121"/>
      <c r="G4974" s="1121"/>
      <c r="H4974" s="1121"/>
      <c r="I4974" s="1121"/>
      <c r="J4974" s="1121"/>
      <c r="K4974" s="1122"/>
      <c r="L4974" s="1123" t="s">
        <v>259</v>
      </c>
      <c r="M4974" s="1124"/>
      <c r="N4974" s="285" t="s">
        <v>133</v>
      </c>
    </row>
    <row r="4975" spans="2:14" ht="32.25" customHeight="1" thickBot="1">
      <c r="B4975" s="286">
        <v>56</v>
      </c>
      <c r="C4975" s="1125" t="s">
        <v>199</v>
      </c>
      <c r="D4975" s="1126"/>
      <c r="E4975" s="1126"/>
      <c r="F4975" s="1126"/>
      <c r="G4975" s="1126"/>
      <c r="H4975" s="1126"/>
      <c r="I4975" s="1126"/>
      <c r="J4975" s="1126"/>
      <c r="K4975" s="1127"/>
      <c r="L4975" s="1128" t="s">
        <v>143</v>
      </c>
      <c r="M4975" s="1129"/>
      <c r="N4975" s="366">
        <v>300</v>
      </c>
    </row>
    <row r="4976" spans="2:14">
      <c r="B4976" s="1103" t="s">
        <v>260</v>
      </c>
      <c r="C4976" s="1104"/>
      <c r="D4976" s="1104"/>
      <c r="E4976" s="1104"/>
      <c r="F4976" s="1104"/>
      <c r="G4976" s="1104"/>
      <c r="H4976" s="1104"/>
      <c r="I4976" s="1104"/>
      <c r="J4976" s="1104"/>
      <c r="K4976" s="1104"/>
      <c r="L4976" s="1104"/>
      <c r="M4976" s="1104"/>
      <c r="N4976" s="1105"/>
    </row>
    <row r="4977" spans="2:14">
      <c r="B4977" s="1106"/>
      <c r="C4977" s="1107"/>
      <c r="D4977" s="1107"/>
      <c r="E4977" s="1107"/>
      <c r="F4977" s="1107"/>
      <c r="G4977" s="1107"/>
      <c r="H4977" s="1107"/>
      <c r="I4977" s="1107"/>
      <c r="J4977" s="1107"/>
      <c r="K4977" s="1107"/>
      <c r="L4977" s="1107"/>
      <c r="M4977" s="1107"/>
      <c r="N4977" s="1108"/>
    </row>
    <row r="4978" spans="2:14" ht="13.5" thickBot="1">
      <c r="B4978" s="1109"/>
      <c r="C4978" s="1110"/>
      <c r="D4978" s="1110"/>
      <c r="E4978" s="1110"/>
      <c r="F4978" s="1110"/>
      <c r="G4978" s="1110"/>
      <c r="H4978" s="1110"/>
      <c r="I4978" s="1110"/>
      <c r="J4978" s="1110"/>
      <c r="K4978" s="1110"/>
      <c r="L4978" s="1110"/>
      <c r="M4978" s="1110"/>
      <c r="N4978" s="1111"/>
    </row>
    <row r="4979" spans="2:14">
      <c r="B4979" s="1130" t="s">
        <v>258</v>
      </c>
      <c r="C4979" s="1131"/>
      <c r="D4979" s="1131"/>
      <c r="E4979" s="1131"/>
      <c r="F4979" s="1132"/>
      <c r="G4979" s="1133" t="s">
        <v>261</v>
      </c>
      <c r="H4979" s="1131"/>
      <c r="I4979" s="1134" t="s">
        <v>262</v>
      </c>
      <c r="J4979" s="1135"/>
      <c r="K4979" s="288" t="s">
        <v>263</v>
      </c>
      <c r="L4979" s="1133" t="s">
        <v>264</v>
      </c>
      <c r="M4979" s="1136"/>
      <c r="N4979" s="289" t="s">
        <v>265</v>
      </c>
    </row>
    <row r="4980" spans="2:14" ht="13.5" thickBot="1">
      <c r="B4980" s="1179"/>
      <c r="C4980" s="1180"/>
      <c r="D4980" s="1180"/>
      <c r="E4980" s="1180"/>
      <c r="F4980" s="1181"/>
      <c r="G4980" s="295"/>
      <c r="H4980" s="294"/>
      <c r="I4980" s="1182"/>
      <c r="J4980" s="1183"/>
      <c r="K4980" s="290"/>
      <c r="L4980" s="1118"/>
      <c r="M4980" s="1119"/>
      <c r="N4980" s="290"/>
    </row>
    <row r="4981" spans="2:14" ht="13.5" thickBot="1">
      <c r="B4981" s="1100" t="s">
        <v>269</v>
      </c>
      <c r="C4981" s="1101"/>
      <c r="D4981" s="1101"/>
      <c r="E4981" s="1101"/>
      <c r="F4981" s="1101"/>
      <c r="G4981" s="1101"/>
      <c r="H4981" s="1101"/>
      <c r="I4981" s="1101"/>
      <c r="J4981" s="1101"/>
      <c r="K4981" s="1101"/>
      <c r="L4981" s="1101"/>
      <c r="M4981" s="1102"/>
      <c r="N4981" s="323">
        <v>0</v>
      </c>
    </row>
    <row r="4982" spans="2:14">
      <c r="B4982" s="1103" t="s">
        <v>270</v>
      </c>
      <c r="C4982" s="1104"/>
      <c r="D4982" s="1104"/>
      <c r="E4982" s="1104"/>
      <c r="F4982" s="1104"/>
      <c r="G4982" s="1104"/>
      <c r="H4982" s="1104"/>
      <c r="I4982" s="1104"/>
      <c r="J4982" s="1104"/>
      <c r="K4982" s="1104"/>
      <c r="L4982" s="1104"/>
      <c r="M4982" s="1104"/>
      <c r="N4982" s="1105"/>
    </row>
    <row r="4983" spans="2:14">
      <c r="B4983" s="1106"/>
      <c r="C4983" s="1107"/>
      <c r="D4983" s="1107"/>
      <c r="E4983" s="1107"/>
      <c r="F4983" s="1107"/>
      <c r="G4983" s="1107"/>
      <c r="H4983" s="1107"/>
      <c r="I4983" s="1107"/>
      <c r="J4983" s="1107"/>
      <c r="K4983" s="1107"/>
      <c r="L4983" s="1107"/>
      <c r="M4983" s="1107"/>
      <c r="N4983" s="1108"/>
    </row>
    <row r="4984" spans="2:14" ht="13.5" thickBot="1">
      <c r="B4984" s="1109"/>
      <c r="C4984" s="1110"/>
      <c r="D4984" s="1110"/>
      <c r="E4984" s="1110"/>
      <c r="F4984" s="1110"/>
      <c r="G4984" s="1110"/>
      <c r="H4984" s="1110"/>
      <c r="I4984" s="1110"/>
      <c r="J4984" s="1110"/>
      <c r="K4984" s="1110"/>
      <c r="L4984" s="1110"/>
      <c r="M4984" s="1110"/>
      <c r="N4984" s="1111"/>
    </row>
    <row r="4985" spans="2:14">
      <c r="B4985" s="1130" t="s">
        <v>258</v>
      </c>
      <c r="C4985" s="1139"/>
      <c r="D4985" s="1139"/>
      <c r="E4985" s="1139"/>
      <c r="F4985" s="1139"/>
      <c r="G4985" s="1139"/>
      <c r="H4985" s="1139"/>
      <c r="I4985" s="1136"/>
      <c r="J4985" s="299" t="s">
        <v>259</v>
      </c>
      <c r="K4985" s="288" t="s">
        <v>133</v>
      </c>
      <c r="L4985" s="1133" t="s">
        <v>271</v>
      </c>
      <c r="M4985" s="1136"/>
      <c r="N4985" s="289" t="s">
        <v>265</v>
      </c>
    </row>
    <row r="4986" spans="2:14">
      <c r="B4986" s="402" t="s">
        <v>348</v>
      </c>
      <c r="C4986" s="353"/>
      <c r="D4986" s="353"/>
      <c r="E4986" s="353"/>
      <c r="F4986" s="353"/>
      <c r="G4986" s="353"/>
      <c r="H4986" s="353"/>
      <c r="I4986" s="403"/>
      <c r="J4986" s="303" t="s">
        <v>147</v>
      </c>
      <c r="K4986" s="392">
        <v>0.1</v>
      </c>
      <c r="L4986" s="1144">
        <v>369520</v>
      </c>
      <c r="M4986" s="1145"/>
      <c r="N4986" s="363">
        <f>+K4986*L4986</f>
        <v>36952</v>
      </c>
    </row>
    <row r="4987" spans="2:14" ht="13.5" thickBot="1">
      <c r="B4987" s="402" t="s">
        <v>332</v>
      </c>
      <c r="C4987" s="353"/>
      <c r="D4987" s="353"/>
      <c r="E4987" s="353"/>
      <c r="F4987" s="353"/>
      <c r="G4987" s="353"/>
      <c r="H4987" s="353"/>
      <c r="I4987" s="403"/>
      <c r="J4987" s="303" t="s">
        <v>196</v>
      </c>
      <c r="K4987" s="392">
        <v>0.8</v>
      </c>
      <c r="L4987" s="1144">
        <v>10710</v>
      </c>
      <c r="M4987" s="1145">
        <v>33272</v>
      </c>
      <c r="N4987" s="363">
        <f>+K4987*L4987</f>
        <v>8568</v>
      </c>
    </row>
    <row r="4988" spans="2:14" ht="13.5" thickBot="1">
      <c r="B4988" s="1100" t="s">
        <v>269</v>
      </c>
      <c r="C4988" s="1101"/>
      <c r="D4988" s="1101"/>
      <c r="E4988" s="1101"/>
      <c r="F4988" s="1101"/>
      <c r="G4988" s="1101"/>
      <c r="H4988" s="1101"/>
      <c r="I4988" s="1101"/>
      <c r="J4988" s="1101"/>
      <c r="K4988" s="1101"/>
      <c r="L4988" s="1101"/>
      <c r="M4988" s="1102"/>
      <c r="N4988" s="323">
        <f>+N4986+N4987</f>
        <v>45520</v>
      </c>
    </row>
    <row r="4989" spans="2:14">
      <c r="B4989" s="1103" t="s">
        <v>367</v>
      </c>
      <c r="C4989" s="1104"/>
      <c r="D4989" s="1104"/>
      <c r="E4989" s="1104"/>
      <c r="F4989" s="1104"/>
      <c r="G4989" s="1104"/>
      <c r="H4989" s="1104"/>
      <c r="I4989" s="1104"/>
      <c r="J4989" s="1104"/>
      <c r="K4989" s="1104"/>
      <c r="L4989" s="1104"/>
      <c r="M4989" s="1104"/>
      <c r="N4989" s="1105"/>
    </row>
    <row r="4990" spans="2:14">
      <c r="B4990" s="1106"/>
      <c r="C4990" s="1107"/>
      <c r="D4990" s="1107"/>
      <c r="E4990" s="1107"/>
      <c r="F4990" s="1107"/>
      <c r="G4990" s="1107"/>
      <c r="H4990" s="1107"/>
      <c r="I4990" s="1107"/>
      <c r="J4990" s="1107"/>
      <c r="K4990" s="1107"/>
      <c r="L4990" s="1107"/>
      <c r="M4990" s="1107"/>
      <c r="N4990" s="1108"/>
    </row>
    <row r="4991" spans="2:14" ht="13.5" thickBot="1">
      <c r="B4991" s="1109"/>
      <c r="C4991" s="1110"/>
      <c r="D4991" s="1110"/>
      <c r="E4991" s="1110"/>
      <c r="F4991" s="1110"/>
      <c r="G4991" s="1110"/>
      <c r="H4991" s="1110"/>
      <c r="I4991" s="1110"/>
      <c r="J4991" s="1110"/>
      <c r="K4991" s="1110"/>
      <c r="L4991" s="1110"/>
      <c r="M4991" s="1110"/>
      <c r="N4991" s="1111"/>
    </row>
    <row r="4992" spans="2:14">
      <c r="B4992" s="1130" t="s">
        <v>277</v>
      </c>
      <c r="C4992" s="1139"/>
      <c r="D4992" s="1139"/>
      <c r="E4992" s="1139"/>
      <c r="F4992" s="1139"/>
      <c r="G4992" s="1139"/>
      <c r="H4992" s="1139"/>
      <c r="I4992" s="288" t="s">
        <v>278</v>
      </c>
      <c r="J4992" s="306" t="s">
        <v>279</v>
      </c>
      <c r="K4992" s="307" t="s">
        <v>280</v>
      </c>
      <c r="L4992" s="1133" t="s">
        <v>281</v>
      </c>
      <c r="M4992" s="1136"/>
      <c r="N4992" s="289" t="s">
        <v>265</v>
      </c>
    </row>
    <row r="4993" spans="2:17" ht="13.5" thickBot="1">
      <c r="B4993" s="1112"/>
      <c r="C4993" s="1113"/>
      <c r="D4993" s="1113"/>
      <c r="E4993" s="1113"/>
      <c r="F4993" s="1113"/>
      <c r="G4993" s="1113"/>
      <c r="H4993" s="1113"/>
      <c r="I4993" s="393"/>
      <c r="J4993" s="309"/>
      <c r="K4993" s="308"/>
      <c r="L4993" s="1144"/>
      <c r="M4993" s="1145"/>
      <c r="N4993" s="363"/>
    </row>
    <row r="4994" spans="2:17" ht="13.5" thickBot="1">
      <c r="B4994" s="1100" t="s">
        <v>269</v>
      </c>
      <c r="C4994" s="1101"/>
      <c r="D4994" s="1101"/>
      <c r="E4994" s="1101"/>
      <c r="F4994" s="1101"/>
      <c r="G4994" s="1101"/>
      <c r="H4994" s="1101"/>
      <c r="I4994" s="1101"/>
      <c r="J4994" s="1101"/>
      <c r="K4994" s="1101"/>
      <c r="L4994" s="1101"/>
      <c r="M4994" s="1102"/>
      <c r="N4994" s="323">
        <f>+N4993</f>
        <v>0</v>
      </c>
    </row>
    <row r="4995" spans="2:17">
      <c r="B4995" s="1103" t="s">
        <v>282</v>
      </c>
      <c r="C4995" s="1104"/>
      <c r="D4995" s="1104"/>
      <c r="E4995" s="1104"/>
      <c r="F4995" s="1104"/>
      <c r="G4995" s="1104"/>
      <c r="H4995" s="1104"/>
      <c r="I4995" s="1104"/>
      <c r="J4995" s="1104"/>
      <c r="K4995" s="1104"/>
      <c r="L4995" s="1104"/>
      <c r="M4995" s="1104"/>
      <c r="N4995" s="1105"/>
    </row>
    <row r="4996" spans="2:17">
      <c r="B4996" s="1106"/>
      <c r="C4996" s="1107"/>
      <c r="D4996" s="1107"/>
      <c r="E4996" s="1107"/>
      <c r="F4996" s="1107"/>
      <c r="G4996" s="1107"/>
      <c r="H4996" s="1107"/>
      <c r="I4996" s="1107"/>
      <c r="J4996" s="1107"/>
      <c r="K4996" s="1107"/>
      <c r="L4996" s="1107"/>
      <c r="M4996" s="1107"/>
      <c r="N4996" s="1108"/>
    </row>
    <row r="4997" spans="2:17" ht="13.5" thickBot="1">
      <c r="B4997" s="1109"/>
      <c r="C4997" s="1110"/>
      <c r="D4997" s="1110"/>
      <c r="E4997" s="1110"/>
      <c r="F4997" s="1110"/>
      <c r="G4997" s="1110"/>
      <c r="H4997" s="1110"/>
      <c r="I4997" s="1110"/>
      <c r="J4997" s="1110"/>
      <c r="K4997" s="1110"/>
      <c r="L4997" s="1110"/>
      <c r="M4997" s="1110"/>
      <c r="N4997" s="1111"/>
    </row>
    <row r="4998" spans="2:17">
      <c r="B4998" s="1130" t="s">
        <v>283</v>
      </c>
      <c r="C4998" s="1139"/>
      <c r="D4998" s="1139"/>
      <c r="E4998" s="1139"/>
      <c r="F4998" s="1139"/>
      <c r="G4998" s="1139"/>
      <c r="H4998" s="1139"/>
      <c r="I4998" s="288" t="s">
        <v>284</v>
      </c>
      <c r="J4998" s="314" t="s">
        <v>285</v>
      </c>
      <c r="K4998" s="315" t="s">
        <v>286</v>
      </c>
      <c r="L4998" s="1140" t="s">
        <v>264</v>
      </c>
      <c r="M4998" s="1141"/>
      <c r="N4998" s="316" t="s">
        <v>265</v>
      </c>
    </row>
    <row r="4999" spans="2:17" ht="13.5" thickBot="1">
      <c r="B4999" s="317" t="s">
        <v>322</v>
      </c>
      <c r="C4999" s="318"/>
      <c r="D4999" s="318"/>
      <c r="E4999" s="318"/>
      <c r="F4999" s="318"/>
      <c r="G4999" s="318"/>
      <c r="H4999" s="318"/>
      <c r="I4999" s="319">
        <v>153482</v>
      </c>
      <c r="J4999" s="321">
        <v>0</v>
      </c>
      <c r="K4999" s="321">
        <f>+I4999+J4999</f>
        <v>153482</v>
      </c>
      <c r="L4999" s="1157">
        <v>7.4074</v>
      </c>
      <c r="M4999" s="1158"/>
      <c r="N4999" s="322">
        <f>+K4999/L4999</f>
        <v>20720.09072009072</v>
      </c>
    </row>
    <row r="5000" spans="2:17" ht="13.5" thickBot="1">
      <c r="B5000" s="1100" t="s">
        <v>269</v>
      </c>
      <c r="C5000" s="1101"/>
      <c r="D5000" s="1101"/>
      <c r="E5000" s="1101"/>
      <c r="F5000" s="1101"/>
      <c r="G5000" s="1101"/>
      <c r="H5000" s="1101"/>
      <c r="I5000" s="1101"/>
      <c r="J5000" s="1101"/>
      <c r="K5000" s="1101"/>
      <c r="L5000" s="1101"/>
      <c r="M5000" s="1102"/>
      <c r="N5000" s="322">
        <f>+N4999</f>
        <v>20720.09072009072</v>
      </c>
    </row>
    <row r="5001" spans="2:17" ht="13.5" thickBot="1">
      <c r="B5001" s="324" t="s">
        <v>288</v>
      </c>
      <c r="C5001" s="325"/>
      <c r="D5001" s="325"/>
      <c r="E5001" s="325"/>
      <c r="F5001" s="325"/>
      <c r="G5001" s="325"/>
      <c r="H5001" s="325"/>
      <c r="I5001" s="326"/>
      <c r="J5001" s="327"/>
      <c r="K5001" s="328"/>
      <c r="L5001" s="329"/>
      <c r="M5001" s="329"/>
      <c r="N5001" s="330"/>
    </row>
    <row r="5002" spans="2:17">
      <c r="B5002" s="1130" t="s">
        <v>17</v>
      </c>
      <c r="C5002" s="1139"/>
      <c r="D5002" s="1139"/>
      <c r="E5002" s="1139"/>
      <c r="F5002" s="1139"/>
      <c r="G5002" s="1139"/>
      <c r="H5002" s="1139"/>
      <c r="I5002" s="1136"/>
      <c r="J5002" s="299" t="s">
        <v>259</v>
      </c>
      <c r="K5002" s="288" t="s">
        <v>133</v>
      </c>
      <c r="L5002" s="1133" t="s">
        <v>271</v>
      </c>
      <c r="M5002" s="1136"/>
      <c r="N5002" s="316" t="s">
        <v>265</v>
      </c>
    </row>
    <row r="5003" spans="2:17" ht="13.5" thickBot="1">
      <c r="B5003" s="331" t="s">
        <v>289</v>
      </c>
      <c r="C5003" s="332"/>
      <c r="D5003" s="332"/>
      <c r="E5003" s="332"/>
      <c r="F5003" s="332"/>
      <c r="G5003" s="332"/>
      <c r="H5003" s="332"/>
      <c r="I5003" s="333"/>
      <c r="J5003" s="334" t="s">
        <v>290</v>
      </c>
      <c r="K5003" s="335">
        <v>0.05</v>
      </c>
      <c r="L5003" s="1144">
        <f>+N5000</f>
        <v>20720.09072009072</v>
      </c>
      <c r="M5003" s="1145"/>
      <c r="N5003" s="322">
        <f>+K5003*L5003</f>
        <v>1036.004536004536</v>
      </c>
    </row>
    <row r="5004" spans="2:17" ht="13.5" thickBot="1">
      <c r="B5004" s="1100" t="s">
        <v>269</v>
      </c>
      <c r="C5004" s="1101"/>
      <c r="D5004" s="1101"/>
      <c r="E5004" s="1101"/>
      <c r="F5004" s="1101"/>
      <c r="G5004" s="1101"/>
      <c r="H5004" s="1101"/>
      <c r="I5004" s="1101"/>
      <c r="J5004" s="1101"/>
      <c r="K5004" s="1101"/>
      <c r="L5004" s="1101"/>
      <c r="M5004" s="1102"/>
      <c r="N5004" s="322">
        <f>+N5003</f>
        <v>1036.004536004536</v>
      </c>
      <c r="P5004" s="408">
        <v>20182800</v>
      </c>
    </row>
    <row r="5005" spans="2:17" ht="13.5" thickBot="1">
      <c r="B5005" s="1100"/>
      <c r="C5005" s="1101"/>
      <c r="D5005" s="1101"/>
      <c r="E5005" s="1101"/>
      <c r="F5005" s="1101"/>
      <c r="G5005" s="1101"/>
      <c r="H5005" s="1101"/>
      <c r="I5005" s="1101"/>
      <c r="J5005" s="1101"/>
      <c r="K5005" s="1101"/>
      <c r="L5005" s="1101"/>
      <c r="M5005" s="1102"/>
      <c r="N5005" s="322"/>
    </row>
    <row r="5006" spans="2:17" ht="13.5" thickBot="1">
      <c r="B5006" s="1150" t="s">
        <v>291</v>
      </c>
      <c r="C5006" s="1151"/>
      <c r="D5006" s="1151"/>
      <c r="E5006" s="1151"/>
      <c r="F5006" s="1151"/>
      <c r="G5006" s="1151"/>
      <c r="H5006" s="1151"/>
      <c r="I5006" s="1151"/>
      <c r="J5006" s="1151"/>
      <c r="K5006" s="1151"/>
      <c r="L5006" s="1151"/>
      <c r="M5006" s="1152"/>
      <c r="N5006" s="336">
        <f>+N4981+N4988+N4994+N5000+N5004</f>
        <v>67276.095256095257</v>
      </c>
      <c r="P5006" s="409">
        <f>+N5006*N4975</f>
        <v>20182828.576828577</v>
      </c>
      <c r="Q5006" s="413">
        <f>+P5006-P5004</f>
        <v>28.576828576624393</v>
      </c>
    </row>
    <row r="5007" spans="2:17">
      <c r="B5007" s="1103" t="s">
        <v>292</v>
      </c>
      <c r="C5007" s="1104"/>
      <c r="D5007" s="1104"/>
      <c r="E5007" s="1104"/>
      <c r="F5007" s="1104"/>
      <c r="G5007" s="1104"/>
      <c r="H5007" s="1104"/>
      <c r="I5007" s="1104"/>
      <c r="J5007" s="1104"/>
      <c r="K5007" s="1104"/>
      <c r="L5007" s="1104"/>
      <c r="M5007" s="1104"/>
      <c r="N5007" s="1105"/>
    </row>
    <row r="5008" spans="2:17">
      <c r="B5008" s="1106"/>
      <c r="C5008" s="1107"/>
      <c r="D5008" s="1107"/>
      <c r="E5008" s="1107"/>
      <c r="F5008" s="1107"/>
      <c r="G5008" s="1107"/>
      <c r="H5008" s="1107"/>
      <c r="I5008" s="1107"/>
      <c r="J5008" s="1107"/>
      <c r="K5008" s="1107"/>
      <c r="L5008" s="1107"/>
      <c r="M5008" s="1107"/>
      <c r="N5008" s="1108"/>
    </row>
    <row r="5009" spans="2:14" ht="13.5" thickBot="1">
      <c r="B5009" s="1109"/>
      <c r="C5009" s="1110"/>
      <c r="D5009" s="1110"/>
      <c r="E5009" s="1110"/>
      <c r="F5009" s="1110"/>
      <c r="G5009" s="1110"/>
      <c r="H5009" s="1110"/>
      <c r="I5009" s="1110"/>
      <c r="J5009" s="1110"/>
      <c r="K5009" s="1110"/>
      <c r="L5009" s="1110"/>
      <c r="M5009" s="1110"/>
      <c r="N5009" s="1111"/>
    </row>
    <row r="5010" spans="2:14">
      <c r="B5010" s="1130" t="s">
        <v>17</v>
      </c>
      <c r="C5010" s="1139"/>
      <c r="D5010" s="1139"/>
      <c r="E5010" s="1139"/>
      <c r="F5010" s="1139"/>
      <c r="G5010" s="1139"/>
      <c r="H5010" s="1139"/>
      <c r="I5010" s="306"/>
      <c r="J5010" s="337"/>
      <c r="K5010" s="315" t="s">
        <v>79</v>
      </c>
      <c r="L5010" s="1140" t="s">
        <v>11</v>
      </c>
      <c r="M5010" s="1141"/>
      <c r="N5010" s="316"/>
    </row>
    <row r="5011" spans="2:14">
      <c r="B5011" s="1112" t="s">
        <v>232</v>
      </c>
      <c r="C5011" s="1113"/>
      <c r="D5011" s="1113"/>
      <c r="E5011" s="1113"/>
      <c r="F5011" s="1113"/>
      <c r="G5011" s="1113"/>
      <c r="H5011" s="1113"/>
      <c r="I5011" s="338"/>
      <c r="J5011" s="339"/>
      <c r="K5011" s="340">
        <f>'PRESUPUESTO OFICIAL'!$K$100</f>
        <v>0</v>
      </c>
      <c r="L5011" s="1146">
        <f>K5011*N5006</f>
        <v>0</v>
      </c>
      <c r="M5011" s="1147"/>
      <c r="N5011" s="341"/>
    </row>
    <row r="5012" spans="2:14">
      <c r="B5012" s="292" t="s">
        <v>293</v>
      </c>
      <c r="C5012" s="293"/>
      <c r="D5012" s="293"/>
      <c r="E5012" s="293"/>
      <c r="F5012" s="293"/>
      <c r="G5012" s="293"/>
      <c r="H5012" s="293"/>
      <c r="I5012" s="338"/>
      <c r="J5012" s="339"/>
      <c r="K5012" s="340">
        <f>'PRESUPUESTO OFICIAL'!$K$101</f>
        <v>0</v>
      </c>
      <c r="L5012" s="1146">
        <f>K5012*N5006</f>
        <v>0</v>
      </c>
      <c r="M5012" s="1147"/>
      <c r="N5012" s="341"/>
    </row>
    <row r="5013" spans="2:14" ht="13.5" thickBot="1">
      <c r="B5013" s="277" t="s">
        <v>294</v>
      </c>
      <c r="C5013" s="278"/>
      <c r="D5013" s="278"/>
      <c r="E5013" s="278"/>
      <c r="F5013" s="278"/>
      <c r="G5013" s="278"/>
      <c r="H5013" s="278"/>
      <c r="I5013" s="342"/>
      <c r="J5013" s="343"/>
      <c r="K5013" s="340">
        <f>'PRESUPUESTO OFICIAL'!$K$102</f>
        <v>0</v>
      </c>
      <c r="L5013" s="1148">
        <f>K5013*N5006</f>
        <v>0</v>
      </c>
      <c r="M5013" s="1149"/>
      <c r="N5013" s="341"/>
    </row>
    <row r="5014" spans="2:14" ht="13.5" thickBot="1">
      <c r="B5014" s="1100" t="s">
        <v>269</v>
      </c>
      <c r="C5014" s="1101"/>
      <c r="D5014" s="1101"/>
      <c r="E5014" s="1101"/>
      <c r="F5014" s="1101"/>
      <c r="G5014" s="1101"/>
      <c r="H5014" s="1101"/>
      <c r="I5014" s="1101"/>
      <c r="J5014" s="1101"/>
      <c r="K5014" s="1101"/>
      <c r="L5014" s="1101"/>
      <c r="M5014" s="1102"/>
      <c r="N5014" s="344">
        <f>SUM(L5011:M5013)</f>
        <v>0</v>
      </c>
    </row>
    <row r="5015" spans="2:14" ht="13.5" thickBot="1">
      <c r="B5015" s="283"/>
      <c r="N5015" s="284"/>
    </row>
    <row r="5016" spans="2:14" ht="13.5" thickBot="1">
      <c r="B5016" s="1150" t="s">
        <v>295</v>
      </c>
      <c r="C5016" s="1151"/>
      <c r="D5016" s="1151"/>
      <c r="E5016" s="1151"/>
      <c r="F5016" s="1151"/>
      <c r="G5016" s="1151"/>
      <c r="H5016" s="1151"/>
      <c r="I5016" s="1151"/>
      <c r="J5016" s="1151"/>
      <c r="K5016" s="1151"/>
      <c r="L5016" s="1151"/>
      <c r="M5016" s="1152"/>
      <c r="N5016" s="345">
        <f>ROUND(N5006+N5014,0)</f>
        <v>67276</v>
      </c>
    </row>
    <row r="5017" spans="2:14">
      <c r="B5017" s="280"/>
      <c r="C5017" s="281"/>
      <c r="D5017" s="281"/>
      <c r="E5017" s="281"/>
      <c r="F5017" s="281"/>
      <c r="G5017" s="281"/>
      <c r="H5017" s="281"/>
      <c r="I5017" s="281"/>
      <c r="J5017" s="281"/>
      <c r="K5017" s="281"/>
      <c r="L5017" s="281"/>
      <c r="M5017" s="281"/>
      <c r="N5017" s="282"/>
    </row>
    <row r="5018" spans="2:14">
      <c r="B5018" s="283"/>
      <c r="N5018" s="284"/>
    </row>
    <row r="5019" spans="2:14">
      <c r="B5019" s="283"/>
      <c r="N5019" s="284"/>
    </row>
    <row r="5020" spans="2:14">
      <c r="B5020" s="283"/>
      <c r="G5020" s="346" t="s">
        <v>296</v>
      </c>
      <c r="H5020" s="346"/>
      <c r="I5020" s="346"/>
      <c r="J5020" s="346"/>
      <c r="N5020" s="284"/>
    </row>
    <row r="5021" spans="2:14">
      <c r="B5021" s="347"/>
      <c r="C5021" s="348"/>
      <c r="D5021" s="348"/>
      <c r="E5021" s="348"/>
      <c r="F5021" s="348"/>
      <c r="G5021" s="346" t="s">
        <v>297</v>
      </c>
      <c r="H5021" s="348"/>
      <c r="I5021" s="348"/>
      <c r="J5021" s="348"/>
      <c r="K5021" s="348"/>
      <c r="L5021" s="348"/>
      <c r="M5021" s="348"/>
      <c r="N5021" s="349"/>
    </row>
    <row r="5022" spans="2:14">
      <c r="B5022" s="347"/>
      <c r="C5022" s="348"/>
      <c r="D5022" s="348"/>
      <c r="E5022" s="348"/>
      <c r="F5022" s="348"/>
      <c r="G5022" s="346" t="s">
        <v>298</v>
      </c>
      <c r="J5022" s="348"/>
      <c r="K5022" s="348"/>
      <c r="L5022" s="348"/>
      <c r="M5022" s="348"/>
      <c r="N5022" s="349"/>
    </row>
    <row r="5023" spans="2:14">
      <c r="B5023" s="268"/>
      <c r="C5023" s="350"/>
      <c r="D5023" s="350"/>
      <c r="E5023" s="350"/>
      <c r="F5023" s="350"/>
      <c r="G5023" s="346" t="s">
        <v>299</v>
      </c>
      <c r="H5023" s="350"/>
      <c r="I5023" s="350"/>
      <c r="J5023" s="350"/>
      <c r="K5023" s="350"/>
      <c r="L5023" s="350"/>
      <c r="M5023" s="350"/>
      <c r="N5023" s="351"/>
    </row>
    <row r="5024" spans="2:14">
      <c r="B5024" s="283"/>
      <c r="G5024" s="258" t="s">
        <v>300</v>
      </c>
      <c r="N5024" s="284"/>
    </row>
    <row r="5025" spans="2:14">
      <c r="B5025" s="352" t="s">
        <v>301</v>
      </c>
      <c r="C5025" s="353"/>
      <c r="D5025" s="353"/>
      <c r="E5025" s="353"/>
      <c r="F5025" s="353"/>
      <c r="G5025" s="353"/>
      <c r="H5025" s="353"/>
      <c r="I5025" s="353"/>
      <c r="J5025" s="353"/>
      <c r="K5025" s="353"/>
      <c r="L5025" s="353"/>
      <c r="M5025" s="353"/>
      <c r="N5025" s="354"/>
    </row>
    <row r="5026" spans="2:14">
      <c r="B5026" s="1153"/>
      <c r="C5026" s="1154"/>
      <c r="D5026" s="1154"/>
      <c r="E5026" s="1154"/>
      <c r="F5026" s="1154"/>
      <c r="G5026" s="1154"/>
      <c r="H5026" s="1154"/>
      <c r="I5026" s="1154"/>
      <c r="J5026" s="1154"/>
      <c r="K5026" s="1154"/>
      <c r="L5026" s="1154"/>
      <c r="M5026" s="1154"/>
      <c r="N5026" s="1155"/>
    </row>
    <row r="5027" spans="2:14">
      <c r="B5027" s="1153"/>
      <c r="C5027" s="1154"/>
      <c r="D5027" s="1154"/>
      <c r="E5027" s="1154"/>
      <c r="F5027" s="1154"/>
      <c r="G5027" s="1154"/>
      <c r="H5027" s="1154"/>
      <c r="I5027" s="1154"/>
      <c r="J5027" s="1154"/>
      <c r="K5027" s="1154"/>
      <c r="L5027" s="1154"/>
      <c r="M5027" s="1154"/>
      <c r="N5027" s="1155"/>
    </row>
    <row r="5028" spans="2:14">
      <c r="B5028" s="268"/>
      <c r="C5028" s="350"/>
      <c r="D5028" s="350"/>
      <c r="E5028" s="350"/>
      <c r="F5028" s="350"/>
      <c r="G5028" s="350"/>
      <c r="H5028" s="350"/>
      <c r="I5028" s="350"/>
      <c r="J5028" s="350"/>
      <c r="K5028" s="350"/>
      <c r="L5028" s="350"/>
      <c r="M5028" s="350"/>
      <c r="N5028" s="351"/>
    </row>
    <row r="5029" spans="2:14">
      <c r="B5029" s="355" t="s">
        <v>302</v>
      </c>
      <c r="C5029" s="350"/>
      <c r="D5029" s="350"/>
      <c r="E5029" s="350"/>
      <c r="F5029" s="350"/>
      <c r="G5029" s="350"/>
      <c r="H5029" s="350"/>
      <c r="I5029" s="350"/>
      <c r="J5029" s="350"/>
      <c r="K5029" s="350"/>
      <c r="L5029" s="350"/>
      <c r="M5029" s="350"/>
      <c r="N5029" s="351"/>
    </row>
    <row r="5030" spans="2:14">
      <c r="B5030" s="1159" t="s">
        <v>303</v>
      </c>
      <c r="C5030" s="1160"/>
      <c r="D5030" s="1160"/>
      <c r="E5030" s="1160"/>
      <c r="F5030" s="1160"/>
      <c r="G5030" s="1160"/>
      <c r="H5030" s="1160"/>
      <c r="I5030" s="1160"/>
      <c r="J5030" s="1160"/>
      <c r="K5030" s="1160"/>
      <c r="L5030" s="1160"/>
      <c r="M5030" s="1160"/>
      <c r="N5030" s="1161"/>
    </row>
    <row r="5031" spans="2:14">
      <c r="B5031" s="1159"/>
      <c r="C5031" s="1160"/>
      <c r="D5031" s="1160"/>
      <c r="E5031" s="1160"/>
      <c r="F5031" s="1160"/>
      <c r="G5031" s="1160"/>
      <c r="H5031" s="1160"/>
      <c r="I5031" s="1160"/>
      <c r="J5031" s="1160"/>
      <c r="K5031" s="1160"/>
      <c r="L5031" s="1160"/>
      <c r="M5031" s="1160"/>
      <c r="N5031" s="1161"/>
    </row>
    <row r="5032" spans="2:14">
      <c r="B5032" s="1159" t="s">
        <v>304</v>
      </c>
      <c r="C5032" s="1160"/>
      <c r="D5032" s="1160"/>
      <c r="E5032" s="1160"/>
      <c r="F5032" s="1160"/>
      <c r="G5032" s="1160"/>
      <c r="H5032" s="1160"/>
      <c r="I5032" s="1160"/>
      <c r="J5032" s="1160"/>
      <c r="K5032" s="1160"/>
      <c r="L5032" s="1160"/>
      <c r="M5032" s="1160"/>
      <c r="N5032" s="1161"/>
    </row>
    <row r="5033" spans="2:14">
      <c r="B5033" s="1159"/>
      <c r="C5033" s="1160"/>
      <c r="D5033" s="1160"/>
      <c r="E5033" s="1160"/>
      <c r="F5033" s="1160"/>
      <c r="G5033" s="1160"/>
      <c r="H5033" s="1160"/>
      <c r="I5033" s="1160"/>
      <c r="J5033" s="1160"/>
      <c r="K5033" s="1160"/>
      <c r="L5033" s="1160"/>
      <c r="M5033" s="1160"/>
      <c r="N5033" s="1161"/>
    </row>
    <row r="5034" spans="2:14">
      <c r="B5034" s="268"/>
      <c r="C5034" s="350"/>
      <c r="D5034" s="350"/>
      <c r="E5034" s="350"/>
      <c r="F5034" s="350"/>
      <c r="G5034" s="350"/>
      <c r="H5034" s="350"/>
      <c r="I5034" s="350"/>
      <c r="J5034" s="350"/>
      <c r="K5034" s="350"/>
      <c r="L5034" s="350"/>
      <c r="M5034" s="350"/>
      <c r="N5034" s="351"/>
    </row>
    <row r="5035" spans="2:14">
      <c r="B5035" s="283"/>
      <c r="G5035" s="346" t="s">
        <v>296</v>
      </c>
      <c r="N5035" s="284"/>
    </row>
    <row r="5036" spans="2:14">
      <c r="B5036" s="283"/>
      <c r="G5036" s="258" t="s">
        <v>305</v>
      </c>
      <c r="H5036" s="293"/>
      <c r="I5036" s="293"/>
      <c r="J5036" s="293"/>
      <c r="N5036" s="284"/>
    </row>
    <row r="5037" spans="2:14">
      <c r="B5037" s="283"/>
      <c r="G5037" s="258" t="s">
        <v>306</v>
      </c>
      <c r="H5037" s="325"/>
      <c r="I5037" s="325"/>
      <c r="J5037" s="325"/>
      <c r="N5037" s="284"/>
    </row>
    <row r="5038" spans="2:14">
      <c r="B5038" s="356"/>
      <c r="C5038" s="350"/>
      <c r="D5038" s="350"/>
      <c r="E5038" s="350"/>
      <c r="F5038" s="350"/>
      <c r="G5038" s="258" t="s">
        <v>299</v>
      </c>
      <c r="K5038" s="350"/>
      <c r="L5038" s="350"/>
      <c r="M5038" s="350"/>
      <c r="N5038" s="351"/>
    </row>
    <row r="5039" spans="2:14">
      <c r="B5039" s="357"/>
      <c r="C5039" s="358"/>
      <c r="D5039" s="358"/>
      <c r="J5039" s="1162"/>
      <c r="K5039" s="1162"/>
      <c r="L5039" s="1162"/>
      <c r="M5039" s="1162"/>
      <c r="N5039" s="1163"/>
    </row>
    <row r="5040" spans="2:14" ht="13.5" thickBot="1">
      <c r="B5040" s="1166"/>
      <c r="C5040" s="1167"/>
      <c r="D5040" s="1167"/>
      <c r="E5040" s="311"/>
      <c r="F5040" s="311"/>
      <c r="G5040" s="311"/>
      <c r="H5040" s="311"/>
      <c r="I5040" s="311"/>
      <c r="J5040" s="1164"/>
      <c r="K5040" s="1164"/>
      <c r="L5040" s="1164"/>
      <c r="M5040" s="1164"/>
      <c r="N5040" s="1165"/>
    </row>
    <row r="5041" spans="2:14" ht="13.5" thickBot="1"/>
    <row r="5042" spans="2:14">
      <c r="B5042" s="1070"/>
      <c r="C5042" s="1072"/>
      <c r="D5042" s="1073"/>
      <c r="E5042" s="1073"/>
      <c r="F5042" s="1073"/>
      <c r="G5042" s="1073"/>
      <c r="H5042" s="1073"/>
      <c r="I5042" s="1073"/>
      <c r="J5042" s="1074"/>
      <c r="K5042" s="1075"/>
      <c r="L5042" s="1076"/>
      <c r="M5042" s="1076"/>
      <c r="N5042" s="1077"/>
    </row>
    <row r="5043" spans="2:14">
      <c r="B5043" s="1071"/>
      <c r="C5043" s="1062" t="s">
        <v>244</v>
      </c>
      <c r="D5043" s="1063"/>
      <c r="E5043" s="1063"/>
      <c r="F5043" s="1063"/>
      <c r="G5043" s="1063"/>
      <c r="H5043" s="1063"/>
      <c r="I5043" s="1063"/>
      <c r="J5043" s="1064"/>
      <c r="K5043" s="1078"/>
      <c r="L5043" s="1079"/>
      <c r="M5043" s="1079"/>
      <c r="N5043" s="1080"/>
    </row>
    <row r="5044" spans="2:14">
      <c r="B5044" s="1071"/>
      <c r="C5044" s="1081"/>
      <c r="D5044" s="1082"/>
      <c r="E5044" s="1082"/>
      <c r="F5044" s="1082"/>
      <c r="G5044" s="1082"/>
      <c r="H5044" s="1082"/>
      <c r="I5044" s="1082"/>
      <c r="J5044" s="1083"/>
      <c r="K5044" s="1058" t="s">
        <v>245</v>
      </c>
      <c r="L5044" s="1085"/>
      <c r="M5044" s="1086"/>
      <c r="N5044" s="1087"/>
    </row>
    <row r="5045" spans="2:14">
      <c r="B5045" s="1071"/>
      <c r="C5045" s="1062" t="s">
        <v>246</v>
      </c>
      <c r="D5045" s="1063"/>
      <c r="E5045" s="1063"/>
      <c r="F5045" s="1063"/>
      <c r="G5045" s="1063"/>
      <c r="H5045" s="1063"/>
      <c r="I5045" s="1063"/>
      <c r="J5045" s="1064"/>
      <c r="K5045" s="1084"/>
      <c r="L5045" s="1088"/>
      <c r="M5045" s="1089"/>
      <c r="N5045" s="1090"/>
    </row>
    <row r="5046" spans="2:14">
      <c r="B5046" s="1071"/>
      <c r="C5046" s="1091"/>
      <c r="D5046" s="1092"/>
      <c r="E5046" s="1092"/>
      <c r="F5046" s="1092"/>
      <c r="G5046" s="1092"/>
      <c r="H5046" s="1092"/>
      <c r="I5046" s="1092"/>
      <c r="J5046" s="1093"/>
      <c r="K5046" s="1058" t="s">
        <v>247</v>
      </c>
      <c r="L5046" s="1058">
        <v>57</v>
      </c>
      <c r="M5046" s="1058" t="s">
        <v>248</v>
      </c>
      <c r="N5046" s="1060">
        <v>80</v>
      </c>
    </row>
    <row r="5047" spans="2:14">
      <c r="B5047" s="1071"/>
      <c r="C5047" s="1091"/>
      <c r="D5047" s="1092"/>
      <c r="E5047" s="1092"/>
      <c r="F5047" s="1092"/>
      <c r="G5047" s="1092"/>
      <c r="H5047" s="1092"/>
      <c r="I5047" s="1092"/>
      <c r="J5047" s="1093"/>
      <c r="K5047" s="1059"/>
      <c r="L5047" s="1059"/>
      <c r="M5047" s="1059"/>
      <c r="N5047" s="1061"/>
    </row>
    <row r="5048" spans="2:14">
      <c r="B5048" s="1071"/>
      <c r="C5048" s="1062" t="s">
        <v>249</v>
      </c>
      <c r="D5048" s="1063"/>
      <c r="E5048" s="1063"/>
      <c r="F5048" s="1063"/>
      <c r="G5048" s="1063"/>
      <c r="H5048" s="1063"/>
      <c r="I5048" s="1063"/>
      <c r="J5048" s="1064"/>
      <c r="K5048" s="1059"/>
      <c r="L5048" s="1059"/>
      <c r="M5048" s="1059"/>
      <c r="N5048" s="1061"/>
    </row>
    <row r="5049" spans="2:14" ht="13.5" thickBot="1">
      <c r="B5049" s="259"/>
      <c r="C5049" s="260"/>
      <c r="D5049" s="260"/>
      <c r="E5049" s="260"/>
      <c r="F5049" s="260"/>
      <c r="G5049" s="260"/>
      <c r="H5049" s="260"/>
      <c r="I5049" s="260"/>
      <c r="J5049" s="260"/>
      <c r="K5049" s="260"/>
      <c r="L5049" s="261"/>
      <c r="M5049" s="261"/>
      <c r="N5049" s="262"/>
    </row>
    <row r="5050" spans="2:14">
      <c r="B5050" s="263"/>
      <c r="C5050" s="264"/>
      <c r="D5050" s="264"/>
      <c r="E5050" s="264"/>
      <c r="F5050" s="264"/>
      <c r="G5050" s="264"/>
      <c r="H5050" s="264"/>
      <c r="I5050" s="264"/>
      <c r="J5050" s="264"/>
      <c r="K5050" s="265" t="s">
        <v>250</v>
      </c>
      <c r="L5050" s="266" t="s">
        <v>251</v>
      </c>
      <c r="M5050" s="266" t="s">
        <v>252</v>
      </c>
      <c r="N5050" s="267" t="s">
        <v>253</v>
      </c>
    </row>
    <row r="5051" spans="2:14">
      <c r="B5051" s="268"/>
      <c r="C5051" s="269"/>
      <c r="D5051" s="269"/>
      <c r="E5051" s="269"/>
      <c r="F5051" s="269"/>
      <c r="G5051" s="269"/>
      <c r="H5051" s="269"/>
      <c r="I5051" s="269"/>
      <c r="J5051" s="269"/>
      <c r="K5051" s="270"/>
      <c r="L5051" s="271"/>
      <c r="M5051" s="271"/>
      <c r="N5051" s="272"/>
    </row>
    <row r="5052" spans="2:14">
      <c r="B5052" s="1065" t="s">
        <v>254</v>
      </c>
      <c r="C5052" s="1066"/>
      <c r="D5052" s="1066"/>
      <c r="E5052" s="1066"/>
      <c r="F5052" s="269"/>
      <c r="G5052" s="269"/>
      <c r="H5052" s="269" t="s">
        <v>255</v>
      </c>
      <c r="J5052" s="269"/>
      <c r="K5052" s="270"/>
      <c r="N5052" s="273"/>
    </row>
    <row r="5053" spans="2:14">
      <c r="B5053" s="274"/>
      <c r="C5053" s="275"/>
      <c r="D5053" s="275"/>
      <c r="E5053" s="275"/>
      <c r="F5053" s="275"/>
      <c r="G5053" s="275"/>
      <c r="H5053" s="275"/>
      <c r="I5053" s="275"/>
      <c r="J5053" s="275"/>
      <c r="K5053" s="275"/>
      <c r="L5053" s="275"/>
      <c r="M5053" s="275"/>
      <c r="N5053" s="276"/>
    </row>
    <row r="5054" spans="2:14" ht="13.5" thickBot="1">
      <c r="B5054" s="277"/>
      <c r="C5054" s="278"/>
      <c r="D5054" s="278"/>
      <c r="E5054" s="278"/>
      <c r="F5054" s="278"/>
      <c r="G5054" s="278"/>
      <c r="H5054" s="278"/>
      <c r="I5054" s="278"/>
      <c r="J5054" s="278"/>
      <c r="K5054" s="278"/>
      <c r="L5054" s="278"/>
      <c r="M5054" s="278"/>
      <c r="N5054" s="279"/>
    </row>
    <row r="5055" spans="2:14" ht="13.5" thickBot="1">
      <c r="B5055" s="280"/>
      <c r="C5055" s="281"/>
      <c r="D5055" s="281"/>
      <c r="E5055" s="281"/>
      <c r="F5055" s="281"/>
      <c r="G5055" s="281"/>
      <c r="J5055" s="281"/>
      <c r="K5055" s="281"/>
      <c r="L5055" s="281"/>
      <c r="M5055" s="281"/>
      <c r="N5055" s="282"/>
    </row>
    <row r="5056" spans="2:14">
      <c r="B5056" s="1067" t="s">
        <v>256</v>
      </c>
      <c r="C5056" s="1068"/>
      <c r="D5056" s="1068"/>
      <c r="E5056" s="1068"/>
      <c r="F5056" s="1068"/>
      <c r="G5056" s="1068"/>
      <c r="H5056" s="1068"/>
      <c r="I5056" s="1068"/>
      <c r="J5056" s="1068"/>
      <c r="K5056" s="1068"/>
      <c r="L5056" s="1068"/>
      <c r="M5056" s="1068"/>
      <c r="N5056" s="1069"/>
    </row>
    <row r="5057" spans="2:14" ht="13.5" thickBot="1">
      <c r="B5057" s="283"/>
      <c r="N5057" s="284"/>
    </row>
    <row r="5058" spans="2:14">
      <c r="B5058" s="285" t="s">
        <v>257</v>
      </c>
      <c r="C5058" s="1120" t="s">
        <v>258</v>
      </c>
      <c r="D5058" s="1121"/>
      <c r="E5058" s="1121"/>
      <c r="F5058" s="1121"/>
      <c r="G5058" s="1121"/>
      <c r="H5058" s="1121"/>
      <c r="I5058" s="1121"/>
      <c r="J5058" s="1121"/>
      <c r="K5058" s="1122"/>
      <c r="L5058" s="1123" t="s">
        <v>259</v>
      </c>
      <c r="M5058" s="1124"/>
      <c r="N5058" s="285" t="s">
        <v>133</v>
      </c>
    </row>
    <row r="5059" spans="2:14" ht="35.25" customHeight="1" thickBot="1">
      <c r="B5059" s="286">
        <v>57</v>
      </c>
      <c r="C5059" s="1125" t="s">
        <v>200</v>
      </c>
      <c r="D5059" s="1126"/>
      <c r="E5059" s="1126"/>
      <c r="F5059" s="1126"/>
      <c r="G5059" s="1126"/>
      <c r="H5059" s="1126"/>
      <c r="I5059" s="1126"/>
      <c r="J5059" s="1126"/>
      <c r="K5059" s="1127"/>
      <c r="L5059" s="1128" t="s">
        <v>147</v>
      </c>
      <c r="M5059" s="1129"/>
      <c r="N5059" s="366">
        <v>10</v>
      </c>
    </row>
    <row r="5060" spans="2:14">
      <c r="B5060" s="1103" t="s">
        <v>260</v>
      </c>
      <c r="C5060" s="1104"/>
      <c r="D5060" s="1104"/>
      <c r="E5060" s="1104"/>
      <c r="F5060" s="1104"/>
      <c r="G5060" s="1104"/>
      <c r="H5060" s="1104"/>
      <c r="I5060" s="1104"/>
      <c r="J5060" s="1104"/>
      <c r="K5060" s="1104"/>
      <c r="L5060" s="1104"/>
      <c r="M5060" s="1104"/>
      <c r="N5060" s="1105"/>
    </row>
    <row r="5061" spans="2:14">
      <c r="B5061" s="1106"/>
      <c r="C5061" s="1107"/>
      <c r="D5061" s="1107"/>
      <c r="E5061" s="1107"/>
      <c r="F5061" s="1107"/>
      <c r="G5061" s="1107"/>
      <c r="H5061" s="1107"/>
      <c r="I5061" s="1107"/>
      <c r="J5061" s="1107"/>
      <c r="K5061" s="1107"/>
      <c r="L5061" s="1107"/>
      <c r="M5061" s="1107"/>
      <c r="N5061" s="1108"/>
    </row>
    <row r="5062" spans="2:14" ht="13.5" thickBot="1">
      <c r="B5062" s="1109"/>
      <c r="C5062" s="1110"/>
      <c r="D5062" s="1110"/>
      <c r="E5062" s="1110"/>
      <c r="F5062" s="1110"/>
      <c r="G5062" s="1110"/>
      <c r="H5062" s="1110"/>
      <c r="I5062" s="1110"/>
      <c r="J5062" s="1110"/>
      <c r="K5062" s="1110"/>
      <c r="L5062" s="1110"/>
      <c r="M5062" s="1110"/>
      <c r="N5062" s="1111"/>
    </row>
    <row r="5063" spans="2:14">
      <c r="B5063" s="1130" t="s">
        <v>258</v>
      </c>
      <c r="C5063" s="1131"/>
      <c r="D5063" s="1131"/>
      <c r="E5063" s="1131"/>
      <c r="F5063" s="1132"/>
      <c r="G5063" s="1133" t="s">
        <v>261</v>
      </c>
      <c r="H5063" s="1131"/>
      <c r="I5063" s="1134" t="s">
        <v>262</v>
      </c>
      <c r="J5063" s="1135"/>
      <c r="K5063" s="288" t="s">
        <v>263</v>
      </c>
      <c r="L5063" s="1133" t="s">
        <v>264</v>
      </c>
      <c r="M5063" s="1136"/>
      <c r="N5063" s="289" t="s">
        <v>265</v>
      </c>
    </row>
    <row r="5064" spans="2:14" ht="13.5" thickBot="1">
      <c r="B5064" s="1179" t="s">
        <v>319</v>
      </c>
      <c r="C5064" s="1180"/>
      <c r="D5064" s="1180"/>
      <c r="E5064" s="1180"/>
      <c r="F5064" s="1181"/>
      <c r="G5064" s="295"/>
      <c r="H5064" s="294"/>
      <c r="I5064" s="1182" t="s">
        <v>267</v>
      </c>
      <c r="J5064" s="1183"/>
      <c r="K5064" s="290">
        <v>464</v>
      </c>
      <c r="L5064" s="1118">
        <v>0.16666700000000001</v>
      </c>
      <c r="M5064" s="1119"/>
      <c r="N5064" s="290">
        <f>+K5064/L5064</f>
        <v>2783.9944320111358</v>
      </c>
    </row>
    <row r="5065" spans="2:14" ht="13.5" thickBot="1">
      <c r="B5065" s="1100" t="s">
        <v>269</v>
      </c>
      <c r="C5065" s="1101"/>
      <c r="D5065" s="1101"/>
      <c r="E5065" s="1101"/>
      <c r="F5065" s="1101"/>
      <c r="G5065" s="1101"/>
      <c r="H5065" s="1101"/>
      <c r="I5065" s="1101"/>
      <c r="J5065" s="1101"/>
      <c r="K5065" s="1101"/>
      <c r="L5065" s="1101"/>
      <c r="M5065" s="1102"/>
      <c r="N5065" s="323">
        <f>+N5064</f>
        <v>2783.9944320111358</v>
      </c>
    </row>
    <row r="5066" spans="2:14">
      <c r="B5066" s="1103" t="s">
        <v>270</v>
      </c>
      <c r="C5066" s="1104"/>
      <c r="D5066" s="1104"/>
      <c r="E5066" s="1104"/>
      <c r="F5066" s="1104"/>
      <c r="G5066" s="1104"/>
      <c r="H5066" s="1104"/>
      <c r="I5066" s="1104"/>
      <c r="J5066" s="1104"/>
      <c r="K5066" s="1104"/>
      <c r="L5066" s="1104"/>
      <c r="M5066" s="1104"/>
      <c r="N5066" s="1105"/>
    </row>
    <row r="5067" spans="2:14">
      <c r="B5067" s="1106"/>
      <c r="C5067" s="1107"/>
      <c r="D5067" s="1107"/>
      <c r="E5067" s="1107"/>
      <c r="F5067" s="1107"/>
      <c r="G5067" s="1107"/>
      <c r="H5067" s="1107"/>
      <c r="I5067" s="1107"/>
      <c r="J5067" s="1107"/>
      <c r="K5067" s="1107"/>
      <c r="L5067" s="1107"/>
      <c r="M5067" s="1107"/>
      <c r="N5067" s="1108"/>
    </row>
    <row r="5068" spans="2:14" ht="13.5" thickBot="1">
      <c r="B5068" s="1109"/>
      <c r="C5068" s="1110"/>
      <c r="D5068" s="1110"/>
      <c r="E5068" s="1110"/>
      <c r="F5068" s="1110"/>
      <c r="G5068" s="1110"/>
      <c r="H5068" s="1110"/>
      <c r="I5068" s="1110"/>
      <c r="J5068" s="1110"/>
      <c r="K5068" s="1110"/>
      <c r="L5068" s="1110"/>
      <c r="M5068" s="1110"/>
      <c r="N5068" s="1111"/>
    </row>
    <row r="5069" spans="2:14">
      <c r="B5069" s="1130" t="s">
        <v>258</v>
      </c>
      <c r="C5069" s="1139"/>
      <c r="D5069" s="1139"/>
      <c r="E5069" s="1139"/>
      <c r="F5069" s="1139"/>
      <c r="G5069" s="1139"/>
      <c r="H5069" s="1139"/>
      <c r="I5069" s="1136"/>
      <c r="J5069" s="299" t="s">
        <v>259</v>
      </c>
      <c r="K5069" s="288" t="s">
        <v>133</v>
      </c>
      <c r="L5069" s="1133" t="s">
        <v>271</v>
      </c>
      <c r="M5069" s="1136"/>
      <c r="N5069" s="289" t="s">
        <v>265</v>
      </c>
    </row>
    <row r="5070" spans="2:14">
      <c r="B5070" s="402" t="s">
        <v>320</v>
      </c>
      <c r="C5070" s="353"/>
      <c r="D5070" s="353"/>
      <c r="E5070" s="353"/>
      <c r="F5070" s="353"/>
      <c r="G5070" s="353"/>
      <c r="H5070" s="353"/>
      <c r="I5070" s="403"/>
      <c r="J5070" s="303" t="s">
        <v>190</v>
      </c>
      <c r="K5070" s="392">
        <v>2.1</v>
      </c>
      <c r="L5070" s="1144">
        <v>4195</v>
      </c>
      <c r="M5070" s="1145"/>
      <c r="N5070" s="363">
        <f>+K5070*L5070</f>
        <v>8809.5</v>
      </c>
    </row>
    <row r="5071" spans="2:14">
      <c r="B5071" s="402" t="s">
        <v>364</v>
      </c>
      <c r="C5071" s="353"/>
      <c r="D5071" s="353"/>
      <c r="E5071" s="353"/>
      <c r="F5071" s="353"/>
      <c r="G5071" s="353"/>
      <c r="H5071" s="353"/>
      <c r="I5071" s="403"/>
      <c r="J5071" s="303" t="s">
        <v>147</v>
      </c>
      <c r="K5071" s="392">
        <v>1.3</v>
      </c>
      <c r="L5071" s="1144">
        <v>82007</v>
      </c>
      <c r="M5071" s="1145"/>
      <c r="N5071" s="363">
        <f>+K5071*L5071</f>
        <v>106609.1</v>
      </c>
    </row>
    <row r="5072" spans="2:14" ht="13.5" thickBot="1">
      <c r="B5072" s="402" t="s">
        <v>321</v>
      </c>
      <c r="C5072" s="353"/>
      <c r="D5072" s="353"/>
      <c r="E5072" s="353"/>
      <c r="F5072" s="353"/>
      <c r="G5072" s="353"/>
      <c r="H5072" s="353"/>
      <c r="I5072" s="403"/>
      <c r="J5072" s="303" t="s">
        <v>196</v>
      </c>
      <c r="K5072" s="392">
        <v>1</v>
      </c>
      <c r="L5072" s="1144">
        <v>51600</v>
      </c>
      <c r="M5072" s="1145"/>
      <c r="N5072" s="363">
        <f>+K5072*L5072</f>
        <v>51600</v>
      </c>
    </row>
    <row r="5073" spans="2:14" ht="13.5" thickBot="1">
      <c r="B5073" s="1100" t="s">
        <v>269</v>
      </c>
      <c r="C5073" s="1101"/>
      <c r="D5073" s="1101"/>
      <c r="E5073" s="1101"/>
      <c r="F5073" s="1101"/>
      <c r="G5073" s="1101"/>
      <c r="H5073" s="1101"/>
      <c r="I5073" s="1101"/>
      <c r="J5073" s="1101"/>
      <c r="K5073" s="1101"/>
      <c r="L5073" s="1101"/>
      <c r="M5073" s="1102"/>
      <c r="N5073" s="323">
        <f>+N5070+N5071+N5072</f>
        <v>167018.6</v>
      </c>
    </row>
    <row r="5074" spans="2:14">
      <c r="B5074" s="1103" t="s">
        <v>367</v>
      </c>
      <c r="C5074" s="1104"/>
      <c r="D5074" s="1104"/>
      <c r="E5074" s="1104"/>
      <c r="F5074" s="1104"/>
      <c r="G5074" s="1104"/>
      <c r="H5074" s="1104"/>
      <c r="I5074" s="1104"/>
      <c r="J5074" s="1104"/>
      <c r="K5074" s="1104"/>
      <c r="L5074" s="1104"/>
      <c r="M5074" s="1104"/>
      <c r="N5074" s="1105"/>
    </row>
    <row r="5075" spans="2:14">
      <c r="B5075" s="1106"/>
      <c r="C5075" s="1107"/>
      <c r="D5075" s="1107"/>
      <c r="E5075" s="1107"/>
      <c r="F5075" s="1107"/>
      <c r="G5075" s="1107"/>
      <c r="H5075" s="1107"/>
      <c r="I5075" s="1107"/>
      <c r="J5075" s="1107"/>
      <c r="K5075" s="1107"/>
      <c r="L5075" s="1107"/>
      <c r="M5075" s="1107"/>
      <c r="N5075" s="1108"/>
    </row>
    <row r="5076" spans="2:14" ht="13.5" thickBot="1">
      <c r="B5076" s="1109"/>
      <c r="C5076" s="1110"/>
      <c r="D5076" s="1110"/>
      <c r="E5076" s="1110"/>
      <c r="F5076" s="1110"/>
      <c r="G5076" s="1110"/>
      <c r="H5076" s="1110"/>
      <c r="I5076" s="1110"/>
      <c r="J5076" s="1110"/>
      <c r="K5076" s="1110"/>
      <c r="L5076" s="1110"/>
      <c r="M5076" s="1110"/>
      <c r="N5076" s="1111"/>
    </row>
    <row r="5077" spans="2:14">
      <c r="B5077" s="1130" t="s">
        <v>277</v>
      </c>
      <c r="C5077" s="1139"/>
      <c r="D5077" s="1139"/>
      <c r="E5077" s="1139"/>
      <c r="F5077" s="1139"/>
      <c r="G5077" s="1139"/>
      <c r="H5077" s="1139"/>
      <c r="I5077" s="288" t="s">
        <v>278</v>
      </c>
      <c r="J5077" s="306" t="s">
        <v>279</v>
      </c>
      <c r="K5077" s="307" t="s">
        <v>280</v>
      </c>
      <c r="L5077" s="1133" t="s">
        <v>281</v>
      </c>
      <c r="M5077" s="1136"/>
      <c r="N5077" s="289" t="s">
        <v>265</v>
      </c>
    </row>
    <row r="5078" spans="2:14" ht="13.5" thickBot="1">
      <c r="B5078" s="1112"/>
      <c r="C5078" s="1113"/>
      <c r="D5078" s="1113"/>
      <c r="E5078" s="1113"/>
      <c r="F5078" s="1113"/>
      <c r="G5078" s="1113"/>
      <c r="H5078" s="1113"/>
      <c r="I5078" s="393"/>
      <c r="J5078" s="309"/>
      <c r="K5078" s="308"/>
      <c r="L5078" s="1144"/>
      <c r="M5078" s="1145"/>
      <c r="N5078" s="363"/>
    </row>
    <row r="5079" spans="2:14" ht="13.5" thickBot="1">
      <c r="B5079" s="1100" t="s">
        <v>269</v>
      </c>
      <c r="C5079" s="1101"/>
      <c r="D5079" s="1101"/>
      <c r="E5079" s="1101"/>
      <c r="F5079" s="1101"/>
      <c r="G5079" s="1101"/>
      <c r="H5079" s="1101"/>
      <c r="I5079" s="1101"/>
      <c r="J5079" s="1101"/>
      <c r="K5079" s="1101"/>
      <c r="L5079" s="1101"/>
      <c r="M5079" s="1102"/>
      <c r="N5079" s="323">
        <f>+N5078</f>
        <v>0</v>
      </c>
    </row>
    <row r="5080" spans="2:14">
      <c r="B5080" s="1103" t="s">
        <v>282</v>
      </c>
      <c r="C5080" s="1104"/>
      <c r="D5080" s="1104"/>
      <c r="E5080" s="1104"/>
      <c r="F5080" s="1104"/>
      <c r="G5080" s="1104"/>
      <c r="H5080" s="1104"/>
      <c r="I5080" s="1104"/>
      <c r="J5080" s="1104"/>
      <c r="K5080" s="1104"/>
      <c r="L5080" s="1104"/>
      <c r="M5080" s="1104"/>
      <c r="N5080" s="1105"/>
    </row>
    <row r="5081" spans="2:14">
      <c r="B5081" s="1106"/>
      <c r="C5081" s="1107"/>
      <c r="D5081" s="1107"/>
      <c r="E5081" s="1107"/>
      <c r="F5081" s="1107"/>
      <c r="G5081" s="1107"/>
      <c r="H5081" s="1107"/>
      <c r="I5081" s="1107"/>
      <c r="J5081" s="1107"/>
      <c r="K5081" s="1107"/>
      <c r="L5081" s="1107"/>
      <c r="M5081" s="1107"/>
      <c r="N5081" s="1108"/>
    </row>
    <row r="5082" spans="2:14" ht="13.5" thickBot="1">
      <c r="B5082" s="1109"/>
      <c r="C5082" s="1110"/>
      <c r="D5082" s="1110"/>
      <c r="E5082" s="1110"/>
      <c r="F5082" s="1110"/>
      <c r="G5082" s="1110"/>
      <c r="H5082" s="1110"/>
      <c r="I5082" s="1110"/>
      <c r="J5082" s="1110"/>
      <c r="K5082" s="1110"/>
      <c r="L5082" s="1110"/>
      <c r="M5082" s="1110"/>
      <c r="N5082" s="1111"/>
    </row>
    <row r="5083" spans="2:14">
      <c r="B5083" s="1130" t="s">
        <v>283</v>
      </c>
      <c r="C5083" s="1139"/>
      <c r="D5083" s="1139"/>
      <c r="E5083" s="1139"/>
      <c r="F5083" s="1139"/>
      <c r="G5083" s="1139"/>
      <c r="H5083" s="1139"/>
      <c r="I5083" s="288" t="s">
        <v>284</v>
      </c>
      <c r="J5083" s="314" t="s">
        <v>285</v>
      </c>
      <c r="K5083" s="315" t="s">
        <v>286</v>
      </c>
      <c r="L5083" s="1140" t="s">
        <v>264</v>
      </c>
      <c r="M5083" s="1141"/>
      <c r="N5083" s="316" t="s">
        <v>265</v>
      </c>
    </row>
    <row r="5084" spans="2:14" ht="13.5" thickBot="1">
      <c r="B5084" s="317" t="s">
        <v>322</v>
      </c>
      <c r="C5084" s="318"/>
      <c r="D5084" s="318"/>
      <c r="E5084" s="318"/>
      <c r="F5084" s="318"/>
      <c r="G5084" s="318"/>
      <c r="H5084" s="318"/>
      <c r="I5084" s="319">
        <v>153482</v>
      </c>
      <c r="J5084" s="321">
        <v>0</v>
      </c>
      <c r="K5084" s="321">
        <f>+I5084+J5084</f>
        <v>153482</v>
      </c>
      <c r="L5084" s="1157">
        <v>2</v>
      </c>
      <c r="M5084" s="1158"/>
      <c r="N5084" s="322">
        <f>+K5084/L5084</f>
        <v>76741</v>
      </c>
    </row>
    <row r="5085" spans="2:14" ht="13.5" thickBot="1">
      <c r="B5085" s="1100" t="s">
        <v>269</v>
      </c>
      <c r="C5085" s="1101"/>
      <c r="D5085" s="1101"/>
      <c r="E5085" s="1101"/>
      <c r="F5085" s="1101"/>
      <c r="G5085" s="1101"/>
      <c r="H5085" s="1101"/>
      <c r="I5085" s="1101"/>
      <c r="J5085" s="1101"/>
      <c r="K5085" s="1101"/>
      <c r="L5085" s="1101"/>
      <c r="M5085" s="1102"/>
      <c r="N5085" s="322">
        <f>+N5084</f>
        <v>76741</v>
      </c>
    </row>
    <row r="5086" spans="2:14" ht="13.5" thickBot="1">
      <c r="B5086" s="324" t="s">
        <v>288</v>
      </c>
      <c r="C5086" s="325"/>
      <c r="D5086" s="325"/>
      <c r="E5086" s="325"/>
      <c r="F5086" s="325"/>
      <c r="G5086" s="325"/>
      <c r="H5086" s="325"/>
      <c r="I5086" s="326"/>
      <c r="J5086" s="327"/>
      <c r="K5086" s="328"/>
      <c r="L5086" s="329"/>
      <c r="M5086" s="329"/>
      <c r="N5086" s="330"/>
    </row>
    <row r="5087" spans="2:14">
      <c r="B5087" s="1130" t="s">
        <v>17</v>
      </c>
      <c r="C5087" s="1139"/>
      <c r="D5087" s="1139"/>
      <c r="E5087" s="1139"/>
      <c r="F5087" s="1139"/>
      <c r="G5087" s="1139"/>
      <c r="H5087" s="1139"/>
      <c r="I5087" s="1136"/>
      <c r="J5087" s="299" t="s">
        <v>259</v>
      </c>
      <c r="K5087" s="288" t="s">
        <v>133</v>
      </c>
      <c r="L5087" s="1133" t="s">
        <v>271</v>
      </c>
      <c r="M5087" s="1136"/>
      <c r="N5087" s="316" t="s">
        <v>265</v>
      </c>
    </row>
    <row r="5088" spans="2:14" ht="13.5" thickBot="1">
      <c r="B5088" s="331" t="s">
        <v>289</v>
      </c>
      <c r="C5088" s="332"/>
      <c r="D5088" s="332"/>
      <c r="E5088" s="332"/>
      <c r="F5088" s="332"/>
      <c r="G5088" s="332"/>
      <c r="H5088" s="332"/>
      <c r="I5088" s="333"/>
      <c r="J5088" s="334" t="s">
        <v>290</v>
      </c>
      <c r="K5088" s="335">
        <v>0.05</v>
      </c>
      <c r="L5088" s="1144">
        <f>+N5085</f>
        <v>76741</v>
      </c>
      <c r="M5088" s="1145"/>
      <c r="N5088" s="322">
        <f>+K5088*L5088</f>
        <v>3837.05</v>
      </c>
    </row>
    <row r="5089" spans="2:17" ht="13.5" thickBot="1">
      <c r="B5089" s="1100" t="s">
        <v>269</v>
      </c>
      <c r="C5089" s="1101"/>
      <c r="D5089" s="1101"/>
      <c r="E5089" s="1101"/>
      <c r="F5089" s="1101"/>
      <c r="G5089" s="1101"/>
      <c r="H5089" s="1101"/>
      <c r="I5089" s="1101"/>
      <c r="J5089" s="1101"/>
      <c r="K5089" s="1101"/>
      <c r="L5089" s="1101"/>
      <c r="M5089" s="1102"/>
      <c r="N5089" s="322">
        <f>+N5088</f>
        <v>3837.05</v>
      </c>
      <c r="P5089" s="408">
        <v>2503810</v>
      </c>
    </row>
    <row r="5090" spans="2:17" ht="13.5" thickBot="1">
      <c r="B5090" s="1100"/>
      <c r="C5090" s="1101"/>
      <c r="D5090" s="1101"/>
      <c r="E5090" s="1101"/>
      <c r="F5090" s="1101"/>
      <c r="G5090" s="1101"/>
      <c r="H5090" s="1101"/>
      <c r="I5090" s="1101"/>
      <c r="J5090" s="1101"/>
      <c r="K5090" s="1101"/>
      <c r="L5090" s="1101"/>
      <c r="M5090" s="1102"/>
      <c r="N5090" s="322"/>
    </row>
    <row r="5091" spans="2:17" ht="13.5" thickBot="1">
      <c r="B5091" s="1150" t="s">
        <v>291</v>
      </c>
      <c r="C5091" s="1151"/>
      <c r="D5091" s="1151"/>
      <c r="E5091" s="1151"/>
      <c r="F5091" s="1151"/>
      <c r="G5091" s="1151"/>
      <c r="H5091" s="1151"/>
      <c r="I5091" s="1151"/>
      <c r="J5091" s="1151"/>
      <c r="K5091" s="1151"/>
      <c r="L5091" s="1151"/>
      <c r="M5091" s="1152"/>
      <c r="N5091" s="336">
        <f>+N5065+N5073+N5079+N5085+N5089</f>
        <v>250380.64443201112</v>
      </c>
      <c r="P5091" s="409">
        <f>+N5091*N5059</f>
        <v>2503806.4443201111</v>
      </c>
      <c r="Q5091" s="413">
        <f>+P5091-P5089</f>
        <v>-3.5556798889301717</v>
      </c>
    </row>
    <row r="5092" spans="2:17">
      <c r="B5092" s="1103" t="s">
        <v>292</v>
      </c>
      <c r="C5092" s="1104"/>
      <c r="D5092" s="1104"/>
      <c r="E5092" s="1104"/>
      <c r="F5092" s="1104"/>
      <c r="G5092" s="1104"/>
      <c r="H5092" s="1104"/>
      <c r="I5092" s="1104"/>
      <c r="J5092" s="1104"/>
      <c r="K5092" s="1104"/>
      <c r="L5092" s="1104"/>
      <c r="M5092" s="1104"/>
      <c r="N5092" s="1105"/>
    </row>
    <row r="5093" spans="2:17">
      <c r="B5093" s="1106"/>
      <c r="C5093" s="1107"/>
      <c r="D5093" s="1107"/>
      <c r="E5093" s="1107"/>
      <c r="F5093" s="1107"/>
      <c r="G5093" s="1107"/>
      <c r="H5093" s="1107"/>
      <c r="I5093" s="1107"/>
      <c r="J5093" s="1107"/>
      <c r="K5093" s="1107"/>
      <c r="L5093" s="1107"/>
      <c r="M5093" s="1107"/>
      <c r="N5093" s="1108"/>
    </row>
    <row r="5094" spans="2:17" ht="13.5" thickBot="1">
      <c r="B5094" s="1109"/>
      <c r="C5094" s="1110"/>
      <c r="D5094" s="1110"/>
      <c r="E5094" s="1110"/>
      <c r="F5094" s="1110"/>
      <c r="G5094" s="1110"/>
      <c r="H5094" s="1110"/>
      <c r="I5094" s="1110"/>
      <c r="J5094" s="1110"/>
      <c r="K5094" s="1110"/>
      <c r="L5094" s="1110"/>
      <c r="M5094" s="1110"/>
      <c r="N5094" s="1111"/>
    </row>
    <row r="5095" spans="2:17">
      <c r="B5095" s="1130" t="s">
        <v>17</v>
      </c>
      <c r="C5095" s="1139"/>
      <c r="D5095" s="1139"/>
      <c r="E5095" s="1139"/>
      <c r="F5095" s="1139"/>
      <c r="G5095" s="1139"/>
      <c r="H5095" s="1139"/>
      <c r="I5095" s="306"/>
      <c r="J5095" s="337"/>
      <c r="K5095" s="315" t="s">
        <v>79</v>
      </c>
      <c r="L5095" s="1140" t="s">
        <v>11</v>
      </c>
      <c r="M5095" s="1141"/>
      <c r="N5095" s="316"/>
    </row>
    <row r="5096" spans="2:17">
      <c r="B5096" s="1112" t="s">
        <v>232</v>
      </c>
      <c r="C5096" s="1113"/>
      <c r="D5096" s="1113"/>
      <c r="E5096" s="1113"/>
      <c r="F5096" s="1113"/>
      <c r="G5096" s="1113"/>
      <c r="H5096" s="1113"/>
      <c r="I5096" s="338"/>
      <c r="J5096" s="339"/>
      <c r="K5096" s="340">
        <f>'PRESUPUESTO OFICIAL'!$K$100</f>
        <v>0</v>
      </c>
      <c r="L5096" s="1146">
        <f>K5096*N5091</f>
        <v>0</v>
      </c>
      <c r="M5096" s="1147"/>
      <c r="N5096" s="341"/>
    </row>
    <row r="5097" spans="2:17">
      <c r="B5097" s="292" t="s">
        <v>293</v>
      </c>
      <c r="C5097" s="293"/>
      <c r="D5097" s="293"/>
      <c r="E5097" s="293"/>
      <c r="F5097" s="293"/>
      <c r="G5097" s="293"/>
      <c r="H5097" s="293"/>
      <c r="I5097" s="338"/>
      <c r="J5097" s="339"/>
      <c r="K5097" s="340">
        <f>'PRESUPUESTO OFICIAL'!$K$101</f>
        <v>0</v>
      </c>
      <c r="L5097" s="1146">
        <f>K5097*N5091</f>
        <v>0</v>
      </c>
      <c r="M5097" s="1147"/>
      <c r="N5097" s="341"/>
    </row>
    <row r="5098" spans="2:17" ht="13.5" thickBot="1">
      <c r="B5098" s="277" t="s">
        <v>294</v>
      </c>
      <c r="C5098" s="278"/>
      <c r="D5098" s="278"/>
      <c r="E5098" s="278"/>
      <c r="F5098" s="278"/>
      <c r="G5098" s="278"/>
      <c r="H5098" s="278"/>
      <c r="I5098" s="342"/>
      <c r="J5098" s="343"/>
      <c r="K5098" s="340">
        <f>'PRESUPUESTO OFICIAL'!$K$102</f>
        <v>0</v>
      </c>
      <c r="L5098" s="1148">
        <f>K5098*N5091</f>
        <v>0</v>
      </c>
      <c r="M5098" s="1149"/>
      <c r="N5098" s="341"/>
    </row>
    <row r="5099" spans="2:17" ht="13.5" thickBot="1">
      <c r="B5099" s="1100" t="s">
        <v>269</v>
      </c>
      <c r="C5099" s="1101"/>
      <c r="D5099" s="1101"/>
      <c r="E5099" s="1101"/>
      <c r="F5099" s="1101"/>
      <c r="G5099" s="1101"/>
      <c r="H5099" s="1101"/>
      <c r="I5099" s="1101"/>
      <c r="J5099" s="1101"/>
      <c r="K5099" s="1101"/>
      <c r="L5099" s="1101"/>
      <c r="M5099" s="1102"/>
      <c r="N5099" s="344">
        <f>SUM(L5096:M5098)</f>
        <v>0</v>
      </c>
    </row>
    <row r="5100" spans="2:17" ht="13.5" thickBot="1">
      <c r="B5100" s="283"/>
      <c r="N5100" s="284"/>
    </row>
    <row r="5101" spans="2:17" ht="13.5" thickBot="1">
      <c r="B5101" s="1150" t="s">
        <v>295</v>
      </c>
      <c r="C5101" s="1151"/>
      <c r="D5101" s="1151"/>
      <c r="E5101" s="1151"/>
      <c r="F5101" s="1151"/>
      <c r="G5101" s="1151"/>
      <c r="H5101" s="1151"/>
      <c r="I5101" s="1151"/>
      <c r="J5101" s="1151"/>
      <c r="K5101" s="1151"/>
      <c r="L5101" s="1151"/>
      <c r="M5101" s="1152"/>
      <c r="N5101" s="345">
        <f>ROUND(N5091+N5099,0)</f>
        <v>250381</v>
      </c>
    </row>
    <row r="5102" spans="2:17">
      <c r="B5102" s="280"/>
      <c r="C5102" s="281"/>
      <c r="D5102" s="281"/>
      <c r="E5102" s="281"/>
      <c r="F5102" s="281"/>
      <c r="G5102" s="281"/>
      <c r="H5102" s="281"/>
      <c r="I5102" s="281"/>
      <c r="J5102" s="281"/>
      <c r="K5102" s="281"/>
      <c r="L5102" s="281"/>
      <c r="M5102" s="281"/>
      <c r="N5102" s="282"/>
    </row>
    <row r="5103" spans="2:17">
      <c r="B5103" s="283"/>
      <c r="N5103" s="284"/>
    </row>
    <row r="5104" spans="2:17">
      <c r="B5104" s="283"/>
      <c r="N5104" s="284"/>
    </row>
    <row r="5105" spans="2:14">
      <c r="B5105" s="283"/>
      <c r="G5105" s="346" t="s">
        <v>296</v>
      </c>
      <c r="H5105" s="346"/>
      <c r="I5105" s="346"/>
      <c r="J5105" s="346"/>
      <c r="N5105" s="284"/>
    </row>
    <row r="5106" spans="2:14">
      <c r="B5106" s="347"/>
      <c r="C5106" s="348"/>
      <c r="D5106" s="348"/>
      <c r="E5106" s="348"/>
      <c r="F5106" s="348"/>
      <c r="G5106" s="346" t="s">
        <v>297</v>
      </c>
      <c r="H5106" s="348"/>
      <c r="I5106" s="348"/>
      <c r="J5106" s="348"/>
      <c r="K5106" s="348"/>
      <c r="L5106" s="348"/>
      <c r="M5106" s="348"/>
      <c r="N5106" s="349"/>
    </row>
    <row r="5107" spans="2:14">
      <c r="B5107" s="347"/>
      <c r="C5107" s="348"/>
      <c r="D5107" s="348"/>
      <c r="E5107" s="348"/>
      <c r="F5107" s="348"/>
      <c r="G5107" s="346" t="s">
        <v>298</v>
      </c>
      <c r="J5107" s="348"/>
      <c r="K5107" s="348"/>
      <c r="L5107" s="348"/>
      <c r="M5107" s="348"/>
      <c r="N5107" s="349"/>
    </row>
    <row r="5108" spans="2:14">
      <c r="B5108" s="268"/>
      <c r="C5108" s="350"/>
      <c r="D5108" s="350"/>
      <c r="E5108" s="350"/>
      <c r="F5108" s="350"/>
      <c r="G5108" s="346" t="s">
        <v>299</v>
      </c>
      <c r="H5108" s="350"/>
      <c r="I5108" s="350"/>
      <c r="J5108" s="350"/>
      <c r="K5108" s="350"/>
      <c r="L5108" s="350"/>
      <c r="M5108" s="350"/>
      <c r="N5108" s="351"/>
    </row>
    <row r="5109" spans="2:14">
      <c r="B5109" s="283"/>
      <c r="G5109" s="258" t="s">
        <v>300</v>
      </c>
      <c r="N5109" s="284"/>
    </row>
    <row r="5110" spans="2:14">
      <c r="B5110" s="352" t="s">
        <v>301</v>
      </c>
      <c r="C5110" s="353"/>
      <c r="D5110" s="353"/>
      <c r="E5110" s="353"/>
      <c r="F5110" s="353"/>
      <c r="G5110" s="353"/>
      <c r="H5110" s="353"/>
      <c r="I5110" s="353"/>
      <c r="J5110" s="353"/>
      <c r="K5110" s="353"/>
      <c r="L5110" s="353"/>
      <c r="M5110" s="353"/>
      <c r="N5110" s="354"/>
    </row>
    <row r="5111" spans="2:14">
      <c r="B5111" s="1153"/>
      <c r="C5111" s="1154"/>
      <c r="D5111" s="1154"/>
      <c r="E5111" s="1154"/>
      <c r="F5111" s="1154"/>
      <c r="G5111" s="1154"/>
      <c r="H5111" s="1154"/>
      <c r="I5111" s="1154"/>
      <c r="J5111" s="1154"/>
      <c r="K5111" s="1154"/>
      <c r="L5111" s="1154"/>
      <c r="M5111" s="1154"/>
      <c r="N5111" s="1155"/>
    </row>
    <row r="5112" spans="2:14">
      <c r="B5112" s="1153"/>
      <c r="C5112" s="1154"/>
      <c r="D5112" s="1154"/>
      <c r="E5112" s="1154"/>
      <c r="F5112" s="1154"/>
      <c r="G5112" s="1154"/>
      <c r="H5112" s="1154"/>
      <c r="I5112" s="1154"/>
      <c r="J5112" s="1154"/>
      <c r="K5112" s="1154"/>
      <c r="L5112" s="1154"/>
      <c r="M5112" s="1154"/>
      <c r="N5112" s="1155"/>
    </row>
    <row r="5113" spans="2:14">
      <c r="B5113" s="268"/>
      <c r="C5113" s="350"/>
      <c r="D5113" s="350"/>
      <c r="E5113" s="350"/>
      <c r="F5113" s="350"/>
      <c r="G5113" s="350"/>
      <c r="H5113" s="350"/>
      <c r="I5113" s="350"/>
      <c r="J5113" s="350"/>
      <c r="K5113" s="350"/>
      <c r="L5113" s="350"/>
      <c r="M5113" s="350"/>
      <c r="N5113" s="351"/>
    </row>
    <row r="5114" spans="2:14">
      <c r="B5114" s="355" t="s">
        <v>302</v>
      </c>
      <c r="C5114" s="350"/>
      <c r="D5114" s="350"/>
      <c r="E5114" s="350"/>
      <c r="F5114" s="350"/>
      <c r="G5114" s="350"/>
      <c r="H5114" s="350"/>
      <c r="I5114" s="350"/>
      <c r="J5114" s="350"/>
      <c r="K5114" s="350"/>
      <c r="L5114" s="350"/>
      <c r="M5114" s="350"/>
      <c r="N5114" s="351"/>
    </row>
    <row r="5115" spans="2:14">
      <c r="B5115" s="1159" t="s">
        <v>303</v>
      </c>
      <c r="C5115" s="1160"/>
      <c r="D5115" s="1160"/>
      <c r="E5115" s="1160"/>
      <c r="F5115" s="1160"/>
      <c r="G5115" s="1160"/>
      <c r="H5115" s="1160"/>
      <c r="I5115" s="1160"/>
      <c r="J5115" s="1160"/>
      <c r="K5115" s="1160"/>
      <c r="L5115" s="1160"/>
      <c r="M5115" s="1160"/>
      <c r="N5115" s="1161"/>
    </row>
    <row r="5116" spans="2:14">
      <c r="B5116" s="1159"/>
      <c r="C5116" s="1160"/>
      <c r="D5116" s="1160"/>
      <c r="E5116" s="1160"/>
      <c r="F5116" s="1160"/>
      <c r="G5116" s="1160"/>
      <c r="H5116" s="1160"/>
      <c r="I5116" s="1160"/>
      <c r="J5116" s="1160"/>
      <c r="K5116" s="1160"/>
      <c r="L5116" s="1160"/>
      <c r="M5116" s="1160"/>
      <c r="N5116" s="1161"/>
    </row>
    <row r="5117" spans="2:14">
      <c r="B5117" s="1159" t="s">
        <v>304</v>
      </c>
      <c r="C5117" s="1160"/>
      <c r="D5117" s="1160"/>
      <c r="E5117" s="1160"/>
      <c r="F5117" s="1160"/>
      <c r="G5117" s="1160"/>
      <c r="H5117" s="1160"/>
      <c r="I5117" s="1160"/>
      <c r="J5117" s="1160"/>
      <c r="K5117" s="1160"/>
      <c r="L5117" s="1160"/>
      <c r="M5117" s="1160"/>
      <c r="N5117" s="1161"/>
    </row>
    <row r="5118" spans="2:14">
      <c r="B5118" s="1159"/>
      <c r="C5118" s="1160"/>
      <c r="D5118" s="1160"/>
      <c r="E5118" s="1160"/>
      <c r="F5118" s="1160"/>
      <c r="G5118" s="1160"/>
      <c r="H5118" s="1160"/>
      <c r="I5118" s="1160"/>
      <c r="J5118" s="1160"/>
      <c r="K5118" s="1160"/>
      <c r="L5118" s="1160"/>
      <c r="M5118" s="1160"/>
      <c r="N5118" s="1161"/>
    </row>
    <row r="5119" spans="2:14">
      <c r="B5119" s="268"/>
      <c r="C5119" s="350"/>
      <c r="D5119" s="350"/>
      <c r="E5119" s="350"/>
      <c r="F5119" s="350"/>
      <c r="G5119" s="350"/>
      <c r="H5119" s="350"/>
      <c r="I5119" s="350"/>
      <c r="J5119" s="350"/>
      <c r="K5119" s="350"/>
      <c r="L5119" s="350"/>
      <c r="M5119" s="350"/>
      <c r="N5119" s="351"/>
    </row>
    <row r="5120" spans="2:14">
      <c r="B5120" s="283"/>
      <c r="G5120" s="346" t="s">
        <v>296</v>
      </c>
      <c r="N5120" s="284"/>
    </row>
    <row r="5121" spans="2:14">
      <c r="B5121" s="283"/>
      <c r="G5121" s="258" t="s">
        <v>305</v>
      </c>
      <c r="H5121" s="293"/>
      <c r="I5121" s="293"/>
      <c r="J5121" s="293"/>
      <c r="N5121" s="284"/>
    </row>
    <row r="5122" spans="2:14">
      <c r="B5122" s="283"/>
      <c r="G5122" s="258" t="s">
        <v>306</v>
      </c>
      <c r="H5122" s="325"/>
      <c r="I5122" s="325"/>
      <c r="J5122" s="325"/>
      <c r="N5122" s="284"/>
    </row>
    <row r="5123" spans="2:14">
      <c r="B5123" s="356"/>
      <c r="C5123" s="350"/>
      <c r="D5123" s="350"/>
      <c r="E5123" s="350"/>
      <c r="F5123" s="350"/>
      <c r="G5123" s="258" t="s">
        <v>299</v>
      </c>
      <c r="K5123" s="350"/>
      <c r="L5123" s="350"/>
      <c r="M5123" s="350"/>
      <c r="N5123" s="351"/>
    </row>
    <row r="5124" spans="2:14">
      <c r="B5124" s="357"/>
      <c r="C5124" s="358"/>
      <c r="D5124" s="358"/>
      <c r="J5124" s="1162"/>
      <c r="K5124" s="1162"/>
      <c r="L5124" s="1162"/>
      <c r="M5124" s="1162"/>
      <c r="N5124" s="1163"/>
    </row>
    <row r="5125" spans="2:14" ht="13.5" thickBot="1">
      <c r="B5125" s="1166"/>
      <c r="C5125" s="1167"/>
      <c r="D5125" s="1167"/>
      <c r="E5125" s="311"/>
      <c r="F5125" s="311"/>
      <c r="G5125" s="311"/>
      <c r="H5125" s="311"/>
      <c r="I5125" s="311"/>
      <c r="J5125" s="1164"/>
      <c r="K5125" s="1164"/>
      <c r="L5125" s="1164"/>
      <c r="M5125" s="1164"/>
      <c r="N5125" s="1165"/>
    </row>
    <row r="5126" spans="2:14" ht="13.5" thickBot="1"/>
    <row r="5127" spans="2:14">
      <c r="B5127" s="1070"/>
      <c r="C5127" s="1072"/>
      <c r="D5127" s="1073"/>
      <c r="E5127" s="1073"/>
      <c r="F5127" s="1073"/>
      <c r="G5127" s="1073"/>
      <c r="H5127" s="1073"/>
      <c r="I5127" s="1073"/>
      <c r="J5127" s="1074"/>
      <c r="K5127" s="1075"/>
      <c r="L5127" s="1076"/>
      <c r="M5127" s="1076"/>
      <c r="N5127" s="1077"/>
    </row>
    <row r="5128" spans="2:14">
      <c r="B5128" s="1071"/>
      <c r="C5128" s="1062" t="s">
        <v>244</v>
      </c>
      <c r="D5128" s="1063"/>
      <c r="E5128" s="1063"/>
      <c r="F5128" s="1063"/>
      <c r="G5128" s="1063"/>
      <c r="H5128" s="1063"/>
      <c r="I5128" s="1063"/>
      <c r="J5128" s="1064"/>
      <c r="K5128" s="1078"/>
      <c r="L5128" s="1079"/>
      <c r="M5128" s="1079"/>
      <c r="N5128" s="1080"/>
    </row>
    <row r="5129" spans="2:14">
      <c r="B5129" s="1071"/>
      <c r="C5129" s="1081"/>
      <c r="D5129" s="1082"/>
      <c r="E5129" s="1082"/>
      <c r="F5129" s="1082"/>
      <c r="G5129" s="1082"/>
      <c r="H5129" s="1082"/>
      <c r="I5129" s="1082"/>
      <c r="J5129" s="1083"/>
      <c r="K5129" s="1058" t="s">
        <v>245</v>
      </c>
      <c r="L5129" s="1085"/>
      <c r="M5129" s="1086"/>
      <c r="N5129" s="1087"/>
    </row>
    <row r="5130" spans="2:14">
      <c r="B5130" s="1071"/>
      <c r="C5130" s="1062" t="s">
        <v>246</v>
      </c>
      <c r="D5130" s="1063"/>
      <c r="E5130" s="1063"/>
      <c r="F5130" s="1063"/>
      <c r="G5130" s="1063"/>
      <c r="H5130" s="1063"/>
      <c r="I5130" s="1063"/>
      <c r="J5130" s="1064"/>
      <c r="K5130" s="1084"/>
      <c r="L5130" s="1088"/>
      <c r="M5130" s="1089"/>
      <c r="N5130" s="1090"/>
    </row>
    <row r="5131" spans="2:14">
      <c r="B5131" s="1071"/>
      <c r="C5131" s="1091"/>
      <c r="D5131" s="1092"/>
      <c r="E5131" s="1092"/>
      <c r="F5131" s="1092"/>
      <c r="G5131" s="1092"/>
      <c r="H5131" s="1092"/>
      <c r="I5131" s="1092"/>
      <c r="J5131" s="1093"/>
      <c r="K5131" s="1058" t="s">
        <v>247</v>
      </c>
      <c r="L5131" s="1058">
        <v>58</v>
      </c>
      <c r="M5131" s="1058" t="s">
        <v>248</v>
      </c>
      <c r="N5131" s="1060">
        <v>80</v>
      </c>
    </row>
    <row r="5132" spans="2:14">
      <c r="B5132" s="1071"/>
      <c r="C5132" s="1091"/>
      <c r="D5132" s="1092"/>
      <c r="E5132" s="1092"/>
      <c r="F5132" s="1092"/>
      <c r="G5132" s="1092"/>
      <c r="H5132" s="1092"/>
      <c r="I5132" s="1092"/>
      <c r="J5132" s="1093"/>
      <c r="K5132" s="1059"/>
      <c r="L5132" s="1059"/>
      <c r="M5132" s="1059"/>
      <c r="N5132" s="1061"/>
    </row>
    <row r="5133" spans="2:14">
      <c r="B5133" s="1071"/>
      <c r="C5133" s="1062" t="s">
        <v>249</v>
      </c>
      <c r="D5133" s="1063"/>
      <c r="E5133" s="1063"/>
      <c r="F5133" s="1063"/>
      <c r="G5133" s="1063"/>
      <c r="H5133" s="1063"/>
      <c r="I5133" s="1063"/>
      <c r="J5133" s="1064"/>
      <c r="K5133" s="1059"/>
      <c r="L5133" s="1059"/>
      <c r="M5133" s="1059"/>
      <c r="N5133" s="1061"/>
    </row>
    <row r="5134" spans="2:14" ht="13.5" thickBot="1">
      <c r="B5134" s="259"/>
      <c r="C5134" s="260"/>
      <c r="D5134" s="260"/>
      <c r="E5134" s="260"/>
      <c r="F5134" s="260"/>
      <c r="G5134" s="260"/>
      <c r="H5134" s="260"/>
      <c r="I5134" s="260"/>
      <c r="J5134" s="260"/>
      <c r="K5134" s="260"/>
      <c r="L5134" s="261"/>
      <c r="M5134" s="261"/>
      <c r="N5134" s="262"/>
    </row>
    <row r="5135" spans="2:14">
      <c r="B5135" s="263"/>
      <c r="C5135" s="264"/>
      <c r="D5135" s="264"/>
      <c r="E5135" s="264"/>
      <c r="F5135" s="264"/>
      <c r="G5135" s="264"/>
      <c r="H5135" s="264"/>
      <c r="I5135" s="264"/>
      <c r="J5135" s="264"/>
      <c r="K5135" s="265" t="s">
        <v>250</v>
      </c>
      <c r="L5135" s="266" t="s">
        <v>251</v>
      </c>
      <c r="M5135" s="266" t="s">
        <v>252</v>
      </c>
      <c r="N5135" s="267" t="s">
        <v>253</v>
      </c>
    </row>
    <row r="5136" spans="2:14">
      <c r="B5136" s="268"/>
      <c r="C5136" s="269"/>
      <c r="D5136" s="269"/>
      <c r="E5136" s="269"/>
      <c r="F5136" s="269"/>
      <c r="G5136" s="269"/>
      <c r="H5136" s="269"/>
      <c r="I5136" s="269"/>
      <c r="J5136" s="269"/>
      <c r="K5136" s="270"/>
      <c r="L5136" s="271"/>
      <c r="M5136" s="271"/>
      <c r="N5136" s="272"/>
    </row>
    <row r="5137" spans="2:14">
      <c r="B5137" s="1065" t="s">
        <v>254</v>
      </c>
      <c r="C5137" s="1066"/>
      <c r="D5137" s="1066"/>
      <c r="E5137" s="1066"/>
      <c r="F5137" s="269"/>
      <c r="G5137" s="269"/>
      <c r="H5137" s="269" t="s">
        <v>255</v>
      </c>
      <c r="J5137" s="269"/>
      <c r="K5137" s="270"/>
      <c r="N5137" s="273"/>
    </row>
    <row r="5138" spans="2:14">
      <c r="B5138" s="274"/>
      <c r="C5138" s="275"/>
      <c r="D5138" s="275"/>
      <c r="E5138" s="275"/>
      <c r="F5138" s="275"/>
      <c r="G5138" s="275"/>
      <c r="H5138" s="275"/>
      <c r="I5138" s="275"/>
      <c r="J5138" s="275"/>
      <c r="K5138" s="275"/>
      <c r="L5138" s="275"/>
      <c r="M5138" s="275"/>
      <c r="N5138" s="276"/>
    </row>
    <row r="5139" spans="2:14" ht="13.5" thickBot="1">
      <c r="B5139" s="277"/>
      <c r="C5139" s="278"/>
      <c r="D5139" s="278"/>
      <c r="E5139" s="278"/>
      <c r="F5139" s="278"/>
      <c r="G5139" s="278"/>
      <c r="H5139" s="278"/>
      <c r="I5139" s="278"/>
      <c r="J5139" s="278"/>
      <c r="K5139" s="278"/>
      <c r="L5139" s="278"/>
      <c r="M5139" s="278"/>
      <c r="N5139" s="279"/>
    </row>
    <row r="5140" spans="2:14" ht="13.5" thickBot="1">
      <c r="B5140" s="280"/>
      <c r="C5140" s="281"/>
      <c r="D5140" s="281"/>
      <c r="E5140" s="281"/>
      <c r="F5140" s="281"/>
      <c r="G5140" s="281"/>
      <c r="J5140" s="281"/>
      <c r="K5140" s="281"/>
      <c r="L5140" s="281"/>
      <c r="M5140" s="281"/>
      <c r="N5140" s="282"/>
    </row>
    <row r="5141" spans="2:14">
      <c r="B5141" s="1067" t="s">
        <v>256</v>
      </c>
      <c r="C5141" s="1068"/>
      <c r="D5141" s="1068"/>
      <c r="E5141" s="1068"/>
      <c r="F5141" s="1068"/>
      <c r="G5141" s="1068"/>
      <c r="H5141" s="1068"/>
      <c r="I5141" s="1068"/>
      <c r="J5141" s="1068"/>
      <c r="K5141" s="1068"/>
      <c r="L5141" s="1068"/>
      <c r="M5141" s="1068"/>
      <c r="N5141" s="1069"/>
    </row>
    <row r="5142" spans="2:14" ht="13.5" thickBot="1">
      <c r="B5142" s="283"/>
      <c r="N5142" s="284"/>
    </row>
    <row r="5143" spans="2:14">
      <c r="B5143" s="285" t="s">
        <v>257</v>
      </c>
      <c r="C5143" s="1120" t="s">
        <v>258</v>
      </c>
      <c r="D5143" s="1121"/>
      <c r="E5143" s="1121"/>
      <c r="F5143" s="1121"/>
      <c r="G5143" s="1121"/>
      <c r="H5143" s="1121"/>
      <c r="I5143" s="1121"/>
      <c r="J5143" s="1121"/>
      <c r="K5143" s="1122"/>
      <c r="L5143" s="1123" t="s">
        <v>259</v>
      </c>
      <c r="M5143" s="1124"/>
      <c r="N5143" s="285" t="s">
        <v>133</v>
      </c>
    </row>
    <row r="5144" spans="2:14" ht="30" customHeight="1" thickBot="1">
      <c r="B5144" s="286">
        <v>58</v>
      </c>
      <c r="C5144" s="1125" t="s">
        <v>201</v>
      </c>
      <c r="D5144" s="1126"/>
      <c r="E5144" s="1126"/>
      <c r="F5144" s="1126"/>
      <c r="G5144" s="1126"/>
      <c r="H5144" s="1126"/>
      <c r="I5144" s="1126"/>
      <c r="J5144" s="1126"/>
      <c r="K5144" s="1127"/>
      <c r="L5144" s="1128" t="s">
        <v>147</v>
      </c>
      <c r="M5144" s="1129"/>
      <c r="N5144" s="366">
        <v>10</v>
      </c>
    </row>
    <row r="5145" spans="2:14">
      <c r="B5145" s="1103" t="s">
        <v>260</v>
      </c>
      <c r="C5145" s="1104"/>
      <c r="D5145" s="1104"/>
      <c r="E5145" s="1104"/>
      <c r="F5145" s="1104"/>
      <c r="G5145" s="1104"/>
      <c r="H5145" s="1104"/>
      <c r="I5145" s="1104"/>
      <c r="J5145" s="1104"/>
      <c r="K5145" s="1104"/>
      <c r="L5145" s="1104"/>
      <c r="M5145" s="1104"/>
      <c r="N5145" s="1105"/>
    </row>
    <row r="5146" spans="2:14">
      <c r="B5146" s="1106"/>
      <c r="C5146" s="1107"/>
      <c r="D5146" s="1107"/>
      <c r="E5146" s="1107"/>
      <c r="F5146" s="1107"/>
      <c r="G5146" s="1107"/>
      <c r="H5146" s="1107"/>
      <c r="I5146" s="1107"/>
      <c r="J5146" s="1107"/>
      <c r="K5146" s="1107"/>
      <c r="L5146" s="1107"/>
      <c r="M5146" s="1107"/>
      <c r="N5146" s="1108"/>
    </row>
    <row r="5147" spans="2:14" ht="13.5" thickBot="1">
      <c r="B5147" s="1109"/>
      <c r="C5147" s="1110"/>
      <c r="D5147" s="1110"/>
      <c r="E5147" s="1110"/>
      <c r="F5147" s="1110"/>
      <c r="G5147" s="1110"/>
      <c r="H5147" s="1110"/>
      <c r="I5147" s="1110"/>
      <c r="J5147" s="1110"/>
      <c r="K5147" s="1110"/>
      <c r="L5147" s="1110"/>
      <c r="M5147" s="1110"/>
      <c r="N5147" s="1111"/>
    </row>
    <row r="5148" spans="2:14">
      <c r="B5148" s="1130" t="s">
        <v>258</v>
      </c>
      <c r="C5148" s="1131"/>
      <c r="D5148" s="1131"/>
      <c r="E5148" s="1131"/>
      <c r="F5148" s="1132"/>
      <c r="G5148" s="1133" t="s">
        <v>261</v>
      </c>
      <c r="H5148" s="1131"/>
      <c r="I5148" s="1134" t="s">
        <v>262</v>
      </c>
      <c r="J5148" s="1135"/>
      <c r="K5148" s="288" t="s">
        <v>263</v>
      </c>
      <c r="L5148" s="1133" t="s">
        <v>264</v>
      </c>
      <c r="M5148" s="1136"/>
      <c r="N5148" s="289" t="s">
        <v>265</v>
      </c>
    </row>
    <row r="5149" spans="2:14" ht="13.5" thickBot="1">
      <c r="B5149" s="1179" t="s">
        <v>340</v>
      </c>
      <c r="C5149" s="1180"/>
      <c r="D5149" s="1180"/>
      <c r="E5149" s="1180"/>
      <c r="F5149" s="1181"/>
      <c r="G5149" s="295"/>
      <c r="H5149" s="294"/>
      <c r="I5149" s="1182" t="s">
        <v>267</v>
      </c>
      <c r="J5149" s="1183"/>
      <c r="K5149" s="290">
        <v>45220</v>
      </c>
      <c r="L5149" s="1118">
        <v>5</v>
      </c>
      <c r="M5149" s="1119"/>
      <c r="N5149" s="290">
        <f>+K5149/L5149</f>
        <v>9044</v>
      </c>
    </row>
    <row r="5150" spans="2:14" ht="13.5" thickBot="1">
      <c r="B5150" s="1100" t="s">
        <v>269</v>
      </c>
      <c r="C5150" s="1101"/>
      <c r="D5150" s="1101"/>
      <c r="E5150" s="1101"/>
      <c r="F5150" s="1101"/>
      <c r="G5150" s="1101"/>
      <c r="H5150" s="1101"/>
      <c r="I5150" s="1101"/>
      <c r="J5150" s="1101"/>
      <c r="K5150" s="1101"/>
      <c r="L5150" s="1101"/>
      <c r="M5150" s="1102"/>
      <c r="N5150" s="323">
        <f>+N5149</f>
        <v>9044</v>
      </c>
    </row>
    <row r="5151" spans="2:14">
      <c r="B5151" s="1103" t="s">
        <v>270</v>
      </c>
      <c r="C5151" s="1104"/>
      <c r="D5151" s="1104"/>
      <c r="E5151" s="1104"/>
      <c r="F5151" s="1104"/>
      <c r="G5151" s="1104"/>
      <c r="H5151" s="1104"/>
      <c r="I5151" s="1104"/>
      <c r="J5151" s="1104"/>
      <c r="K5151" s="1104"/>
      <c r="L5151" s="1104"/>
      <c r="M5151" s="1104"/>
      <c r="N5151" s="1105"/>
    </row>
    <row r="5152" spans="2:14">
      <c r="B5152" s="1106"/>
      <c r="C5152" s="1107"/>
      <c r="D5152" s="1107"/>
      <c r="E5152" s="1107"/>
      <c r="F5152" s="1107"/>
      <c r="G5152" s="1107"/>
      <c r="H5152" s="1107"/>
      <c r="I5152" s="1107"/>
      <c r="J5152" s="1107"/>
      <c r="K5152" s="1107"/>
      <c r="L5152" s="1107"/>
      <c r="M5152" s="1107"/>
      <c r="N5152" s="1108"/>
    </row>
    <row r="5153" spans="2:14" ht="13.5" thickBot="1">
      <c r="B5153" s="1109"/>
      <c r="C5153" s="1110"/>
      <c r="D5153" s="1110"/>
      <c r="E5153" s="1110"/>
      <c r="F5153" s="1110"/>
      <c r="G5153" s="1110"/>
      <c r="H5153" s="1110"/>
      <c r="I5153" s="1110"/>
      <c r="J5153" s="1110"/>
      <c r="K5153" s="1110"/>
      <c r="L5153" s="1110"/>
      <c r="M5153" s="1110"/>
      <c r="N5153" s="1111"/>
    </row>
    <row r="5154" spans="2:14">
      <c r="B5154" s="1130" t="s">
        <v>258</v>
      </c>
      <c r="C5154" s="1139"/>
      <c r="D5154" s="1139"/>
      <c r="E5154" s="1139"/>
      <c r="F5154" s="1139"/>
      <c r="G5154" s="1139"/>
      <c r="H5154" s="1139"/>
      <c r="I5154" s="1136"/>
      <c r="J5154" s="299" t="s">
        <v>259</v>
      </c>
      <c r="K5154" s="288" t="s">
        <v>133</v>
      </c>
      <c r="L5154" s="1133" t="s">
        <v>271</v>
      </c>
      <c r="M5154" s="1136"/>
      <c r="N5154" s="289" t="s">
        <v>265</v>
      </c>
    </row>
    <row r="5155" spans="2:14">
      <c r="B5155" s="402" t="s">
        <v>348</v>
      </c>
      <c r="C5155" s="353"/>
      <c r="D5155" s="353"/>
      <c r="E5155" s="353"/>
      <c r="F5155" s="353"/>
      <c r="G5155" s="353"/>
      <c r="H5155" s="353"/>
      <c r="I5155" s="403"/>
      <c r="J5155" s="303" t="s">
        <v>147</v>
      </c>
      <c r="K5155" s="392">
        <v>1.05</v>
      </c>
      <c r="L5155" s="1144">
        <v>369520</v>
      </c>
      <c r="M5155" s="1145"/>
      <c r="N5155" s="363">
        <f>+K5155*L5155</f>
        <v>387996</v>
      </c>
    </row>
    <row r="5156" spans="2:14">
      <c r="B5156" s="402" t="s">
        <v>332</v>
      </c>
      <c r="C5156" s="353"/>
      <c r="D5156" s="353"/>
      <c r="E5156" s="353"/>
      <c r="F5156" s="353"/>
      <c r="G5156" s="353"/>
      <c r="H5156" s="353"/>
      <c r="I5156" s="403"/>
      <c r="J5156" s="303" t="s">
        <v>196</v>
      </c>
      <c r="K5156" s="392">
        <v>5</v>
      </c>
      <c r="L5156" s="1144">
        <v>10710</v>
      </c>
      <c r="M5156" s="1145"/>
      <c r="N5156" s="363">
        <f>+K5156*L5156</f>
        <v>53550</v>
      </c>
    </row>
    <row r="5157" spans="2:14">
      <c r="B5157" s="402" t="s">
        <v>352</v>
      </c>
      <c r="C5157" s="353"/>
      <c r="D5157" s="353"/>
      <c r="E5157" s="353"/>
      <c r="F5157" s="353"/>
      <c r="G5157" s="353"/>
      <c r="H5157" s="353"/>
      <c r="I5157" s="403"/>
      <c r="J5157" s="303" t="s">
        <v>196</v>
      </c>
      <c r="K5157" s="392">
        <v>0.5</v>
      </c>
      <c r="L5157" s="1144">
        <v>21420</v>
      </c>
      <c r="M5157" s="1145"/>
      <c r="N5157" s="363">
        <f>+K5157*L5157</f>
        <v>10710</v>
      </c>
    </row>
    <row r="5158" spans="2:14" ht="13.5" thickBot="1">
      <c r="B5158" s="402" t="s">
        <v>311</v>
      </c>
      <c r="C5158" s="353"/>
      <c r="D5158" s="353"/>
      <c r="E5158" s="353"/>
      <c r="F5158" s="353"/>
      <c r="G5158" s="353"/>
      <c r="H5158" s="353"/>
      <c r="I5158" s="403"/>
      <c r="J5158" s="303" t="s">
        <v>275</v>
      </c>
      <c r="K5158" s="392">
        <v>1</v>
      </c>
      <c r="L5158" s="1144">
        <v>2540</v>
      </c>
      <c r="M5158" s="1145">
        <v>33272</v>
      </c>
      <c r="N5158" s="363">
        <f>+K5158*L5158</f>
        <v>2540</v>
      </c>
    </row>
    <row r="5159" spans="2:14" ht="13.5" thickBot="1">
      <c r="B5159" s="1100" t="s">
        <v>269</v>
      </c>
      <c r="C5159" s="1101"/>
      <c r="D5159" s="1101"/>
      <c r="E5159" s="1101"/>
      <c r="F5159" s="1101"/>
      <c r="G5159" s="1101"/>
      <c r="H5159" s="1101"/>
      <c r="I5159" s="1101"/>
      <c r="J5159" s="1101"/>
      <c r="K5159" s="1101"/>
      <c r="L5159" s="1101"/>
      <c r="M5159" s="1102"/>
      <c r="N5159" s="323">
        <f>+N5155+N5156+N5157+N5158</f>
        <v>454796</v>
      </c>
    </row>
    <row r="5160" spans="2:14">
      <c r="B5160" s="1103" t="s">
        <v>367</v>
      </c>
      <c r="C5160" s="1104"/>
      <c r="D5160" s="1104"/>
      <c r="E5160" s="1104"/>
      <c r="F5160" s="1104"/>
      <c r="G5160" s="1104"/>
      <c r="H5160" s="1104"/>
      <c r="I5160" s="1104"/>
      <c r="J5160" s="1104"/>
      <c r="K5160" s="1104"/>
      <c r="L5160" s="1104"/>
      <c r="M5160" s="1104"/>
      <c r="N5160" s="1105"/>
    </row>
    <row r="5161" spans="2:14">
      <c r="B5161" s="1106"/>
      <c r="C5161" s="1107"/>
      <c r="D5161" s="1107"/>
      <c r="E5161" s="1107"/>
      <c r="F5161" s="1107"/>
      <c r="G5161" s="1107"/>
      <c r="H5161" s="1107"/>
      <c r="I5161" s="1107"/>
      <c r="J5161" s="1107"/>
      <c r="K5161" s="1107"/>
      <c r="L5161" s="1107"/>
      <c r="M5161" s="1107"/>
      <c r="N5161" s="1108"/>
    </row>
    <row r="5162" spans="2:14" ht="13.5" thickBot="1">
      <c r="B5162" s="1109"/>
      <c r="C5162" s="1110"/>
      <c r="D5162" s="1110"/>
      <c r="E5162" s="1110"/>
      <c r="F5162" s="1110"/>
      <c r="G5162" s="1110"/>
      <c r="H5162" s="1110"/>
      <c r="I5162" s="1110"/>
      <c r="J5162" s="1110"/>
      <c r="K5162" s="1110"/>
      <c r="L5162" s="1110"/>
      <c r="M5162" s="1110"/>
      <c r="N5162" s="1111"/>
    </row>
    <row r="5163" spans="2:14">
      <c r="B5163" s="1130" t="s">
        <v>277</v>
      </c>
      <c r="C5163" s="1139"/>
      <c r="D5163" s="1139"/>
      <c r="E5163" s="1139"/>
      <c r="F5163" s="1139"/>
      <c r="G5163" s="1139"/>
      <c r="H5163" s="1139"/>
      <c r="I5163" s="288" t="s">
        <v>278</v>
      </c>
      <c r="J5163" s="306" t="s">
        <v>279</v>
      </c>
      <c r="K5163" s="307" t="s">
        <v>280</v>
      </c>
      <c r="L5163" s="1133" t="s">
        <v>281</v>
      </c>
      <c r="M5163" s="1136"/>
      <c r="N5163" s="289" t="s">
        <v>265</v>
      </c>
    </row>
    <row r="5164" spans="2:14" ht="13.5" thickBot="1">
      <c r="B5164" s="1112"/>
      <c r="C5164" s="1113"/>
      <c r="D5164" s="1113"/>
      <c r="E5164" s="1113"/>
      <c r="F5164" s="1113"/>
      <c r="G5164" s="1113"/>
      <c r="H5164" s="1113"/>
      <c r="I5164" s="393"/>
      <c r="J5164" s="309"/>
      <c r="K5164" s="308"/>
      <c r="L5164" s="1144"/>
      <c r="M5164" s="1145"/>
      <c r="N5164" s="363"/>
    </row>
    <row r="5165" spans="2:14" ht="13.5" thickBot="1">
      <c r="B5165" s="1100" t="s">
        <v>269</v>
      </c>
      <c r="C5165" s="1101"/>
      <c r="D5165" s="1101"/>
      <c r="E5165" s="1101"/>
      <c r="F5165" s="1101"/>
      <c r="G5165" s="1101"/>
      <c r="H5165" s="1101"/>
      <c r="I5165" s="1101"/>
      <c r="J5165" s="1101"/>
      <c r="K5165" s="1101"/>
      <c r="L5165" s="1101"/>
      <c r="M5165" s="1102"/>
      <c r="N5165" s="323">
        <f>+N5164</f>
        <v>0</v>
      </c>
    </row>
    <row r="5166" spans="2:14">
      <c r="B5166" s="1103" t="s">
        <v>282</v>
      </c>
      <c r="C5166" s="1104"/>
      <c r="D5166" s="1104"/>
      <c r="E5166" s="1104"/>
      <c r="F5166" s="1104"/>
      <c r="G5166" s="1104"/>
      <c r="H5166" s="1104"/>
      <c r="I5166" s="1104"/>
      <c r="J5166" s="1104"/>
      <c r="K5166" s="1104"/>
      <c r="L5166" s="1104"/>
      <c r="M5166" s="1104"/>
      <c r="N5166" s="1105"/>
    </row>
    <row r="5167" spans="2:14">
      <c r="B5167" s="1106"/>
      <c r="C5167" s="1107"/>
      <c r="D5167" s="1107"/>
      <c r="E5167" s="1107"/>
      <c r="F5167" s="1107"/>
      <c r="G5167" s="1107"/>
      <c r="H5167" s="1107"/>
      <c r="I5167" s="1107"/>
      <c r="J5167" s="1107"/>
      <c r="K5167" s="1107"/>
      <c r="L5167" s="1107"/>
      <c r="M5167" s="1107"/>
      <c r="N5167" s="1108"/>
    </row>
    <row r="5168" spans="2:14" ht="13.5" thickBot="1">
      <c r="B5168" s="1109"/>
      <c r="C5168" s="1110"/>
      <c r="D5168" s="1110"/>
      <c r="E5168" s="1110"/>
      <c r="F5168" s="1110"/>
      <c r="G5168" s="1110"/>
      <c r="H5168" s="1110"/>
      <c r="I5168" s="1110"/>
      <c r="J5168" s="1110"/>
      <c r="K5168" s="1110"/>
      <c r="L5168" s="1110"/>
      <c r="M5168" s="1110"/>
      <c r="N5168" s="1111"/>
    </row>
    <row r="5169" spans="2:17">
      <c r="B5169" s="1130" t="s">
        <v>283</v>
      </c>
      <c r="C5169" s="1139"/>
      <c r="D5169" s="1139"/>
      <c r="E5169" s="1139"/>
      <c r="F5169" s="1139"/>
      <c r="G5169" s="1139"/>
      <c r="H5169" s="1139"/>
      <c r="I5169" s="288" t="s">
        <v>284</v>
      </c>
      <c r="J5169" s="314" t="s">
        <v>285</v>
      </c>
      <c r="K5169" s="315" t="s">
        <v>286</v>
      </c>
      <c r="L5169" s="1140" t="s">
        <v>264</v>
      </c>
      <c r="M5169" s="1141"/>
      <c r="N5169" s="316" t="s">
        <v>265</v>
      </c>
    </row>
    <row r="5170" spans="2:17" ht="13.5" thickBot="1">
      <c r="B5170" s="317" t="s">
        <v>322</v>
      </c>
      <c r="C5170" s="318"/>
      <c r="D5170" s="318"/>
      <c r="E5170" s="318"/>
      <c r="F5170" s="318"/>
      <c r="G5170" s="318"/>
      <c r="H5170" s="318"/>
      <c r="I5170" s="319">
        <v>153482</v>
      </c>
      <c r="J5170" s="321">
        <v>0</v>
      </c>
      <c r="K5170" s="321">
        <f>+I5170+J5170</f>
        <v>153482</v>
      </c>
      <c r="L5170" s="1157">
        <v>1.3</v>
      </c>
      <c r="M5170" s="1158"/>
      <c r="N5170" s="322">
        <f>+K5170/L5170</f>
        <v>118063.07692307692</v>
      </c>
    </row>
    <row r="5171" spans="2:17" ht="13.5" thickBot="1">
      <c r="B5171" s="1100" t="s">
        <v>269</v>
      </c>
      <c r="C5171" s="1101"/>
      <c r="D5171" s="1101"/>
      <c r="E5171" s="1101"/>
      <c r="F5171" s="1101"/>
      <c r="G5171" s="1101"/>
      <c r="H5171" s="1101"/>
      <c r="I5171" s="1101"/>
      <c r="J5171" s="1101"/>
      <c r="K5171" s="1101"/>
      <c r="L5171" s="1101"/>
      <c r="M5171" s="1102"/>
      <c r="N5171" s="322">
        <f>+N5170</f>
        <v>118063.07692307692</v>
      </c>
    </row>
    <row r="5172" spans="2:17" ht="13.5" thickBot="1">
      <c r="B5172" s="324" t="s">
        <v>288</v>
      </c>
      <c r="C5172" s="325"/>
      <c r="D5172" s="325"/>
      <c r="E5172" s="325"/>
      <c r="F5172" s="325"/>
      <c r="G5172" s="325"/>
      <c r="H5172" s="325"/>
      <c r="I5172" s="326"/>
      <c r="J5172" s="327"/>
      <c r="K5172" s="328"/>
      <c r="L5172" s="329"/>
      <c r="M5172" s="329"/>
      <c r="N5172" s="330"/>
    </row>
    <row r="5173" spans="2:17">
      <c r="B5173" s="1130" t="s">
        <v>17</v>
      </c>
      <c r="C5173" s="1139"/>
      <c r="D5173" s="1139"/>
      <c r="E5173" s="1139"/>
      <c r="F5173" s="1139"/>
      <c r="G5173" s="1139"/>
      <c r="H5173" s="1139"/>
      <c r="I5173" s="1136"/>
      <c r="J5173" s="299" t="s">
        <v>259</v>
      </c>
      <c r="K5173" s="288" t="s">
        <v>133</v>
      </c>
      <c r="L5173" s="1133" t="s">
        <v>271</v>
      </c>
      <c r="M5173" s="1136"/>
      <c r="N5173" s="316" t="s">
        <v>265</v>
      </c>
    </row>
    <row r="5174" spans="2:17" ht="13.5" thickBot="1">
      <c r="B5174" s="331" t="s">
        <v>289</v>
      </c>
      <c r="C5174" s="332"/>
      <c r="D5174" s="332"/>
      <c r="E5174" s="332"/>
      <c r="F5174" s="332"/>
      <c r="G5174" s="332"/>
      <c r="H5174" s="332"/>
      <c r="I5174" s="333"/>
      <c r="J5174" s="334" t="s">
        <v>290</v>
      </c>
      <c r="K5174" s="335">
        <v>0.05</v>
      </c>
      <c r="L5174" s="1144">
        <f>+N5171</f>
        <v>118063.07692307692</v>
      </c>
      <c r="M5174" s="1145"/>
      <c r="N5174" s="322">
        <f>+K5174*L5174</f>
        <v>5903.1538461538466</v>
      </c>
    </row>
    <row r="5175" spans="2:17" ht="13.5" thickBot="1">
      <c r="B5175" s="1100" t="s">
        <v>269</v>
      </c>
      <c r="C5175" s="1101"/>
      <c r="D5175" s="1101"/>
      <c r="E5175" s="1101"/>
      <c r="F5175" s="1101"/>
      <c r="G5175" s="1101"/>
      <c r="H5175" s="1101"/>
      <c r="I5175" s="1101"/>
      <c r="J5175" s="1101"/>
      <c r="K5175" s="1101"/>
      <c r="L5175" s="1101"/>
      <c r="M5175" s="1102"/>
      <c r="N5175" s="322">
        <f>+N5174</f>
        <v>5903.1538461538466</v>
      </c>
      <c r="P5175" s="408">
        <v>5878060</v>
      </c>
    </row>
    <row r="5176" spans="2:17" ht="13.5" thickBot="1">
      <c r="B5176" s="1100"/>
      <c r="C5176" s="1101"/>
      <c r="D5176" s="1101"/>
      <c r="E5176" s="1101"/>
      <c r="F5176" s="1101"/>
      <c r="G5176" s="1101"/>
      <c r="H5176" s="1101"/>
      <c r="I5176" s="1101"/>
      <c r="J5176" s="1101"/>
      <c r="K5176" s="1101"/>
      <c r="L5176" s="1101"/>
      <c r="M5176" s="1102"/>
      <c r="N5176" s="322"/>
    </row>
    <row r="5177" spans="2:17" ht="13.5" thickBot="1">
      <c r="B5177" s="1150" t="s">
        <v>291</v>
      </c>
      <c r="C5177" s="1151"/>
      <c r="D5177" s="1151"/>
      <c r="E5177" s="1151"/>
      <c r="F5177" s="1151"/>
      <c r="G5177" s="1151"/>
      <c r="H5177" s="1151"/>
      <c r="I5177" s="1151"/>
      <c r="J5177" s="1151"/>
      <c r="K5177" s="1151"/>
      <c r="L5177" s="1151"/>
      <c r="M5177" s="1152"/>
      <c r="N5177" s="336">
        <f>+N5150+N5159+N5165+N5171+N5175</f>
        <v>587806.23076923075</v>
      </c>
      <c r="P5177" s="409">
        <f>+N5177*N5144</f>
        <v>5878062.307692308</v>
      </c>
      <c r="Q5177" s="413">
        <f>+P5177-P5175</f>
        <v>2.3076923079788685</v>
      </c>
    </row>
    <row r="5178" spans="2:17">
      <c r="B5178" s="1103" t="s">
        <v>292</v>
      </c>
      <c r="C5178" s="1104"/>
      <c r="D5178" s="1104"/>
      <c r="E5178" s="1104"/>
      <c r="F5178" s="1104"/>
      <c r="G5178" s="1104"/>
      <c r="H5178" s="1104"/>
      <c r="I5178" s="1104"/>
      <c r="J5178" s="1104"/>
      <c r="K5178" s="1104"/>
      <c r="L5178" s="1104"/>
      <c r="M5178" s="1104"/>
      <c r="N5178" s="1105"/>
    </row>
    <row r="5179" spans="2:17">
      <c r="B5179" s="1106"/>
      <c r="C5179" s="1107"/>
      <c r="D5179" s="1107"/>
      <c r="E5179" s="1107"/>
      <c r="F5179" s="1107"/>
      <c r="G5179" s="1107"/>
      <c r="H5179" s="1107"/>
      <c r="I5179" s="1107"/>
      <c r="J5179" s="1107"/>
      <c r="K5179" s="1107"/>
      <c r="L5179" s="1107"/>
      <c r="M5179" s="1107"/>
      <c r="N5179" s="1108"/>
    </row>
    <row r="5180" spans="2:17" ht="13.5" thickBot="1">
      <c r="B5180" s="1109"/>
      <c r="C5180" s="1110"/>
      <c r="D5180" s="1110"/>
      <c r="E5180" s="1110"/>
      <c r="F5180" s="1110"/>
      <c r="G5180" s="1110"/>
      <c r="H5180" s="1110"/>
      <c r="I5180" s="1110"/>
      <c r="J5180" s="1110"/>
      <c r="K5180" s="1110"/>
      <c r="L5180" s="1110"/>
      <c r="M5180" s="1110"/>
      <c r="N5180" s="1111"/>
    </row>
    <row r="5181" spans="2:17">
      <c r="B5181" s="1130" t="s">
        <v>17</v>
      </c>
      <c r="C5181" s="1139"/>
      <c r="D5181" s="1139"/>
      <c r="E5181" s="1139"/>
      <c r="F5181" s="1139"/>
      <c r="G5181" s="1139"/>
      <c r="H5181" s="1139"/>
      <c r="I5181" s="306"/>
      <c r="J5181" s="337"/>
      <c r="K5181" s="315" t="s">
        <v>79</v>
      </c>
      <c r="L5181" s="1140" t="s">
        <v>11</v>
      </c>
      <c r="M5181" s="1141"/>
      <c r="N5181" s="316"/>
    </row>
    <row r="5182" spans="2:17">
      <c r="B5182" s="1112" t="s">
        <v>232</v>
      </c>
      <c r="C5182" s="1113"/>
      <c r="D5182" s="1113"/>
      <c r="E5182" s="1113"/>
      <c r="F5182" s="1113"/>
      <c r="G5182" s="1113"/>
      <c r="H5182" s="1113"/>
      <c r="I5182" s="338"/>
      <c r="J5182" s="339"/>
      <c r="K5182" s="340">
        <f>'PRESUPUESTO OFICIAL'!$K$100</f>
        <v>0</v>
      </c>
      <c r="L5182" s="1146">
        <f>K5182*N5177</f>
        <v>0</v>
      </c>
      <c r="M5182" s="1147"/>
      <c r="N5182" s="341"/>
    </row>
    <row r="5183" spans="2:17">
      <c r="B5183" s="292" t="s">
        <v>293</v>
      </c>
      <c r="C5183" s="293"/>
      <c r="D5183" s="293"/>
      <c r="E5183" s="293"/>
      <c r="F5183" s="293"/>
      <c r="G5183" s="293"/>
      <c r="H5183" s="293"/>
      <c r="I5183" s="338"/>
      <c r="J5183" s="339"/>
      <c r="K5183" s="340">
        <f>'PRESUPUESTO OFICIAL'!$K$101</f>
        <v>0</v>
      </c>
      <c r="L5183" s="1146">
        <f>K5183*N5177</f>
        <v>0</v>
      </c>
      <c r="M5183" s="1147"/>
      <c r="N5183" s="341"/>
    </row>
    <row r="5184" spans="2:17" ht="13.5" thickBot="1">
      <c r="B5184" s="277" t="s">
        <v>294</v>
      </c>
      <c r="C5184" s="278"/>
      <c r="D5184" s="278"/>
      <c r="E5184" s="278"/>
      <c r="F5184" s="278"/>
      <c r="G5184" s="278"/>
      <c r="H5184" s="278"/>
      <c r="I5184" s="342"/>
      <c r="J5184" s="343"/>
      <c r="K5184" s="340">
        <f>'PRESUPUESTO OFICIAL'!$K$102</f>
        <v>0</v>
      </c>
      <c r="L5184" s="1148">
        <f>K5184*N5177</f>
        <v>0</v>
      </c>
      <c r="M5184" s="1149"/>
      <c r="N5184" s="341"/>
    </row>
    <row r="5185" spans="2:14" ht="13.5" thickBot="1">
      <c r="B5185" s="1100" t="s">
        <v>269</v>
      </c>
      <c r="C5185" s="1101"/>
      <c r="D5185" s="1101"/>
      <c r="E5185" s="1101"/>
      <c r="F5185" s="1101"/>
      <c r="G5185" s="1101"/>
      <c r="H5185" s="1101"/>
      <c r="I5185" s="1101"/>
      <c r="J5185" s="1101"/>
      <c r="K5185" s="1101"/>
      <c r="L5185" s="1101"/>
      <c r="M5185" s="1102"/>
      <c r="N5185" s="344">
        <f>SUM(L5182:M5184)</f>
        <v>0</v>
      </c>
    </row>
    <row r="5186" spans="2:14" ht="13.5" thickBot="1">
      <c r="B5186" s="283"/>
      <c r="N5186" s="284"/>
    </row>
    <row r="5187" spans="2:14" ht="13.5" thickBot="1">
      <c r="B5187" s="1150" t="s">
        <v>295</v>
      </c>
      <c r="C5187" s="1151"/>
      <c r="D5187" s="1151"/>
      <c r="E5187" s="1151"/>
      <c r="F5187" s="1151"/>
      <c r="G5187" s="1151"/>
      <c r="H5187" s="1151"/>
      <c r="I5187" s="1151"/>
      <c r="J5187" s="1151"/>
      <c r="K5187" s="1151"/>
      <c r="L5187" s="1151"/>
      <c r="M5187" s="1152"/>
      <c r="N5187" s="345">
        <f>ROUND(N5177+N5185,0)</f>
        <v>587806</v>
      </c>
    </row>
    <row r="5188" spans="2:14">
      <c r="B5188" s="280"/>
      <c r="C5188" s="281"/>
      <c r="D5188" s="281"/>
      <c r="E5188" s="281"/>
      <c r="F5188" s="281"/>
      <c r="G5188" s="281"/>
      <c r="H5188" s="281"/>
      <c r="I5188" s="281"/>
      <c r="J5188" s="281"/>
      <c r="K5188" s="281"/>
      <c r="L5188" s="281"/>
      <c r="M5188" s="281"/>
      <c r="N5188" s="282"/>
    </row>
    <row r="5189" spans="2:14">
      <c r="B5189" s="283"/>
      <c r="N5189" s="284"/>
    </row>
    <row r="5190" spans="2:14">
      <c r="B5190" s="283"/>
      <c r="N5190" s="284"/>
    </row>
    <row r="5191" spans="2:14">
      <c r="B5191" s="283"/>
      <c r="G5191" s="346" t="s">
        <v>296</v>
      </c>
      <c r="H5191" s="346"/>
      <c r="I5191" s="346"/>
      <c r="J5191" s="346"/>
      <c r="N5191" s="284"/>
    </row>
    <row r="5192" spans="2:14">
      <c r="B5192" s="347"/>
      <c r="C5192" s="348"/>
      <c r="D5192" s="348"/>
      <c r="E5192" s="348"/>
      <c r="F5192" s="348"/>
      <c r="G5192" s="346" t="s">
        <v>297</v>
      </c>
      <c r="H5192" s="348"/>
      <c r="I5192" s="348"/>
      <c r="J5192" s="348"/>
      <c r="K5192" s="348"/>
      <c r="L5192" s="348"/>
      <c r="M5192" s="348"/>
      <c r="N5192" s="349"/>
    </row>
    <row r="5193" spans="2:14">
      <c r="B5193" s="347"/>
      <c r="C5193" s="348"/>
      <c r="D5193" s="348"/>
      <c r="E5193" s="348"/>
      <c r="F5193" s="348"/>
      <c r="G5193" s="346" t="s">
        <v>298</v>
      </c>
      <c r="J5193" s="348"/>
      <c r="K5193" s="348"/>
      <c r="L5193" s="348"/>
      <c r="M5193" s="348"/>
      <c r="N5193" s="349"/>
    </row>
    <row r="5194" spans="2:14">
      <c r="B5194" s="268"/>
      <c r="C5194" s="350"/>
      <c r="D5194" s="350"/>
      <c r="E5194" s="350"/>
      <c r="F5194" s="350"/>
      <c r="G5194" s="346" t="s">
        <v>299</v>
      </c>
      <c r="H5194" s="350"/>
      <c r="I5194" s="350"/>
      <c r="J5194" s="350"/>
      <c r="K5194" s="350"/>
      <c r="L5194" s="350"/>
      <c r="M5194" s="350"/>
      <c r="N5194" s="351"/>
    </row>
    <row r="5195" spans="2:14">
      <c r="B5195" s="283"/>
      <c r="G5195" s="258" t="s">
        <v>300</v>
      </c>
      <c r="N5195" s="284"/>
    </row>
    <row r="5196" spans="2:14">
      <c r="B5196" s="352" t="s">
        <v>301</v>
      </c>
      <c r="C5196" s="353"/>
      <c r="D5196" s="353"/>
      <c r="E5196" s="353"/>
      <c r="F5196" s="353"/>
      <c r="G5196" s="353"/>
      <c r="H5196" s="353"/>
      <c r="I5196" s="353"/>
      <c r="J5196" s="353"/>
      <c r="K5196" s="353"/>
      <c r="L5196" s="353"/>
      <c r="M5196" s="353"/>
      <c r="N5196" s="354"/>
    </row>
    <row r="5197" spans="2:14">
      <c r="B5197" s="1153"/>
      <c r="C5197" s="1154"/>
      <c r="D5197" s="1154"/>
      <c r="E5197" s="1154"/>
      <c r="F5197" s="1154"/>
      <c r="G5197" s="1154"/>
      <c r="H5197" s="1154"/>
      <c r="I5197" s="1154"/>
      <c r="J5197" s="1154"/>
      <c r="K5197" s="1154"/>
      <c r="L5197" s="1154"/>
      <c r="M5197" s="1154"/>
      <c r="N5197" s="1155"/>
    </row>
    <row r="5198" spans="2:14">
      <c r="B5198" s="1153"/>
      <c r="C5198" s="1154"/>
      <c r="D5198" s="1154"/>
      <c r="E5198" s="1154"/>
      <c r="F5198" s="1154"/>
      <c r="G5198" s="1154"/>
      <c r="H5198" s="1154"/>
      <c r="I5198" s="1154"/>
      <c r="J5198" s="1154"/>
      <c r="K5198" s="1154"/>
      <c r="L5198" s="1154"/>
      <c r="M5198" s="1154"/>
      <c r="N5198" s="1155"/>
    </row>
    <row r="5199" spans="2:14">
      <c r="B5199" s="268"/>
      <c r="C5199" s="350"/>
      <c r="D5199" s="350"/>
      <c r="E5199" s="350"/>
      <c r="F5199" s="350"/>
      <c r="G5199" s="350"/>
      <c r="H5199" s="350"/>
      <c r="I5199" s="350"/>
      <c r="J5199" s="350"/>
      <c r="K5199" s="350"/>
      <c r="L5199" s="350"/>
      <c r="M5199" s="350"/>
      <c r="N5199" s="351"/>
    </row>
    <row r="5200" spans="2:14">
      <c r="B5200" s="355" t="s">
        <v>302</v>
      </c>
      <c r="C5200" s="350"/>
      <c r="D5200" s="350"/>
      <c r="E5200" s="350"/>
      <c r="F5200" s="350"/>
      <c r="G5200" s="350"/>
      <c r="H5200" s="350"/>
      <c r="I5200" s="350"/>
      <c r="J5200" s="350"/>
      <c r="K5200" s="350"/>
      <c r="L5200" s="350"/>
      <c r="M5200" s="350"/>
      <c r="N5200" s="351"/>
    </row>
    <row r="5201" spans="2:14">
      <c r="B5201" s="1159" t="s">
        <v>303</v>
      </c>
      <c r="C5201" s="1160"/>
      <c r="D5201" s="1160"/>
      <c r="E5201" s="1160"/>
      <c r="F5201" s="1160"/>
      <c r="G5201" s="1160"/>
      <c r="H5201" s="1160"/>
      <c r="I5201" s="1160"/>
      <c r="J5201" s="1160"/>
      <c r="K5201" s="1160"/>
      <c r="L5201" s="1160"/>
      <c r="M5201" s="1160"/>
      <c r="N5201" s="1161"/>
    </row>
    <row r="5202" spans="2:14">
      <c r="B5202" s="1159"/>
      <c r="C5202" s="1160"/>
      <c r="D5202" s="1160"/>
      <c r="E5202" s="1160"/>
      <c r="F5202" s="1160"/>
      <c r="G5202" s="1160"/>
      <c r="H5202" s="1160"/>
      <c r="I5202" s="1160"/>
      <c r="J5202" s="1160"/>
      <c r="K5202" s="1160"/>
      <c r="L5202" s="1160"/>
      <c r="M5202" s="1160"/>
      <c r="N5202" s="1161"/>
    </row>
    <row r="5203" spans="2:14">
      <c r="B5203" s="1159" t="s">
        <v>304</v>
      </c>
      <c r="C5203" s="1160"/>
      <c r="D5203" s="1160"/>
      <c r="E5203" s="1160"/>
      <c r="F5203" s="1160"/>
      <c r="G5203" s="1160"/>
      <c r="H5203" s="1160"/>
      <c r="I5203" s="1160"/>
      <c r="J5203" s="1160"/>
      <c r="K5203" s="1160"/>
      <c r="L5203" s="1160"/>
      <c r="M5203" s="1160"/>
      <c r="N5203" s="1161"/>
    </row>
    <row r="5204" spans="2:14">
      <c r="B5204" s="1159"/>
      <c r="C5204" s="1160"/>
      <c r="D5204" s="1160"/>
      <c r="E5204" s="1160"/>
      <c r="F5204" s="1160"/>
      <c r="G5204" s="1160"/>
      <c r="H5204" s="1160"/>
      <c r="I5204" s="1160"/>
      <c r="J5204" s="1160"/>
      <c r="K5204" s="1160"/>
      <c r="L5204" s="1160"/>
      <c r="M5204" s="1160"/>
      <c r="N5204" s="1161"/>
    </row>
    <row r="5205" spans="2:14">
      <c r="B5205" s="268"/>
      <c r="C5205" s="350"/>
      <c r="D5205" s="350"/>
      <c r="E5205" s="350"/>
      <c r="F5205" s="350"/>
      <c r="G5205" s="350"/>
      <c r="H5205" s="350"/>
      <c r="I5205" s="350"/>
      <c r="J5205" s="350"/>
      <c r="K5205" s="350"/>
      <c r="L5205" s="350"/>
      <c r="M5205" s="350"/>
      <c r="N5205" s="351"/>
    </row>
    <row r="5206" spans="2:14">
      <c r="B5206" s="283"/>
      <c r="G5206" s="346" t="s">
        <v>296</v>
      </c>
      <c r="N5206" s="284"/>
    </row>
    <row r="5207" spans="2:14">
      <c r="B5207" s="283"/>
      <c r="G5207" s="258" t="s">
        <v>305</v>
      </c>
      <c r="H5207" s="293"/>
      <c r="I5207" s="293"/>
      <c r="J5207" s="293"/>
      <c r="N5207" s="284"/>
    </row>
    <row r="5208" spans="2:14">
      <c r="B5208" s="283"/>
      <c r="G5208" s="258" t="s">
        <v>306</v>
      </c>
      <c r="H5208" s="325"/>
      <c r="I5208" s="325"/>
      <c r="J5208" s="325"/>
      <c r="N5208" s="284"/>
    </row>
    <row r="5209" spans="2:14">
      <c r="B5209" s="356"/>
      <c r="C5209" s="350"/>
      <c r="D5209" s="350"/>
      <c r="E5209" s="350"/>
      <c r="F5209" s="350"/>
      <c r="G5209" s="258" t="s">
        <v>299</v>
      </c>
      <c r="K5209" s="350"/>
      <c r="L5209" s="350"/>
      <c r="M5209" s="350"/>
      <c r="N5209" s="351"/>
    </row>
    <row r="5210" spans="2:14">
      <c r="B5210" s="357"/>
      <c r="C5210" s="358"/>
      <c r="D5210" s="358"/>
      <c r="J5210" s="1162"/>
      <c r="K5210" s="1162"/>
      <c r="L5210" s="1162"/>
      <c r="M5210" s="1162"/>
      <c r="N5210" s="1163"/>
    </row>
    <row r="5211" spans="2:14" ht="13.5" thickBot="1">
      <c r="B5211" s="1166"/>
      <c r="C5211" s="1167"/>
      <c r="D5211" s="1167"/>
      <c r="E5211" s="311"/>
      <c r="F5211" s="311"/>
      <c r="G5211" s="311"/>
      <c r="H5211" s="311"/>
      <c r="I5211" s="311"/>
      <c r="J5211" s="1164"/>
      <c r="K5211" s="1164"/>
      <c r="L5211" s="1164"/>
      <c r="M5211" s="1164"/>
      <c r="N5211" s="1165"/>
    </row>
    <row r="5212" spans="2:14" ht="13.5" thickBot="1"/>
    <row r="5213" spans="2:14">
      <c r="B5213" s="1070"/>
      <c r="C5213" s="1072"/>
      <c r="D5213" s="1073"/>
      <c r="E5213" s="1073"/>
      <c r="F5213" s="1073"/>
      <c r="G5213" s="1073"/>
      <c r="H5213" s="1073"/>
      <c r="I5213" s="1073"/>
      <c r="J5213" s="1074"/>
      <c r="K5213" s="1075"/>
      <c r="L5213" s="1076"/>
      <c r="M5213" s="1076"/>
      <c r="N5213" s="1077"/>
    </row>
    <row r="5214" spans="2:14">
      <c r="B5214" s="1071"/>
      <c r="C5214" s="1062" t="s">
        <v>244</v>
      </c>
      <c r="D5214" s="1063"/>
      <c r="E5214" s="1063"/>
      <c r="F5214" s="1063"/>
      <c r="G5214" s="1063"/>
      <c r="H5214" s="1063"/>
      <c r="I5214" s="1063"/>
      <c r="J5214" s="1064"/>
      <c r="K5214" s="1078"/>
      <c r="L5214" s="1079"/>
      <c r="M5214" s="1079"/>
      <c r="N5214" s="1080"/>
    </row>
    <row r="5215" spans="2:14">
      <c r="B5215" s="1071"/>
      <c r="C5215" s="1081"/>
      <c r="D5215" s="1082"/>
      <c r="E5215" s="1082"/>
      <c r="F5215" s="1082"/>
      <c r="G5215" s="1082"/>
      <c r="H5215" s="1082"/>
      <c r="I5215" s="1082"/>
      <c r="J5215" s="1083"/>
      <c r="K5215" s="1058" t="s">
        <v>245</v>
      </c>
      <c r="L5215" s="1085"/>
      <c r="M5215" s="1086"/>
      <c r="N5215" s="1087"/>
    </row>
    <row r="5216" spans="2:14">
      <c r="B5216" s="1071"/>
      <c r="C5216" s="1062" t="s">
        <v>246</v>
      </c>
      <c r="D5216" s="1063"/>
      <c r="E5216" s="1063"/>
      <c r="F5216" s="1063"/>
      <c r="G5216" s="1063"/>
      <c r="H5216" s="1063"/>
      <c r="I5216" s="1063"/>
      <c r="J5216" s="1064"/>
      <c r="K5216" s="1084"/>
      <c r="L5216" s="1088"/>
      <c r="M5216" s="1089"/>
      <c r="N5216" s="1090"/>
    </row>
    <row r="5217" spans="2:14">
      <c r="B5217" s="1071"/>
      <c r="C5217" s="1091"/>
      <c r="D5217" s="1092"/>
      <c r="E5217" s="1092"/>
      <c r="F5217" s="1092"/>
      <c r="G5217" s="1092"/>
      <c r="H5217" s="1092"/>
      <c r="I5217" s="1092"/>
      <c r="J5217" s="1093"/>
      <c r="K5217" s="1058" t="s">
        <v>247</v>
      </c>
      <c r="L5217" s="1058">
        <v>59</v>
      </c>
      <c r="M5217" s="1058" t="s">
        <v>248</v>
      </c>
      <c r="N5217" s="1060">
        <v>80</v>
      </c>
    </row>
    <row r="5218" spans="2:14">
      <c r="B5218" s="1071"/>
      <c r="C5218" s="1091"/>
      <c r="D5218" s="1092"/>
      <c r="E5218" s="1092"/>
      <c r="F5218" s="1092"/>
      <c r="G5218" s="1092"/>
      <c r="H5218" s="1092"/>
      <c r="I5218" s="1092"/>
      <c r="J5218" s="1093"/>
      <c r="K5218" s="1059"/>
      <c r="L5218" s="1059"/>
      <c r="M5218" s="1059"/>
      <c r="N5218" s="1061"/>
    </row>
    <row r="5219" spans="2:14">
      <c r="B5219" s="1071"/>
      <c r="C5219" s="1062" t="s">
        <v>249</v>
      </c>
      <c r="D5219" s="1063"/>
      <c r="E5219" s="1063"/>
      <c r="F5219" s="1063"/>
      <c r="G5219" s="1063"/>
      <c r="H5219" s="1063"/>
      <c r="I5219" s="1063"/>
      <c r="J5219" s="1064"/>
      <c r="K5219" s="1059"/>
      <c r="L5219" s="1059"/>
      <c r="M5219" s="1059"/>
      <c r="N5219" s="1061"/>
    </row>
    <row r="5220" spans="2:14" ht="13.5" thickBot="1">
      <c r="B5220" s="259"/>
      <c r="C5220" s="260"/>
      <c r="D5220" s="260"/>
      <c r="E5220" s="260"/>
      <c r="F5220" s="260"/>
      <c r="G5220" s="260"/>
      <c r="H5220" s="260"/>
      <c r="I5220" s="260"/>
      <c r="J5220" s="260"/>
      <c r="K5220" s="260"/>
      <c r="L5220" s="261"/>
      <c r="M5220" s="261"/>
      <c r="N5220" s="262"/>
    </row>
    <row r="5221" spans="2:14">
      <c r="B5221" s="263"/>
      <c r="C5221" s="264"/>
      <c r="D5221" s="264"/>
      <c r="E5221" s="264"/>
      <c r="F5221" s="264"/>
      <c r="G5221" s="264"/>
      <c r="H5221" s="264"/>
      <c r="I5221" s="264"/>
      <c r="J5221" s="264"/>
      <c r="K5221" s="265" t="s">
        <v>250</v>
      </c>
      <c r="L5221" s="266" t="s">
        <v>251</v>
      </c>
      <c r="M5221" s="266" t="s">
        <v>252</v>
      </c>
      <c r="N5221" s="267" t="s">
        <v>253</v>
      </c>
    </row>
    <row r="5222" spans="2:14">
      <c r="B5222" s="268"/>
      <c r="C5222" s="269"/>
      <c r="D5222" s="269"/>
      <c r="E5222" s="269"/>
      <c r="F5222" s="269"/>
      <c r="G5222" s="269"/>
      <c r="H5222" s="269"/>
      <c r="I5222" s="269"/>
      <c r="J5222" s="269"/>
      <c r="K5222" s="270"/>
      <c r="L5222" s="271"/>
      <c r="M5222" s="271"/>
      <c r="N5222" s="272"/>
    </row>
    <row r="5223" spans="2:14">
      <c r="B5223" s="1065" t="s">
        <v>254</v>
      </c>
      <c r="C5223" s="1066"/>
      <c r="D5223" s="1066"/>
      <c r="E5223" s="1066"/>
      <c r="F5223" s="269"/>
      <c r="G5223" s="269"/>
      <c r="H5223" s="269" t="s">
        <v>255</v>
      </c>
      <c r="J5223" s="269"/>
      <c r="K5223" s="270"/>
      <c r="N5223" s="273"/>
    </row>
    <row r="5224" spans="2:14">
      <c r="B5224" s="274"/>
      <c r="C5224" s="275"/>
      <c r="D5224" s="275"/>
      <c r="E5224" s="275"/>
      <c r="F5224" s="275"/>
      <c r="G5224" s="275"/>
      <c r="H5224" s="275"/>
      <c r="I5224" s="275"/>
      <c r="J5224" s="275"/>
      <c r="K5224" s="275"/>
      <c r="L5224" s="275"/>
      <c r="M5224" s="275"/>
      <c r="N5224" s="276"/>
    </row>
    <row r="5225" spans="2:14" ht="13.5" thickBot="1">
      <c r="B5225" s="277"/>
      <c r="C5225" s="278"/>
      <c r="D5225" s="278"/>
      <c r="E5225" s="278"/>
      <c r="F5225" s="278"/>
      <c r="G5225" s="278"/>
      <c r="H5225" s="278"/>
      <c r="I5225" s="278"/>
      <c r="J5225" s="278"/>
      <c r="K5225" s="278"/>
      <c r="L5225" s="278"/>
      <c r="M5225" s="278"/>
      <c r="N5225" s="279"/>
    </row>
    <row r="5226" spans="2:14" ht="13.5" thickBot="1">
      <c r="B5226" s="280"/>
      <c r="C5226" s="281"/>
      <c r="D5226" s="281"/>
      <c r="E5226" s="281"/>
      <c r="F5226" s="281"/>
      <c r="G5226" s="281"/>
      <c r="J5226" s="281"/>
      <c r="K5226" s="281"/>
      <c r="L5226" s="281"/>
      <c r="M5226" s="281"/>
      <c r="N5226" s="282"/>
    </row>
    <row r="5227" spans="2:14">
      <c r="B5227" s="1067" t="s">
        <v>256</v>
      </c>
      <c r="C5227" s="1068"/>
      <c r="D5227" s="1068"/>
      <c r="E5227" s="1068"/>
      <c r="F5227" s="1068"/>
      <c r="G5227" s="1068"/>
      <c r="H5227" s="1068"/>
      <c r="I5227" s="1068"/>
      <c r="J5227" s="1068"/>
      <c r="K5227" s="1068"/>
      <c r="L5227" s="1068"/>
      <c r="M5227" s="1068"/>
      <c r="N5227" s="1069"/>
    </row>
    <row r="5228" spans="2:14" ht="13.5" thickBot="1">
      <c r="B5228" s="283"/>
      <c r="N5228" s="284"/>
    </row>
    <row r="5229" spans="2:14">
      <c r="B5229" s="285" t="s">
        <v>257</v>
      </c>
      <c r="C5229" s="1120" t="s">
        <v>258</v>
      </c>
      <c r="D5229" s="1121"/>
      <c r="E5229" s="1121"/>
      <c r="F5229" s="1121"/>
      <c r="G5229" s="1121"/>
      <c r="H5229" s="1121"/>
      <c r="I5229" s="1121"/>
      <c r="J5229" s="1121"/>
      <c r="K5229" s="1122"/>
      <c r="L5229" s="1123" t="s">
        <v>259</v>
      </c>
      <c r="M5229" s="1124"/>
      <c r="N5229" s="285" t="s">
        <v>133</v>
      </c>
    </row>
    <row r="5230" spans="2:14" ht="22.5" customHeight="1" thickBot="1">
      <c r="B5230" s="286">
        <v>59</v>
      </c>
      <c r="C5230" s="1125" t="s">
        <v>202</v>
      </c>
      <c r="D5230" s="1126"/>
      <c r="E5230" s="1126"/>
      <c r="F5230" s="1126"/>
      <c r="G5230" s="1126"/>
      <c r="H5230" s="1126"/>
      <c r="I5230" s="1126"/>
      <c r="J5230" s="1126"/>
      <c r="K5230" s="1127"/>
      <c r="L5230" s="1128" t="s">
        <v>141</v>
      </c>
      <c r="M5230" s="1129"/>
      <c r="N5230" s="366">
        <v>200</v>
      </c>
    </row>
    <row r="5231" spans="2:14">
      <c r="B5231" s="1103" t="s">
        <v>260</v>
      </c>
      <c r="C5231" s="1104"/>
      <c r="D5231" s="1104"/>
      <c r="E5231" s="1104"/>
      <c r="F5231" s="1104"/>
      <c r="G5231" s="1104"/>
      <c r="H5231" s="1104"/>
      <c r="I5231" s="1104"/>
      <c r="J5231" s="1104"/>
      <c r="K5231" s="1104"/>
      <c r="L5231" s="1104"/>
      <c r="M5231" s="1104"/>
      <c r="N5231" s="1105"/>
    </row>
    <row r="5232" spans="2:14">
      <c r="B5232" s="1106"/>
      <c r="C5232" s="1107"/>
      <c r="D5232" s="1107"/>
      <c r="E5232" s="1107"/>
      <c r="F5232" s="1107"/>
      <c r="G5232" s="1107"/>
      <c r="H5232" s="1107"/>
      <c r="I5232" s="1107"/>
      <c r="J5232" s="1107"/>
      <c r="K5232" s="1107"/>
      <c r="L5232" s="1107"/>
      <c r="M5232" s="1107"/>
      <c r="N5232" s="1108"/>
    </row>
    <row r="5233" spans="2:14" ht="13.5" thickBot="1">
      <c r="B5233" s="1109"/>
      <c r="C5233" s="1110"/>
      <c r="D5233" s="1110"/>
      <c r="E5233" s="1110"/>
      <c r="F5233" s="1110"/>
      <c r="G5233" s="1110"/>
      <c r="H5233" s="1110"/>
      <c r="I5233" s="1110"/>
      <c r="J5233" s="1110"/>
      <c r="K5233" s="1110"/>
      <c r="L5233" s="1110"/>
      <c r="M5233" s="1110"/>
      <c r="N5233" s="1111"/>
    </row>
    <row r="5234" spans="2:14">
      <c r="B5234" s="1130" t="s">
        <v>258</v>
      </c>
      <c r="C5234" s="1131"/>
      <c r="D5234" s="1131"/>
      <c r="E5234" s="1131"/>
      <c r="F5234" s="1132"/>
      <c r="G5234" s="1133" t="s">
        <v>261</v>
      </c>
      <c r="H5234" s="1131"/>
      <c r="I5234" s="1134" t="s">
        <v>262</v>
      </c>
      <c r="J5234" s="1135"/>
      <c r="K5234" s="288" t="s">
        <v>263</v>
      </c>
      <c r="L5234" s="1133" t="s">
        <v>264</v>
      </c>
      <c r="M5234" s="1136"/>
      <c r="N5234" s="289" t="s">
        <v>265</v>
      </c>
    </row>
    <row r="5235" spans="2:14" ht="13.5" thickBot="1">
      <c r="B5235" s="1179"/>
      <c r="C5235" s="1180"/>
      <c r="D5235" s="1180"/>
      <c r="E5235" s="1180"/>
      <c r="F5235" s="1181"/>
      <c r="G5235" s="295"/>
      <c r="H5235" s="294"/>
      <c r="I5235" s="1182"/>
      <c r="J5235" s="1183"/>
      <c r="K5235" s="290"/>
      <c r="L5235" s="1118"/>
      <c r="M5235" s="1119"/>
      <c r="N5235" s="290"/>
    </row>
    <row r="5236" spans="2:14" ht="13.5" thickBot="1">
      <c r="B5236" s="1100" t="s">
        <v>269</v>
      </c>
      <c r="C5236" s="1101"/>
      <c r="D5236" s="1101"/>
      <c r="E5236" s="1101"/>
      <c r="F5236" s="1101"/>
      <c r="G5236" s="1101"/>
      <c r="H5236" s="1101"/>
      <c r="I5236" s="1101"/>
      <c r="J5236" s="1101"/>
      <c r="K5236" s="1101"/>
      <c r="L5236" s="1101"/>
      <c r="M5236" s="1102"/>
      <c r="N5236" s="323">
        <f>+N5235</f>
        <v>0</v>
      </c>
    </row>
    <row r="5237" spans="2:14">
      <c r="B5237" s="1103" t="s">
        <v>270</v>
      </c>
      <c r="C5237" s="1104"/>
      <c r="D5237" s="1104"/>
      <c r="E5237" s="1104"/>
      <c r="F5237" s="1104"/>
      <c r="G5237" s="1104"/>
      <c r="H5237" s="1104"/>
      <c r="I5237" s="1104"/>
      <c r="J5237" s="1104"/>
      <c r="K5237" s="1104"/>
      <c r="L5237" s="1104"/>
      <c r="M5237" s="1104"/>
      <c r="N5237" s="1105"/>
    </row>
    <row r="5238" spans="2:14">
      <c r="B5238" s="1106"/>
      <c r="C5238" s="1107"/>
      <c r="D5238" s="1107"/>
      <c r="E5238" s="1107"/>
      <c r="F5238" s="1107"/>
      <c r="G5238" s="1107"/>
      <c r="H5238" s="1107"/>
      <c r="I5238" s="1107"/>
      <c r="J5238" s="1107"/>
      <c r="K5238" s="1107"/>
      <c r="L5238" s="1107"/>
      <c r="M5238" s="1107"/>
      <c r="N5238" s="1108"/>
    </row>
    <row r="5239" spans="2:14" ht="13.5" thickBot="1">
      <c r="B5239" s="1109"/>
      <c r="C5239" s="1110"/>
      <c r="D5239" s="1110"/>
      <c r="E5239" s="1110"/>
      <c r="F5239" s="1110"/>
      <c r="G5239" s="1110"/>
      <c r="H5239" s="1110"/>
      <c r="I5239" s="1110"/>
      <c r="J5239" s="1110"/>
      <c r="K5239" s="1110"/>
      <c r="L5239" s="1110"/>
      <c r="M5239" s="1110"/>
      <c r="N5239" s="1111"/>
    </row>
    <row r="5240" spans="2:14">
      <c r="B5240" s="1130" t="s">
        <v>258</v>
      </c>
      <c r="C5240" s="1139"/>
      <c r="D5240" s="1139"/>
      <c r="E5240" s="1139"/>
      <c r="F5240" s="1139"/>
      <c r="G5240" s="1139"/>
      <c r="H5240" s="1139"/>
      <c r="I5240" s="1136"/>
      <c r="J5240" s="299" t="s">
        <v>259</v>
      </c>
      <c r="K5240" s="288" t="s">
        <v>133</v>
      </c>
      <c r="L5240" s="1133" t="s">
        <v>271</v>
      </c>
      <c r="M5240" s="1136"/>
      <c r="N5240" s="289" t="s">
        <v>265</v>
      </c>
    </row>
    <row r="5241" spans="2:14">
      <c r="B5241" s="402" t="s">
        <v>334</v>
      </c>
      <c r="C5241" s="353"/>
      <c r="D5241" s="353"/>
      <c r="E5241" s="353"/>
      <c r="F5241" s="353"/>
      <c r="G5241" s="353"/>
      <c r="H5241" s="353"/>
      <c r="I5241" s="403"/>
      <c r="J5241" s="303" t="s">
        <v>147</v>
      </c>
      <c r="K5241" s="392">
        <v>6.5000000000000002E-2</v>
      </c>
      <c r="L5241" s="1144">
        <v>31083</v>
      </c>
      <c r="M5241" s="1145"/>
      <c r="N5241" s="363">
        <f>+K5241*L5241</f>
        <v>2020.395</v>
      </c>
    </row>
    <row r="5242" spans="2:14" ht="13.5" thickBot="1">
      <c r="B5242" s="402" t="s">
        <v>364</v>
      </c>
      <c r="C5242" s="353"/>
      <c r="D5242" s="353"/>
      <c r="E5242" s="353"/>
      <c r="F5242" s="353"/>
      <c r="G5242" s="353"/>
      <c r="H5242" s="353"/>
      <c r="I5242" s="403"/>
      <c r="J5242" s="303" t="s">
        <v>147</v>
      </c>
      <c r="K5242" s="392">
        <v>0.17249999999999999</v>
      </c>
      <c r="L5242" s="1144">
        <v>82007</v>
      </c>
      <c r="M5242" s="1145"/>
      <c r="N5242" s="363">
        <f>+K5242*L5242</f>
        <v>14146.207499999999</v>
      </c>
    </row>
    <row r="5243" spans="2:14" ht="13.5" thickBot="1">
      <c r="B5243" s="1100" t="s">
        <v>269</v>
      </c>
      <c r="C5243" s="1101"/>
      <c r="D5243" s="1101"/>
      <c r="E5243" s="1101"/>
      <c r="F5243" s="1101"/>
      <c r="G5243" s="1101"/>
      <c r="H5243" s="1101"/>
      <c r="I5243" s="1101"/>
      <c r="J5243" s="1101"/>
      <c r="K5243" s="1101"/>
      <c r="L5243" s="1101"/>
      <c r="M5243" s="1102"/>
      <c r="N5243" s="323">
        <f>+N5241+N5242</f>
        <v>16166.602499999999</v>
      </c>
    </row>
    <row r="5244" spans="2:14">
      <c r="B5244" s="1103" t="s">
        <v>367</v>
      </c>
      <c r="C5244" s="1104"/>
      <c r="D5244" s="1104"/>
      <c r="E5244" s="1104"/>
      <c r="F5244" s="1104"/>
      <c r="G5244" s="1104"/>
      <c r="H5244" s="1104"/>
      <c r="I5244" s="1104"/>
      <c r="J5244" s="1104"/>
      <c r="K5244" s="1104"/>
      <c r="L5244" s="1104"/>
      <c r="M5244" s="1104"/>
      <c r="N5244" s="1105"/>
    </row>
    <row r="5245" spans="2:14">
      <c r="B5245" s="1106"/>
      <c r="C5245" s="1107"/>
      <c r="D5245" s="1107"/>
      <c r="E5245" s="1107"/>
      <c r="F5245" s="1107"/>
      <c r="G5245" s="1107"/>
      <c r="H5245" s="1107"/>
      <c r="I5245" s="1107"/>
      <c r="J5245" s="1107"/>
      <c r="K5245" s="1107"/>
      <c r="L5245" s="1107"/>
      <c r="M5245" s="1107"/>
      <c r="N5245" s="1108"/>
    </row>
    <row r="5246" spans="2:14" ht="13.5" thickBot="1">
      <c r="B5246" s="1109"/>
      <c r="C5246" s="1110"/>
      <c r="D5246" s="1110"/>
      <c r="E5246" s="1110"/>
      <c r="F5246" s="1110"/>
      <c r="G5246" s="1110"/>
      <c r="H5246" s="1110"/>
      <c r="I5246" s="1110"/>
      <c r="J5246" s="1110"/>
      <c r="K5246" s="1110"/>
      <c r="L5246" s="1110"/>
      <c r="M5246" s="1110"/>
      <c r="N5246" s="1111"/>
    </row>
    <row r="5247" spans="2:14">
      <c r="B5247" s="1130" t="s">
        <v>277</v>
      </c>
      <c r="C5247" s="1139"/>
      <c r="D5247" s="1139"/>
      <c r="E5247" s="1139"/>
      <c r="F5247" s="1139"/>
      <c r="G5247" s="1139"/>
      <c r="H5247" s="1139"/>
      <c r="I5247" s="288" t="s">
        <v>278</v>
      </c>
      <c r="J5247" s="306" t="s">
        <v>279</v>
      </c>
      <c r="K5247" s="307" t="s">
        <v>280</v>
      </c>
      <c r="L5247" s="1133" t="s">
        <v>281</v>
      </c>
      <c r="M5247" s="1136"/>
      <c r="N5247" s="289" t="s">
        <v>265</v>
      </c>
    </row>
    <row r="5248" spans="2:14" ht="13.5" thickBot="1">
      <c r="B5248" s="1112"/>
      <c r="C5248" s="1113"/>
      <c r="D5248" s="1113"/>
      <c r="E5248" s="1113"/>
      <c r="F5248" s="1113"/>
      <c r="G5248" s="1113"/>
      <c r="H5248" s="1113"/>
      <c r="I5248" s="393"/>
      <c r="J5248" s="309"/>
      <c r="K5248" s="308"/>
      <c r="L5248" s="1144"/>
      <c r="M5248" s="1145"/>
      <c r="N5248" s="363"/>
    </row>
    <row r="5249" spans="2:17" ht="13.5" thickBot="1">
      <c r="B5249" s="1100" t="s">
        <v>269</v>
      </c>
      <c r="C5249" s="1101"/>
      <c r="D5249" s="1101"/>
      <c r="E5249" s="1101"/>
      <c r="F5249" s="1101"/>
      <c r="G5249" s="1101"/>
      <c r="H5249" s="1101"/>
      <c r="I5249" s="1101"/>
      <c r="J5249" s="1101"/>
      <c r="K5249" s="1101"/>
      <c r="L5249" s="1101"/>
      <c r="M5249" s="1102"/>
      <c r="N5249" s="323">
        <f>+N5248</f>
        <v>0</v>
      </c>
    </row>
    <row r="5250" spans="2:17">
      <c r="B5250" s="1103" t="s">
        <v>282</v>
      </c>
      <c r="C5250" s="1104"/>
      <c r="D5250" s="1104"/>
      <c r="E5250" s="1104"/>
      <c r="F5250" s="1104"/>
      <c r="G5250" s="1104"/>
      <c r="H5250" s="1104"/>
      <c r="I5250" s="1104"/>
      <c r="J5250" s="1104"/>
      <c r="K5250" s="1104"/>
      <c r="L5250" s="1104"/>
      <c r="M5250" s="1104"/>
      <c r="N5250" s="1105"/>
    </row>
    <row r="5251" spans="2:17">
      <c r="B5251" s="1106"/>
      <c r="C5251" s="1107"/>
      <c r="D5251" s="1107"/>
      <c r="E5251" s="1107"/>
      <c r="F5251" s="1107"/>
      <c r="G5251" s="1107"/>
      <c r="H5251" s="1107"/>
      <c r="I5251" s="1107"/>
      <c r="J5251" s="1107"/>
      <c r="K5251" s="1107"/>
      <c r="L5251" s="1107"/>
      <c r="M5251" s="1107"/>
      <c r="N5251" s="1108"/>
    </row>
    <row r="5252" spans="2:17" ht="13.5" thickBot="1">
      <c r="B5252" s="1109"/>
      <c r="C5252" s="1110"/>
      <c r="D5252" s="1110"/>
      <c r="E5252" s="1110"/>
      <c r="F5252" s="1110"/>
      <c r="G5252" s="1110"/>
      <c r="H5252" s="1110"/>
      <c r="I5252" s="1110"/>
      <c r="J5252" s="1110"/>
      <c r="K5252" s="1110"/>
      <c r="L5252" s="1110"/>
      <c r="M5252" s="1110"/>
      <c r="N5252" s="1111"/>
    </row>
    <row r="5253" spans="2:17">
      <c r="B5253" s="1130" t="s">
        <v>283</v>
      </c>
      <c r="C5253" s="1139"/>
      <c r="D5253" s="1139"/>
      <c r="E5253" s="1139"/>
      <c r="F5253" s="1139"/>
      <c r="G5253" s="1139"/>
      <c r="H5253" s="1139"/>
      <c r="I5253" s="288" t="s">
        <v>284</v>
      </c>
      <c r="J5253" s="314" t="s">
        <v>285</v>
      </c>
      <c r="K5253" s="315" t="s">
        <v>286</v>
      </c>
      <c r="L5253" s="1140" t="s">
        <v>264</v>
      </c>
      <c r="M5253" s="1141"/>
      <c r="N5253" s="316" t="s">
        <v>265</v>
      </c>
    </row>
    <row r="5254" spans="2:17" ht="13.5" thickBot="1">
      <c r="B5254" s="317" t="s">
        <v>322</v>
      </c>
      <c r="C5254" s="318"/>
      <c r="D5254" s="318"/>
      <c r="E5254" s="318"/>
      <c r="F5254" s="318"/>
      <c r="G5254" s="318"/>
      <c r="H5254" s="318"/>
      <c r="I5254" s="319">
        <v>153482</v>
      </c>
      <c r="J5254" s="321">
        <v>0</v>
      </c>
      <c r="K5254" s="321">
        <f>+I5254+J5254</f>
        <v>153482</v>
      </c>
      <c r="L5254" s="1157">
        <v>17.999856000000001</v>
      </c>
      <c r="M5254" s="1158"/>
      <c r="N5254" s="322">
        <f>+K5254/L5254</f>
        <v>8526.8459925457173</v>
      </c>
    </row>
    <row r="5255" spans="2:17" ht="13.5" thickBot="1">
      <c r="B5255" s="1100" t="s">
        <v>269</v>
      </c>
      <c r="C5255" s="1101"/>
      <c r="D5255" s="1101"/>
      <c r="E5255" s="1101"/>
      <c r="F5255" s="1101"/>
      <c r="G5255" s="1101"/>
      <c r="H5255" s="1101"/>
      <c r="I5255" s="1101"/>
      <c r="J5255" s="1101"/>
      <c r="K5255" s="1101"/>
      <c r="L5255" s="1101"/>
      <c r="M5255" s="1102"/>
      <c r="N5255" s="322">
        <f>+N5254</f>
        <v>8526.8459925457173</v>
      </c>
    </row>
    <row r="5256" spans="2:17" ht="13.5" thickBot="1">
      <c r="B5256" s="324" t="s">
        <v>288</v>
      </c>
      <c r="C5256" s="325"/>
      <c r="D5256" s="325"/>
      <c r="E5256" s="325"/>
      <c r="F5256" s="325"/>
      <c r="G5256" s="325"/>
      <c r="H5256" s="325"/>
      <c r="I5256" s="326"/>
      <c r="J5256" s="327"/>
      <c r="K5256" s="328"/>
      <c r="L5256" s="329"/>
      <c r="M5256" s="329"/>
      <c r="N5256" s="330"/>
    </row>
    <row r="5257" spans="2:17">
      <c r="B5257" s="1130" t="s">
        <v>17</v>
      </c>
      <c r="C5257" s="1139"/>
      <c r="D5257" s="1139"/>
      <c r="E5257" s="1139"/>
      <c r="F5257" s="1139"/>
      <c r="G5257" s="1139"/>
      <c r="H5257" s="1139"/>
      <c r="I5257" s="1136"/>
      <c r="J5257" s="299" t="s">
        <v>259</v>
      </c>
      <c r="K5257" s="288" t="s">
        <v>133</v>
      </c>
      <c r="L5257" s="1133" t="s">
        <v>271</v>
      </c>
      <c r="M5257" s="1136"/>
      <c r="N5257" s="316" t="s">
        <v>265</v>
      </c>
    </row>
    <row r="5258" spans="2:17" ht="13.5" thickBot="1">
      <c r="B5258" s="331" t="s">
        <v>289</v>
      </c>
      <c r="C5258" s="332"/>
      <c r="D5258" s="332"/>
      <c r="E5258" s="332"/>
      <c r="F5258" s="332"/>
      <c r="G5258" s="332"/>
      <c r="H5258" s="332"/>
      <c r="I5258" s="333"/>
      <c r="J5258" s="334" t="s">
        <v>290</v>
      </c>
      <c r="K5258" s="335">
        <v>0.05</v>
      </c>
      <c r="L5258" s="1144">
        <f>+N5255</f>
        <v>8526.8459925457173</v>
      </c>
      <c r="M5258" s="1145"/>
      <c r="N5258" s="322">
        <f>+K5258*L5258</f>
        <v>426.34229962728591</v>
      </c>
    </row>
    <row r="5259" spans="2:17" ht="13.5" thickBot="1">
      <c r="B5259" s="1100" t="s">
        <v>269</v>
      </c>
      <c r="C5259" s="1101"/>
      <c r="D5259" s="1101"/>
      <c r="E5259" s="1101"/>
      <c r="F5259" s="1101"/>
      <c r="G5259" s="1101"/>
      <c r="H5259" s="1101"/>
      <c r="I5259" s="1101"/>
      <c r="J5259" s="1101"/>
      <c r="K5259" s="1101"/>
      <c r="L5259" s="1101"/>
      <c r="M5259" s="1102"/>
      <c r="N5259" s="322">
        <f>+N5258</f>
        <v>426.34229962728591</v>
      </c>
      <c r="P5259" s="408">
        <v>5023800</v>
      </c>
    </row>
    <row r="5260" spans="2:17" ht="13.5" thickBot="1">
      <c r="B5260" s="1100"/>
      <c r="C5260" s="1101"/>
      <c r="D5260" s="1101"/>
      <c r="E5260" s="1101"/>
      <c r="F5260" s="1101"/>
      <c r="G5260" s="1101"/>
      <c r="H5260" s="1101"/>
      <c r="I5260" s="1101"/>
      <c r="J5260" s="1101"/>
      <c r="K5260" s="1101"/>
      <c r="L5260" s="1101"/>
      <c r="M5260" s="1102"/>
      <c r="N5260" s="322"/>
    </row>
    <row r="5261" spans="2:17" ht="13.5" thickBot="1">
      <c r="B5261" s="1150" t="s">
        <v>291</v>
      </c>
      <c r="C5261" s="1151"/>
      <c r="D5261" s="1151"/>
      <c r="E5261" s="1151"/>
      <c r="F5261" s="1151"/>
      <c r="G5261" s="1151"/>
      <c r="H5261" s="1151"/>
      <c r="I5261" s="1151"/>
      <c r="J5261" s="1151"/>
      <c r="K5261" s="1151"/>
      <c r="L5261" s="1151"/>
      <c r="M5261" s="1152"/>
      <c r="N5261" s="336">
        <f>+N5236+N5243+N5249+N5255+N5259</f>
        <v>25119.790792173</v>
      </c>
      <c r="P5261" s="409">
        <f>+N5261*N5230</f>
        <v>5023958.1584345996</v>
      </c>
      <c r="Q5261" s="413">
        <f>+P5261-P5259</f>
        <v>158.15843459963799</v>
      </c>
    </row>
    <row r="5262" spans="2:17">
      <c r="B5262" s="1103" t="s">
        <v>292</v>
      </c>
      <c r="C5262" s="1104"/>
      <c r="D5262" s="1104"/>
      <c r="E5262" s="1104"/>
      <c r="F5262" s="1104"/>
      <c r="G5262" s="1104"/>
      <c r="H5262" s="1104"/>
      <c r="I5262" s="1104"/>
      <c r="J5262" s="1104"/>
      <c r="K5262" s="1104"/>
      <c r="L5262" s="1104"/>
      <c r="M5262" s="1104"/>
      <c r="N5262" s="1105"/>
    </row>
    <row r="5263" spans="2:17">
      <c r="B5263" s="1106"/>
      <c r="C5263" s="1107"/>
      <c r="D5263" s="1107"/>
      <c r="E5263" s="1107"/>
      <c r="F5263" s="1107"/>
      <c r="G5263" s="1107"/>
      <c r="H5263" s="1107"/>
      <c r="I5263" s="1107"/>
      <c r="J5263" s="1107"/>
      <c r="K5263" s="1107"/>
      <c r="L5263" s="1107"/>
      <c r="M5263" s="1107"/>
      <c r="N5263" s="1108"/>
    </row>
    <row r="5264" spans="2:17" ht="13.5" thickBot="1">
      <c r="B5264" s="1109"/>
      <c r="C5264" s="1110"/>
      <c r="D5264" s="1110"/>
      <c r="E5264" s="1110"/>
      <c r="F5264" s="1110"/>
      <c r="G5264" s="1110"/>
      <c r="H5264" s="1110"/>
      <c r="I5264" s="1110"/>
      <c r="J5264" s="1110"/>
      <c r="K5264" s="1110"/>
      <c r="L5264" s="1110"/>
      <c r="M5264" s="1110"/>
      <c r="N5264" s="1111"/>
    </row>
    <row r="5265" spans="2:14">
      <c r="B5265" s="1130" t="s">
        <v>17</v>
      </c>
      <c r="C5265" s="1139"/>
      <c r="D5265" s="1139"/>
      <c r="E5265" s="1139"/>
      <c r="F5265" s="1139"/>
      <c r="G5265" s="1139"/>
      <c r="H5265" s="1139"/>
      <c r="I5265" s="306"/>
      <c r="J5265" s="337"/>
      <c r="K5265" s="315" t="s">
        <v>79</v>
      </c>
      <c r="L5265" s="1140" t="s">
        <v>11</v>
      </c>
      <c r="M5265" s="1141"/>
      <c r="N5265" s="316"/>
    </row>
    <row r="5266" spans="2:14">
      <c r="B5266" s="1112" t="s">
        <v>232</v>
      </c>
      <c r="C5266" s="1113"/>
      <c r="D5266" s="1113"/>
      <c r="E5266" s="1113"/>
      <c r="F5266" s="1113"/>
      <c r="G5266" s="1113"/>
      <c r="H5266" s="1113"/>
      <c r="I5266" s="338"/>
      <c r="J5266" s="339"/>
      <c r="K5266" s="340">
        <f>'PRESUPUESTO OFICIAL'!$K$100</f>
        <v>0</v>
      </c>
      <c r="L5266" s="1146">
        <f>K5266*N5261</f>
        <v>0</v>
      </c>
      <c r="M5266" s="1147"/>
      <c r="N5266" s="341"/>
    </row>
    <row r="5267" spans="2:14">
      <c r="B5267" s="292" t="s">
        <v>293</v>
      </c>
      <c r="C5267" s="293"/>
      <c r="D5267" s="293"/>
      <c r="E5267" s="293"/>
      <c r="F5267" s="293"/>
      <c r="G5267" s="293"/>
      <c r="H5267" s="293"/>
      <c r="I5267" s="338"/>
      <c r="J5267" s="339"/>
      <c r="K5267" s="340">
        <f>'PRESUPUESTO OFICIAL'!$K$101</f>
        <v>0</v>
      </c>
      <c r="L5267" s="1146">
        <f>K5267*N5261</f>
        <v>0</v>
      </c>
      <c r="M5267" s="1147"/>
      <c r="N5267" s="341"/>
    </row>
    <row r="5268" spans="2:14" ht="13.5" thickBot="1">
      <c r="B5268" s="277" t="s">
        <v>294</v>
      </c>
      <c r="C5268" s="278"/>
      <c r="D5268" s="278"/>
      <c r="E5268" s="278"/>
      <c r="F5268" s="278"/>
      <c r="G5268" s="278"/>
      <c r="H5268" s="278"/>
      <c r="I5268" s="342"/>
      <c r="J5268" s="343"/>
      <c r="K5268" s="340">
        <f>'PRESUPUESTO OFICIAL'!$K$102</f>
        <v>0</v>
      </c>
      <c r="L5268" s="1148">
        <f>K5268*N5261</f>
        <v>0</v>
      </c>
      <c r="M5268" s="1149"/>
      <c r="N5268" s="341"/>
    </row>
    <row r="5269" spans="2:14" ht="13.5" thickBot="1">
      <c r="B5269" s="1100" t="s">
        <v>269</v>
      </c>
      <c r="C5269" s="1101"/>
      <c r="D5269" s="1101"/>
      <c r="E5269" s="1101"/>
      <c r="F5269" s="1101"/>
      <c r="G5269" s="1101"/>
      <c r="H5269" s="1101"/>
      <c r="I5269" s="1101"/>
      <c r="J5269" s="1101"/>
      <c r="K5269" s="1101"/>
      <c r="L5269" s="1101"/>
      <c r="M5269" s="1102"/>
      <c r="N5269" s="344">
        <f>SUM(L5266:M5268)</f>
        <v>0</v>
      </c>
    </row>
    <row r="5270" spans="2:14" ht="13.5" thickBot="1">
      <c r="B5270" s="283"/>
      <c r="N5270" s="284"/>
    </row>
    <row r="5271" spans="2:14" ht="13.5" thickBot="1">
      <c r="B5271" s="1150" t="s">
        <v>295</v>
      </c>
      <c r="C5271" s="1151"/>
      <c r="D5271" s="1151"/>
      <c r="E5271" s="1151"/>
      <c r="F5271" s="1151"/>
      <c r="G5271" s="1151"/>
      <c r="H5271" s="1151"/>
      <c r="I5271" s="1151"/>
      <c r="J5271" s="1151"/>
      <c r="K5271" s="1151"/>
      <c r="L5271" s="1151"/>
      <c r="M5271" s="1152"/>
      <c r="N5271" s="345">
        <f>ROUND(N5261+N5269,0)</f>
        <v>25120</v>
      </c>
    </row>
    <row r="5272" spans="2:14">
      <c r="B5272" s="280"/>
      <c r="C5272" s="281"/>
      <c r="D5272" s="281"/>
      <c r="E5272" s="281"/>
      <c r="F5272" s="281"/>
      <c r="G5272" s="281"/>
      <c r="H5272" s="281"/>
      <c r="I5272" s="281"/>
      <c r="J5272" s="281"/>
      <c r="K5272" s="281"/>
      <c r="L5272" s="281"/>
      <c r="M5272" s="281"/>
      <c r="N5272" s="282"/>
    </row>
    <row r="5273" spans="2:14">
      <c r="B5273" s="283"/>
      <c r="N5273" s="284"/>
    </row>
    <row r="5274" spans="2:14">
      <c r="B5274" s="283"/>
      <c r="N5274" s="284"/>
    </row>
    <row r="5275" spans="2:14">
      <c r="B5275" s="283"/>
      <c r="G5275" s="346" t="s">
        <v>296</v>
      </c>
      <c r="H5275" s="346"/>
      <c r="I5275" s="346"/>
      <c r="J5275" s="346"/>
      <c r="N5275" s="284"/>
    </row>
    <row r="5276" spans="2:14">
      <c r="B5276" s="347"/>
      <c r="C5276" s="348"/>
      <c r="D5276" s="348"/>
      <c r="E5276" s="348"/>
      <c r="F5276" s="348"/>
      <c r="G5276" s="346" t="s">
        <v>297</v>
      </c>
      <c r="H5276" s="348"/>
      <c r="I5276" s="348"/>
      <c r="J5276" s="348"/>
      <c r="K5276" s="348"/>
      <c r="L5276" s="348"/>
      <c r="M5276" s="348"/>
      <c r="N5276" s="349"/>
    </row>
    <row r="5277" spans="2:14">
      <c r="B5277" s="347"/>
      <c r="C5277" s="348"/>
      <c r="D5277" s="348"/>
      <c r="E5277" s="348"/>
      <c r="F5277" s="348"/>
      <c r="G5277" s="346" t="s">
        <v>298</v>
      </c>
      <c r="J5277" s="348"/>
      <c r="K5277" s="348"/>
      <c r="L5277" s="348"/>
      <c r="M5277" s="348"/>
      <c r="N5277" s="349"/>
    </row>
    <row r="5278" spans="2:14">
      <c r="B5278" s="268"/>
      <c r="C5278" s="350"/>
      <c r="D5278" s="350"/>
      <c r="E5278" s="350"/>
      <c r="F5278" s="350"/>
      <c r="G5278" s="346" t="s">
        <v>299</v>
      </c>
      <c r="H5278" s="350"/>
      <c r="I5278" s="350"/>
      <c r="J5278" s="350"/>
      <c r="K5278" s="350"/>
      <c r="L5278" s="350"/>
      <c r="M5278" s="350"/>
      <c r="N5278" s="351"/>
    </row>
    <row r="5279" spans="2:14">
      <c r="B5279" s="283"/>
      <c r="G5279" s="258" t="s">
        <v>300</v>
      </c>
      <c r="N5279" s="284"/>
    </row>
    <row r="5280" spans="2:14">
      <c r="B5280" s="352" t="s">
        <v>301</v>
      </c>
      <c r="C5280" s="353"/>
      <c r="D5280" s="353"/>
      <c r="E5280" s="353"/>
      <c r="F5280" s="353"/>
      <c r="G5280" s="353"/>
      <c r="H5280" s="353"/>
      <c r="I5280" s="353"/>
      <c r="J5280" s="353"/>
      <c r="K5280" s="353"/>
      <c r="L5280" s="353"/>
      <c r="M5280" s="353"/>
      <c r="N5280" s="354"/>
    </row>
    <row r="5281" spans="2:14">
      <c r="B5281" s="1153"/>
      <c r="C5281" s="1154"/>
      <c r="D5281" s="1154"/>
      <c r="E5281" s="1154"/>
      <c r="F5281" s="1154"/>
      <c r="G5281" s="1154"/>
      <c r="H5281" s="1154"/>
      <c r="I5281" s="1154"/>
      <c r="J5281" s="1154"/>
      <c r="K5281" s="1154"/>
      <c r="L5281" s="1154"/>
      <c r="M5281" s="1154"/>
      <c r="N5281" s="1155"/>
    </row>
    <row r="5282" spans="2:14">
      <c r="B5282" s="1153"/>
      <c r="C5282" s="1154"/>
      <c r="D5282" s="1154"/>
      <c r="E5282" s="1154"/>
      <c r="F5282" s="1154"/>
      <c r="G5282" s="1154"/>
      <c r="H5282" s="1154"/>
      <c r="I5282" s="1154"/>
      <c r="J5282" s="1154"/>
      <c r="K5282" s="1154"/>
      <c r="L5282" s="1154"/>
      <c r="M5282" s="1154"/>
      <c r="N5282" s="1155"/>
    </row>
    <row r="5283" spans="2:14">
      <c r="B5283" s="268"/>
      <c r="C5283" s="350"/>
      <c r="D5283" s="350"/>
      <c r="E5283" s="350"/>
      <c r="F5283" s="350"/>
      <c r="G5283" s="350"/>
      <c r="H5283" s="350"/>
      <c r="I5283" s="350"/>
      <c r="J5283" s="350"/>
      <c r="K5283" s="350"/>
      <c r="L5283" s="350"/>
      <c r="M5283" s="350"/>
      <c r="N5283" s="351"/>
    </row>
    <row r="5284" spans="2:14">
      <c r="B5284" s="355" t="s">
        <v>302</v>
      </c>
      <c r="C5284" s="350"/>
      <c r="D5284" s="350"/>
      <c r="E5284" s="350"/>
      <c r="F5284" s="350"/>
      <c r="G5284" s="350"/>
      <c r="H5284" s="350"/>
      <c r="I5284" s="350"/>
      <c r="J5284" s="350"/>
      <c r="K5284" s="350"/>
      <c r="L5284" s="350"/>
      <c r="M5284" s="350"/>
      <c r="N5284" s="351"/>
    </row>
    <row r="5285" spans="2:14">
      <c r="B5285" s="1159" t="s">
        <v>303</v>
      </c>
      <c r="C5285" s="1160"/>
      <c r="D5285" s="1160"/>
      <c r="E5285" s="1160"/>
      <c r="F5285" s="1160"/>
      <c r="G5285" s="1160"/>
      <c r="H5285" s="1160"/>
      <c r="I5285" s="1160"/>
      <c r="J5285" s="1160"/>
      <c r="K5285" s="1160"/>
      <c r="L5285" s="1160"/>
      <c r="M5285" s="1160"/>
      <c r="N5285" s="1161"/>
    </row>
    <row r="5286" spans="2:14">
      <c r="B5286" s="1159"/>
      <c r="C5286" s="1160"/>
      <c r="D5286" s="1160"/>
      <c r="E5286" s="1160"/>
      <c r="F5286" s="1160"/>
      <c r="G5286" s="1160"/>
      <c r="H5286" s="1160"/>
      <c r="I5286" s="1160"/>
      <c r="J5286" s="1160"/>
      <c r="K5286" s="1160"/>
      <c r="L5286" s="1160"/>
      <c r="M5286" s="1160"/>
      <c r="N5286" s="1161"/>
    </row>
    <row r="5287" spans="2:14">
      <c r="B5287" s="1159" t="s">
        <v>304</v>
      </c>
      <c r="C5287" s="1160"/>
      <c r="D5287" s="1160"/>
      <c r="E5287" s="1160"/>
      <c r="F5287" s="1160"/>
      <c r="G5287" s="1160"/>
      <c r="H5287" s="1160"/>
      <c r="I5287" s="1160"/>
      <c r="J5287" s="1160"/>
      <c r="K5287" s="1160"/>
      <c r="L5287" s="1160"/>
      <c r="M5287" s="1160"/>
      <c r="N5287" s="1161"/>
    </row>
    <row r="5288" spans="2:14">
      <c r="B5288" s="1159"/>
      <c r="C5288" s="1160"/>
      <c r="D5288" s="1160"/>
      <c r="E5288" s="1160"/>
      <c r="F5288" s="1160"/>
      <c r="G5288" s="1160"/>
      <c r="H5288" s="1160"/>
      <c r="I5288" s="1160"/>
      <c r="J5288" s="1160"/>
      <c r="K5288" s="1160"/>
      <c r="L5288" s="1160"/>
      <c r="M5288" s="1160"/>
      <c r="N5288" s="1161"/>
    </row>
    <row r="5289" spans="2:14">
      <c r="B5289" s="268"/>
      <c r="C5289" s="350"/>
      <c r="D5289" s="350"/>
      <c r="E5289" s="350"/>
      <c r="F5289" s="350"/>
      <c r="G5289" s="350"/>
      <c r="H5289" s="350"/>
      <c r="I5289" s="350"/>
      <c r="J5289" s="350"/>
      <c r="K5289" s="350"/>
      <c r="L5289" s="350"/>
      <c r="M5289" s="350"/>
      <c r="N5289" s="351"/>
    </row>
    <row r="5290" spans="2:14">
      <c r="B5290" s="283"/>
      <c r="G5290" s="346" t="s">
        <v>296</v>
      </c>
      <c r="N5290" s="284"/>
    </row>
    <row r="5291" spans="2:14">
      <c r="B5291" s="283"/>
      <c r="G5291" s="258" t="s">
        <v>305</v>
      </c>
      <c r="H5291" s="293"/>
      <c r="I5291" s="293"/>
      <c r="J5291" s="293"/>
      <c r="N5291" s="284"/>
    </row>
    <row r="5292" spans="2:14">
      <c r="B5292" s="283"/>
      <c r="G5292" s="258" t="s">
        <v>306</v>
      </c>
      <c r="H5292" s="325"/>
      <c r="I5292" s="325"/>
      <c r="J5292" s="325"/>
      <c r="N5292" s="284"/>
    </row>
    <row r="5293" spans="2:14">
      <c r="B5293" s="356"/>
      <c r="C5293" s="350"/>
      <c r="D5293" s="350"/>
      <c r="E5293" s="350"/>
      <c r="F5293" s="350"/>
      <c r="G5293" s="258" t="s">
        <v>299</v>
      </c>
      <c r="K5293" s="350"/>
      <c r="L5293" s="350"/>
      <c r="M5293" s="350"/>
      <c r="N5293" s="351"/>
    </row>
    <row r="5294" spans="2:14">
      <c r="B5294" s="357"/>
      <c r="C5294" s="358"/>
      <c r="D5294" s="358"/>
      <c r="J5294" s="1162"/>
      <c r="K5294" s="1162"/>
      <c r="L5294" s="1162"/>
      <c r="M5294" s="1162"/>
      <c r="N5294" s="1163"/>
    </row>
    <row r="5295" spans="2:14" ht="13.5" thickBot="1">
      <c r="B5295" s="1166"/>
      <c r="C5295" s="1167"/>
      <c r="D5295" s="1167"/>
      <c r="E5295" s="311"/>
      <c r="F5295" s="311"/>
      <c r="G5295" s="311"/>
      <c r="H5295" s="311"/>
      <c r="I5295" s="311"/>
      <c r="J5295" s="1164"/>
      <c r="K5295" s="1164"/>
      <c r="L5295" s="1164"/>
      <c r="M5295" s="1164"/>
      <c r="N5295" s="1165"/>
    </row>
    <row r="5296" spans="2:14" ht="13.5" thickBot="1"/>
    <row r="5297" spans="2:14">
      <c r="B5297" s="1070"/>
      <c r="C5297" s="1072"/>
      <c r="D5297" s="1073"/>
      <c r="E5297" s="1073"/>
      <c r="F5297" s="1073"/>
      <c r="G5297" s="1073"/>
      <c r="H5297" s="1073"/>
      <c r="I5297" s="1073"/>
      <c r="J5297" s="1074"/>
      <c r="K5297" s="1075"/>
      <c r="L5297" s="1076"/>
      <c r="M5297" s="1076"/>
      <c r="N5297" s="1077"/>
    </row>
    <row r="5298" spans="2:14">
      <c r="B5298" s="1071"/>
      <c r="C5298" s="1062" t="s">
        <v>244</v>
      </c>
      <c r="D5298" s="1063"/>
      <c r="E5298" s="1063"/>
      <c r="F5298" s="1063"/>
      <c r="G5298" s="1063"/>
      <c r="H5298" s="1063"/>
      <c r="I5298" s="1063"/>
      <c r="J5298" s="1064"/>
      <c r="K5298" s="1078"/>
      <c r="L5298" s="1079"/>
      <c r="M5298" s="1079"/>
      <c r="N5298" s="1080"/>
    </row>
    <row r="5299" spans="2:14">
      <c r="B5299" s="1071"/>
      <c r="C5299" s="1081"/>
      <c r="D5299" s="1082"/>
      <c r="E5299" s="1082"/>
      <c r="F5299" s="1082"/>
      <c r="G5299" s="1082"/>
      <c r="H5299" s="1082"/>
      <c r="I5299" s="1082"/>
      <c r="J5299" s="1083"/>
      <c r="K5299" s="1058" t="s">
        <v>245</v>
      </c>
      <c r="L5299" s="1085"/>
      <c r="M5299" s="1086"/>
      <c r="N5299" s="1087"/>
    </row>
    <row r="5300" spans="2:14">
      <c r="B5300" s="1071"/>
      <c r="C5300" s="1062" t="s">
        <v>246</v>
      </c>
      <c r="D5300" s="1063"/>
      <c r="E5300" s="1063"/>
      <c r="F5300" s="1063"/>
      <c r="G5300" s="1063"/>
      <c r="H5300" s="1063"/>
      <c r="I5300" s="1063"/>
      <c r="J5300" s="1064"/>
      <c r="K5300" s="1084"/>
      <c r="L5300" s="1088"/>
      <c r="M5300" s="1089"/>
      <c r="N5300" s="1090"/>
    </row>
    <row r="5301" spans="2:14">
      <c r="B5301" s="1071"/>
      <c r="C5301" s="1091"/>
      <c r="D5301" s="1092"/>
      <c r="E5301" s="1092"/>
      <c r="F5301" s="1092"/>
      <c r="G5301" s="1092"/>
      <c r="H5301" s="1092"/>
      <c r="I5301" s="1092"/>
      <c r="J5301" s="1093"/>
      <c r="K5301" s="1058" t="s">
        <v>247</v>
      </c>
      <c r="L5301" s="1058">
        <v>60</v>
      </c>
      <c r="M5301" s="1058" t="s">
        <v>248</v>
      </c>
      <c r="N5301" s="1060">
        <v>80</v>
      </c>
    </row>
    <row r="5302" spans="2:14">
      <c r="B5302" s="1071"/>
      <c r="C5302" s="1091"/>
      <c r="D5302" s="1092"/>
      <c r="E5302" s="1092"/>
      <c r="F5302" s="1092"/>
      <c r="G5302" s="1092"/>
      <c r="H5302" s="1092"/>
      <c r="I5302" s="1092"/>
      <c r="J5302" s="1093"/>
      <c r="K5302" s="1059"/>
      <c r="L5302" s="1059"/>
      <c r="M5302" s="1059"/>
      <c r="N5302" s="1061"/>
    </row>
    <row r="5303" spans="2:14">
      <c r="B5303" s="1071"/>
      <c r="C5303" s="1062" t="s">
        <v>249</v>
      </c>
      <c r="D5303" s="1063"/>
      <c r="E5303" s="1063"/>
      <c r="F5303" s="1063"/>
      <c r="G5303" s="1063"/>
      <c r="H5303" s="1063"/>
      <c r="I5303" s="1063"/>
      <c r="J5303" s="1064"/>
      <c r="K5303" s="1059"/>
      <c r="L5303" s="1059"/>
      <c r="M5303" s="1059"/>
      <c r="N5303" s="1061"/>
    </row>
    <row r="5304" spans="2:14" ht="13.5" thickBot="1">
      <c r="B5304" s="259"/>
      <c r="C5304" s="260"/>
      <c r="D5304" s="260"/>
      <c r="E5304" s="260"/>
      <c r="F5304" s="260"/>
      <c r="G5304" s="260"/>
      <c r="H5304" s="260"/>
      <c r="I5304" s="260"/>
      <c r="J5304" s="260"/>
      <c r="K5304" s="260"/>
      <c r="L5304" s="261"/>
      <c r="M5304" s="261"/>
      <c r="N5304" s="262"/>
    </row>
    <row r="5305" spans="2:14">
      <c r="B5305" s="263"/>
      <c r="C5305" s="264"/>
      <c r="D5305" s="264"/>
      <c r="E5305" s="264"/>
      <c r="F5305" s="264"/>
      <c r="G5305" s="264"/>
      <c r="H5305" s="264"/>
      <c r="I5305" s="264"/>
      <c r="J5305" s="264"/>
      <c r="K5305" s="265" t="s">
        <v>250</v>
      </c>
      <c r="L5305" s="266" t="s">
        <v>251</v>
      </c>
      <c r="M5305" s="266" t="s">
        <v>252</v>
      </c>
      <c r="N5305" s="267" t="s">
        <v>253</v>
      </c>
    </row>
    <row r="5306" spans="2:14">
      <c r="B5306" s="268"/>
      <c r="C5306" s="269"/>
      <c r="D5306" s="269"/>
      <c r="E5306" s="269"/>
      <c r="F5306" s="269"/>
      <c r="G5306" s="269"/>
      <c r="H5306" s="269"/>
      <c r="I5306" s="269"/>
      <c r="J5306" s="269"/>
      <c r="K5306" s="270"/>
      <c r="L5306" s="271"/>
      <c r="M5306" s="271"/>
      <c r="N5306" s="272"/>
    </row>
    <row r="5307" spans="2:14">
      <c r="B5307" s="1065" t="s">
        <v>254</v>
      </c>
      <c r="C5307" s="1066"/>
      <c r="D5307" s="1066"/>
      <c r="E5307" s="1066"/>
      <c r="F5307" s="269"/>
      <c r="G5307" s="269"/>
      <c r="H5307" s="269" t="s">
        <v>255</v>
      </c>
      <c r="J5307" s="269"/>
      <c r="K5307" s="270"/>
      <c r="N5307" s="273"/>
    </row>
    <row r="5308" spans="2:14">
      <c r="B5308" s="274"/>
      <c r="C5308" s="275"/>
      <c r="D5308" s="275"/>
      <c r="E5308" s="275"/>
      <c r="F5308" s="275"/>
      <c r="G5308" s="275"/>
      <c r="H5308" s="275"/>
      <c r="I5308" s="275"/>
      <c r="J5308" s="275"/>
      <c r="K5308" s="275"/>
      <c r="L5308" s="275"/>
      <c r="M5308" s="275"/>
      <c r="N5308" s="276"/>
    </row>
    <row r="5309" spans="2:14" ht="13.5" thickBot="1">
      <c r="B5309" s="277"/>
      <c r="C5309" s="278"/>
      <c r="D5309" s="278"/>
      <c r="E5309" s="278"/>
      <c r="F5309" s="278"/>
      <c r="G5309" s="278"/>
      <c r="H5309" s="278"/>
      <c r="I5309" s="278"/>
      <c r="J5309" s="278"/>
      <c r="K5309" s="278"/>
      <c r="L5309" s="278"/>
      <c r="M5309" s="278"/>
      <c r="N5309" s="279"/>
    </row>
    <row r="5310" spans="2:14" ht="13.5" thickBot="1">
      <c r="B5310" s="280"/>
      <c r="C5310" s="281"/>
      <c r="D5310" s="281"/>
      <c r="E5310" s="281"/>
      <c r="F5310" s="281"/>
      <c r="G5310" s="281"/>
      <c r="J5310" s="281"/>
      <c r="K5310" s="281"/>
      <c r="L5310" s="281"/>
      <c r="M5310" s="281"/>
      <c r="N5310" s="282"/>
    </row>
    <row r="5311" spans="2:14">
      <c r="B5311" s="1067" t="s">
        <v>256</v>
      </c>
      <c r="C5311" s="1068"/>
      <c r="D5311" s="1068"/>
      <c r="E5311" s="1068"/>
      <c r="F5311" s="1068"/>
      <c r="G5311" s="1068"/>
      <c r="H5311" s="1068"/>
      <c r="I5311" s="1068"/>
      <c r="J5311" s="1068"/>
      <c r="K5311" s="1068"/>
      <c r="L5311" s="1068"/>
      <c r="M5311" s="1068"/>
      <c r="N5311" s="1069"/>
    </row>
    <row r="5312" spans="2:14" ht="13.5" thickBot="1">
      <c r="B5312" s="283"/>
      <c r="N5312" s="284"/>
    </row>
    <row r="5313" spans="2:14">
      <c r="B5313" s="285" t="s">
        <v>257</v>
      </c>
      <c r="C5313" s="1120" t="s">
        <v>258</v>
      </c>
      <c r="D5313" s="1121"/>
      <c r="E5313" s="1121"/>
      <c r="F5313" s="1121"/>
      <c r="G5313" s="1121"/>
      <c r="H5313" s="1121"/>
      <c r="I5313" s="1121"/>
      <c r="J5313" s="1121"/>
      <c r="K5313" s="1122"/>
      <c r="L5313" s="1123" t="s">
        <v>259</v>
      </c>
      <c r="M5313" s="1124"/>
      <c r="N5313" s="285" t="s">
        <v>133</v>
      </c>
    </row>
    <row r="5314" spans="2:14" ht="28.5" customHeight="1" thickBot="1">
      <c r="B5314" s="286">
        <v>60</v>
      </c>
      <c r="C5314" s="1125" t="s">
        <v>203</v>
      </c>
      <c r="D5314" s="1126"/>
      <c r="E5314" s="1126"/>
      <c r="F5314" s="1126"/>
      <c r="G5314" s="1126"/>
      <c r="H5314" s="1126"/>
      <c r="I5314" s="1126"/>
      <c r="J5314" s="1126"/>
      <c r="K5314" s="1127"/>
      <c r="L5314" s="1128" t="s">
        <v>143</v>
      </c>
      <c r="M5314" s="1129"/>
      <c r="N5314" s="366">
        <v>100</v>
      </c>
    </row>
    <row r="5315" spans="2:14">
      <c r="B5315" s="1103" t="s">
        <v>260</v>
      </c>
      <c r="C5315" s="1104"/>
      <c r="D5315" s="1104"/>
      <c r="E5315" s="1104"/>
      <c r="F5315" s="1104"/>
      <c r="G5315" s="1104"/>
      <c r="H5315" s="1104"/>
      <c r="I5315" s="1104"/>
      <c r="J5315" s="1104"/>
      <c r="K5315" s="1104"/>
      <c r="L5315" s="1104"/>
      <c r="M5315" s="1104"/>
      <c r="N5315" s="1105"/>
    </row>
    <row r="5316" spans="2:14">
      <c r="B5316" s="1106"/>
      <c r="C5316" s="1107"/>
      <c r="D5316" s="1107"/>
      <c r="E5316" s="1107"/>
      <c r="F5316" s="1107"/>
      <c r="G5316" s="1107"/>
      <c r="H5316" s="1107"/>
      <c r="I5316" s="1107"/>
      <c r="J5316" s="1107"/>
      <c r="K5316" s="1107"/>
      <c r="L5316" s="1107"/>
      <c r="M5316" s="1107"/>
      <c r="N5316" s="1108"/>
    </row>
    <row r="5317" spans="2:14" ht="13.5" thickBot="1">
      <c r="B5317" s="1109"/>
      <c r="C5317" s="1110"/>
      <c r="D5317" s="1110"/>
      <c r="E5317" s="1110"/>
      <c r="F5317" s="1110"/>
      <c r="G5317" s="1110"/>
      <c r="H5317" s="1110"/>
      <c r="I5317" s="1110"/>
      <c r="J5317" s="1110"/>
      <c r="K5317" s="1110"/>
      <c r="L5317" s="1110"/>
      <c r="M5317" s="1110"/>
      <c r="N5317" s="1111"/>
    </row>
    <row r="5318" spans="2:14">
      <c r="B5318" s="1130" t="s">
        <v>258</v>
      </c>
      <c r="C5318" s="1131"/>
      <c r="D5318" s="1131"/>
      <c r="E5318" s="1131"/>
      <c r="F5318" s="1132"/>
      <c r="G5318" s="1133" t="s">
        <v>261</v>
      </c>
      <c r="H5318" s="1131"/>
      <c r="I5318" s="1134" t="s">
        <v>262</v>
      </c>
      <c r="J5318" s="1135"/>
      <c r="K5318" s="288" t="s">
        <v>263</v>
      </c>
      <c r="L5318" s="1133" t="s">
        <v>264</v>
      </c>
      <c r="M5318" s="1136"/>
      <c r="N5318" s="289" t="s">
        <v>265</v>
      </c>
    </row>
    <row r="5319" spans="2:14" ht="13.5" thickBot="1">
      <c r="B5319" s="1179"/>
      <c r="C5319" s="1180"/>
      <c r="D5319" s="1180"/>
      <c r="E5319" s="1180"/>
      <c r="F5319" s="1181"/>
      <c r="G5319" s="295"/>
      <c r="H5319" s="294"/>
      <c r="I5319" s="1182"/>
      <c r="J5319" s="1183"/>
      <c r="K5319" s="290"/>
      <c r="L5319" s="1118"/>
      <c r="M5319" s="1119"/>
      <c r="N5319" s="290"/>
    </row>
    <row r="5320" spans="2:14" ht="13.5" thickBot="1">
      <c r="B5320" s="1100" t="s">
        <v>269</v>
      </c>
      <c r="C5320" s="1101"/>
      <c r="D5320" s="1101"/>
      <c r="E5320" s="1101"/>
      <c r="F5320" s="1101"/>
      <c r="G5320" s="1101"/>
      <c r="H5320" s="1101"/>
      <c r="I5320" s="1101"/>
      <c r="J5320" s="1101"/>
      <c r="K5320" s="1101"/>
      <c r="L5320" s="1101"/>
      <c r="M5320" s="1102"/>
      <c r="N5320" s="323">
        <f>+N5319</f>
        <v>0</v>
      </c>
    </row>
    <row r="5321" spans="2:14">
      <c r="B5321" s="1103" t="s">
        <v>270</v>
      </c>
      <c r="C5321" s="1104"/>
      <c r="D5321" s="1104"/>
      <c r="E5321" s="1104"/>
      <c r="F5321" s="1104"/>
      <c r="G5321" s="1104"/>
      <c r="H5321" s="1104"/>
      <c r="I5321" s="1104"/>
      <c r="J5321" s="1104"/>
      <c r="K5321" s="1104"/>
      <c r="L5321" s="1104"/>
      <c r="M5321" s="1104"/>
      <c r="N5321" s="1105"/>
    </row>
    <row r="5322" spans="2:14">
      <c r="B5322" s="1106"/>
      <c r="C5322" s="1107"/>
      <c r="D5322" s="1107"/>
      <c r="E5322" s="1107"/>
      <c r="F5322" s="1107"/>
      <c r="G5322" s="1107"/>
      <c r="H5322" s="1107"/>
      <c r="I5322" s="1107"/>
      <c r="J5322" s="1107"/>
      <c r="K5322" s="1107"/>
      <c r="L5322" s="1107"/>
      <c r="M5322" s="1107"/>
      <c r="N5322" s="1108"/>
    </row>
    <row r="5323" spans="2:14" ht="13.5" thickBot="1">
      <c r="B5323" s="1109"/>
      <c r="C5323" s="1110"/>
      <c r="D5323" s="1110"/>
      <c r="E5323" s="1110"/>
      <c r="F5323" s="1110"/>
      <c r="G5323" s="1110"/>
      <c r="H5323" s="1110"/>
      <c r="I5323" s="1110"/>
      <c r="J5323" s="1110"/>
      <c r="K5323" s="1110"/>
      <c r="L5323" s="1110"/>
      <c r="M5323" s="1110"/>
      <c r="N5323" s="1111"/>
    </row>
    <row r="5324" spans="2:14">
      <c r="B5324" s="1130" t="s">
        <v>258</v>
      </c>
      <c r="C5324" s="1139"/>
      <c r="D5324" s="1139"/>
      <c r="E5324" s="1139"/>
      <c r="F5324" s="1139"/>
      <c r="G5324" s="1139"/>
      <c r="H5324" s="1139"/>
      <c r="I5324" s="1136"/>
      <c r="J5324" s="299" t="s">
        <v>259</v>
      </c>
      <c r="K5324" s="288" t="s">
        <v>133</v>
      </c>
      <c r="L5324" s="1133" t="s">
        <v>271</v>
      </c>
      <c r="M5324" s="1136"/>
      <c r="N5324" s="289" t="s">
        <v>265</v>
      </c>
    </row>
    <row r="5325" spans="2:14">
      <c r="B5325" s="402" t="s">
        <v>371</v>
      </c>
      <c r="C5325" s="353"/>
      <c r="D5325" s="353"/>
      <c r="E5325" s="353"/>
      <c r="F5325" s="353"/>
      <c r="G5325" s="353"/>
      <c r="H5325" s="353"/>
      <c r="I5325" s="403"/>
      <c r="J5325" s="303" t="s">
        <v>190</v>
      </c>
      <c r="K5325" s="392">
        <v>0.5</v>
      </c>
      <c r="L5325" s="1144">
        <v>3780</v>
      </c>
      <c r="M5325" s="1145"/>
      <c r="N5325" s="363">
        <f>+K5325*L5325</f>
        <v>1890</v>
      </c>
    </row>
    <row r="5326" spans="2:14" ht="13.5" thickBot="1">
      <c r="B5326" s="402" t="s">
        <v>385</v>
      </c>
      <c r="C5326" s="353"/>
      <c r="D5326" s="353"/>
      <c r="E5326" s="353"/>
      <c r="F5326" s="353"/>
      <c r="G5326" s="353"/>
      <c r="H5326" s="353"/>
      <c r="I5326" s="403"/>
      <c r="J5326" s="303" t="s">
        <v>143</v>
      </c>
      <c r="K5326" s="392">
        <v>1.1000000000000001</v>
      </c>
      <c r="L5326" s="1144">
        <v>38621</v>
      </c>
      <c r="M5326" s="1145"/>
      <c r="N5326" s="363">
        <f>+K5326*L5326</f>
        <v>42483.100000000006</v>
      </c>
    </row>
    <row r="5327" spans="2:14" ht="13.5" thickBot="1">
      <c r="B5327" s="1100" t="s">
        <v>269</v>
      </c>
      <c r="C5327" s="1101"/>
      <c r="D5327" s="1101"/>
      <c r="E5327" s="1101"/>
      <c r="F5327" s="1101"/>
      <c r="G5327" s="1101"/>
      <c r="H5327" s="1101"/>
      <c r="I5327" s="1101"/>
      <c r="J5327" s="1101"/>
      <c r="K5327" s="1101"/>
      <c r="L5327" s="1101"/>
      <c r="M5327" s="1102"/>
      <c r="N5327" s="323">
        <f>+N5325+N5326</f>
        <v>44373.100000000006</v>
      </c>
    </row>
    <row r="5328" spans="2:14">
      <c r="B5328" s="1103" t="s">
        <v>367</v>
      </c>
      <c r="C5328" s="1104"/>
      <c r="D5328" s="1104"/>
      <c r="E5328" s="1104"/>
      <c r="F5328" s="1104"/>
      <c r="G5328" s="1104"/>
      <c r="H5328" s="1104"/>
      <c r="I5328" s="1104"/>
      <c r="J5328" s="1104"/>
      <c r="K5328" s="1104"/>
      <c r="L5328" s="1104"/>
      <c r="M5328" s="1104"/>
      <c r="N5328" s="1105"/>
    </row>
    <row r="5329" spans="2:16">
      <c r="B5329" s="1106"/>
      <c r="C5329" s="1107"/>
      <c r="D5329" s="1107"/>
      <c r="E5329" s="1107"/>
      <c r="F5329" s="1107"/>
      <c r="G5329" s="1107"/>
      <c r="H5329" s="1107"/>
      <c r="I5329" s="1107"/>
      <c r="J5329" s="1107"/>
      <c r="K5329" s="1107"/>
      <c r="L5329" s="1107"/>
      <c r="M5329" s="1107"/>
      <c r="N5329" s="1108"/>
    </row>
    <row r="5330" spans="2:16" ht="13.5" thickBot="1">
      <c r="B5330" s="1109"/>
      <c r="C5330" s="1110"/>
      <c r="D5330" s="1110"/>
      <c r="E5330" s="1110"/>
      <c r="F5330" s="1110"/>
      <c r="G5330" s="1110"/>
      <c r="H5330" s="1110"/>
      <c r="I5330" s="1110"/>
      <c r="J5330" s="1110"/>
      <c r="K5330" s="1110"/>
      <c r="L5330" s="1110"/>
      <c r="M5330" s="1110"/>
      <c r="N5330" s="1111"/>
    </row>
    <row r="5331" spans="2:16">
      <c r="B5331" s="1130" t="s">
        <v>277</v>
      </c>
      <c r="C5331" s="1139"/>
      <c r="D5331" s="1139"/>
      <c r="E5331" s="1139"/>
      <c r="F5331" s="1139"/>
      <c r="G5331" s="1139"/>
      <c r="H5331" s="1139"/>
      <c r="I5331" s="288" t="s">
        <v>278</v>
      </c>
      <c r="J5331" s="306" t="s">
        <v>279</v>
      </c>
      <c r="K5331" s="307" t="s">
        <v>280</v>
      </c>
      <c r="L5331" s="1133" t="s">
        <v>281</v>
      </c>
      <c r="M5331" s="1136"/>
      <c r="N5331" s="289" t="s">
        <v>265</v>
      </c>
    </row>
    <row r="5332" spans="2:16" ht="13.5" thickBot="1">
      <c r="B5332" s="1112"/>
      <c r="C5332" s="1113"/>
      <c r="D5332" s="1113"/>
      <c r="E5332" s="1113"/>
      <c r="F5332" s="1113"/>
      <c r="G5332" s="1113"/>
      <c r="H5332" s="1113"/>
      <c r="I5332" s="393"/>
      <c r="J5332" s="309"/>
      <c r="K5332" s="308"/>
      <c r="L5332" s="1144"/>
      <c r="M5332" s="1145"/>
      <c r="N5332" s="363"/>
    </row>
    <row r="5333" spans="2:16" ht="13.5" thickBot="1">
      <c r="B5333" s="1100" t="s">
        <v>269</v>
      </c>
      <c r="C5333" s="1101"/>
      <c r="D5333" s="1101"/>
      <c r="E5333" s="1101"/>
      <c r="F5333" s="1101"/>
      <c r="G5333" s="1101"/>
      <c r="H5333" s="1101"/>
      <c r="I5333" s="1101"/>
      <c r="J5333" s="1101"/>
      <c r="K5333" s="1101"/>
      <c r="L5333" s="1101"/>
      <c r="M5333" s="1102"/>
      <c r="N5333" s="323">
        <f>+N5332</f>
        <v>0</v>
      </c>
    </row>
    <row r="5334" spans="2:16">
      <c r="B5334" s="1103" t="s">
        <v>282</v>
      </c>
      <c r="C5334" s="1104"/>
      <c r="D5334" s="1104"/>
      <c r="E5334" s="1104"/>
      <c r="F5334" s="1104"/>
      <c r="G5334" s="1104"/>
      <c r="H5334" s="1104"/>
      <c r="I5334" s="1104"/>
      <c r="J5334" s="1104"/>
      <c r="K5334" s="1104"/>
      <c r="L5334" s="1104"/>
      <c r="M5334" s="1104"/>
      <c r="N5334" s="1105"/>
    </row>
    <row r="5335" spans="2:16">
      <c r="B5335" s="1106"/>
      <c r="C5335" s="1107"/>
      <c r="D5335" s="1107"/>
      <c r="E5335" s="1107"/>
      <c r="F5335" s="1107"/>
      <c r="G5335" s="1107"/>
      <c r="H5335" s="1107"/>
      <c r="I5335" s="1107"/>
      <c r="J5335" s="1107"/>
      <c r="K5335" s="1107"/>
      <c r="L5335" s="1107"/>
      <c r="M5335" s="1107"/>
      <c r="N5335" s="1108"/>
    </row>
    <row r="5336" spans="2:16" ht="13.5" thickBot="1">
      <c r="B5336" s="1109"/>
      <c r="C5336" s="1110"/>
      <c r="D5336" s="1110"/>
      <c r="E5336" s="1110"/>
      <c r="F5336" s="1110"/>
      <c r="G5336" s="1110"/>
      <c r="H5336" s="1110"/>
      <c r="I5336" s="1110"/>
      <c r="J5336" s="1110"/>
      <c r="K5336" s="1110"/>
      <c r="L5336" s="1110"/>
      <c r="M5336" s="1110"/>
      <c r="N5336" s="1111"/>
    </row>
    <row r="5337" spans="2:16">
      <c r="B5337" s="1130" t="s">
        <v>283</v>
      </c>
      <c r="C5337" s="1139"/>
      <c r="D5337" s="1139"/>
      <c r="E5337" s="1139"/>
      <c r="F5337" s="1139"/>
      <c r="G5337" s="1139"/>
      <c r="H5337" s="1139"/>
      <c r="I5337" s="288" t="s">
        <v>284</v>
      </c>
      <c r="J5337" s="314" t="s">
        <v>285</v>
      </c>
      <c r="K5337" s="315" t="s">
        <v>286</v>
      </c>
      <c r="L5337" s="1140" t="s">
        <v>264</v>
      </c>
      <c r="M5337" s="1141"/>
      <c r="N5337" s="316" t="s">
        <v>265</v>
      </c>
    </row>
    <row r="5338" spans="2:16" ht="13.5" thickBot="1">
      <c r="B5338" s="317" t="s">
        <v>322</v>
      </c>
      <c r="C5338" s="318"/>
      <c r="D5338" s="318"/>
      <c r="E5338" s="318"/>
      <c r="F5338" s="318"/>
      <c r="G5338" s="318"/>
      <c r="H5338" s="318"/>
      <c r="I5338" s="319">
        <v>153482</v>
      </c>
      <c r="J5338" s="321">
        <v>0</v>
      </c>
      <c r="K5338" s="321">
        <f>+I5338+J5338</f>
        <v>153482</v>
      </c>
      <c r="L5338" s="1157">
        <v>20</v>
      </c>
      <c r="M5338" s="1158"/>
      <c r="N5338" s="322">
        <f>+K5338/L5338</f>
        <v>7674.1</v>
      </c>
    </row>
    <row r="5339" spans="2:16" ht="13.5" thickBot="1">
      <c r="B5339" s="1100" t="s">
        <v>269</v>
      </c>
      <c r="C5339" s="1101"/>
      <c r="D5339" s="1101"/>
      <c r="E5339" s="1101"/>
      <c r="F5339" s="1101"/>
      <c r="G5339" s="1101"/>
      <c r="H5339" s="1101"/>
      <c r="I5339" s="1101"/>
      <c r="J5339" s="1101"/>
      <c r="K5339" s="1101"/>
      <c r="L5339" s="1101"/>
      <c r="M5339" s="1102"/>
      <c r="N5339" s="322">
        <f>+N5338</f>
        <v>7674.1</v>
      </c>
    </row>
    <row r="5340" spans="2:16" ht="13.5" thickBot="1">
      <c r="B5340" s="324" t="s">
        <v>288</v>
      </c>
      <c r="C5340" s="325"/>
      <c r="D5340" s="325"/>
      <c r="E5340" s="325"/>
      <c r="F5340" s="325"/>
      <c r="G5340" s="325"/>
      <c r="H5340" s="325"/>
      <c r="I5340" s="326"/>
      <c r="J5340" s="327"/>
      <c r="K5340" s="328"/>
      <c r="L5340" s="329"/>
      <c r="M5340" s="329"/>
      <c r="N5340" s="330"/>
    </row>
    <row r="5341" spans="2:16">
      <c r="B5341" s="1130" t="s">
        <v>17</v>
      </c>
      <c r="C5341" s="1139"/>
      <c r="D5341" s="1139"/>
      <c r="E5341" s="1139"/>
      <c r="F5341" s="1139"/>
      <c r="G5341" s="1139"/>
      <c r="H5341" s="1139"/>
      <c r="I5341" s="1136"/>
      <c r="J5341" s="299" t="s">
        <v>259</v>
      </c>
      <c r="K5341" s="288" t="s">
        <v>133</v>
      </c>
      <c r="L5341" s="1133" t="s">
        <v>271</v>
      </c>
      <c r="M5341" s="1136"/>
      <c r="N5341" s="316" t="s">
        <v>265</v>
      </c>
    </row>
    <row r="5342" spans="2:16" ht="13.5" thickBot="1">
      <c r="B5342" s="331" t="s">
        <v>289</v>
      </c>
      <c r="C5342" s="332"/>
      <c r="D5342" s="332"/>
      <c r="E5342" s="332"/>
      <c r="F5342" s="332"/>
      <c r="G5342" s="332"/>
      <c r="H5342" s="332"/>
      <c r="I5342" s="333"/>
      <c r="J5342" s="334" t="s">
        <v>290</v>
      </c>
      <c r="K5342" s="335">
        <v>0.05</v>
      </c>
      <c r="L5342" s="1144">
        <f>+N5339</f>
        <v>7674.1</v>
      </c>
      <c r="M5342" s="1145"/>
      <c r="N5342" s="322">
        <f>+K5342*L5342</f>
        <v>383.70500000000004</v>
      </c>
    </row>
    <row r="5343" spans="2:16" ht="13.5" thickBot="1">
      <c r="B5343" s="1100" t="s">
        <v>269</v>
      </c>
      <c r="C5343" s="1101"/>
      <c r="D5343" s="1101"/>
      <c r="E5343" s="1101"/>
      <c r="F5343" s="1101"/>
      <c r="G5343" s="1101"/>
      <c r="H5343" s="1101"/>
      <c r="I5343" s="1101"/>
      <c r="J5343" s="1101"/>
      <c r="K5343" s="1101"/>
      <c r="L5343" s="1101"/>
      <c r="M5343" s="1102"/>
      <c r="N5343" s="322">
        <f>+N5342</f>
        <v>383.70500000000004</v>
      </c>
      <c r="P5343" s="408">
        <v>5243100</v>
      </c>
    </row>
    <row r="5344" spans="2:16" ht="13.5" thickBot="1">
      <c r="B5344" s="1100"/>
      <c r="C5344" s="1101"/>
      <c r="D5344" s="1101"/>
      <c r="E5344" s="1101"/>
      <c r="F5344" s="1101"/>
      <c r="G5344" s="1101"/>
      <c r="H5344" s="1101"/>
      <c r="I5344" s="1101"/>
      <c r="J5344" s="1101"/>
      <c r="K5344" s="1101"/>
      <c r="L5344" s="1101"/>
      <c r="M5344" s="1102"/>
      <c r="N5344" s="322"/>
    </row>
    <row r="5345" spans="2:17" ht="13.5" thickBot="1">
      <c r="B5345" s="1150" t="s">
        <v>291</v>
      </c>
      <c r="C5345" s="1151"/>
      <c r="D5345" s="1151"/>
      <c r="E5345" s="1151"/>
      <c r="F5345" s="1151"/>
      <c r="G5345" s="1151"/>
      <c r="H5345" s="1151"/>
      <c r="I5345" s="1151"/>
      <c r="J5345" s="1151"/>
      <c r="K5345" s="1151"/>
      <c r="L5345" s="1151"/>
      <c r="M5345" s="1152"/>
      <c r="N5345" s="336">
        <f>+N5320+N5327+N5333+N5339+N5343</f>
        <v>52430.905000000006</v>
      </c>
      <c r="P5345" s="409">
        <f>+N5345*N5314</f>
        <v>5243090.5000000009</v>
      </c>
      <c r="Q5345" s="413">
        <f>+P5345-P5343</f>
        <v>-9.4999999990686774</v>
      </c>
    </row>
    <row r="5346" spans="2:17">
      <c r="B5346" s="1103" t="s">
        <v>292</v>
      </c>
      <c r="C5346" s="1104"/>
      <c r="D5346" s="1104"/>
      <c r="E5346" s="1104"/>
      <c r="F5346" s="1104"/>
      <c r="G5346" s="1104"/>
      <c r="H5346" s="1104"/>
      <c r="I5346" s="1104"/>
      <c r="J5346" s="1104"/>
      <c r="K5346" s="1104"/>
      <c r="L5346" s="1104"/>
      <c r="M5346" s="1104"/>
      <c r="N5346" s="1105"/>
    </row>
    <row r="5347" spans="2:17">
      <c r="B5347" s="1106"/>
      <c r="C5347" s="1107"/>
      <c r="D5347" s="1107"/>
      <c r="E5347" s="1107"/>
      <c r="F5347" s="1107"/>
      <c r="G5347" s="1107"/>
      <c r="H5347" s="1107"/>
      <c r="I5347" s="1107"/>
      <c r="J5347" s="1107"/>
      <c r="K5347" s="1107"/>
      <c r="L5347" s="1107"/>
      <c r="M5347" s="1107"/>
      <c r="N5347" s="1108"/>
    </row>
    <row r="5348" spans="2:17" ht="13.5" thickBot="1">
      <c r="B5348" s="1109"/>
      <c r="C5348" s="1110"/>
      <c r="D5348" s="1110"/>
      <c r="E5348" s="1110"/>
      <c r="F5348" s="1110"/>
      <c r="G5348" s="1110"/>
      <c r="H5348" s="1110"/>
      <c r="I5348" s="1110"/>
      <c r="J5348" s="1110"/>
      <c r="K5348" s="1110"/>
      <c r="L5348" s="1110"/>
      <c r="M5348" s="1110"/>
      <c r="N5348" s="1111"/>
    </row>
    <row r="5349" spans="2:17">
      <c r="B5349" s="1130" t="s">
        <v>17</v>
      </c>
      <c r="C5349" s="1139"/>
      <c r="D5349" s="1139"/>
      <c r="E5349" s="1139"/>
      <c r="F5349" s="1139"/>
      <c r="G5349" s="1139"/>
      <c r="H5349" s="1139"/>
      <c r="I5349" s="306"/>
      <c r="J5349" s="337"/>
      <c r="K5349" s="315" t="s">
        <v>79</v>
      </c>
      <c r="L5349" s="1140" t="s">
        <v>11</v>
      </c>
      <c r="M5349" s="1141"/>
      <c r="N5349" s="316"/>
    </row>
    <row r="5350" spans="2:17">
      <c r="B5350" s="1112" t="s">
        <v>232</v>
      </c>
      <c r="C5350" s="1113"/>
      <c r="D5350" s="1113"/>
      <c r="E5350" s="1113"/>
      <c r="F5350" s="1113"/>
      <c r="G5350" s="1113"/>
      <c r="H5350" s="1113"/>
      <c r="I5350" s="338"/>
      <c r="J5350" s="339"/>
      <c r="K5350" s="340">
        <f>'PRESUPUESTO OFICIAL'!$K$100</f>
        <v>0</v>
      </c>
      <c r="L5350" s="1146">
        <f>K5350*N5345</f>
        <v>0</v>
      </c>
      <c r="M5350" s="1147"/>
      <c r="N5350" s="341"/>
    </row>
    <row r="5351" spans="2:17">
      <c r="B5351" s="292" t="s">
        <v>293</v>
      </c>
      <c r="C5351" s="293"/>
      <c r="D5351" s="293"/>
      <c r="E5351" s="293"/>
      <c r="F5351" s="293"/>
      <c r="G5351" s="293"/>
      <c r="H5351" s="293"/>
      <c r="I5351" s="338"/>
      <c r="J5351" s="339"/>
      <c r="K5351" s="340">
        <f>'PRESUPUESTO OFICIAL'!$K$101</f>
        <v>0</v>
      </c>
      <c r="L5351" s="1146">
        <f>K5351*N5345</f>
        <v>0</v>
      </c>
      <c r="M5351" s="1147"/>
      <c r="N5351" s="341"/>
    </row>
    <row r="5352" spans="2:17" ht="13.5" thickBot="1">
      <c r="B5352" s="277" t="s">
        <v>294</v>
      </c>
      <c r="C5352" s="278"/>
      <c r="D5352" s="278"/>
      <c r="E5352" s="278"/>
      <c r="F5352" s="278"/>
      <c r="G5352" s="278"/>
      <c r="H5352" s="278"/>
      <c r="I5352" s="342"/>
      <c r="J5352" s="343"/>
      <c r="K5352" s="340">
        <f>'PRESUPUESTO OFICIAL'!$K$102</f>
        <v>0</v>
      </c>
      <c r="L5352" s="1148">
        <f>K5352*N5345</f>
        <v>0</v>
      </c>
      <c r="M5352" s="1149"/>
      <c r="N5352" s="341"/>
    </row>
    <row r="5353" spans="2:17" ht="13.5" thickBot="1">
      <c r="B5353" s="1100" t="s">
        <v>269</v>
      </c>
      <c r="C5353" s="1101"/>
      <c r="D5353" s="1101"/>
      <c r="E5353" s="1101"/>
      <c r="F5353" s="1101"/>
      <c r="G5353" s="1101"/>
      <c r="H5353" s="1101"/>
      <c r="I5353" s="1101"/>
      <c r="J5353" s="1101"/>
      <c r="K5353" s="1101"/>
      <c r="L5353" s="1101"/>
      <c r="M5353" s="1102"/>
      <c r="N5353" s="344">
        <f>SUM(L5350:M5352)</f>
        <v>0</v>
      </c>
    </row>
    <row r="5354" spans="2:17" ht="13.5" thickBot="1">
      <c r="B5354" s="283"/>
      <c r="N5354" s="284"/>
    </row>
    <row r="5355" spans="2:17" ht="13.5" thickBot="1">
      <c r="B5355" s="1150" t="s">
        <v>295</v>
      </c>
      <c r="C5355" s="1151"/>
      <c r="D5355" s="1151"/>
      <c r="E5355" s="1151"/>
      <c r="F5355" s="1151"/>
      <c r="G5355" s="1151"/>
      <c r="H5355" s="1151"/>
      <c r="I5355" s="1151"/>
      <c r="J5355" s="1151"/>
      <c r="K5355" s="1151"/>
      <c r="L5355" s="1151"/>
      <c r="M5355" s="1152"/>
      <c r="N5355" s="345">
        <f>ROUND(N5345+N5353,0)</f>
        <v>52431</v>
      </c>
    </row>
    <row r="5356" spans="2:17">
      <c r="B5356" s="280"/>
      <c r="C5356" s="281"/>
      <c r="D5356" s="281"/>
      <c r="E5356" s="281"/>
      <c r="F5356" s="281"/>
      <c r="G5356" s="281"/>
      <c r="H5356" s="281"/>
      <c r="I5356" s="281"/>
      <c r="J5356" s="281"/>
      <c r="K5356" s="281"/>
      <c r="L5356" s="281"/>
      <c r="M5356" s="281"/>
      <c r="N5356" s="282"/>
    </row>
    <row r="5357" spans="2:17">
      <c r="B5357" s="283"/>
      <c r="N5357" s="284"/>
    </row>
    <row r="5358" spans="2:17">
      <c r="B5358" s="283"/>
      <c r="N5358" s="284"/>
    </row>
    <row r="5359" spans="2:17">
      <c r="B5359" s="283"/>
      <c r="G5359" s="346" t="s">
        <v>296</v>
      </c>
      <c r="H5359" s="346"/>
      <c r="I5359" s="346"/>
      <c r="J5359" s="346"/>
      <c r="N5359" s="284"/>
    </row>
    <row r="5360" spans="2:17">
      <c r="B5360" s="347"/>
      <c r="C5360" s="348"/>
      <c r="D5360" s="348"/>
      <c r="E5360" s="348"/>
      <c r="F5360" s="348"/>
      <c r="G5360" s="346" t="s">
        <v>297</v>
      </c>
      <c r="H5360" s="348"/>
      <c r="I5360" s="348"/>
      <c r="J5360" s="348"/>
      <c r="K5360" s="348"/>
      <c r="L5360" s="348"/>
      <c r="M5360" s="348"/>
      <c r="N5360" s="349"/>
    </row>
    <row r="5361" spans="2:14">
      <c r="B5361" s="347"/>
      <c r="C5361" s="348"/>
      <c r="D5361" s="348"/>
      <c r="E5361" s="348"/>
      <c r="F5361" s="348"/>
      <c r="G5361" s="346" t="s">
        <v>298</v>
      </c>
      <c r="J5361" s="348"/>
      <c r="K5361" s="348"/>
      <c r="L5361" s="348"/>
      <c r="M5361" s="348"/>
      <c r="N5361" s="349"/>
    </row>
    <row r="5362" spans="2:14">
      <c r="B5362" s="268"/>
      <c r="C5362" s="350"/>
      <c r="D5362" s="350"/>
      <c r="E5362" s="350"/>
      <c r="F5362" s="350"/>
      <c r="G5362" s="346" t="s">
        <v>299</v>
      </c>
      <c r="H5362" s="350"/>
      <c r="I5362" s="350"/>
      <c r="J5362" s="350"/>
      <c r="K5362" s="350"/>
      <c r="L5362" s="350"/>
      <c r="M5362" s="350"/>
      <c r="N5362" s="351"/>
    </row>
    <row r="5363" spans="2:14">
      <c r="B5363" s="283"/>
      <c r="G5363" s="258" t="s">
        <v>300</v>
      </c>
      <c r="N5363" s="284"/>
    </row>
    <row r="5364" spans="2:14">
      <c r="B5364" s="352" t="s">
        <v>301</v>
      </c>
      <c r="C5364" s="353"/>
      <c r="D5364" s="353"/>
      <c r="E5364" s="353"/>
      <c r="F5364" s="353"/>
      <c r="G5364" s="353"/>
      <c r="H5364" s="353"/>
      <c r="I5364" s="353"/>
      <c r="J5364" s="353"/>
      <c r="K5364" s="353"/>
      <c r="L5364" s="353"/>
      <c r="M5364" s="353"/>
      <c r="N5364" s="354"/>
    </row>
    <row r="5365" spans="2:14">
      <c r="B5365" s="1153"/>
      <c r="C5365" s="1154"/>
      <c r="D5365" s="1154"/>
      <c r="E5365" s="1154"/>
      <c r="F5365" s="1154"/>
      <c r="G5365" s="1154"/>
      <c r="H5365" s="1154"/>
      <c r="I5365" s="1154"/>
      <c r="J5365" s="1154"/>
      <c r="K5365" s="1154"/>
      <c r="L5365" s="1154"/>
      <c r="M5365" s="1154"/>
      <c r="N5365" s="1155"/>
    </row>
    <row r="5366" spans="2:14">
      <c r="B5366" s="1153"/>
      <c r="C5366" s="1154"/>
      <c r="D5366" s="1154"/>
      <c r="E5366" s="1154"/>
      <c r="F5366" s="1154"/>
      <c r="G5366" s="1154"/>
      <c r="H5366" s="1154"/>
      <c r="I5366" s="1154"/>
      <c r="J5366" s="1154"/>
      <c r="K5366" s="1154"/>
      <c r="L5366" s="1154"/>
      <c r="M5366" s="1154"/>
      <c r="N5366" s="1155"/>
    </row>
    <row r="5367" spans="2:14">
      <c r="B5367" s="268"/>
      <c r="C5367" s="350"/>
      <c r="D5367" s="350"/>
      <c r="E5367" s="350"/>
      <c r="F5367" s="350"/>
      <c r="G5367" s="350"/>
      <c r="H5367" s="350"/>
      <c r="I5367" s="350"/>
      <c r="J5367" s="350"/>
      <c r="K5367" s="350"/>
      <c r="L5367" s="350"/>
      <c r="M5367" s="350"/>
      <c r="N5367" s="351"/>
    </row>
    <row r="5368" spans="2:14">
      <c r="B5368" s="355" t="s">
        <v>302</v>
      </c>
      <c r="C5368" s="350"/>
      <c r="D5368" s="350"/>
      <c r="E5368" s="350"/>
      <c r="F5368" s="350"/>
      <c r="G5368" s="350"/>
      <c r="H5368" s="350"/>
      <c r="I5368" s="350"/>
      <c r="J5368" s="350"/>
      <c r="K5368" s="350"/>
      <c r="L5368" s="350"/>
      <c r="M5368" s="350"/>
      <c r="N5368" s="351"/>
    </row>
    <row r="5369" spans="2:14">
      <c r="B5369" s="1159" t="s">
        <v>303</v>
      </c>
      <c r="C5369" s="1160"/>
      <c r="D5369" s="1160"/>
      <c r="E5369" s="1160"/>
      <c r="F5369" s="1160"/>
      <c r="G5369" s="1160"/>
      <c r="H5369" s="1160"/>
      <c r="I5369" s="1160"/>
      <c r="J5369" s="1160"/>
      <c r="K5369" s="1160"/>
      <c r="L5369" s="1160"/>
      <c r="M5369" s="1160"/>
      <c r="N5369" s="1161"/>
    </row>
    <row r="5370" spans="2:14">
      <c r="B5370" s="1159"/>
      <c r="C5370" s="1160"/>
      <c r="D5370" s="1160"/>
      <c r="E5370" s="1160"/>
      <c r="F5370" s="1160"/>
      <c r="G5370" s="1160"/>
      <c r="H5370" s="1160"/>
      <c r="I5370" s="1160"/>
      <c r="J5370" s="1160"/>
      <c r="K5370" s="1160"/>
      <c r="L5370" s="1160"/>
      <c r="M5370" s="1160"/>
      <c r="N5370" s="1161"/>
    </row>
    <row r="5371" spans="2:14">
      <c r="B5371" s="1159" t="s">
        <v>304</v>
      </c>
      <c r="C5371" s="1160"/>
      <c r="D5371" s="1160"/>
      <c r="E5371" s="1160"/>
      <c r="F5371" s="1160"/>
      <c r="G5371" s="1160"/>
      <c r="H5371" s="1160"/>
      <c r="I5371" s="1160"/>
      <c r="J5371" s="1160"/>
      <c r="K5371" s="1160"/>
      <c r="L5371" s="1160"/>
      <c r="M5371" s="1160"/>
      <c r="N5371" s="1161"/>
    </row>
    <row r="5372" spans="2:14">
      <c r="B5372" s="1159"/>
      <c r="C5372" s="1160"/>
      <c r="D5372" s="1160"/>
      <c r="E5372" s="1160"/>
      <c r="F5372" s="1160"/>
      <c r="G5372" s="1160"/>
      <c r="H5372" s="1160"/>
      <c r="I5372" s="1160"/>
      <c r="J5372" s="1160"/>
      <c r="K5372" s="1160"/>
      <c r="L5372" s="1160"/>
      <c r="M5372" s="1160"/>
      <c r="N5372" s="1161"/>
    </row>
    <row r="5373" spans="2:14">
      <c r="B5373" s="268"/>
      <c r="C5373" s="350"/>
      <c r="D5373" s="350"/>
      <c r="E5373" s="350"/>
      <c r="F5373" s="350"/>
      <c r="G5373" s="350"/>
      <c r="H5373" s="350"/>
      <c r="I5373" s="350"/>
      <c r="J5373" s="350"/>
      <c r="K5373" s="350"/>
      <c r="L5373" s="350"/>
      <c r="M5373" s="350"/>
      <c r="N5373" s="351"/>
    </row>
    <row r="5374" spans="2:14">
      <c r="B5374" s="283"/>
      <c r="G5374" s="346" t="s">
        <v>296</v>
      </c>
      <c r="N5374" s="284"/>
    </row>
    <row r="5375" spans="2:14">
      <c r="B5375" s="283"/>
      <c r="G5375" s="258" t="s">
        <v>305</v>
      </c>
      <c r="H5375" s="293"/>
      <c r="I5375" s="293"/>
      <c r="J5375" s="293"/>
      <c r="N5375" s="284"/>
    </row>
    <row r="5376" spans="2:14">
      <c r="B5376" s="283"/>
      <c r="G5376" s="258" t="s">
        <v>306</v>
      </c>
      <c r="H5376" s="325"/>
      <c r="I5376" s="325"/>
      <c r="J5376" s="325"/>
      <c r="N5376" s="284"/>
    </row>
    <row r="5377" spans="2:14">
      <c r="B5377" s="356"/>
      <c r="C5377" s="350"/>
      <c r="D5377" s="350"/>
      <c r="E5377" s="350"/>
      <c r="F5377" s="350"/>
      <c r="G5377" s="258" t="s">
        <v>299</v>
      </c>
      <c r="K5377" s="350"/>
      <c r="L5377" s="350"/>
      <c r="M5377" s="350"/>
      <c r="N5377" s="351"/>
    </row>
    <row r="5378" spans="2:14">
      <c r="B5378" s="357"/>
      <c r="C5378" s="358"/>
      <c r="D5378" s="358"/>
      <c r="J5378" s="1162"/>
      <c r="K5378" s="1162"/>
      <c r="L5378" s="1162"/>
      <c r="M5378" s="1162"/>
      <c r="N5378" s="1163"/>
    </row>
    <row r="5379" spans="2:14" ht="13.5" thickBot="1">
      <c r="B5379" s="1166"/>
      <c r="C5379" s="1167"/>
      <c r="D5379" s="1167"/>
      <c r="E5379" s="311"/>
      <c r="F5379" s="311"/>
      <c r="G5379" s="311"/>
      <c r="H5379" s="311"/>
      <c r="I5379" s="311"/>
      <c r="J5379" s="1164"/>
      <c r="K5379" s="1164"/>
      <c r="L5379" s="1164"/>
      <c r="M5379" s="1164"/>
      <c r="N5379" s="1165"/>
    </row>
    <row r="5380" spans="2:14" ht="13.5" thickBot="1"/>
    <row r="5381" spans="2:14">
      <c r="B5381" s="1070"/>
      <c r="C5381" s="1072"/>
      <c r="D5381" s="1073"/>
      <c r="E5381" s="1073"/>
      <c r="F5381" s="1073"/>
      <c r="G5381" s="1073"/>
      <c r="H5381" s="1073"/>
      <c r="I5381" s="1073"/>
      <c r="J5381" s="1074"/>
      <c r="K5381" s="1075"/>
      <c r="L5381" s="1076"/>
      <c r="M5381" s="1076"/>
      <c r="N5381" s="1077"/>
    </row>
    <row r="5382" spans="2:14">
      <c r="B5382" s="1071"/>
      <c r="C5382" s="1062" t="s">
        <v>244</v>
      </c>
      <c r="D5382" s="1063"/>
      <c r="E5382" s="1063"/>
      <c r="F5382" s="1063"/>
      <c r="G5382" s="1063"/>
      <c r="H5382" s="1063"/>
      <c r="I5382" s="1063"/>
      <c r="J5382" s="1064"/>
      <c r="K5382" s="1078"/>
      <c r="L5382" s="1079"/>
      <c r="M5382" s="1079"/>
      <c r="N5382" s="1080"/>
    </row>
    <row r="5383" spans="2:14">
      <c r="B5383" s="1071"/>
      <c r="C5383" s="1081"/>
      <c r="D5383" s="1082"/>
      <c r="E5383" s="1082"/>
      <c r="F5383" s="1082"/>
      <c r="G5383" s="1082"/>
      <c r="H5383" s="1082"/>
      <c r="I5383" s="1082"/>
      <c r="J5383" s="1083"/>
      <c r="K5383" s="1058" t="s">
        <v>245</v>
      </c>
      <c r="L5383" s="1085"/>
      <c r="M5383" s="1086"/>
      <c r="N5383" s="1087"/>
    </row>
    <row r="5384" spans="2:14">
      <c r="B5384" s="1071"/>
      <c r="C5384" s="1062" t="s">
        <v>246</v>
      </c>
      <c r="D5384" s="1063"/>
      <c r="E5384" s="1063"/>
      <c r="F5384" s="1063"/>
      <c r="G5384" s="1063"/>
      <c r="H5384" s="1063"/>
      <c r="I5384" s="1063"/>
      <c r="J5384" s="1064"/>
      <c r="K5384" s="1084"/>
      <c r="L5384" s="1088"/>
      <c r="M5384" s="1089"/>
      <c r="N5384" s="1090"/>
    </row>
    <row r="5385" spans="2:14">
      <c r="B5385" s="1071"/>
      <c r="C5385" s="1091"/>
      <c r="D5385" s="1092"/>
      <c r="E5385" s="1092"/>
      <c r="F5385" s="1092"/>
      <c r="G5385" s="1092"/>
      <c r="H5385" s="1092"/>
      <c r="I5385" s="1092"/>
      <c r="J5385" s="1093"/>
      <c r="K5385" s="1058" t="s">
        <v>247</v>
      </c>
      <c r="L5385" s="1058">
        <v>61</v>
      </c>
      <c r="M5385" s="1058" t="s">
        <v>248</v>
      </c>
      <c r="N5385" s="1060">
        <v>80</v>
      </c>
    </row>
    <row r="5386" spans="2:14">
      <c r="B5386" s="1071"/>
      <c r="C5386" s="1091"/>
      <c r="D5386" s="1092"/>
      <c r="E5386" s="1092"/>
      <c r="F5386" s="1092"/>
      <c r="G5386" s="1092"/>
      <c r="H5386" s="1092"/>
      <c r="I5386" s="1092"/>
      <c r="J5386" s="1093"/>
      <c r="K5386" s="1059"/>
      <c r="L5386" s="1059"/>
      <c r="M5386" s="1059"/>
      <c r="N5386" s="1061"/>
    </row>
    <row r="5387" spans="2:14">
      <c r="B5387" s="1071"/>
      <c r="C5387" s="1062" t="s">
        <v>249</v>
      </c>
      <c r="D5387" s="1063"/>
      <c r="E5387" s="1063"/>
      <c r="F5387" s="1063"/>
      <c r="G5387" s="1063"/>
      <c r="H5387" s="1063"/>
      <c r="I5387" s="1063"/>
      <c r="J5387" s="1064"/>
      <c r="K5387" s="1059"/>
      <c r="L5387" s="1059"/>
      <c r="M5387" s="1059"/>
      <c r="N5387" s="1061"/>
    </row>
    <row r="5388" spans="2:14" ht="13.5" thickBot="1">
      <c r="B5388" s="259"/>
      <c r="C5388" s="260"/>
      <c r="D5388" s="260"/>
      <c r="E5388" s="260"/>
      <c r="F5388" s="260"/>
      <c r="G5388" s="260"/>
      <c r="H5388" s="260"/>
      <c r="I5388" s="260"/>
      <c r="J5388" s="260"/>
      <c r="K5388" s="260"/>
      <c r="L5388" s="261"/>
      <c r="M5388" s="261"/>
      <c r="N5388" s="262"/>
    </row>
    <row r="5389" spans="2:14">
      <c r="B5389" s="263"/>
      <c r="C5389" s="264"/>
      <c r="D5389" s="264"/>
      <c r="E5389" s="264"/>
      <c r="F5389" s="264"/>
      <c r="G5389" s="264"/>
      <c r="H5389" s="264"/>
      <c r="I5389" s="264"/>
      <c r="J5389" s="264"/>
      <c r="K5389" s="265" t="s">
        <v>250</v>
      </c>
      <c r="L5389" s="266" t="s">
        <v>251</v>
      </c>
      <c r="M5389" s="266" t="s">
        <v>252</v>
      </c>
      <c r="N5389" s="267" t="s">
        <v>253</v>
      </c>
    </row>
    <row r="5390" spans="2:14">
      <c r="B5390" s="268"/>
      <c r="C5390" s="269"/>
      <c r="D5390" s="269"/>
      <c r="E5390" s="269"/>
      <c r="F5390" s="269"/>
      <c r="G5390" s="269"/>
      <c r="H5390" s="269"/>
      <c r="I5390" s="269"/>
      <c r="J5390" s="269"/>
      <c r="K5390" s="270"/>
      <c r="L5390" s="271"/>
      <c r="M5390" s="271"/>
      <c r="N5390" s="272"/>
    </row>
    <row r="5391" spans="2:14">
      <c r="B5391" s="1065" t="s">
        <v>254</v>
      </c>
      <c r="C5391" s="1066"/>
      <c r="D5391" s="1066"/>
      <c r="E5391" s="1066"/>
      <c r="F5391" s="269"/>
      <c r="G5391" s="269"/>
      <c r="H5391" s="269" t="s">
        <v>255</v>
      </c>
      <c r="J5391" s="269"/>
      <c r="K5391" s="270"/>
      <c r="N5391" s="273"/>
    </row>
    <row r="5392" spans="2:14">
      <c r="B5392" s="274"/>
      <c r="C5392" s="275"/>
      <c r="D5392" s="275"/>
      <c r="E5392" s="275"/>
      <c r="F5392" s="275"/>
      <c r="G5392" s="275"/>
      <c r="H5392" s="275"/>
      <c r="I5392" s="275"/>
      <c r="J5392" s="275"/>
      <c r="K5392" s="275"/>
      <c r="L5392" s="275"/>
      <c r="M5392" s="275"/>
      <c r="N5392" s="276"/>
    </row>
    <row r="5393" spans="2:14" ht="13.5" thickBot="1">
      <c r="B5393" s="277"/>
      <c r="C5393" s="278"/>
      <c r="D5393" s="278"/>
      <c r="E5393" s="278"/>
      <c r="F5393" s="278"/>
      <c r="G5393" s="278"/>
      <c r="H5393" s="278"/>
      <c r="I5393" s="278"/>
      <c r="J5393" s="278"/>
      <c r="K5393" s="278"/>
      <c r="L5393" s="278"/>
      <c r="M5393" s="278"/>
      <c r="N5393" s="279"/>
    </row>
    <row r="5394" spans="2:14" ht="13.5" thickBot="1">
      <c r="B5394" s="280"/>
      <c r="C5394" s="281"/>
      <c r="D5394" s="281"/>
      <c r="E5394" s="281"/>
      <c r="F5394" s="281"/>
      <c r="G5394" s="281"/>
      <c r="J5394" s="281"/>
      <c r="K5394" s="281"/>
      <c r="L5394" s="281"/>
      <c r="M5394" s="281"/>
      <c r="N5394" s="282"/>
    </row>
    <row r="5395" spans="2:14">
      <c r="B5395" s="1067" t="s">
        <v>256</v>
      </c>
      <c r="C5395" s="1068"/>
      <c r="D5395" s="1068"/>
      <c r="E5395" s="1068"/>
      <c r="F5395" s="1068"/>
      <c r="G5395" s="1068"/>
      <c r="H5395" s="1068"/>
      <c r="I5395" s="1068"/>
      <c r="J5395" s="1068"/>
      <c r="K5395" s="1068"/>
      <c r="L5395" s="1068"/>
      <c r="M5395" s="1068"/>
      <c r="N5395" s="1069"/>
    </row>
    <row r="5396" spans="2:14" ht="13.5" thickBot="1">
      <c r="B5396" s="283"/>
      <c r="N5396" s="284"/>
    </row>
    <row r="5397" spans="2:14">
      <c r="B5397" s="285" t="s">
        <v>257</v>
      </c>
      <c r="C5397" s="1120" t="s">
        <v>258</v>
      </c>
      <c r="D5397" s="1121"/>
      <c r="E5397" s="1121"/>
      <c r="F5397" s="1121"/>
      <c r="G5397" s="1121"/>
      <c r="H5397" s="1121"/>
      <c r="I5397" s="1121"/>
      <c r="J5397" s="1121"/>
      <c r="K5397" s="1122"/>
      <c r="L5397" s="1123" t="s">
        <v>259</v>
      </c>
      <c r="M5397" s="1124"/>
      <c r="N5397" s="285" t="s">
        <v>133</v>
      </c>
    </row>
    <row r="5398" spans="2:14" ht="37.5" customHeight="1" thickBot="1">
      <c r="B5398" s="286">
        <v>61</v>
      </c>
      <c r="C5398" s="1125" t="s">
        <v>204</v>
      </c>
      <c r="D5398" s="1126"/>
      <c r="E5398" s="1126"/>
      <c r="F5398" s="1126"/>
      <c r="G5398" s="1126"/>
      <c r="H5398" s="1126"/>
      <c r="I5398" s="1126"/>
      <c r="J5398" s="1126"/>
      <c r="K5398" s="1127"/>
      <c r="L5398" s="1128" t="s">
        <v>147</v>
      </c>
      <c r="M5398" s="1129"/>
      <c r="N5398" s="366">
        <v>35</v>
      </c>
    </row>
    <row r="5399" spans="2:14">
      <c r="B5399" s="1103" t="s">
        <v>260</v>
      </c>
      <c r="C5399" s="1104"/>
      <c r="D5399" s="1104"/>
      <c r="E5399" s="1104"/>
      <c r="F5399" s="1104"/>
      <c r="G5399" s="1104"/>
      <c r="H5399" s="1104"/>
      <c r="I5399" s="1104"/>
      <c r="J5399" s="1104"/>
      <c r="K5399" s="1104"/>
      <c r="L5399" s="1104"/>
      <c r="M5399" s="1104"/>
      <c r="N5399" s="1105"/>
    </row>
    <row r="5400" spans="2:14">
      <c r="B5400" s="1106"/>
      <c r="C5400" s="1107"/>
      <c r="D5400" s="1107"/>
      <c r="E5400" s="1107"/>
      <c r="F5400" s="1107"/>
      <c r="G5400" s="1107"/>
      <c r="H5400" s="1107"/>
      <c r="I5400" s="1107"/>
      <c r="J5400" s="1107"/>
      <c r="K5400" s="1107"/>
      <c r="L5400" s="1107"/>
      <c r="M5400" s="1107"/>
      <c r="N5400" s="1108"/>
    </row>
    <row r="5401" spans="2:14" ht="13.5" thickBot="1">
      <c r="B5401" s="1109"/>
      <c r="C5401" s="1110"/>
      <c r="D5401" s="1110"/>
      <c r="E5401" s="1110"/>
      <c r="F5401" s="1110"/>
      <c r="G5401" s="1110"/>
      <c r="H5401" s="1110"/>
      <c r="I5401" s="1110"/>
      <c r="J5401" s="1110"/>
      <c r="K5401" s="1110"/>
      <c r="L5401" s="1110"/>
      <c r="M5401" s="1110"/>
      <c r="N5401" s="1111"/>
    </row>
    <row r="5402" spans="2:14">
      <c r="B5402" s="1130" t="s">
        <v>258</v>
      </c>
      <c r="C5402" s="1131"/>
      <c r="D5402" s="1131"/>
      <c r="E5402" s="1131"/>
      <c r="F5402" s="1132"/>
      <c r="G5402" s="1133" t="s">
        <v>261</v>
      </c>
      <c r="H5402" s="1131"/>
      <c r="I5402" s="1134" t="s">
        <v>262</v>
      </c>
      <c r="J5402" s="1135"/>
      <c r="K5402" s="288" t="s">
        <v>263</v>
      </c>
      <c r="L5402" s="1133" t="s">
        <v>264</v>
      </c>
      <c r="M5402" s="1136"/>
      <c r="N5402" s="289" t="s">
        <v>265</v>
      </c>
    </row>
    <row r="5403" spans="2:14">
      <c r="B5403" s="1179" t="s">
        <v>386</v>
      </c>
      <c r="C5403" s="1180"/>
      <c r="D5403" s="1180"/>
      <c r="E5403" s="1180"/>
      <c r="F5403" s="1181"/>
      <c r="G5403" s="295"/>
      <c r="H5403" s="294"/>
      <c r="I5403" s="1182" t="s">
        <v>267</v>
      </c>
      <c r="J5403" s="1183"/>
      <c r="K5403" s="290">
        <v>124950</v>
      </c>
      <c r="L5403" s="1118">
        <v>11.000011000000001</v>
      </c>
      <c r="M5403" s="1119"/>
      <c r="N5403" s="290">
        <f>+K5403/L5403</f>
        <v>11359.079550011358</v>
      </c>
    </row>
    <row r="5404" spans="2:14">
      <c r="B5404" s="1179" t="s">
        <v>387</v>
      </c>
      <c r="C5404" s="1180"/>
      <c r="D5404" s="1180"/>
      <c r="E5404" s="1180"/>
      <c r="F5404" s="1181"/>
      <c r="G5404" s="295"/>
      <c r="H5404" s="294"/>
      <c r="I5404" s="1182" t="s">
        <v>267</v>
      </c>
      <c r="J5404" s="1183"/>
      <c r="K5404" s="290">
        <v>109480</v>
      </c>
      <c r="L5404" s="1118">
        <v>11.000011000000001</v>
      </c>
      <c r="M5404" s="1119"/>
      <c r="N5404" s="290">
        <f>+K5404/L5404</f>
        <v>9952.7173200099514</v>
      </c>
    </row>
    <row r="5405" spans="2:14">
      <c r="B5405" s="1179" t="s">
        <v>388</v>
      </c>
      <c r="C5405" s="1180"/>
      <c r="D5405" s="1180"/>
      <c r="E5405" s="1180"/>
      <c r="F5405" s="1181"/>
      <c r="G5405" s="295"/>
      <c r="H5405" s="294"/>
      <c r="I5405" s="1182" t="s">
        <v>267</v>
      </c>
      <c r="J5405" s="1183"/>
      <c r="K5405" s="290">
        <v>125280</v>
      </c>
      <c r="L5405" s="1118">
        <v>11.000011000000001</v>
      </c>
      <c r="M5405" s="1119"/>
      <c r="N5405" s="290">
        <f>+K5405/L5405</f>
        <v>11389.079520011388</v>
      </c>
    </row>
    <row r="5406" spans="2:14">
      <c r="B5406" s="1179" t="s">
        <v>389</v>
      </c>
      <c r="C5406" s="1180"/>
      <c r="D5406" s="1180"/>
      <c r="E5406" s="1180"/>
      <c r="F5406" s="1181"/>
      <c r="G5406" s="295"/>
      <c r="H5406" s="294"/>
      <c r="I5406" s="1182" t="s">
        <v>267</v>
      </c>
      <c r="J5406" s="1183"/>
      <c r="K5406" s="290">
        <v>214200</v>
      </c>
      <c r="L5406" s="1118">
        <v>11.000011000000001</v>
      </c>
      <c r="M5406" s="1119"/>
      <c r="N5406" s="290">
        <f>+K5406/L5406</f>
        <v>19472.707800019471</v>
      </c>
    </row>
    <row r="5407" spans="2:14" ht="13.5" thickBot="1">
      <c r="B5407" s="1179" t="s">
        <v>316</v>
      </c>
      <c r="C5407" s="1180"/>
      <c r="D5407" s="1180"/>
      <c r="E5407" s="1180"/>
      <c r="F5407" s="1181"/>
      <c r="G5407" s="295"/>
      <c r="H5407" s="294"/>
      <c r="I5407" s="1182" t="s">
        <v>267</v>
      </c>
      <c r="J5407" s="1183"/>
      <c r="K5407" s="290">
        <v>122808</v>
      </c>
      <c r="L5407" s="1118">
        <v>11.000011000000001</v>
      </c>
      <c r="M5407" s="1119"/>
      <c r="N5407" s="290">
        <f>+K5407/L5407</f>
        <v>11164.352472011164</v>
      </c>
    </row>
    <row r="5408" spans="2:14" ht="13.5" thickBot="1">
      <c r="B5408" s="1100" t="s">
        <v>269</v>
      </c>
      <c r="C5408" s="1101"/>
      <c r="D5408" s="1101"/>
      <c r="E5408" s="1101"/>
      <c r="F5408" s="1101"/>
      <c r="G5408" s="1101"/>
      <c r="H5408" s="1101"/>
      <c r="I5408" s="1101"/>
      <c r="J5408" s="1101"/>
      <c r="K5408" s="1101"/>
      <c r="L5408" s="1101"/>
      <c r="M5408" s="1102"/>
      <c r="N5408" s="323">
        <f>+N5403+N5404+N5405+N5406+N5407</f>
        <v>63337.936662063323</v>
      </c>
    </row>
    <row r="5409" spans="2:14">
      <c r="B5409" s="1103" t="s">
        <v>270</v>
      </c>
      <c r="C5409" s="1104"/>
      <c r="D5409" s="1104"/>
      <c r="E5409" s="1104"/>
      <c r="F5409" s="1104"/>
      <c r="G5409" s="1104"/>
      <c r="H5409" s="1104"/>
      <c r="I5409" s="1104"/>
      <c r="J5409" s="1104"/>
      <c r="K5409" s="1104"/>
      <c r="L5409" s="1104"/>
      <c r="M5409" s="1104"/>
      <c r="N5409" s="1105"/>
    </row>
    <row r="5410" spans="2:14">
      <c r="B5410" s="1106"/>
      <c r="C5410" s="1107"/>
      <c r="D5410" s="1107"/>
      <c r="E5410" s="1107"/>
      <c r="F5410" s="1107"/>
      <c r="G5410" s="1107"/>
      <c r="H5410" s="1107"/>
      <c r="I5410" s="1107"/>
      <c r="J5410" s="1107"/>
      <c r="K5410" s="1107"/>
      <c r="L5410" s="1107"/>
      <c r="M5410" s="1107"/>
      <c r="N5410" s="1108"/>
    </row>
    <row r="5411" spans="2:14" ht="13.5" thickBot="1">
      <c r="B5411" s="1109"/>
      <c r="C5411" s="1110"/>
      <c r="D5411" s="1110"/>
      <c r="E5411" s="1110"/>
      <c r="F5411" s="1110"/>
      <c r="G5411" s="1110"/>
      <c r="H5411" s="1110"/>
      <c r="I5411" s="1110"/>
      <c r="J5411" s="1110"/>
      <c r="K5411" s="1110"/>
      <c r="L5411" s="1110"/>
      <c r="M5411" s="1110"/>
      <c r="N5411" s="1111"/>
    </row>
    <row r="5412" spans="2:14">
      <c r="B5412" s="1130" t="s">
        <v>258</v>
      </c>
      <c r="C5412" s="1139"/>
      <c r="D5412" s="1139"/>
      <c r="E5412" s="1139"/>
      <c r="F5412" s="1139"/>
      <c r="G5412" s="1139"/>
      <c r="H5412" s="1139"/>
      <c r="I5412" s="1136"/>
      <c r="J5412" s="299" t="s">
        <v>259</v>
      </c>
      <c r="K5412" s="288" t="s">
        <v>133</v>
      </c>
      <c r="L5412" s="1133" t="s">
        <v>271</v>
      </c>
      <c r="M5412" s="1136"/>
      <c r="N5412" s="289" t="s">
        <v>265</v>
      </c>
    </row>
    <row r="5413" spans="2:14">
      <c r="B5413" s="402" t="s">
        <v>390</v>
      </c>
      <c r="C5413" s="353"/>
      <c r="D5413" s="353"/>
      <c r="E5413" s="353"/>
      <c r="F5413" s="353"/>
      <c r="G5413" s="353"/>
      <c r="H5413" s="353"/>
      <c r="I5413" s="403"/>
      <c r="J5413" s="303" t="s">
        <v>147</v>
      </c>
      <c r="K5413" s="392">
        <v>1.3</v>
      </c>
      <c r="L5413" s="1144">
        <v>710263</v>
      </c>
      <c r="M5413" s="1145"/>
      <c r="N5413" s="363">
        <f>+K5413*L5413</f>
        <v>923341.9</v>
      </c>
    </row>
    <row r="5414" spans="2:14" ht="13.5" thickBot="1">
      <c r="B5414" s="402" t="s">
        <v>391</v>
      </c>
      <c r="C5414" s="353"/>
      <c r="D5414" s="353"/>
      <c r="E5414" s="353"/>
      <c r="F5414" s="353"/>
      <c r="G5414" s="353"/>
      <c r="H5414" s="353"/>
      <c r="I5414" s="403"/>
      <c r="J5414" s="303" t="s">
        <v>392</v>
      </c>
      <c r="K5414" s="392">
        <v>5</v>
      </c>
      <c r="L5414" s="1144">
        <v>8013</v>
      </c>
      <c r="M5414" s="1145"/>
      <c r="N5414" s="363">
        <f>+K5414*L5414</f>
        <v>40065</v>
      </c>
    </row>
    <row r="5415" spans="2:14" ht="13.5" thickBot="1">
      <c r="B5415" s="1100" t="s">
        <v>269</v>
      </c>
      <c r="C5415" s="1101"/>
      <c r="D5415" s="1101"/>
      <c r="E5415" s="1101"/>
      <c r="F5415" s="1101"/>
      <c r="G5415" s="1101"/>
      <c r="H5415" s="1101"/>
      <c r="I5415" s="1101"/>
      <c r="J5415" s="1101"/>
      <c r="K5415" s="1101"/>
      <c r="L5415" s="1101"/>
      <c r="M5415" s="1102"/>
      <c r="N5415" s="323">
        <f>+N5413+N5414</f>
        <v>963406.9</v>
      </c>
    </row>
    <row r="5416" spans="2:14">
      <c r="B5416" s="1103" t="s">
        <v>367</v>
      </c>
      <c r="C5416" s="1104"/>
      <c r="D5416" s="1104"/>
      <c r="E5416" s="1104"/>
      <c r="F5416" s="1104"/>
      <c r="G5416" s="1104"/>
      <c r="H5416" s="1104"/>
      <c r="I5416" s="1104"/>
      <c r="J5416" s="1104"/>
      <c r="K5416" s="1104"/>
      <c r="L5416" s="1104"/>
      <c r="M5416" s="1104"/>
      <c r="N5416" s="1105"/>
    </row>
    <row r="5417" spans="2:14">
      <c r="B5417" s="1106"/>
      <c r="C5417" s="1107"/>
      <c r="D5417" s="1107"/>
      <c r="E5417" s="1107"/>
      <c r="F5417" s="1107"/>
      <c r="G5417" s="1107"/>
      <c r="H5417" s="1107"/>
      <c r="I5417" s="1107"/>
      <c r="J5417" s="1107"/>
      <c r="K5417" s="1107"/>
      <c r="L5417" s="1107"/>
      <c r="M5417" s="1107"/>
      <c r="N5417" s="1108"/>
    </row>
    <row r="5418" spans="2:14" ht="13.5" thickBot="1">
      <c r="B5418" s="1109"/>
      <c r="C5418" s="1110"/>
      <c r="D5418" s="1110"/>
      <c r="E5418" s="1110"/>
      <c r="F5418" s="1110"/>
      <c r="G5418" s="1110"/>
      <c r="H5418" s="1110"/>
      <c r="I5418" s="1110"/>
      <c r="J5418" s="1110"/>
      <c r="K5418" s="1110"/>
      <c r="L5418" s="1110"/>
      <c r="M5418" s="1110"/>
      <c r="N5418" s="1111"/>
    </row>
    <row r="5419" spans="2:14">
      <c r="B5419" s="1130" t="s">
        <v>277</v>
      </c>
      <c r="C5419" s="1139"/>
      <c r="D5419" s="1139"/>
      <c r="E5419" s="1139"/>
      <c r="F5419" s="1139"/>
      <c r="G5419" s="1139"/>
      <c r="H5419" s="1139"/>
      <c r="I5419" s="288" t="s">
        <v>278</v>
      </c>
      <c r="J5419" s="306" t="s">
        <v>279</v>
      </c>
      <c r="K5419" s="307" t="s">
        <v>280</v>
      </c>
      <c r="L5419" s="1133" t="s">
        <v>281</v>
      </c>
      <c r="M5419" s="1136"/>
      <c r="N5419" s="289" t="s">
        <v>265</v>
      </c>
    </row>
    <row r="5420" spans="2:14" ht="13.5" thickBot="1">
      <c r="B5420" s="1112" t="s">
        <v>336</v>
      </c>
      <c r="C5420" s="1113"/>
      <c r="D5420" s="1113"/>
      <c r="E5420" s="1113"/>
      <c r="F5420" s="1113"/>
      <c r="G5420" s="1113"/>
      <c r="H5420" s="1113"/>
      <c r="I5420" s="393">
        <v>25</v>
      </c>
      <c r="J5420" s="309"/>
      <c r="K5420" s="308"/>
      <c r="L5420" s="1144">
        <v>1498</v>
      </c>
      <c r="M5420" s="1145"/>
      <c r="N5420" s="363">
        <f>+I5420*L5420</f>
        <v>37450</v>
      </c>
    </row>
    <row r="5421" spans="2:14" ht="13.5" thickBot="1">
      <c r="B5421" s="1100" t="s">
        <v>269</v>
      </c>
      <c r="C5421" s="1101"/>
      <c r="D5421" s="1101"/>
      <c r="E5421" s="1101"/>
      <c r="F5421" s="1101"/>
      <c r="G5421" s="1101"/>
      <c r="H5421" s="1101"/>
      <c r="I5421" s="1101"/>
      <c r="J5421" s="1101"/>
      <c r="K5421" s="1101"/>
      <c r="L5421" s="1101"/>
      <c r="M5421" s="1102"/>
      <c r="N5421" s="323">
        <f>+N5420</f>
        <v>37450</v>
      </c>
    </row>
    <row r="5422" spans="2:14">
      <c r="B5422" s="1103" t="s">
        <v>282</v>
      </c>
      <c r="C5422" s="1104"/>
      <c r="D5422" s="1104"/>
      <c r="E5422" s="1104"/>
      <c r="F5422" s="1104"/>
      <c r="G5422" s="1104"/>
      <c r="H5422" s="1104"/>
      <c r="I5422" s="1104"/>
      <c r="J5422" s="1104"/>
      <c r="K5422" s="1104"/>
      <c r="L5422" s="1104"/>
      <c r="M5422" s="1104"/>
      <c r="N5422" s="1105"/>
    </row>
    <row r="5423" spans="2:14">
      <c r="B5423" s="1106"/>
      <c r="C5423" s="1107"/>
      <c r="D5423" s="1107"/>
      <c r="E5423" s="1107"/>
      <c r="F5423" s="1107"/>
      <c r="G5423" s="1107"/>
      <c r="H5423" s="1107"/>
      <c r="I5423" s="1107"/>
      <c r="J5423" s="1107"/>
      <c r="K5423" s="1107"/>
      <c r="L5423" s="1107"/>
      <c r="M5423" s="1107"/>
      <c r="N5423" s="1108"/>
    </row>
    <row r="5424" spans="2:14" ht="13.5" thickBot="1">
      <c r="B5424" s="1109"/>
      <c r="C5424" s="1110"/>
      <c r="D5424" s="1110"/>
      <c r="E5424" s="1110"/>
      <c r="F5424" s="1110"/>
      <c r="G5424" s="1110"/>
      <c r="H5424" s="1110"/>
      <c r="I5424" s="1110"/>
      <c r="J5424" s="1110"/>
      <c r="K5424" s="1110"/>
      <c r="L5424" s="1110"/>
      <c r="M5424" s="1110"/>
      <c r="N5424" s="1111"/>
    </row>
    <row r="5425" spans="2:17">
      <c r="B5425" s="1130" t="s">
        <v>283</v>
      </c>
      <c r="C5425" s="1139"/>
      <c r="D5425" s="1139"/>
      <c r="E5425" s="1139"/>
      <c r="F5425" s="1139"/>
      <c r="G5425" s="1139"/>
      <c r="H5425" s="1139"/>
      <c r="I5425" s="288" t="s">
        <v>284</v>
      </c>
      <c r="J5425" s="314" t="s">
        <v>285</v>
      </c>
      <c r="K5425" s="315" t="s">
        <v>286</v>
      </c>
      <c r="L5425" s="1140" t="s">
        <v>264</v>
      </c>
      <c r="M5425" s="1141"/>
      <c r="N5425" s="316" t="s">
        <v>265</v>
      </c>
    </row>
    <row r="5426" spans="2:17">
      <c r="B5426" s="317" t="s">
        <v>393</v>
      </c>
      <c r="C5426" s="318"/>
      <c r="D5426" s="318"/>
      <c r="E5426" s="318"/>
      <c r="F5426" s="318"/>
      <c r="G5426" s="318"/>
      <c r="H5426" s="318"/>
      <c r="I5426" s="319">
        <v>445912</v>
      </c>
      <c r="J5426" s="321">
        <v>0</v>
      </c>
      <c r="K5426" s="321">
        <f>+I5426+J5426</f>
        <v>445912</v>
      </c>
      <c r="L5426" s="1157">
        <v>80</v>
      </c>
      <c r="M5426" s="1158"/>
      <c r="N5426" s="322">
        <f>+K5426/L5426</f>
        <v>5573.9</v>
      </c>
    </row>
    <row r="5427" spans="2:17">
      <c r="B5427" s="317" t="s">
        <v>394</v>
      </c>
      <c r="C5427" s="318"/>
      <c r="D5427" s="318"/>
      <c r="E5427" s="318"/>
      <c r="F5427" s="318"/>
      <c r="G5427" s="318"/>
      <c r="H5427" s="318"/>
      <c r="I5427" s="319">
        <v>202672</v>
      </c>
      <c r="J5427" s="321">
        <v>0</v>
      </c>
      <c r="K5427" s="321">
        <f>+I5427+J5427</f>
        <v>202672</v>
      </c>
      <c r="L5427" s="1157">
        <v>80</v>
      </c>
      <c r="M5427" s="1158"/>
      <c r="N5427" s="322">
        <f>+K5427/L5427</f>
        <v>2533.4</v>
      </c>
    </row>
    <row r="5428" spans="2:17">
      <c r="B5428" s="317" t="s">
        <v>315</v>
      </c>
      <c r="C5428" s="318"/>
      <c r="D5428" s="318"/>
      <c r="E5428" s="318"/>
      <c r="F5428" s="318"/>
      <c r="G5428" s="318"/>
      <c r="H5428" s="318"/>
      <c r="I5428" s="319">
        <v>31851</v>
      </c>
      <c r="J5428" s="321">
        <v>23888</v>
      </c>
      <c r="K5428" s="321">
        <f>+I5428+J5428</f>
        <v>55739</v>
      </c>
      <c r="L5428" s="1157">
        <v>80</v>
      </c>
      <c r="M5428" s="1158"/>
      <c r="N5428" s="322">
        <f>+K5428/L5428</f>
        <v>696.73749999999995</v>
      </c>
    </row>
    <row r="5429" spans="2:17" ht="13.5" thickBot="1">
      <c r="B5429" s="317" t="s">
        <v>395</v>
      </c>
      <c r="C5429" s="318"/>
      <c r="D5429" s="318"/>
      <c r="E5429" s="318"/>
      <c r="F5429" s="318"/>
      <c r="G5429" s="318"/>
      <c r="H5429" s="318"/>
      <c r="I5429" s="319">
        <v>55853</v>
      </c>
      <c r="J5429" s="321">
        <v>41890</v>
      </c>
      <c r="K5429" s="321">
        <f>+I5429+J5429</f>
        <v>97743</v>
      </c>
      <c r="L5429" s="1157">
        <v>80</v>
      </c>
      <c r="M5429" s="1158"/>
      <c r="N5429" s="322">
        <f>+K5429/L5429</f>
        <v>1221.7874999999999</v>
      </c>
    </row>
    <row r="5430" spans="2:17" ht="13.5" thickBot="1">
      <c r="B5430" s="1100" t="s">
        <v>269</v>
      </c>
      <c r="C5430" s="1101"/>
      <c r="D5430" s="1101"/>
      <c r="E5430" s="1101"/>
      <c r="F5430" s="1101"/>
      <c r="G5430" s="1101"/>
      <c r="H5430" s="1101"/>
      <c r="I5430" s="1101"/>
      <c r="J5430" s="1101"/>
      <c r="K5430" s="1101"/>
      <c r="L5430" s="1101"/>
      <c r="M5430" s="1102"/>
      <c r="N5430" s="322">
        <f>+N5426+N5427+N5428+N5429</f>
        <v>10025.824999999999</v>
      </c>
    </row>
    <row r="5431" spans="2:17" ht="13.5" thickBot="1">
      <c r="B5431" s="324" t="s">
        <v>288</v>
      </c>
      <c r="C5431" s="325"/>
      <c r="D5431" s="325"/>
      <c r="E5431" s="325"/>
      <c r="F5431" s="325"/>
      <c r="G5431" s="325"/>
      <c r="H5431" s="325"/>
      <c r="I5431" s="326"/>
      <c r="J5431" s="327"/>
      <c r="K5431" s="328"/>
      <c r="L5431" s="329"/>
      <c r="M5431" s="329"/>
      <c r="N5431" s="330"/>
    </row>
    <row r="5432" spans="2:17">
      <c r="B5432" s="1130" t="s">
        <v>17</v>
      </c>
      <c r="C5432" s="1139"/>
      <c r="D5432" s="1139"/>
      <c r="E5432" s="1139"/>
      <c r="F5432" s="1139"/>
      <c r="G5432" s="1139"/>
      <c r="H5432" s="1139"/>
      <c r="I5432" s="1136"/>
      <c r="J5432" s="299" t="s">
        <v>259</v>
      </c>
      <c r="K5432" s="288" t="s">
        <v>133</v>
      </c>
      <c r="L5432" s="1133" t="s">
        <v>271</v>
      </c>
      <c r="M5432" s="1136"/>
      <c r="N5432" s="316" t="s">
        <v>265</v>
      </c>
    </row>
    <row r="5433" spans="2:17" ht="13.5" thickBot="1">
      <c r="B5433" s="331" t="s">
        <v>289</v>
      </c>
      <c r="C5433" s="332"/>
      <c r="D5433" s="332"/>
      <c r="E5433" s="332"/>
      <c r="F5433" s="332"/>
      <c r="G5433" s="332"/>
      <c r="H5433" s="332"/>
      <c r="I5433" s="333"/>
      <c r="J5433" s="334" t="s">
        <v>290</v>
      </c>
      <c r="K5433" s="335">
        <v>0.05</v>
      </c>
      <c r="L5433" s="1144">
        <f>+N5430</f>
        <v>10025.824999999999</v>
      </c>
      <c r="M5433" s="1145"/>
      <c r="N5433" s="322">
        <f>+K5433*L5433</f>
        <v>501.29124999999999</v>
      </c>
    </row>
    <row r="5434" spans="2:17" ht="13.5" thickBot="1">
      <c r="B5434" s="1100" t="s">
        <v>269</v>
      </c>
      <c r="C5434" s="1101"/>
      <c r="D5434" s="1101"/>
      <c r="E5434" s="1101"/>
      <c r="F5434" s="1101"/>
      <c r="G5434" s="1101"/>
      <c r="H5434" s="1101"/>
      <c r="I5434" s="1101"/>
      <c r="J5434" s="1101"/>
      <c r="K5434" s="1101"/>
      <c r="L5434" s="1101"/>
      <c r="M5434" s="1102"/>
      <c r="N5434" s="322">
        <f>+N5433</f>
        <v>501.29124999999999</v>
      </c>
      <c r="P5434" s="408">
        <v>37615270</v>
      </c>
    </row>
    <row r="5435" spans="2:17" ht="13.5" thickBot="1">
      <c r="B5435" s="1100"/>
      <c r="C5435" s="1101"/>
      <c r="D5435" s="1101"/>
      <c r="E5435" s="1101"/>
      <c r="F5435" s="1101"/>
      <c r="G5435" s="1101"/>
      <c r="H5435" s="1101"/>
      <c r="I5435" s="1101"/>
      <c r="J5435" s="1101"/>
      <c r="K5435" s="1101"/>
      <c r="L5435" s="1101"/>
      <c r="M5435" s="1102"/>
      <c r="N5435" s="322"/>
    </row>
    <row r="5436" spans="2:17" ht="13.5" thickBot="1">
      <c r="B5436" s="1150" t="s">
        <v>291</v>
      </c>
      <c r="C5436" s="1151"/>
      <c r="D5436" s="1151"/>
      <c r="E5436" s="1151"/>
      <c r="F5436" s="1151"/>
      <c r="G5436" s="1151"/>
      <c r="H5436" s="1151"/>
      <c r="I5436" s="1151"/>
      <c r="J5436" s="1151"/>
      <c r="K5436" s="1151"/>
      <c r="L5436" s="1151"/>
      <c r="M5436" s="1152"/>
      <c r="N5436" s="336">
        <f>+N5408+N5415+N5421+N5430+N5434</f>
        <v>1074721.9529120633</v>
      </c>
      <c r="P5436" s="409">
        <f>+N5436*N5398</f>
        <v>37615268.351922214</v>
      </c>
      <c r="Q5436" s="413">
        <f>+P5436-P5434</f>
        <v>-1.6480777859687805</v>
      </c>
    </row>
    <row r="5437" spans="2:17">
      <c r="B5437" s="1103" t="s">
        <v>292</v>
      </c>
      <c r="C5437" s="1104"/>
      <c r="D5437" s="1104"/>
      <c r="E5437" s="1104"/>
      <c r="F5437" s="1104"/>
      <c r="G5437" s="1104"/>
      <c r="H5437" s="1104"/>
      <c r="I5437" s="1104"/>
      <c r="J5437" s="1104"/>
      <c r="K5437" s="1104"/>
      <c r="L5437" s="1104"/>
      <c r="M5437" s="1104"/>
      <c r="N5437" s="1105"/>
    </row>
    <row r="5438" spans="2:17">
      <c r="B5438" s="1106"/>
      <c r="C5438" s="1107"/>
      <c r="D5438" s="1107"/>
      <c r="E5438" s="1107"/>
      <c r="F5438" s="1107"/>
      <c r="G5438" s="1107"/>
      <c r="H5438" s="1107"/>
      <c r="I5438" s="1107"/>
      <c r="J5438" s="1107"/>
      <c r="K5438" s="1107"/>
      <c r="L5438" s="1107"/>
      <c r="M5438" s="1107"/>
      <c r="N5438" s="1108"/>
    </row>
    <row r="5439" spans="2:17" ht="13.5" thickBot="1">
      <c r="B5439" s="1109"/>
      <c r="C5439" s="1110"/>
      <c r="D5439" s="1110"/>
      <c r="E5439" s="1110"/>
      <c r="F5439" s="1110"/>
      <c r="G5439" s="1110"/>
      <c r="H5439" s="1110"/>
      <c r="I5439" s="1110"/>
      <c r="J5439" s="1110"/>
      <c r="K5439" s="1110"/>
      <c r="L5439" s="1110"/>
      <c r="M5439" s="1110"/>
      <c r="N5439" s="1111"/>
    </row>
    <row r="5440" spans="2:17">
      <c r="B5440" s="1130" t="s">
        <v>17</v>
      </c>
      <c r="C5440" s="1139"/>
      <c r="D5440" s="1139"/>
      <c r="E5440" s="1139"/>
      <c r="F5440" s="1139"/>
      <c r="G5440" s="1139"/>
      <c r="H5440" s="1139"/>
      <c r="I5440" s="306"/>
      <c r="J5440" s="337"/>
      <c r="K5440" s="315" t="s">
        <v>79</v>
      </c>
      <c r="L5440" s="1140" t="s">
        <v>11</v>
      </c>
      <c r="M5440" s="1141"/>
      <c r="N5440" s="316"/>
    </row>
    <row r="5441" spans="2:14">
      <c r="B5441" s="1112" t="s">
        <v>232</v>
      </c>
      <c r="C5441" s="1113"/>
      <c r="D5441" s="1113"/>
      <c r="E5441" s="1113"/>
      <c r="F5441" s="1113"/>
      <c r="G5441" s="1113"/>
      <c r="H5441" s="1113"/>
      <c r="I5441" s="338"/>
      <c r="J5441" s="339"/>
      <c r="K5441" s="340">
        <f>'PRESUPUESTO OFICIAL'!$K$100</f>
        <v>0</v>
      </c>
      <c r="L5441" s="1146">
        <f>K5441*N5436</f>
        <v>0</v>
      </c>
      <c r="M5441" s="1147"/>
      <c r="N5441" s="341"/>
    </row>
    <row r="5442" spans="2:14">
      <c r="B5442" s="292" t="s">
        <v>293</v>
      </c>
      <c r="C5442" s="293"/>
      <c r="D5442" s="293"/>
      <c r="E5442" s="293"/>
      <c r="F5442" s="293"/>
      <c r="G5442" s="293"/>
      <c r="H5442" s="293"/>
      <c r="I5442" s="338"/>
      <c r="J5442" s="339"/>
      <c r="K5442" s="340">
        <f>'PRESUPUESTO OFICIAL'!$K$101</f>
        <v>0</v>
      </c>
      <c r="L5442" s="1146">
        <f>K5442*N5436</f>
        <v>0</v>
      </c>
      <c r="M5442" s="1147"/>
      <c r="N5442" s="341"/>
    </row>
    <row r="5443" spans="2:14" ht="13.5" thickBot="1">
      <c r="B5443" s="277" t="s">
        <v>294</v>
      </c>
      <c r="C5443" s="278"/>
      <c r="D5443" s="278"/>
      <c r="E5443" s="278"/>
      <c r="F5443" s="278"/>
      <c r="G5443" s="278"/>
      <c r="H5443" s="278"/>
      <c r="I5443" s="342"/>
      <c r="J5443" s="343"/>
      <c r="K5443" s="340">
        <f>'PRESUPUESTO OFICIAL'!$K$102</f>
        <v>0</v>
      </c>
      <c r="L5443" s="1148">
        <f>K5443*N5436</f>
        <v>0</v>
      </c>
      <c r="M5443" s="1149"/>
      <c r="N5443" s="341"/>
    </row>
    <row r="5444" spans="2:14" ht="13.5" thickBot="1">
      <c r="B5444" s="1100" t="s">
        <v>269</v>
      </c>
      <c r="C5444" s="1101"/>
      <c r="D5444" s="1101"/>
      <c r="E5444" s="1101"/>
      <c r="F5444" s="1101"/>
      <c r="G5444" s="1101"/>
      <c r="H5444" s="1101"/>
      <c r="I5444" s="1101"/>
      <c r="J5444" s="1101"/>
      <c r="K5444" s="1101"/>
      <c r="L5444" s="1101"/>
      <c r="M5444" s="1102"/>
      <c r="N5444" s="344">
        <f>SUM(L5441:M5443)</f>
        <v>0</v>
      </c>
    </row>
    <row r="5445" spans="2:14" ht="13.5" thickBot="1">
      <c r="B5445" s="283"/>
      <c r="N5445" s="284"/>
    </row>
    <row r="5446" spans="2:14" ht="13.5" thickBot="1">
      <c r="B5446" s="1150" t="s">
        <v>295</v>
      </c>
      <c r="C5446" s="1151"/>
      <c r="D5446" s="1151"/>
      <c r="E5446" s="1151"/>
      <c r="F5446" s="1151"/>
      <c r="G5446" s="1151"/>
      <c r="H5446" s="1151"/>
      <c r="I5446" s="1151"/>
      <c r="J5446" s="1151"/>
      <c r="K5446" s="1151"/>
      <c r="L5446" s="1151"/>
      <c r="M5446" s="1152"/>
      <c r="N5446" s="345">
        <f>ROUND(N5436+N5444,0)</f>
        <v>1074722</v>
      </c>
    </row>
    <row r="5447" spans="2:14">
      <c r="B5447" s="280"/>
      <c r="C5447" s="281"/>
      <c r="D5447" s="281"/>
      <c r="E5447" s="281"/>
      <c r="F5447" s="281"/>
      <c r="G5447" s="281"/>
      <c r="H5447" s="281"/>
      <c r="I5447" s="281"/>
      <c r="J5447" s="281"/>
      <c r="K5447" s="281"/>
      <c r="L5447" s="281"/>
      <c r="M5447" s="281"/>
      <c r="N5447" s="282"/>
    </row>
    <row r="5448" spans="2:14">
      <c r="B5448" s="283"/>
      <c r="N5448" s="284"/>
    </row>
    <row r="5449" spans="2:14">
      <c r="B5449" s="283"/>
      <c r="N5449" s="284"/>
    </row>
    <row r="5450" spans="2:14">
      <c r="B5450" s="283"/>
      <c r="G5450" s="346" t="s">
        <v>296</v>
      </c>
      <c r="H5450" s="346"/>
      <c r="I5450" s="346"/>
      <c r="J5450" s="346"/>
      <c r="N5450" s="284"/>
    </row>
    <row r="5451" spans="2:14">
      <c r="B5451" s="347"/>
      <c r="C5451" s="348"/>
      <c r="D5451" s="348"/>
      <c r="E5451" s="348"/>
      <c r="F5451" s="348"/>
      <c r="G5451" s="346" t="s">
        <v>297</v>
      </c>
      <c r="H5451" s="348"/>
      <c r="I5451" s="348"/>
      <c r="J5451" s="348"/>
      <c r="K5451" s="348"/>
      <c r="L5451" s="348"/>
      <c r="M5451" s="348"/>
      <c r="N5451" s="349"/>
    </row>
    <row r="5452" spans="2:14">
      <c r="B5452" s="347"/>
      <c r="C5452" s="348"/>
      <c r="D5452" s="348"/>
      <c r="E5452" s="348"/>
      <c r="F5452" s="348"/>
      <c r="G5452" s="346" t="s">
        <v>298</v>
      </c>
      <c r="J5452" s="348"/>
      <c r="K5452" s="348"/>
      <c r="L5452" s="348"/>
      <c r="M5452" s="348"/>
      <c r="N5452" s="349"/>
    </row>
    <row r="5453" spans="2:14">
      <c r="B5453" s="268"/>
      <c r="C5453" s="350"/>
      <c r="D5453" s="350"/>
      <c r="E5453" s="350"/>
      <c r="F5453" s="350"/>
      <c r="G5453" s="346" t="s">
        <v>299</v>
      </c>
      <c r="H5453" s="350"/>
      <c r="I5453" s="350"/>
      <c r="J5453" s="350"/>
      <c r="K5453" s="350"/>
      <c r="L5453" s="350"/>
      <c r="M5453" s="350"/>
      <c r="N5453" s="351"/>
    </row>
    <row r="5454" spans="2:14">
      <c r="B5454" s="283"/>
      <c r="G5454" s="258" t="s">
        <v>300</v>
      </c>
      <c r="N5454" s="284"/>
    </row>
    <row r="5455" spans="2:14">
      <c r="B5455" s="352" t="s">
        <v>301</v>
      </c>
      <c r="C5455" s="353"/>
      <c r="D5455" s="353"/>
      <c r="E5455" s="353"/>
      <c r="F5455" s="353"/>
      <c r="G5455" s="353"/>
      <c r="H5455" s="353"/>
      <c r="I5455" s="353"/>
      <c r="J5455" s="353"/>
      <c r="K5455" s="353"/>
      <c r="L5455" s="353"/>
      <c r="M5455" s="353"/>
      <c r="N5455" s="354"/>
    </row>
    <row r="5456" spans="2:14">
      <c r="B5456" s="1153"/>
      <c r="C5456" s="1154"/>
      <c r="D5456" s="1154"/>
      <c r="E5456" s="1154"/>
      <c r="F5456" s="1154"/>
      <c r="G5456" s="1154"/>
      <c r="H5456" s="1154"/>
      <c r="I5456" s="1154"/>
      <c r="J5456" s="1154"/>
      <c r="K5456" s="1154"/>
      <c r="L5456" s="1154"/>
      <c r="M5456" s="1154"/>
      <c r="N5456" s="1155"/>
    </row>
    <row r="5457" spans="2:14">
      <c r="B5457" s="1153"/>
      <c r="C5457" s="1154"/>
      <c r="D5457" s="1154"/>
      <c r="E5457" s="1154"/>
      <c r="F5457" s="1154"/>
      <c r="G5457" s="1154"/>
      <c r="H5457" s="1154"/>
      <c r="I5457" s="1154"/>
      <c r="J5457" s="1154"/>
      <c r="K5457" s="1154"/>
      <c r="L5457" s="1154"/>
      <c r="M5457" s="1154"/>
      <c r="N5457" s="1155"/>
    </row>
    <row r="5458" spans="2:14">
      <c r="B5458" s="268"/>
      <c r="C5458" s="350"/>
      <c r="D5458" s="350"/>
      <c r="E5458" s="350"/>
      <c r="F5458" s="350"/>
      <c r="G5458" s="350"/>
      <c r="H5458" s="350"/>
      <c r="I5458" s="350"/>
      <c r="J5458" s="350"/>
      <c r="K5458" s="350"/>
      <c r="L5458" s="350"/>
      <c r="M5458" s="350"/>
      <c r="N5458" s="351"/>
    </row>
    <row r="5459" spans="2:14">
      <c r="B5459" s="355" t="s">
        <v>302</v>
      </c>
      <c r="C5459" s="350"/>
      <c r="D5459" s="350"/>
      <c r="E5459" s="350"/>
      <c r="F5459" s="350"/>
      <c r="G5459" s="350"/>
      <c r="H5459" s="350"/>
      <c r="I5459" s="350"/>
      <c r="J5459" s="350"/>
      <c r="K5459" s="350"/>
      <c r="L5459" s="350"/>
      <c r="M5459" s="350"/>
      <c r="N5459" s="351"/>
    </row>
    <row r="5460" spans="2:14">
      <c r="B5460" s="1159" t="s">
        <v>303</v>
      </c>
      <c r="C5460" s="1160"/>
      <c r="D5460" s="1160"/>
      <c r="E5460" s="1160"/>
      <c r="F5460" s="1160"/>
      <c r="G5460" s="1160"/>
      <c r="H5460" s="1160"/>
      <c r="I5460" s="1160"/>
      <c r="J5460" s="1160"/>
      <c r="K5460" s="1160"/>
      <c r="L5460" s="1160"/>
      <c r="M5460" s="1160"/>
      <c r="N5460" s="1161"/>
    </row>
    <row r="5461" spans="2:14">
      <c r="B5461" s="1159"/>
      <c r="C5461" s="1160"/>
      <c r="D5461" s="1160"/>
      <c r="E5461" s="1160"/>
      <c r="F5461" s="1160"/>
      <c r="G5461" s="1160"/>
      <c r="H5461" s="1160"/>
      <c r="I5461" s="1160"/>
      <c r="J5461" s="1160"/>
      <c r="K5461" s="1160"/>
      <c r="L5461" s="1160"/>
      <c r="M5461" s="1160"/>
      <c r="N5461" s="1161"/>
    </row>
    <row r="5462" spans="2:14">
      <c r="B5462" s="1159" t="s">
        <v>304</v>
      </c>
      <c r="C5462" s="1160"/>
      <c r="D5462" s="1160"/>
      <c r="E5462" s="1160"/>
      <c r="F5462" s="1160"/>
      <c r="G5462" s="1160"/>
      <c r="H5462" s="1160"/>
      <c r="I5462" s="1160"/>
      <c r="J5462" s="1160"/>
      <c r="K5462" s="1160"/>
      <c r="L5462" s="1160"/>
      <c r="M5462" s="1160"/>
      <c r="N5462" s="1161"/>
    </row>
    <row r="5463" spans="2:14">
      <c r="B5463" s="1159"/>
      <c r="C5463" s="1160"/>
      <c r="D5463" s="1160"/>
      <c r="E5463" s="1160"/>
      <c r="F5463" s="1160"/>
      <c r="G5463" s="1160"/>
      <c r="H5463" s="1160"/>
      <c r="I5463" s="1160"/>
      <c r="J5463" s="1160"/>
      <c r="K5463" s="1160"/>
      <c r="L5463" s="1160"/>
      <c r="M5463" s="1160"/>
      <c r="N5463" s="1161"/>
    </row>
    <row r="5464" spans="2:14">
      <c r="B5464" s="268"/>
      <c r="C5464" s="350"/>
      <c r="D5464" s="350"/>
      <c r="E5464" s="350"/>
      <c r="F5464" s="350"/>
      <c r="G5464" s="350"/>
      <c r="H5464" s="350"/>
      <c r="I5464" s="350"/>
      <c r="J5464" s="350"/>
      <c r="K5464" s="350"/>
      <c r="L5464" s="350"/>
      <c r="M5464" s="350"/>
      <c r="N5464" s="351"/>
    </row>
    <row r="5465" spans="2:14">
      <c r="B5465" s="283"/>
      <c r="G5465" s="346" t="s">
        <v>296</v>
      </c>
      <c r="N5465" s="284"/>
    </row>
    <row r="5466" spans="2:14">
      <c r="B5466" s="283"/>
      <c r="G5466" s="258" t="s">
        <v>305</v>
      </c>
      <c r="H5466" s="293"/>
      <c r="I5466" s="293"/>
      <c r="J5466" s="293"/>
      <c r="N5466" s="284"/>
    </row>
    <row r="5467" spans="2:14">
      <c r="B5467" s="283"/>
      <c r="G5467" s="258" t="s">
        <v>306</v>
      </c>
      <c r="H5467" s="325"/>
      <c r="I5467" s="325"/>
      <c r="J5467" s="325"/>
      <c r="N5467" s="284"/>
    </row>
    <row r="5468" spans="2:14">
      <c r="B5468" s="356"/>
      <c r="C5468" s="350"/>
      <c r="D5468" s="350"/>
      <c r="E5468" s="350"/>
      <c r="F5468" s="350"/>
      <c r="G5468" s="258" t="s">
        <v>299</v>
      </c>
      <c r="K5468" s="350"/>
      <c r="L5468" s="350"/>
      <c r="M5468" s="350"/>
      <c r="N5468" s="351"/>
    </row>
    <row r="5469" spans="2:14">
      <c r="B5469" s="357"/>
      <c r="C5469" s="358"/>
      <c r="D5469" s="358"/>
      <c r="J5469" s="1162"/>
      <c r="K5469" s="1162"/>
      <c r="L5469" s="1162"/>
      <c r="M5469" s="1162"/>
      <c r="N5469" s="1163"/>
    </row>
    <row r="5470" spans="2:14" ht="13.5" thickBot="1">
      <c r="B5470" s="1166"/>
      <c r="C5470" s="1167"/>
      <c r="D5470" s="1167"/>
      <c r="E5470" s="311"/>
      <c r="F5470" s="311"/>
      <c r="G5470" s="311"/>
      <c r="H5470" s="311"/>
      <c r="I5470" s="311"/>
      <c r="J5470" s="1164"/>
      <c r="K5470" s="1164"/>
      <c r="L5470" s="1164"/>
      <c r="M5470" s="1164"/>
      <c r="N5470" s="1165"/>
    </row>
    <row r="5471" spans="2:14" ht="13.5" thickBot="1"/>
    <row r="5472" spans="2:14">
      <c r="B5472" s="1070"/>
      <c r="C5472" s="1072"/>
      <c r="D5472" s="1073"/>
      <c r="E5472" s="1073"/>
      <c r="F5472" s="1073"/>
      <c r="G5472" s="1073"/>
      <c r="H5472" s="1073"/>
      <c r="I5472" s="1073"/>
      <c r="J5472" s="1074"/>
      <c r="K5472" s="1075"/>
      <c r="L5472" s="1076"/>
      <c r="M5472" s="1076"/>
      <c r="N5472" s="1077"/>
    </row>
    <row r="5473" spans="2:14">
      <c r="B5473" s="1071"/>
      <c r="C5473" s="1062" t="s">
        <v>244</v>
      </c>
      <c r="D5473" s="1063"/>
      <c r="E5473" s="1063"/>
      <c r="F5473" s="1063"/>
      <c r="G5473" s="1063"/>
      <c r="H5473" s="1063"/>
      <c r="I5473" s="1063"/>
      <c r="J5473" s="1064"/>
      <c r="K5473" s="1078"/>
      <c r="L5473" s="1079"/>
      <c r="M5473" s="1079"/>
      <c r="N5473" s="1080"/>
    </row>
    <row r="5474" spans="2:14">
      <c r="B5474" s="1071"/>
      <c r="C5474" s="1081"/>
      <c r="D5474" s="1082"/>
      <c r="E5474" s="1082"/>
      <c r="F5474" s="1082"/>
      <c r="G5474" s="1082"/>
      <c r="H5474" s="1082"/>
      <c r="I5474" s="1082"/>
      <c r="J5474" s="1083"/>
      <c r="K5474" s="1058" t="s">
        <v>245</v>
      </c>
      <c r="L5474" s="1085"/>
      <c r="M5474" s="1086"/>
      <c r="N5474" s="1087"/>
    </row>
    <row r="5475" spans="2:14">
      <c r="B5475" s="1071"/>
      <c r="C5475" s="1062" t="s">
        <v>246</v>
      </c>
      <c r="D5475" s="1063"/>
      <c r="E5475" s="1063"/>
      <c r="F5475" s="1063"/>
      <c r="G5475" s="1063"/>
      <c r="H5475" s="1063"/>
      <c r="I5475" s="1063"/>
      <c r="J5475" s="1064"/>
      <c r="K5475" s="1084"/>
      <c r="L5475" s="1088"/>
      <c r="M5475" s="1089"/>
      <c r="N5475" s="1090"/>
    </row>
    <row r="5476" spans="2:14">
      <c r="B5476" s="1071"/>
      <c r="C5476" s="1091"/>
      <c r="D5476" s="1092"/>
      <c r="E5476" s="1092"/>
      <c r="F5476" s="1092"/>
      <c r="G5476" s="1092"/>
      <c r="H5476" s="1092"/>
      <c r="I5476" s="1092"/>
      <c r="J5476" s="1093"/>
      <c r="K5476" s="1058" t="s">
        <v>247</v>
      </c>
      <c r="L5476" s="1058">
        <v>62</v>
      </c>
      <c r="M5476" s="1058" t="s">
        <v>248</v>
      </c>
      <c r="N5476" s="1060">
        <v>80</v>
      </c>
    </row>
    <row r="5477" spans="2:14">
      <c r="B5477" s="1071"/>
      <c r="C5477" s="1091"/>
      <c r="D5477" s="1092"/>
      <c r="E5477" s="1092"/>
      <c r="F5477" s="1092"/>
      <c r="G5477" s="1092"/>
      <c r="H5477" s="1092"/>
      <c r="I5477" s="1092"/>
      <c r="J5477" s="1093"/>
      <c r="K5477" s="1059"/>
      <c r="L5477" s="1059"/>
      <c r="M5477" s="1059"/>
      <c r="N5477" s="1061"/>
    </row>
    <row r="5478" spans="2:14">
      <c r="B5478" s="1071"/>
      <c r="C5478" s="1062" t="s">
        <v>249</v>
      </c>
      <c r="D5478" s="1063"/>
      <c r="E5478" s="1063"/>
      <c r="F5478" s="1063"/>
      <c r="G5478" s="1063"/>
      <c r="H5478" s="1063"/>
      <c r="I5478" s="1063"/>
      <c r="J5478" s="1064"/>
      <c r="K5478" s="1059"/>
      <c r="L5478" s="1059"/>
      <c r="M5478" s="1059"/>
      <c r="N5478" s="1061"/>
    </row>
    <row r="5479" spans="2:14" ht="13.5" thickBot="1">
      <c r="B5479" s="259"/>
      <c r="C5479" s="260"/>
      <c r="D5479" s="260"/>
      <c r="E5479" s="260"/>
      <c r="F5479" s="260"/>
      <c r="G5479" s="260"/>
      <c r="H5479" s="260"/>
      <c r="I5479" s="260"/>
      <c r="J5479" s="260"/>
      <c r="K5479" s="260"/>
      <c r="L5479" s="261"/>
      <c r="M5479" s="261"/>
      <c r="N5479" s="262"/>
    </row>
    <row r="5480" spans="2:14">
      <c r="B5480" s="263"/>
      <c r="C5480" s="264"/>
      <c r="D5480" s="264"/>
      <c r="E5480" s="264"/>
      <c r="F5480" s="264"/>
      <c r="G5480" s="264"/>
      <c r="H5480" s="264"/>
      <c r="I5480" s="264"/>
      <c r="J5480" s="264"/>
      <c r="K5480" s="265" t="s">
        <v>250</v>
      </c>
      <c r="L5480" s="266" t="s">
        <v>251</v>
      </c>
      <c r="M5480" s="266" t="s">
        <v>252</v>
      </c>
      <c r="N5480" s="267" t="s">
        <v>253</v>
      </c>
    </row>
    <row r="5481" spans="2:14">
      <c r="B5481" s="268"/>
      <c r="C5481" s="269"/>
      <c r="D5481" s="269"/>
      <c r="E5481" s="269"/>
      <c r="F5481" s="269"/>
      <c r="G5481" s="269"/>
      <c r="H5481" s="269"/>
      <c r="I5481" s="269"/>
      <c r="J5481" s="269"/>
      <c r="K5481" s="270"/>
      <c r="L5481" s="271"/>
      <c r="M5481" s="271"/>
      <c r="N5481" s="272"/>
    </row>
    <row r="5482" spans="2:14">
      <c r="B5482" s="1065" t="s">
        <v>254</v>
      </c>
      <c r="C5482" s="1066"/>
      <c r="D5482" s="1066"/>
      <c r="E5482" s="1066"/>
      <c r="F5482" s="269"/>
      <c r="G5482" s="269"/>
      <c r="H5482" s="269" t="s">
        <v>255</v>
      </c>
      <c r="J5482" s="269"/>
      <c r="K5482" s="270"/>
      <c r="N5482" s="273"/>
    </row>
    <row r="5483" spans="2:14">
      <c r="B5483" s="274"/>
      <c r="C5483" s="275"/>
      <c r="D5483" s="275"/>
      <c r="E5483" s="275"/>
      <c r="F5483" s="275"/>
      <c r="G5483" s="275"/>
      <c r="H5483" s="275"/>
      <c r="I5483" s="275"/>
      <c r="J5483" s="275"/>
      <c r="K5483" s="275"/>
      <c r="L5483" s="275"/>
      <c r="M5483" s="275"/>
      <c r="N5483" s="276"/>
    </row>
    <row r="5484" spans="2:14" ht="13.5" thickBot="1">
      <c r="B5484" s="277"/>
      <c r="C5484" s="278"/>
      <c r="D5484" s="278"/>
      <c r="E5484" s="278"/>
      <c r="F5484" s="278"/>
      <c r="G5484" s="278"/>
      <c r="H5484" s="278"/>
      <c r="I5484" s="278"/>
      <c r="J5484" s="278"/>
      <c r="K5484" s="278"/>
      <c r="L5484" s="278"/>
      <c r="M5484" s="278"/>
      <c r="N5484" s="279"/>
    </row>
    <row r="5485" spans="2:14" ht="13.5" thickBot="1">
      <c r="B5485" s="280"/>
      <c r="C5485" s="281"/>
      <c r="D5485" s="281"/>
      <c r="E5485" s="281"/>
      <c r="F5485" s="281"/>
      <c r="G5485" s="281"/>
      <c r="J5485" s="281"/>
      <c r="K5485" s="281"/>
      <c r="L5485" s="281"/>
      <c r="M5485" s="281"/>
      <c r="N5485" s="282"/>
    </row>
    <row r="5486" spans="2:14">
      <c r="B5486" s="1067" t="s">
        <v>256</v>
      </c>
      <c r="C5486" s="1068"/>
      <c r="D5486" s="1068"/>
      <c r="E5486" s="1068"/>
      <c r="F5486" s="1068"/>
      <c r="G5486" s="1068"/>
      <c r="H5486" s="1068"/>
      <c r="I5486" s="1068"/>
      <c r="J5486" s="1068"/>
      <c r="K5486" s="1068"/>
      <c r="L5486" s="1068"/>
      <c r="M5486" s="1068"/>
      <c r="N5486" s="1069"/>
    </row>
    <row r="5487" spans="2:14" ht="13.5" thickBot="1">
      <c r="B5487" s="283"/>
      <c r="N5487" s="284"/>
    </row>
    <row r="5488" spans="2:14">
      <c r="B5488" s="285" t="s">
        <v>257</v>
      </c>
      <c r="C5488" s="1120" t="s">
        <v>258</v>
      </c>
      <c r="D5488" s="1121"/>
      <c r="E5488" s="1121"/>
      <c r="F5488" s="1121"/>
      <c r="G5488" s="1121"/>
      <c r="H5488" s="1121"/>
      <c r="I5488" s="1121"/>
      <c r="J5488" s="1121"/>
      <c r="K5488" s="1122"/>
      <c r="L5488" s="1123" t="s">
        <v>259</v>
      </c>
      <c r="M5488" s="1124"/>
      <c r="N5488" s="285" t="s">
        <v>133</v>
      </c>
    </row>
    <row r="5489" spans="2:14" ht="24" customHeight="1" thickBot="1">
      <c r="B5489" s="286">
        <v>62</v>
      </c>
      <c r="C5489" s="1125" t="s">
        <v>205</v>
      </c>
      <c r="D5489" s="1126"/>
      <c r="E5489" s="1126"/>
      <c r="F5489" s="1126"/>
      <c r="G5489" s="1126"/>
      <c r="H5489" s="1126"/>
      <c r="I5489" s="1126"/>
      <c r="J5489" s="1126"/>
      <c r="K5489" s="1127"/>
      <c r="L5489" s="1128" t="s">
        <v>196</v>
      </c>
      <c r="M5489" s="1129"/>
      <c r="N5489" s="366">
        <v>5</v>
      </c>
    </row>
    <row r="5490" spans="2:14">
      <c r="B5490" s="1103" t="s">
        <v>260</v>
      </c>
      <c r="C5490" s="1104"/>
      <c r="D5490" s="1104"/>
      <c r="E5490" s="1104"/>
      <c r="F5490" s="1104"/>
      <c r="G5490" s="1104"/>
      <c r="H5490" s="1104"/>
      <c r="I5490" s="1104"/>
      <c r="J5490" s="1104"/>
      <c r="K5490" s="1104"/>
      <c r="L5490" s="1104"/>
      <c r="M5490" s="1104"/>
      <c r="N5490" s="1105"/>
    </row>
    <row r="5491" spans="2:14">
      <c r="B5491" s="1106"/>
      <c r="C5491" s="1107"/>
      <c r="D5491" s="1107"/>
      <c r="E5491" s="1107"/>
      <c r="F5491" s="1107"/>
      <c r="G5491" s="1107"/>
      <c r="H5491" s="1107"/>
      <c r="I5491" s="1107"/>
      <c r="J5491" s="1107"/>
      <c r="K5491" s="1107"/>
      <c r="L5491" s="1107"/>
      <c r="M5491" s="1107"/>
      <c r="N5491" s="1108"/>
    </row>
    <row r="5492" spans="2:14" ht="13.5" thickBot="1">
      <c r="B5492" s="1109"/>
      <c r="C5492" s="1110"/>
      <c r="D5492" s="1110"/>
      <c r="E5492" s="1110"/>
      <c r="F5492" s="1110"/>
      <c r="G5492" s="1110"/>
      <c r="H5492" s="1110"/>
      <c r="I5492" s="1110"/>
      <c r="J5492" s="1110"/>
      <c r="K5492" s="1110"/>
      <c r="L5492" s="1110"/>
      <c r="M5492" s="1110"/>
      <c r="N5492" s="1111"/>
    </row>
    <row r="5493" spans="2:14">
      <c r="B5493" s="1130" t="s">
        <v>258</v>
      </c>
      <c r="C5493" s="1131"/>
      <c r="D5493" s="1131"/>
      <c r="E5493" s="1131"/>
      <c r="F5493" s="1132"/>
      <c r="G5493" s="1133" t="s">
        <v>261</v>
      </c>
      <c r="H5493" s="1131"/>
      <c r="I5493" s="1134" t="s">
        <v>262</v>
      </c>
      <c r="J5493" s="1135"/>
      <c r="K5493" s="288" t="s">
        <v>263</v>
      </c>
      <c r="L5493" s="1133" t="s">
        <v>264</v>
      </c>
      <c r="M5493" s="1136"/>
      <c r="N5493" s="289" t="s">
        <v>265</v>
      </c>
    </row>
    <row r="5494" spans="2:14" ht="13.5" thickBot="1">
      <c r="B5494" s="1179"/>
      <c r="C5494" s="1180"/>
      <c r="D5494" s="1180"/>
      <c r="E5494" s="1180"/>
      <c r="F5494" s="1181"/>
      <c r="G5494" s="295"/>
      <c r="H5494" s="294"/>
      <c r="I5494" s="1182"/>
      <c r="J5494" s="1183"/>
      <c r="K5494" s="290"/>
      <c r="L5494" s="1118"/>
      <c r="M5494" s="1119"/>
      <c r="N5494" s="290"/>
    </row>
    <row r="5495" spans="2:14" ht="13.5" thickBot="1">
      <c r="B5495" s="1100" t="s">
        <v>269</v>
      </c>
      <c r="C5495" s="1101"/>
      <c r="D5495" s="1101"/>
      <c r="E5495" s="1101"/>
      <c r="F5495" s="1101"/>
      <c r="G5495" s="1101"/>
      <c r="H5495" s="1101"/>
      <c r="I5495" s="1101"/>
      <c r="J5495" s="1101"/>
      <c r="K5495" s="1101"/>
      <c r="L5495" s="1101"/>
      <c r="M5495" s="1102"/>
      <c r="N5495" s="323">
        <f>+N5494</f>
        <v>0</v>
      </c>
    </row>
    <row r="5496" spans="2:14">
      <c r="B5496" s="1103" t="s">
        <v>270</v>
      </c>
      <c r="C5496" s="1104"/>
      <c r="D5496" s="1104"/>
      <c r="E5496" s="1104"/>
      <c r="F5496" s="1104"/>
      <c r="G5496" s="1104"/>
      <c r="H5496" s="1104"/>
      <c r="I5496" s="1104"/>
      <c r="J5496" s="1104"/>
      <c r="K5496" s="1104"/>
      <c r="L5496" s="1104"/>
      <c r="M5496" s="1104"/>
      <c r="N5496" s="1105"/>
    </row>
    <row r="5497" spans="2:14">
      <c r="B5497" s="1106"/>
      <c r="C5497" s="1107"/>
      <c r="D5497" s="1107"/>
      <c r="E5497" s="1107"/>
      <c r="F5497" s="1107"/>
      <c r="G5497" s="1107"/>
      <c r="H5497" s="1107"/>
      <c r="I5497" s="1107"/>
      <c r="J5497" s="1107"/>
      <c r="K5497" s="1107"/>
      <c r="L5497" s="1107"/>
      <c r="M5497" s="1107"/>
      <c r="N5497" s="1108"/>
    </row>
    <row r="5498" spans="2:14" ht="13.5" thickBot="1">
      <c r="B5498" s="1109"/>
      <c r="C5498" s="1110"/>
      <c r="D5498" s="1110"/>
      <c r="E5498" s="1110"/>
      <c r="F5498" s="1110"/>
      <c r="G5498" s="1110"/>
      <c r="H5498" s="1110"/>
      <c r="I5498" s="1110"/>
      <c r="J5498" s="1110"/>
      <c r="K5498" s="1110"/>
      <c r="L5498" s="1110"/>
      <c r="M5498" s="1110"/>
      <c r="N5498" s="1111"/>
    </row>
    <row r="5499" spans="2:14">
      <c r="B5499" s="1130" t="s">
        <v>258</v>
      </c>
      <c r="C5499" s="1139"/>
      <c r="D5499" s="1139"/>
      <c r="E5499" s="1139"/>
      <c r="F5499" s="1139"/>
      <c r="G5499" s="1139"/>
      <c r="H5499" s="1139"/>
      <c r="I5499" s="1136"/>
      <c r="J5499" s="299" t="s">
        <v>259</v>
      </c>
      <c r="K5499" s="288" t="s">
        <v>133</v>
      </c>
      <c r="L5499" s="1133" t="s">
        <v>271</v>
      </c>
      <c r="M5499" s="1136"/>
      <c r="N5499" s="289" t="s">
        <v>265</v>
      </c>
    </row>
    <row r="5500" spans="2:14">
      <c r="B5500" s="402" t="s">
        <v>342</v>
      </c>
      <c r="C5500" s="353"/>
      <c r="D5500" s="353"/>
      <c r="E5500" s="353"/>
      <c r="F5500" s="353"/>
      <c r="G5500" s="353"/>
      <c r="H5500" s="353"/>
      <c r="I5500" s="403"/>
      <c r="J5500" s="303" t="s">
        <v>147</v>
      </c>
      <c r="K5500" s="392">
        <v>0.57750000000000001</v>
      </c>
      <c r="L5500" s="1144">
        <v>337058</v>
      </c>
      <c r="M5500" s="1145"/>
      <c r="N5500" s="363">
        <f>+K5500*L5500</f>
        <v>194650.995</v>
      </c>
    </row>
    <row r="5501" spans="2:14">
      <c r="B5501" s="402" t="s">
        <v>396</v>
      </c>
      <c r="C5501" s="353"/>
      <c r="D5501" s="353"/>
      <c r="E5501" s="353"/>
      <c r="F5501" s="353"/>
      <c r="G5501" s="353"/>
      <c r="H5501" s="353"/>
      <c r="I5501" s="403"/>
      <c r="J5501" s="303" t="s">
        <v>196</v>
      </c>
      <c r="K5501" s="392">
        <v>1</v>
      </c>
      <c r="L5501" s="1144">
        <v>158389</v>
      </c>
      <c r="M5501" s="1145"/>
      <c r="N5501" s="363">
        <f>+K5501*L5501</f>
        <v>158389</v>
      </c>
    </row>
    <row r="5502" spans="2:14" ht="13.5" thickBot="1">
      <c r="B5502" s="402" t="s">
        <v>332</v>
      </c>
      <c r="C5502" s="353"/>
      <c r="D5502" s="353"/>
      <c r="E5502" s="353"/>
      <c r="F5502" s="353"/>
      <c r="G5502" s="353"/>
      <c r="H5502" s="353"/>
      <c r="I5502" s="403"/>
      <c r="J5502" s="303" t="s">
        <v>196</v>
      </c>
      <c r="K5502" s="392">
        <v>2</v>
      </c>
      <c r="L5502" s="1144">
        <v>10710</v>
      </c>
      <c r="M5502" s="1145"/>
      <c r="N5502" s="363">
        <f>+K5502*L5502</f>
        <v>21420</v>
      </c>
    </row>
    <row r="5503" spans="2:14" ht="13.5" thickBot="1">
      <c r="B5503" s="1100" t="s">
        <v>269</v>
      </c>
      <c r="C5503" s="1101"/>
      <c r="D5503" s="1101"/>
      <c r="E5503" s="1101"/>
      <c r="F5503" s="1101"/>
      <c r="G5503" s="1101"/>
      <c r="H5503" s="1101"/>
      <c r="I5503" s="1101"/>
      <c r="J5503" s="1101"/>
      <c r="K5503" s="1101"/>
      <c r="L5503" s="1101"/>
      <c r="M5503" s="1102"/>
      <c r="N5503" s="323">
        <f>+N5500+N5501+N5502</f>
        <v>374459.995</v>
      </c>
    </row>
    <row r="5504" spans="2:14">
      <c r="B5504" s="1103" t="s">
        <v>367</v>
      </c>
      <c r="C5504" s="1104"/>
      <c r="D5504" s="1104"/>
      <c r="E5504" s="1104"/>
      <c r="F5504" s="1104"/>
      <c r="G5504" s="1104"/>
      <c r="H5504" s="1104"/>
      <c r="I5504" s="1104"/>
      <c r="J5504" s="1104"/>
      <c r="K5504" s="1104"/>
      <c r="L5504" s="1104"/>
      <c r="M5504" s="1104"/>
      <c r="N5504" s="1105"/>
    </row>
    <row r="5505" spans="2:16">
      <c r="B5505" s="1106"/>
      <c r="C5505" s="1107"/>
      <c r="D5505" s="1107"/>
      <c r="E5505" s="1107"/>
      <c r="F5505" s="1107"/>
      <c r="G5505" s="1107"/>
      <c r="H5505" s="1107"/>
      <c r="I5505" s="1107"/>
      <c r="J5505" s="1107"/>
      <c r="K5505" s="1107"/>
      <c r="L5505" s="1107"/>
      <c r="M5505" s="1107"/>
      <c r="N5505" s="1108"/>
    </row>
    <row r="5506" spans="2:16" ht="13.5" thickBot="1">
      <c r="B5506" s="1109"/>
      <c r="C5506" s="1110"/>
      <c r="D5506" s="1110"/>
      <c r="E5506" s="1110"/>
      <c r="F5506" s="1110"/>
      <c r="G5506" s="1110"/>
      <c r="H5506" s="1110"/>
      <c r="I5506" s="1110"/>
      <c r="J5506" s="1110"/>
      <c r="K5506" s="1110"/>
      <c r="L5506" s="1110"/>
      <c r="M5506" s="1110"/>
      <c r="N5506" s="1111"/>
    </row>
    <row r="5507" spans="2:16">
      <c r="B5507" s="1130" t="s">
        <v>277</v>
      </c>
      <c r="C5507" s="1139"/>
      <c r="D5507" s="1139"/>
      <c r="E5507" s="1139"/>
      <c r="F5507" s="1139"/>
      <c r="G5507" s="1139"/>
      <c r="H5507" s="1139"/>
      <c r="I5507" s="288" t="s">
        <v>278</v>
      </c>
      <c r="J5507" s="306" t="s">
        <v>279</v>
      </c>
      <c r="K5507" s="307" t="s">
        <v>280</v>
      </c>
      <c r="L5507" s="1133" t="s">
        <v>281</v>
      </c>
      <c r="M5507" s="1136"/>
      <c r="N5507" s="289" t="s">
        <v>265</v>
      </c>
    </row>
    <row r="5508" spans="2:16" ht="13.5" thickBot="1">
      <c r="B5508" s="1112"/>
      <c r="C5508" s="1113"/>
      <c r="D5508" s="1113"/>
      <c r="E5508" s="1113"/>
      <c r="F5508" s="1113"/>
      <c r="G5508" s="1113"/>
      <c r="H5508" s="1113"/>
      <c r="I5508" s="393"/>
      <c r="J5508" s="309"/>
      <c r="K5508" s="308"/>
      <c r="L5508" s="1144"/>
      <c r="M5508" s="1145"/>
      <c r="N5508" s="363"/>
    </row>
    <row r="5509" spans="2:16" ht="13.5" thickBot="1">
      <c r="B5509" s="1100" t="s">
        <v>269</v>
      </c>
      <c r="C5509" s="1101"/>
      <c r="D5509" s="1101"/>
      <c r="E5509" s="1101"/>
      <c r="F5509" s="1101"/>
      <c r="G5509" s="1101"/>
      <c r="H5509" s="1101"/>
      <c r="I5509" s="1101"/>
      <c r="J5509" s="1101"/>
      <c r="K5509" s="1101"/>
      <c r="L5509" s="1101"/>
      <c r="M5509" s="1102"/>
      <c r="N5509" s="323">
        <f>+N5508</f>
        <v>0</v>
      </c>
    </row>
    <row r="5510" spans="2:16">
      <c r="B5510" s="1103" t="s">
        <v>282</v>
      </c>
      <c r="C5510" s="1104"/>
      <c r="D5510" s="1104"/>
      <c r="E5510" s="1104"/>
      <c r="F5510" s="1104"/>
      <c r="G5510" s="1104"/>
      <c r="H5510" s="1104"/>
      <c r="I5510" s="1104"/>
      <c r="J5510" s="1104"/>
      <c r="K5510" s="1104"/>
      <c r="L5510" s="1104"/>
      <c r="M5510" s="1104"/>
      <c r="N5510" s="1105"/>
    </row>
    <row r="5511" spans="2:16">
      <c r="B5511" s="1106"/>
      <c r="C5511" s="1107"/>
      <c r="D5511" s="1107"/>
      <c r="E5511" s="1107"/>
      <c r="F5511" s="1107"/>
      <c r="G5511" s="1107"/>
      <c r="H5511" s="1107"/>
      <c r="I5511" s="1107"/>
      <c r="J5511" s="1107"/>
      <c r="K5511" s="1107"/>
      <c r="L5511" s="1107"/>
      <c r="M5511" s="1107"/>
      <c r="N5511" s="1108"/>
    </row>
    <row r="5512" spans="2:16" ht="13.5" thickBot="1">
      <c r="B5512" s="1109"/>
      <c r="C5512" s="1110"/>
      <c r="D5512" s="1110"/>
      <c r="E5512" s="1110"/>
      <c r="F5512" s="1110"/>
      <c r="G5512" s="1110"/>
      <c r="H5512" s="1110"/>
      <c r="I5512" s="1110"/>
      <c r="J5512" s="1110"/>
      <c r="K5512" s="1110"/>
      <c r="L5512" s="1110"/>
      <c r="M5512" s="1110"/>
      <c r="N5512" s="1111"/>
    </row>
    <row r="5513" spans="2:16">
      <c r="B5513" s="1130" t="s">
        <v>283</v>
      </c>
      <c r="C5513" s="1139"/>
      <c r="D5513" s="1139"/>
      <c r="E5513" s="1139"/>
      <c r="F5513" s="1139"/>
      <c r="G5513" s="1139"/>
      <c r="H5513" s="1139"/>
      <c r="I5513" s="288" t="s">
        <v>284</v>
      </c>
      <c r="J5513" s="314" t="s">
        <v>285</v>
      </c>
      <c r="K5513" s="315" t="s">
        <v>286</v>
      </c>
      <c r="L5513" s="1140" t="s">
        <v>264</v>
      </c>
      <c r="M5513" s="1141"/>
      <c r="N5513" s="316" t="s">
        <v>265</v>
      </c>
    </row>
    <row r="5514" spans="2:16" ht="13.5" thickBot="1">
      <c r="B5514" s="317" t="s">
        <v>322</v>
      </c>
      <c r="C5514" s="318"/>
      <c r="D5514" s="318"/>
      <c r="E5514" s="318"/>
      <c r="F5514" s="318"/>
      <c r="G5514" s="318"/>
      <c r="H5514" s="318"/>
      <c r="I5514" s="319">
        <v>153482</v>
      </c>
      <c r="J5514" s="321">
        <v>0</v>
      </c>
      <c r="K5514" s="321">
        <f>+I5514+J5514</f>
        <v>153482</v>
      </c>
      <c r="L5514" s="1157">
        <v>1.4999990000000001</v>
      </c>
      <c r="M5514" s="1158"/>
      <c r="N5514" s="322">
        <f>+K5514/L5514</f>
        <v>102321.40154760102</v>
      </c>
    </row>
    <row r="5515" spans="2:16" ht="13.5" thickBot="1">
      <c r="B5515" s="1100" t="s">
        <v>269</v>
      </c>
      <c r="C5515" s="1101"/>
      <c r="D5515" s="1101"/>
      <c r="E5515" s="1101"/>
      <c r="F5515" s="1101"/>
      <c r="G5515" s="1101"/>
      <c r="H5515" s="1101"/>
      <c r="I5515" s="1101"/>
      <c r="J5515" s="1101"/>
      <c r="K5515" s="1101"/>
      <c r="L5515" s="1101"/>
      <c r="M5515" s="1102"/>
      <c r="N5515" s="322">
        <f>+N5514</f>
        <v>102321.40154760102</v>
      </c>
    </row>
    <row r="5516" spans="2:16" ht="13.5" thickBot="1">
      <c r="B5516" s="324" t="s">
        <v>288</v>
      </c>
      <c r="C5516" s="325"/>
      <c r="D5516" s="325"/>
      <c r="E5516" s="325"/>
      <c r="F5516" s="325"/>
      <c r="G5516" s="325"/>
      <c r="H5516" s="325"/>
      <c r="I5516" s="326"/>
      <c r="J5516" s="327"/>
      <c r="K5516" s="328"/>
      <c r="L5516" s="329"/>
      <c r="M5516" s="329"/>
      <c r="N5516" s="330"/>
    </row>
    <row r="5517" spans="2:16">
      <c r="B5517" s="1130" t="s">
        <v>17</v>
      </c>
      <c r="C5517" s="1139"/>
      <c r="D5517" s="1139"/>
      <c r="E5517" s="1139"/>
      <c r="F5517" s="1139"/>
      <c r="G5517" s="1139"/>
      <c r="H5517" s="1139"/>
      <c r="I5517" s="1136"/>
      <c r="J5517" s="299" t="s">
        <v>259</v>
      </c>
      <c r="K5517" s="288" t="s">
        <v>133</v>
      </c>
      <c r="L5517" s="1133" t="s">
        <v>271</v>
      </c>
      <c r="M5517" s="1136"/>
      <c r="N5517" s="316" t="s">
        <v>265</v>
      </c>
    </row>
    <row r="5518" spans="2:16" ht="13.5" thickBot="1">
      <c r="B5518" s="331" t="s">
        <v>289</v>
      </c>
      <c r="C5518" s="332"/>
      <c r="D5518" s="332"/>
      <c r="E5518" s="332"/>
      <c r="F5518" s="332"/>
      <c r="G5518" s="332"/>
      <c r="H5518" s="332"/>
      <c r="I5518" s="333"/>
      <c r="J5518" s="334" t="s">
        <v>290</v>
      </c>
      <c r="K5518" s="335">
        <v>0.05</v>
      </c>
      <c r="L5518" s="1144">
        <f>+N5515</f>
        <v>102321.40154760102</v>
      </c>
      <c r="M5518" s="1145"/>
      <c r="N5518" s="322">
        <f>+K5518*L5518</f>
        <v>5116.0700773800518</v>
      </c>
    </row>
    <row r="5519" spans="2:16" ht="13.5" thickBot="1">
      <c r="B5519" s="1100" t="s">
        <v>269</v>
      </c>
      <c r="C5519" s="1101"/>
      <c r="D5519" s="1101"/>
      <c r="E5519" s="1101"/>
      <c r="F5519" s="1101"/>
      <c r="G5519" s="1101"/>
      <c r="H5519" s="1101"/>
      <c r="I5519" s="1101"/>
      <c r="J5519" s="1101"/>
      <c r="K5519" s="1101"/>
      <c r="L5519" s="1101"/>
      <c r="M5519" s="1102"/>
      <c r="N5519" s="322">
        <f>+N5518</f>
        <v>5116.0700773800518</v>
      </c>
      <c r="P5519" s="408">
        <v>2409485</v>
      </c>
    </row>
    <row r="5520" spans="2:16" ht="13.5" thickBot="1">
      <c r="B5520" s="1100"/>
      <c r="C5520" s="1101"/>
      <c r="D5520" s="1101"/>
      <c r="E5520" s="1101"/>
      <c r="F5520" s="1101"/>
      <c r="G5520" s="1101"/>
      <c r="H5520" s="1101"/>
      <c r="I5520" s="1101"/>
      <c r="J5520" s="1101"/>
      <c r="K5520" s="1101"/>
      <c r="L5520" s="1101"/>
      <c r="M5520" s="1102"/>
      <c r="N5520" s="322"/>
    </row>
    <row r="5521" spans="2:17" ht="13.5" thickBot="1">
      <c r="B5521" s="1150" t="s">
        <v>291</v>
      </c>
      <c r="C5521" s="1151"/>
      <c r="D5521" s="1151"/>
      <c r="E5521" s="1151"/>
      <c r="F5521" s="1151"/>
      <c r="G5521" s="1151"/>
      <c r="H5521" s="1151"/>
      <c r="I5521" s="1151"/>
      <c r="J5521" s="1151"/>
      <c r="K5521" s="1151"/>
      <c r="L5521" s="1151"/>
      <c r="M5521" s="1152"/>
      <c r="N5521" s="336">
        <f>+N5495+N5503+N5509+N5515+N5519</f>
        <v>481897.46662498108</v>
      </c>
      <c r="P5521" s="409">
        <f>+N5521*N5489</f>
        <v>2409487.3331249054</v>
      </c>
      <c r="Q5521" s="413">
        <f>+P5521-P5519</f>
        <v>2.333124905359</v>
      </c>
    </row>
    <row r="5522" spans="2:17">
      <c r="B5522" s="1103" t="s">
        <v>292</v>
      </c>
      <c r="C5522" s="1104"/>
      <c r="D5522" s="1104"/>
      <c r="E5522" s="1104"/>
      <c r="F5522" s="1104"/>
      <c r="G5522" s="1104"/>
      <c r="H5522" s="1104"/>
      <c r="I5522" s="1104"/>
      <c r="J5522" s="1104"/>
      <c r="K5522" s="1104"/>
      <c r="L5522" s="1104"/>
      <c r="M5522" s="1104"/>
      <c r="N5522" s="1105"/>
    </row>
    <row r="5523" spans="2:17">
      <c r="B5523" s="1106"/>
      <c r="C5523" s="1107"/>
      <c r="D5523" s="1107"/>
      <c r="E5523" s="1107"/>
      <c r="F5523" s="1107"/>
      <c r="G5523" s="1107"/>
      <c r="H5523" s="1107"/>
      <c r="I5523" s="1107"/>
      <c r="J5523" s="1107"/>
      <c r="K5523" s="1107"/>
      <c r="L5523" s="1107"/>
      <c r="M5523" s="1107"/>
      <c r="N5523" s="1108"/>
    </row>
    <row r="5524" spans="2:17" ht="13.5" thickBot="1">
      <c r="B5524" s="1109"/>
      <c r="C5524" s="1110"/>
      <c r="D5524" s="1110"/>
      <c r="E5524" s="1110"/>
      <c r="F5524" s="1110"/>
      <c r="G5524" s="1110"/>
      <c r="H5524" s="1110"/>
      <c r="I5524" s="1110"/>
      <c r="J5524" s="1110"/>
      <c r="K5524" s="1110"/>
      <c r="L5524" s="1110"/>
      <c r="M5524" s="1110"/>
      <c r="N5524" s="1111"/>
    </row>
    <row r="5525" spans="2:17">
      <c r="B5525" s="1130" t="s">
        <v>17</v>
      </c>
      <c r="C5525" s="1139"/>
      <c r="D5525" s="1139"/>
      <c r="E5525" s="1139"/>
      <c r="F5525" s="1139"/>
      <c r="G5525" s="1139"/>
      <c r="H5525" s="1139"/>
      <c r="I5525" s="306"/>
      <c r="J5525" s="337"/>
      <c r="K5525" s="315" t="s">
        <v>79</v>
      </c>
      <c r="L5525" s="1140" t="s">
        <v>11</v>
      </c>
      <c r="M5525" s="1141"/>
      <c r="N5525" s="316"/>
    </row>
    <row r="5526" spans="2:17">
      <c r="B5526" s="1112" t="s">
        <v>232</v>
      </c>
      <c r="C5526" s="1113"/>
      <c r="D5526" s="1113"/>
      <c r="E5526" s="1113"/>
      <c r="F5526" s="1113"/>
      <c r="G5526" s="1113"/>
      <c r="H5526" s="1113"/>
      <c r="I5526" s="338"/>
      <c r="J5526" s="339"/>
      <c r="K5526" s="340">
        <f>'PRESUPUESTO OFICIAL'!$K$100</f>
        <v>0</v>
      </c>
      <c r="L5526" s="1146">
        <f>K5526*N5521</f>
        <v>0</v>
      </c>
      <c r="M5526" s="1147"/>
      <c r="N5526" s="341"/>
    </row>
    <row r="5527" spans="2:17">
      <c r="B5527" s="292" t="s">
        <v>293</v>
      </c>
      <c r="C5527" s="293"/>
      <c r="D5527" s="293"/>
      <c r="E5527" s="293"/>
      <c r="F5527" s="293"/>
      <c r="G5527" s="293"/>
      <c r="H5527" s="293"/>
      <c r="I5527" s="338"/>
      <c r="J5527" s="339"/>
      <c r="K5527" s="340">
        <f>'PRESUPUESTO OFICIAL'!$K$101</f>
        <v>0</v>
      </c>
      <c r="L5527" s="1146">
        <f>K5527*N5521</f>
        <v>0</v>
      </c>
      <c r="M5527" s="1147"/>
      <c r="N5527" s="341"/>
    </row>
    <row r="5528" spans="2:17" ht="13.5" thickBot="1">
      <c r="B5528" s="277" t="s">
        <v>294</v>
      </c>
      <c r="C5528" s="278"/>
      <c r="D5528" s="278"/>
      <c r="E5528" s="278"/>
      <c r="F5528" s="278"/>
      <c r="G5528" s="278"/>
      <c r="H5528" s="278"/>
      <c r="I5528" s="342"/>
      <c r="J5528" s="343"/>
      <c r="K5528" s="340">
        <f>'PRESUPUESTO OFICIAL'!$K$102</f>
        <v>0</v>
      </c>
      <c r="L5528" s="1148">
        <f>K5528*N5521</f>
        <v>0</v>
      </c>
      <c r="M5528" s="1149"/>
      <c r="N5528" s="341"/>
    </row>
    <row r="5529" spans="2:17" ht="13.5" thickBot="1">
      <c r="B5529" s="1100" t="s">
        <v>269</v>
      </c>
      <c r="C5529" s="1101"/>
      <c r="D5529" s="1101"/>
      <c r="E5529" s="1101"/>
      <c r="F5529" s="1101"/>
      <c r="G5529" s="1101"/>
      <c r="H5529" s="1101"/>
      <c r="I5529" s="1101"/>
      <c r="J5529" s="1101"/>
      <c r="K5529" s="1101"/>
      <c r="L5529" s="1101"/>
      <c r="M5529" s="1102"/>
      <c r="N5529" s="344">
        <f>SUM(L5526:M5528)</f>
        <v>0</v>
      </c>
    </row>
    <row r="5530" spans="2:17" ht="13.5" thickBot="1">
      <c r="B5530" s="283"/>
      <c r="N5530" s="284"/>
    </row>
    <row r="5531" spans="2:17" ht="13.5" thickBot="1">
      <c r="B5531" s="1150" t="s">
        <v>295</v>
      </c>
      <c r="C5531" s="1151"/>
      <c r="D5531" s="1151"/>
      <c r="E5531" s="1151"/>
      <c r="F5531" s="1151"/>
      <c r="G5531" s="1151"/>
      <c r="H5531" s="1151"/>
      <c r="I5531" s="1151"/>
      <c r="J5531" s="1151"/>
      <c r="K5531" s="1151"/>
      <c r="L5531" s="1151"/>
      <c r="M5531" s="1152"/>
      <c r="N5531" s="345">
        <f>ROUND(N5521+N5529,0)</f>
        <v>481897</v>
      </c>
    </row>
    <row r="5532" spans="2:17">
      <c r="B5532" s="280"/>
      <c r="C5532" s="281"/>
      <c r="D5532" s="281"/>
      <c r="E5532" s="281"/>
      <c r="F5532" s="281"/>
      <c r="G5532" s="281"/>
      <c r="H5532" s="281"/>
      <c r="I5532" s="281"/>
      <c r="J5532" s="281"/>
      <c r="K5532" s="281"/>
      <c r="L5532" s="281"/>
      <c r="M5532" s="281"/>
      <c r="N5532" s="282"/>
    </row>
    <row r="5533" spans="2:17">
      <c r="B5533" s="283"/>
      <c r="N5533" s="284"/>
    </row>
    <row r="5534" spans="2:17">
      <c r="B5534" s="283"/>
      <c r="N5534" s="284"/>
    </row>
    <row r="5535" spans="2:17">
      <c r="B5535" s="283"/>
      <c r="G5535" s="346" t="s">
        <v>296</v>
      </c>
      <c r="H5535" s="346"/>
      <c r="I5535" s="346"/>
      <c r="J5535" s="346"/>
      <c r="N5535" s="284"/>
    </row>
    <row r="5536" spans="2:17">
      <c r="B5536" s="347"/>
      <c r="C5536" s="348"/>
      <c r="D5536" s="348"/>
      <c r="E5536" s="348"/>
      <c r="F5536" s="348"/>
      <c r="G5536" s="346" t="s">
        <v>297</v>
      </c>
      <c r="H5536" s="348"/>
      <c r="I5536" s="348"/>
      <c r="J5536" s="348"/>
      <c r="K5536" s="348"/>
      <c r="L5536" s="348"/>
      <c r="M5536" s="348"/>
      <c r="N5536" s="349"/>
    </row>
    <row r="5537" spans="2:14">
      <c r="B5537" s="347"/>
      <c r="C5537" s="348"/>
      <c r="D5537" s="348"/>
      <c r="E5537" s="348"/>
      <c r="F5537" s="348"/>
      <c r="G5537" s="346" t="s">
        <v>298</v>
      </c>
      <c r="J5537" s="348"/>
      <c r="K5537" s="348"/>
      <c r="L5537" s="348"/>
      <c r="M5537" s="348"/>
      <c r="N5537" s="349"/>
    </row>
    <row r="5538" spans="2:14">
      <c r="B5538" s="268"/>
      <c r="C5538" s="350"/>
      <c r="D5538" s="350"/>
      <c r="E5538" s="350"/>
      <c r="F5538" s="350"/>
      <c r="G5538" s="346" t="s">
        <v>299</v>
      </c>
      <c r="H5538" s="350"/>
      <c r="I5538" s="350"/>
      <c r="J5538" s="350"/>
      <c r="K5538" s="350"/>
      <c r="L5538" s="350"/>
      <c r="M5538" s="350"/>
      <c r="N5538" s="351"/>
    </row>
    <row r="5539" spans="2:14">
      <c r="B5539" s="283"/>
      <c r="G5539" s="258" t="s">
        <v>300</v>
      </c>
      <c r="N5539" s="284"/>
    </row>
    <row r="5540" spans="2:14">
      <c r="B5540" s="352" t="s">
        <v>301</v>
      </c>
      <c r="C5540" s="353"/>
      <c r="D5540" s="353"/>
      <c r="E5540" s="353"/>
      <c r="F5540" s="353"/>
      <c r="G5540" s="353"/>
      <c r="H5540" s="353"/>
      <c r="I5540" s="353"/>
      <c r="J5540" s="353"/>
      <c r="K5540" s="353"/>
      <c r="L5540" s="353"/>
      <c r="M5540" s="353"/>
      <c r="N5540" s="354"/>
    </row>
    <row r="5541" spans="2:14">
      <c r="B5541" s="1153"/>
      <c r="C5541" s="1154"/>
      <c r="D5541" s="1154"/>
      <c r="E5541" s="1154"/>
      <c r="F5541" s="1154"/>
      <c r="G5541" s="1154"/>
      <c r="H5541" s="1154"/>
      <c r="I5541" s="1154"/>
      <c r="J5541" s="1154"/>
      <c r="K5541" s="1154"/>
      <c r="L5541" s="1154"/>
      <c r="M5541" s="1154"/>
      <c r="N5541" s="1155"/>
    </row>
    <row r="5542" spans="2:14">
      <c r="B5542" s="1153"/>
      <c r="C5542" s="1154"/>
      <c r="D5542" s="1154"/>
      <c r="E5542" s="1154"/>
      <c r="F5542" s="1154"/>
      <c r="G5542" s="1154"/>
      <c r="H5542" s="1154"/>
      <c r="I5542" s="1154"/>
      <c r="J5542" s="1154"/>
      <c r="K5542" s="1154"/>
      <c r="L5542" s="1154"/>
      <c r="M5542" s="1154"/>
      <c r="N5542" s="1155"/>
    </row>
    <row r="5543" spans="2:14">
      <c r="B5543" s="268"/>
      <c r="C5543" s="350"/>
      <c r="D5543" s="350"/>
      <c r="E5543" s="350"/>
      <c r="F5543" s="350"/>
      <c r="G5543" s="350"/>
      <c r="H5543" s="350"/>
      <c r="I5543" s="350"/>
      <c r="J5543" s="350"/>
      <c r="K5543" s="350"/>
      <c r="L5543" s="350"/>
      <c r="M5543" s="350"/>
      <c r="N5543" s="351"/>
    </row>
    <row r="5544" spans="2:14">
      <c r="B5544" s="355" t="s">
        <v>302</v>
      </c>
      <c r="C5544" s="350"/>
      <c r="D5544" s="350"/>
      <c r="E5544" s="350"/>
      <c r="F5544" s="350"/>
      <c r="G5544" s="350"/>
      <c r="H5544" s="350"/>
      <c r="I5544" s="350"/>
      <c r="J5544" s="350"/>
      <c r="K5544" s="350"/>
      <c r="L5544" s="350"/>
      <c r="M5544" s="350"/>
      <c r="N5544" s="351"/>
    </row>
    <row r="5545" spans="2:14">
      <c r="B5545" s="1159" t="s">
        <v>303</v>
      </c>
      <c r="C5545" s="1160"/>
      <c r="D5545" s="1160"/>
      <c r="E5545" s="1160"/>
      <c r="F5545" s="1160"/>
      <c r="G5545" s="1160"/>
      <c r="H5545" s="1160"/>
      <c r="I5545" s="1160"/>
      <c r="J5545" s="1160"/>
      <c r="K5545" s="1160"/>
      <c r="L5545" s="1160"/>
      <c r="M5545" s="1160"/>
      <c r="N5545" s="1161"/>
    </row>
    <row r="5546" spans="2:14">
      <c r="B5546" s="1159"/>
      <c r="C5546" s="1160"/>
      <c r="D5546" s="1160"/>
      <c r="E5546" s="1160"/>
      <c r="F5546" s="1160"/>
      <c r="G5546" s="1160"/>
      <c r="H5546" s="1160"/>
      <c r="I5546" s="1160"/>
      <c r="J5546" s="1160"/>
      <c r="K5546" s="1160"/>
      <c r="L5546" s="1160"/>
      <c r="M5546" s="1160"/>
      <c r="N5546" s="1161"/>
    </row>
    <row r="5547" spans="2:14">
      <c r="B5547" s="1159" t="s">
        <v>304</v>
      </c>
      <c r="C5547" s="1160"/>
      <c r="D5547" s="1160"/>
      <c r="E5547" s="1160"/>
      <c r="F5547" s="1160"/>
      <c r="G5547" s="1160"/>
      <c r="H5547" s="1160"/>
      <c r="I5547" s="1160"/>
      <c r="J5547" s="1160"/>
      <c r="K5547" s="1160"/>
      <c r="L5547" s="1160"/>
      <c r="M5547" s="1160"/>
      <c r="N5547" s="1161"/>
    </row>
    <row r="5548" spans="2:14">
      <c r="B5548" s="1159"/>
      <c r="C5548" s="1160"/>
      <c r="D5548" s="1160"/>
      <c r="E5548" s="1160"/>
      <c r="F5548" s="1160"/>
      <c r="G5548" s="1160"/>
      <c r="H5548" s="1160"/>
      <c r="I5548" s="1160"/>
      <c r="J5548" s="1160"/>
      <c r="K5548" s="1160"/>
      <c r="L5548" s="1160"/>
      <c r="M5548" s="1160"/>
      <c r="N5548" s="1161"/>
    </row>
    <row r="5549" spans="2:14">
      <c r="B5549" s="268"/>
      <c r="C5549" s="350"/>
      <c r="D5549" s="350"/>
      <c r="E5549" s="350"/>
      <c r="F5549" s="350"/>
      <c r="G5549" s="350"/>
      <c r="H5549" s="350"/>
      <c r="I5549" s="350"/>
      <c r="J5549" s="350"/>
      <c r="K5549" s="350"/>
      <c r="L5549" s="350"/>
      <c r="M5549" s="350"/>
      <c r="N5549" s="351"/>
    </row>
    <row r="5550" spans="2:14">
      <c r="B5550" s="283"/>
      <c r="G5550" s="346" t="s">
        <v>296</v>
      </c>
      <c r="N5550" s="284"/>
    </row>
    <row r="5551" spans="2:14">
      <c r="B5551" s="283"/>
      <c r="G5551" s="258" t="s">
        <v>305</v>
      </c>
      <c r="H5551" s="293"/>
      <c r="I5551" s="293"/>
      <c r="J5551" s="293"/>
      <c r="N5551" s="284"/>
    </row>
    <row r="5552" spans="2:14">
      <c r="B5552" s="283"/>
      <c r="G5552" s="258" t="s">
        <v>306</v>
      </c>
      <c r="H5552" s="325"/>
      <c r="I5552" s="325"/>
      <c r="J5552" s="325"/>
      <c r="N5552" s="284"/>
    </row>
    <row r="5553" spans="2:14">
      <c r="B5553" s="356"/>
      <c r="C5553" s="350"/>
      <c r="D5553" s="350"/>
      <c r="E5553" s="350"/>
      <c r="F5553" s="350"/>
      <c r="G5553" s="258" t="s">
        <v>299</v>
      </c>
      <c r="K5553" s="350"/>
      <c r="L5553" s="350"/>
      <c r="M5553" s="350"/>
      <c r="N5553" s="351"/>
    </row>
    <row r="5554" spans="2:14">
      <c r="B5554" s="357"/>
      <c r="C5554" s="358"/>
      <c r="D5554" s="358"/>
      <c r="J5554" s="1162"/>
      <c r="K5554" s="1162"/>
      <c r="L5554" s="1162"/>
      <c r="M5554" s="1162"/>
      <c r="N5554" s="1163"/>
    </row>
    <row r="5555" spans="2:14" ht="13.5" thickBot="1">
      <c r="B5555" s="1166"/>
      <c r="C5555" s="1167"/>
      <c r="D5555" s="1167"/>
      <c r="E5555" s="311"/>
      <c r="F5555" s="311"/>
      <c r="G5555" s="311"/>
      <c r="H5555" s="311"/>
      <c r="I5555" s="311"/>
      <c r="J5555" s="1164"/>
      <c r="K5555" s="1164"/>
      <c r="L5555" s="1164"/>
      <c r="M5555" s="1164"/>
      <c r="N5555" s="1165"/>
    </row>
    <row r="5556" spans="2:14" ht="13.5" thickBot="1"/>
    <row r="5557" spans="2:14">
      <c r="B5557" s="1070"/>
      <c r="C5557" s="1072"/>
      <c r="D5557" s="1073"/>
      <c r="E5557" s="1073"/>
      <c r="F5557" s="1073"/>
      <c r="G5557" s="1073"/>
      <c r="H5557" s="1073"/>
      <c r="I5557" s="1073"/>
      <c r="J5557" s="1074"/>
      <c r="K5557" s="1075"/>
      <c r="L5557" s="1076"/>
      <c r="M5557" s="1076"/>
      <c r="N5557" s="1077"/>
    </row>
    <row r="5558" spans="2:14">
      <c r="B5558" s="1071"/>
      <c r="C5558" s="1062" t="s">
        <v>244</v>
      </c>
      <c r="D5558" s="1063"/>
      <c r="E5558" s="1063"/>
      <c r="F5558" s="1063"/>
      <c r="G5558" s="1063"/>
      <c r="H5558" s="1063"/>
      <c r="I5558" s="1063"/>
      <c r="J5558" s="1064"/>
      <c r="K5558" s="1078"/>
      <c r="L5558" s="1079"/>
      <c r="M5558" s="1079"/>
      <c r="N5558" s="1080"/>
    </row>
    <row r="5559" spans="2:14">
      <c r="B5559" s="1071"/>
      <c r="C5559" s="1081"/>
      <c r="D5559" s="1082"/>
      <c r="E5559" s="1082"/>
      <c r="F5559" s="1082"/>
      <c r="G5559" s="1082"/>
      <c r="H5559" s="1082"/>
      <c r="I5559" s="1082"/>
      <c r="J5559" s="1083"/>
      <c r="K5559" s="1058" t="s">
        <v>245</v>
      </c>
      <c r="L5559" s="1085"/>
      <c r="M5559" s="1086"/>
      <c r="N5559" s="1087"/>
    </row>
    <row r="5560" spans="2:14">
      <c r="B5560" s="1071"/>
      <c r="C5560" s="1062" t="s">
        <v>246</v>
      </c>
      <c r="D5560" s="1063"/>
      <c r="E5560" s="1063"/>
      <c r="F5560" s="1063"/>
      <c r="G5560" s="1063"/>
      <c r="H5560" s="1063"/>
      <c r="I5560" s="1063"/>
      <c r="J5560" s="1064"/>
      <c r="K5560" s="1084"/>
      <c r="L5560" s="1088"/>
      <c r="M5560" s="1089"/>
      <c r="N5560" s="1090"/>
    </row>
    <row r="5561" spans="2:14">
      <c r="B5561" s="1071"/>
      <c r="C5561" s="1091"/>
      <c r="D5561" s="1092"/>
      <c r="E5561" s="1092"/>
      <c r="F5561" s="1092"/>
      <c r="G5561" s="1092"/>
      <c r="H5561" s="1092"/>
      <c r="I5561" s="1092"/>
      <c r="J5561" s="1093"/>
      <c r="K5561" s="1058" t="s">
        <v>247</v>
      </c>
      <c r="L5561" s="1058">
        <v>63</v>
      </c>
      <c r="M5561" s="1058" t="s">
        <v>248</v>
      </c>
      <c r="N5561" s="1060">
        <v>80</v>
      </c>
    </row>
    <row r="5562" spans="2:14">
      <c r="B5562" s="1071"/>
      <c r="C5562" s="1091"/>
      <c r="D5562" s="1092"/>
      <c r="E5562" s="1092"/>
      <c r="F5562" s="1092"/>
      <c r="G5562" s="1092"/>
      <c r="H5562" s="1092"/>
      <c r="I5562" s="1092"/>
      <c r="J5562" s="1093"/>
      <c r="K5562" s="1059"/>
      <c r="L5562" s="1059"/>
      <c r="M5562" s="1059"/>
      <c r="N5562" s="1061"/>
    </row>
    <row r="5563" spans="2:14">
      <c r="B5563" s="1071"/>
      <c r="C5563" s="1062" t="s">
        <v>249</v>
      </c>
      <c r="D5563" s="1063"/>
      <c r="E5563" s="1063"/>
      <c r="F5563" s="1063"/>
      <c r="G5563" s="1063"/>
      <c r="H5563" s="1063"/>
      <c r="I5563" s="1063"/>
      <c r="J5563" s="1064"/>
      <c r="K5563" s="1059"/>
      <c r="L5563" s="1059"/>
      <c r="M5563" s="1059"/>
      <c r="N5563" s="1061"/>
    </row>
    <row r="5564" spans="2:14" ht="13.5" thickBot="1">
      <c r="B5564" s="259"/>
      <c r="C5564" s="260"/>
      <c r="D5564" s="260"/>
      <c r="E5564" s="260"/>
      <c r="F5564" s="260"/>
      <c r="G5564" s="260"/>
      <c r="H5564" s="260"/>
      <c r="I5564" s="260"/>
      <c r="J5564" s="260"/>
      <c r="K5564" s="260"/>
      <c r="L5564" s="261"/>
      <c r="M5564" s="261"/>
      <c r="N5564" s="262"/>
    </row>
    <row r="5565" spans="2:14">
      <c r="B5565" s="263"/>
      <c r="C5565" s="264"/>
      <c r="D5565" s="264"/>
      <c r="E5565" s="264"/>
      <c r="F5565" s="264"/>
      <c r="G5565" s="264"/>
      <c r="H5565" s="264"/>
      <c r="I5565" s="264"/>
      <c r="J5565" s="264"/>
      <c r="K5565" s="265" t="s">
        <v>250</v>
      </c>
      <c r="L5565" s="266" t="s">
        <v>251</v>
      </c>
      <c r="M5565" s="266" t="s">
        <v>252</v>
      </c>
      <c r="N5565" s="267" t="s">
        <v>253</v>
      </c>
    </row>
    <row r="5566" spans="2:14">
      <c r="B5566" s="268"/>
      <c r="C5566" s="269"/>
      <c r="D5566" s="269"/>
      <c r="E5566" s="269"/>
      <c r="F5566" s="269"/>
      <c r="G5566" s="269"/>
      <c r="H5566" s="269"/>
      <c r="I5566" s="269"/>
      <c r="J5566" s="269"/>
      <c r="K5566" s="270"/>
      <c r="L5566" s="271"/>
      <c r="M5566" s="271"/>
      <c r="N5566" s="272"/>
    </row>
    <row r="5567" spans="2:14">
      <c r="B5567" s="1065" t="s">
        <v>254</v>
      </c>
      <c r="C5567" s="1066"/>
      <c r="D5567" s="1066"/>
      <c r="E5567" s="1066"/>
      <c r="F5567" s="269"/>
      <c r="G5567" s="269"/>
      <c r="H5567" s="269" t="s">
        <v>255</v>
      </c>
      <c r="J5567" s="269"/>
      <c r="K5567" s="270"/>
      <c r="N5567" s="273"/>
    </row>
    <row r="5568" spans="2:14">
      <c r="B5568" s="274"/>
      <c r="C5568" s="275"/>
      <c r="D5568" s="275"/>
      <c r="E5568" s="275"/>
      <c r="F5568" s="275"/>
      <c r="G5568" s="275"/>
      <c r="H5568" s="275"/>
      <c r="I5568" s="275"/>
      <c r="J5568" s="275"/>
      <c r="K5568" s="275"/>
      <c r="L5568" s="275"/>
      <c r="M5568" s="275"/>
      <c r="N5568" s="276"/>
    </row>
    <row r="5569" spans="2:14" ht="13.5" thickBot="1">
      <c r="B5569" s="277"/>
      <c r="C5569" s="278"/>
      <c r="D5569" s="278"/>
      <c r="E5569" s="278"/>
      <c r="F5569" s="278"/>
      <c r="G5569" s="278"/>
      <c r="H5569" s="278"/>
      <c r="I5569" s="278"/>
      <c r="J5569" s="278"/>
      <c r="K5569" s="278"/>
      <c r="L5569" s="278"/>
      <c r="M5569" s="278"/>
      <c r="N5569" s="279"/>
    </row>
    <row r="5570" spans="2:14" ht="13.5" thickBot="1">
      <c r="B5570" s="280"/>
      <c r="C5570" s="281"/>
      <c r="D5570" s="281"/>
      <c r="E5570" s="281"/>
      <c r="F5570" s="281"/>
      <c r="G5570" s="281"/>
      <c r="J5570" s="281"/>
      <c r="K5570" s="281"/>
      <c r="L5570" s="281"/>
      <c r="M5570" s="281"/>
      <c r="N5570" s="282"/>
    </row>
    <row r="5571" spans="2:14">
      <c r="B5571" s="1067" t="s">
        <v>256</v>
      </c>
      <c r="C5571" s="1068"/>
      <c r="D5571" s="1068"/>
      <c r="E5571" s="1068"/>
      <c r="F5571" s="1068"/>
      <c r="G5571" s="1068"/>
      <c r="H5571" s="1068"/>
      <c r="I5571" s="1068"/>
      <c r="J5571" s="1068"/>
      <c r="K5571" s="1068"/>
      <c r="L5571" s="1068"/>
      <c r="M5571" s="1068"/>
      <c r="N5571" s="1069"/>
    </row>
    <row r="5572" spans="2:14" ht="13.5" thickBot="1">
      <c r="B5572" s="283"/>
      <c r="N5572" s="284"/>
    </row>
    <row r="5573" spans="2:14">
      <c r="B5573" s="285" t="s">
        <v>257</v>
      </c>
      <c r="C5573" s="1120" t="s">
        <v>258</v>
      </c>
      <c r="D5573" s="1121"/>
      <c r="E5573" s="1121"/>
      <c r="F5573" s="1121"/>
      <c r="G5573" s="1121"/>
      <c r="H5573" s="1121"/>
      <c r="I5573" s="1121"/>
      <c r="J5573" s="1121"/>
      <c r="K5573" s="1122"/>
      <c r="L5573" s="1123" t="s">
        <v>259</v>
      </c>
      <c r="M5573" s="1124"/>
      <c r="N5573" s="285" t="s">
        <v>133</v>
      </c>
    </row>
    <row r="5574" spans="2:14" ht="72.75" customHeight="1" thickBot="1">
      <c r="B5574" s="286">
        <v>63</v>
      </c>
      <c r="C5574" s="1125" t="s">
        <v>206</v>
      </c>
      <c r="D5574" s="1126"/>
      <c r="E5574" s="1126"/>
      <c r="F5574" s="1126"/>
      <c r="G5574" s="1126"/>
      <c r="H5574" s="1126"/>
      <c r="I5574" s="1126"/>
      <c r="J5574" s="1126"/>
      <c r="K5574" s="1127"/>
      <c r="L5574" s="1128" t="s">
        <v>141</v>
      </c>
      <c r="M5574" s="1129"/>
      <c r="N5574" s="366">
        <v>600</v>
      </c>
    </row>
    <row r="5575" spans="2:14">
      <c r="B5575" s="1103" t="s">
        <v>260</v>
      </c>
      <c r="C5575" s="1104"/>
      <c r="D5575" s="1104"/>
      <c r="E5575" s="1104"/>
      <c r="F5575" s="1104"/>
      <c r="G5575" s="1104"/>
      <c r="H5575" s="1104"/>
      <c r="I5575" s="1104"/>
      <c r="J5575" s="1104"/>
      <c r="K5575" s="1104"/>
      <c r="L5575" s="1104"/>
      <c r="M5575" s="1104"/>
      <c r="N5575" s="1105"/>
    </row>
    <row r="5576" spans="2:14">
      <c r="B5576" s="1106"/>
      <c r="C5576" s="1107"/>
      <c r="D5576" s="1107"/>
      <c r="E5576" s="1107"/>
      <c r="F5576" s="1107"/>
      <c r="G5576" s="1107"/>
      <c r="H5576" s="1107"/>
      <c r="I5576" s="1107"/>
      <c r="J5576" s="1107"/>
      <c r="K5576" s="1107"/>
      <c r="L5576" s="1107"/>
      <c r="M5576" s="1107"/>
      <c r="N5576" s="1108"/>
    </row>
    <row r="5577" spans="2:14" ht="13.5" thickBot="1">
      <c r="B5577" s="1109"/>
      <c r="C5577" s="1110"/>
      <c r="D5577" s="1110"/>
      <c r="E5577" s="1110"/>
      <c r="F5577" s="1110"/>
      <c r="G5577" s="1110"/>
      <c r="H5577" s="1110"/>
      <c r="I5577" s="1110"/>
      <c r="J5577" s="1110"/>
      <c r="K5577" s="1110"/>
      <c r="L5577" s="1110"/>
      <c r="M5577" s="1110"/>
      <c r="N5577" s="1111"/>
    </row>
    <row r="5578" spans="2:14">
      <c r="B5578" s="1130" t="s">
        <v>258</v>
      </c>
      <c r="C5578" s="1131"/>
      <c r="D5578" s="1131"/>
      <c r="E5578" s="1131"/>
      <c r="F5578" s="1132"/>
      <c r="G5578" s="1133" t="s">
        <v>261</v>
      </c>
      <c r="H5578" s="1131"/>
      <c r="I5578" s="1134" t="s">
        <v>262</v>
      </c>
      <c r="J5578" s="1135"/>
      <c r="K5578" s="288" t="s">
        <v>263</v>
      </c>
      <c r="L5578" s="1133" t="s">
        <v>264</v>
      </c>
      <c r="M5578" s="1136"/>
      <c r="N5578" s="289" t="s">
        <v>265</v>
      </c>
    </row>
    <row r="5579" spans="2:14" ht="13.5" thickBot="1">
      <c r="B5579" s="1179"/>
      <c r="C5579" s="1180"/>
      <c r="D5579" s="1180"/>
      <c r="E5579" s="1180"/>
      <c r="F5579" s="1181"/>
      <c r="G5579" s="295"/>
      <c r="H5579" s="294"/>
      <c r="I5579" s="1182"/>
      <c r="J5579" s="1183"/>
      <c r="K5579" s="290"/>
      <c r="L5579" s="1118"/>
      <c r="M5579" s="1119"/>
      <c r="N5579" s="290"/>
    </row>
    <row r="5580" spans="2:14" ht="13.5" thickBot="1">
      <c r="B5580" s="1100" t="s">
        <v>269</v>
      </c>
      <c r="C5580" s="1101"/>
      <c r="D5580" s="1101"/>
      <c r="E5580" s="1101"/>
      <c r="F5580" s="1101"/>
      <c r="G5580" s="1101"/>
      <c r="H5580" s="1101"/>
      <c r="I5580" s="1101"/>
      <c r="J5580" s="1101"/>
      <c r="K5580" s="1101"/>
      <c r="L5580" s="1101"/>
      <c r="M5580" s="1102"/>
      <c r="N5580" s="323">
        <f>+N5579</f>
        <v>0</v>
      </c>
    </row>
    <row r="5581" spans="2:14">
      <c r="B5581" s="1103" t="s">
        <v>270</v>
      </c>
      <c r="C5581" s="1104"/>
      <c r="D5581" s="1104"/>
      <c r="E5581" s="1104"/>
      <c r="F5581" s="1104"/>
      <c r="G5581" s="1104"/>
      <c r="H5581" s="1104"/>
      <c r="I5581" s="1104"/>
      <c r="J5581" s="1104"/>
      <c r="K5581" s="1104"/>
      <c r="L5581" s="1104"/>
      <c r="M5581" s="1104"/>
      <c r="N5581" s="1105"/>
    </row>
    <row r="5582" spans="2:14">
      <c r="B5582" s="1106"/>
      <c r="C5582" s="1107"/>
      <c r="D5582" s="1107"/>
      <c r="E5582" s="1107"/>
      <c r="F5582" s="1107"/>
      <c r="G5582" s="1107"/>
      <c r="H5582" s="1107"/>
      <c r="I5582" s="1107"/>
      <c r="J5582" s="1107"/>
      <c r="K5582" s="1107"/>
      <c r="L5582" s="1107"/>
      <c r="M5582" s="1107"/>
      <c r="N5582" s="1108"/>
    </row>
    <row r="5583" spans="2:14" ht="13.5" thickBot="1">
      <c r="B5583" s="1109"/>
      <c r="C5583" s="1110"/>
      <c r="D5583" s="1110"/>
      <c r="E5583" s="1110"/>
      <c r="F5583" s="1110"/>
      <c r="G5583" s="1110"/>
      <c r="H5583" s="1110"/>
      <c r="I5583" s="1110"/>
      <c r="J5583" s="1110"/>
      <c r="K5583" s="1110"/>
      <c r="L5583" s="1110"/>
      <c r="M5583" s="1110"/>
      <c r="N5583" s="1111"/>
    </row>
    <row r="5584" spans="2:14">
      <c r="B5584" s="1130" t="s">
        <v>258</v>
      </c>
      <c r="C5584" s="1139"/>
      <c r="D5584" s="1139"/>
      <c r="E5584" s="1139"/>
      <c r="F5584" s="1139"/>
      <c r="G5584" s="1139"/>
      <c r="H5584" s="1139"/>
      <c r="I5584" s="1136"/>
      <c r="J5584" s="299" t="s">
        <v>259</v>
      </c>
      <c r="K5584" s="288" t="s">
        <v>133</v>
      </c>
      <c r="L5584" s="1133" t="s">
        <v>271</v>
      </c>
      <c r="M5584" s="1136"/>
      <c r="N5584" s="289" t="s">
        <v>265</v>
      </c>
    </row>
    <row r="5585" spans="2:14">
      <c r="B5585" s="402" t="s">
        <v>397</v>
      </c>
      <c r="C5585" s="353"/>
      <c r="D5585" s="353"/>
      <c r="E5585" s="353"/>
      <c r="F5585" s="353"/>
      <c r="G5585" s="353"/>
      <c r="H5585" s="353"/>
      <c r="I5585" s="403"/>
      <c r="J5585" s="303" t="s">
        <v>147</v>
      </c>
      <c r="K5585" s="392">
        <v>8.4000000000000005E-2</v>
      </c>
      <c r="L5585" s="1144">
        <v>380688</v>
      </c>
      <c r="M5585" s="1145"/>
      <c r="N5585" s="363">
        <f>+K5585*L5585</f>
        <v>31977.792000000001</v>
      </c>
    </row>
    <row r="5586" spans="2:14">
      <c r="B5586" s="402" t="s">
        <v>398</v>
      </c>
      <c r="C5586" s="353"/>
      <c r="D5586" s="353"/>
      <c r="E5586" s="353"/>
      <c r="F5586" s="353"/>
      <c r="G5586" s="353"/>
      <c r="H5586" s="353"/>
      <c r="I5586" s="403"/>
      <c r="J5586" s="303" t="s">
        <v>141</v>
      </c>
      <c r="K5586" s="392">
        <v>2.0499999999999998</v>
      </c>
      <c r="L5586" s="1144">
        <v>6330</v>
      </c>
      <c r="M5586" s="1145"/>
      <c r="N5586" s="363">
        <f>+K5586*L5586</f>
        <v>12976.499999999998</v>
      </c>
    </row>
    <row r="5587" spans="2:14" ht="13.5" thickBot="1">
      <c r="B5587" s="402" t="s">
        <v>399</v>
      </c>
      <c r="C5587" s="353"/>
      <c r="D5587" s="353"/>
      <c r="E5587" s="353"/>
      <c r="F5587" s="353"/>
      <c r="G5587" s="353"/>
      <c r="H5587" s="353"/>
      <c r="I5587" s="403"/>
      <c r="J5587" s="303" t="s">
        <v>190</v>
      </c>
      <c r="K5587" s="392">
        <v>0.65</v>
      </c>
      <c r="L5587" s="1144">
        <v>12245</v>
      </c>
      <c r="M5587" s="1145"/>
      <c r="N5587" s="363">
        <f>+K5587*L5587</f>
        <v>7959.25</v>
      </c>
    </row>
    <row r="5588" spans="2:14" ht="13.5" thickBot="1">
      <c r="B5588" s="1100" t="s">
        <v>269</v>
      </c>
      <c r="C5588" s="1101"/>
      <c r="D5588" s="1101"/>
      <c r="E5588" s="1101"/>
      <c r="F5588" s="1101"/>
      <c r="G5588" s="1101"/>
      <c r="H5588" s="1101"/>
      <c r="I5588" s="1101"/>
      <c r="J5588" s="1101"/>
      <c r="K5588" s="1101"/>
      <c r="L5588" s="1101"/>
      <c r="M5588" s="1102"/>
      <c r="N5588" s="323">
        <f>+N5585+N5586+N5587</f>
        <v>52913.542000000001</v>
      </c>
    </row>
    <row r="5589" spans="2:14">
      <c r="B5589" s="1103" t="s">
        <v>367</v>
      </c>
      <c r="C5589" s="1104"/>
      <c r="D5589" s="1104"/>
      <c r="E5589" s="1104"/>
      <c r="F5589" s="1104"/>
      <c r="G5589" s="1104"/>
      <c r="H5589" s="1104"/>
      <c r="I5589" s="1104"/>
      <c r="J5589" s="1104"/>
      <c r="K5589" s="1104"/>
      <c r="L5589" s="1104"/>
      <c r="M5589" s="1104"/>
      <c r="N5589" s="1105"/>
    </row>
    <row r="5590" spans="2:14">
      <c r="B5590" s="1106"/>
      <c r="C5590" s="1107"/>
      <c r="D5590" s="1107"/>
      <c r="E5590" s="1107"/>
      <c r="F5590" s="1107"/>
      <c r="G5590" s="1107"/>
      <c r="H5590" s="1107"/>
      <c r="I5590" s="1107"/>
      <c r="J5590" s="1107"/>
      <c r="K5590" s="1107"/>
      <c r="L5590" s="1107"/>
      <c r="M5590" s="1107"/>
      <c r="N5590" s="1108"/>
    </row>
    <row r="5591" spans="2:14" ht="13.5" thickBot="1">
      <c r="B5591" s="1109"/>
      <c r="C5591" s="1110"/>
      <c r="D5591" s="1110"/>
      <c r="E5591" s="1110"/>
      <c r="F5591" s="1110"/>
      <c r="G5591" s="1110"/>
      <c r="H5591" s="1110"/>
      <c r="I5591" s="1110"/>
      <c r="J5591" s="1110"/>
      <c r="K5591" s="1110"/>
      <c r="L5591" s="1110"/>
      <c r="M5591" s="1110"/>
      <c r="N5591" s="1111"/>
    </row>
    <row r="5592" spans="2:14">
      <c r="B5592" s="1130" t="s">
        <v>277</v>
      </c>
      <c r="C5592" s="1139"/>
      <c r="D5592" s="1139"/>
      <c r="E5592" s="1139"/>
      <c r="F5592" s="1139"/>
      <c r="G5592" s="1139"/>
      <c r="H5592" s="1139"/>
      <c r="I5592" s="288" t="s">
        <v>278</v>
      </c>
      <c r="J5592" s="306" t="s">
        <v>279</v>
      </c>
      <c r="K5592" s="307" t="s">
        <v>280</v>
      </c>
      <c r="L5592" s="1133" t="s">
        <v>281</v>
      </c>
      <c r="M5592" s="1136"/>
      <c r="N5592" s="289" t="s">
        <v>265</v>
      </c>
    </row>
    <row r="5593" spans="2:14" ht="13.5" thickBot="1">
      <c r="B5593" s="1112"/>
      <c r="C5593" s="1113"/>
      <c r="D5593" s="1113"/>
      <c r="E5593" s="1113"/>
      <c r="F5593" s="1113"/>
      <c r="G5593" s="1113"/>
      <c r="H5593" s="1113"/>
      <c r="I5593" s="393"/>
      <c r="J5593" s="309"/>
      <c r="K5593" s="308"/>
      <c r="L5593" s="1144"/>
      <c r="M5593" s="1145"/>
      <c r="N5593" s="363"/>
    </row>
    <row r="5594" spans="2:14" ht="13.5" thickBot="1">
      <c r="B5594" s="1100" t="s">
        <v>269</v>
      </c>
      <c r="C5594" s="1101"/>
      <c r="D5594" s="1101"/>
      <c r="E5594" s="1101"/>
      <c r="F5594" s="1101"/>
      <c r="G5594" s="1101"/>
      <c r="H5594" s="1101"/>
      <c r="I5594" s="1101"/>
      <c r="J5594" s="1101"/>
      <c r="K5594" s="1101"/>
      <c r="L5594" s="1101"/>
      <c r="M5594" s="1102"/>
      <c r="N5594" s="323">
        <f>+N5593</f>
        <v>0</v>
      </c>
    </row>
    <row r="5595" spans="2:14">
      <c r="B5595" s="1103" t="s">
        <v>282</v>
      </c>
      <c r="C5595" s="1104"/>
      <c r="D5595" s="1104"/>
      <c r="E5595" s="1104"/>
      <c r="F5595" s="1104"/>
      <c r="G5595" s="1104"/>
      <c r="H5595" s="1104"/>
      <c r="I5595" s="1104"/>
      <c r="J5595" s="1104"/>
      <c r="K5595" s="1104"/>
      <c r="L5595" s="1104"/>
      <c r="M5595" s="1104"/>
      <c r="N5595" s="1105"/>
    </row>
    <row r="5596" spans="2:14">
      <c r="B5596" s="1106"/>
      <c r="C5596" s="1107"/>
      <c r="D5596" s="1107"/>
      <c r="E5596" s="1107"/>
      <c r="F5596" s="1107"/>
      <c r="G5596" s="1107"/>
      <c r="H5596" s="1107"/>
      <c r="I5596" s="1107"/>
      <c r="J5596" s="1107"/>
      <c r="K5596" s="1107"/>
      <c r="L5596" s="1107"/>
      <c r="M5596" s="1107"/>
      <c r="N5596" s="1108"/>
    </row>
    <row r="5597" spans="2:14" ht="13.5" thickBot="1">
      <c r="B5597" s="1109"/>
      <c r="C5597" s="1110"/>
      <c r="D5597" s="1110"/>
      <c r="E5597" s="1110"/>
      <c r="F5597" s="1110"/>
      <c r="G5597" s="1110"/>
      <c r="H5597" s="1110"/>
      <c r="I5597" s="1110"/>
      <c r="J5597" s="1110"/>
      <c r="K5597" s="1110"/>
      <c r="L5597" s="1110"/>
      <c r="M5597" s="1110"/>
      <c r="N5597" s="1111"/>
    </row>
    <row r="5598" spans="2:14">
      <c r="B5598" s="1130" t="s">
        <v>283</v>
      </c>
      <c r="C5598" s="1139"/>
      <c r="D5598" s="1139"/>
      <c r="E5598" s="1139"/>
      <c r="F5598" s="1139"/>
      <c r="G5598" s="1139"/>
      <c r="H5598" s="1139"/>
      <c r="I5598" s="288" t="s">
        <v>284</v>
      </c>
      <c r="J5598" s="314" t="s">
        <v>285</v>
      </c>
      <c r="K5598" s="315" t="s">
        <v>286</v>
      </c>
      <c r="L5598" s="1140" t="s">
        <v>264</v>
      </c>
      <c r="M5598" s="1141"/>
      <c r="N5598" s="316" t="s">
        <v>265</v>
      </c>
    </row>
    <row r="5599" spans="2:14" ht="13.5" thickBot="1">
      <c r="B5599" s="317" t="s">
        <v>322</v>
      </c>
      <c r="C5599" s="318"/>
      <c r="D5599" s="318"/>
      <c r="E5599" s="318"/>
      <c r="F5599" s="318"/>
      <c r="G5599" s="318"/>
      <c r="H5599" s="318"/>
      <c r="I5599" s="319">
        <v>153482</v>
      </c>
      <c r="J5599" s="321">
        <v>0</v>
      </c>
      <c r="K5599" s="321">
        <f>+I5599+J5599</f>
        <v>153482</v>
      </c>
      <c r="L5599" s="1157">
        <v>12.004802</v>
      </c>
      <c r="M5599" s="1158"/>
      <c r="N5599" s="322">
        <f>+K5599/L5599</f>
        <v>12785.050515618666</v>
      </c>
    </row>
    <row r="5600" spans="2:14" ht="13.5" thickBot="1">
      <c r="B5600" s="1100" t="s">
        <v>269</v>
      </c>
      <c r="C5600" s="1101"/>
      <c r="D5600" s="1101"/>
      <c r="E5600" s="1101"/>
      <c r="F5600" s="1101"/>
      <c r="G5600" s="1101"/>
      <c r="H5600" s="1101"/>
      <c r="I5600" s="1101"/>
      <c r="J5600" s="1101"/>
      <c r="K5600" s="1101"/>
      <c r="L5600" s="1101"/>
      <c r="M5600" s="1102"/>
      <c r="N5600" s="322">
        <f>+N5599</f>
        <v>12785.050515618666</v>
      </c>
    </row>
    <row r="5601" spans="2:17" ht="13.5" thickBot="1">
      <c r="B5601" s="324" t="s">
        <v>288</v>
      </c>
      <c r="C5601" s="325"/>
      <c r="D5601" s="325"/>
      <c r="E5601" s="325"/>
      <c r="F5601" s="325"/>
      <c r="G5601" s="325"/>
      <c r="H5601" s="325"/>
      <c r="I5601" s="326"/>
      <c r="J5601" s="327"/>
      <c r="K5601" s="328"/>
      <c r="L5601" s="329"/>
      <c r="M5601" s="329"/>
      <c r="N5601" s="330"/>
    </row>
    <row r="5602" spans="2:17">
      <c r="B5602" s="1130" t="s">
        <v>17</v>
      </c>
      <c r="C5602" s="1139"/>
      <c r="D5602" s="1139"/>
      <c r="E5602" s="1139"/>
      <c r="F5602" s="1139"/>
      <c r="G5602" s="1139"/>
      <c r="H5602" s="1139"/>
      <c r="I5602" s="1136"/>
      <c r="J5602" s="299" t="s">
        <v>259</v>
      </c>
      <c r="K5602" s="288" t="s">
        <v>133</v>
      </c>
      <c r="L5602" s="1133" t="s">
        <v>271</v>
      </c>
      <c r="M5602" s="1136"/>
      <c r="N5602" s="316" t="s">
        <v>265</v>
      </c>
    </row>
    <row r="5603" spans="2:17" ht="13.5" thickBot="1">
      <c r="B5603" s="331" t="s">
        <v>289</v>
      </c>
      <c r="C5603" s="332"/>
      <c r="D5603" s="332"/>
      <c r="E5603" s="332"/>
      <c r="F5603" s="332"/>
      <c r="G5603" s="332"/>
      <c r="H5603" s="332"/>
      <c r="I5603" s="333"/>
      <c r="J5603" s="334" t="s">
        <v>290</v>
      </c>
      <c r="K5603" s="335">
        <v>0.05</v>
      </c>
      <c r="L5603" s="1144">
        <f>+N5600</f>
        <v>12785.050515618666</v>
      </c>
      <c r="M5603" s="1145"/>
      <c r="N5603" s="322">
        <f>+K5603*L5603</f>
        <v>639.25252578093341</v>
      </c>
    </row>
    <row r="5604" spans="2:17" ht="13.5" thickBot="1">
      <c r="B5604" s="1100" t="s">
        <v>269</v>
      </c>
      <c r="C5604" s="1101"/>
      <c r="D5604" s="1101"/>
      <c r="E5604" s="1101"/>
      <c r="F5604" s="1101"/>
      <c r="G5604" s="1101"/>
      <c r="H5604" s="1101"/>
      <c r="I5604" s="1101"/>
      <c r="J5604" s="1101"/>
      <c r="K5604" s="1101"/>
      <c r="L5604" s="1101"/>
      <c r="M5604" s="1102"/>
      <c r="N5604" s="322">
        <f>+N5603</f>
        <v>639.25252578093341</v>
      </c>
      <c r="P5604" s="408">
        <v>39802800</v>
      </c>
    </row>
    <row r="5605" spans="2:17" ht="13.5" thickBot="1">
      <c r="B5605" s="1100"/>
      <c r="C5605" s="1101"/>
      <c r="D5605" s="1101"/>
      <c r="E5605" s="1101"/>
      <c r="F5605" s="1101"/>
      <c r="G5605" s="1101"/>
      <c r="H5605" s="1101"/>
      <c r="I5605" s="1101"/>
      <c r="J5605" s="1101"/>
      <c r="K5605" s="1101"/>
      <c r="L5605" s="1101"/>
      <c r="M5605" s="1102"/>
      <c r="N5605" s="322"/>
    </row>
    <row r="5606" spans="2:17" ht="13.5" thickBot="1">
      <c r="B5606" s="1150" t="s">
        <v>291</v>
      </c>
      <c r="C5606" s="1151"/>
      <c r="D5606" s="1151"/>
      <c r="E5606" s="1151"/>
      <c r="F5606" s="1151"/>
      <c r="G5606" s="1151"/>
      <c r="H5606" s="1151"/>
      <c r="I5606" s="1151"/>
      <c r="J5606" s="1151"/>
      <c r="K5606" s="1151"/>
      <c r="L5606" s="1151"/>
      <c r="M5606" s="1152"/>
      <c r="N5606" s="336">
        <f>+N5580+N5588+N5594+N5600+N5604</f>
        <v>66337.845041399603</v>
      </c>
      <c r="P5606" s="409">
        <f>+N5606*N5574</f>
        <v>39802707.024839759</v>
      </c>
      <c r="Q5606" s="413">
        <f>+P5606-P5604</f>
        <v>-92.975160241127014</v>
      </c>
    </row>
    <row r="5607" spans="2:17">
      <c r="B5607" s="1103" t="s">
        <v>292</v>
      </c>
      <c r="C5607" s="1104"/>
      <c r="D5607" s="1104"/>
      <c r="E5607" s="1104"/>
      <c r="F5607" s="1104"/>
      <c r="G5607" s="1104"/>
      <c r="H5607" s="1104"/>
      <c r="I5607" s="1104"/>
      <c r="J5607" s="1104"/>
      <c r="K5607" s="1104"/>
      <c r="L5607" s="1104"/>
      <c r="M5607" s="1104"/>
      <c r="N5607" s="1105"/>
    </row>
    <row r="5608" spans="2:17">
      <c r="B5608" s="1106"/>
      <c r="C5608" s="1107"/>
      <c r="D5608" s="1107"/>
      <c r="E5608" s="1107"/>
      <c r="F5608" s="1107"/>
      <c r="G5608" s="1107"/>
      <c r="H5608" s="1107"/>
      <c r="I5608" s="1107"/>
      <c r="J5608" s="1107"/>
      <c r="K5608" s="1107"/>
      <c r="L5608" s="1107"/>
      <c r="M5608" s="1107"/>
      <c r="N5608" s="1108"/>
    </row>
    <row r="5609" spans="2:17" ht="13.5" thickBot="1">
      <c r="B5609" s="1109"/>
      <c r="C5609" s="1110"/>
      <c r="D5609" s="1110"/>
      <c r="E5609" s="1110"/>
      <c r="F5609" s="1110"/>
      <c r="G5609" s="1110"/>
      <c r="H5609" s="1110"/>
      <c r="I5609" s="1110"/>
      <c r="J5609" s="1110"/>
      <c r="K5609" s="1110"/>
      <c r="L5609" s="1110"/>
      <c r="M5609" s="1110"/>
      <c r="N5609" s="1111"/>
    </row>
    <row r="5610" spans="2:17">
      <c r="B5610" s="1130" t="s">
        <v>17</v>
      </c>
      <c r="C5610" s="1139"/>
      <c r="D5610" s="1139"/>
      <c r="E5610" s="1139"/>
      <c r="F5610" s="1139"/>
      <c r="G5610" s="1139"/>
      <c r="H5610" s="1139"/>
      <c r="I5610" s="306"/>
      <c r="J5610" s="337"/>
      <c r="K5610" s="315" t="s">
        <v>79</v>
      </c>
      <c r="L5610" s="1140" t="s">
        <v>11</v>
      </c>
      <c r="M5610" s="1141"/>
      <c r="N5610" s="316"/>
    </row>
    <row r="5611" spans="2:17">
      <c r="B5611" s="1112" t="s">
        <v>232</v>
      </c>
      <c r="C5611" s="1113"/>
      <c r="D5611" s="1113"/>
      <c r="E5611" s="1113"/>
      <c r="F5611" s="1113"/>
      <c r="G5611" s="1113"/>
      <c r="H5611" s="1113"/>
      <c r="I5611" s="338"/>
      <c r="J5611" s="339"/>
      <c r="K5611" s="340">
        <f>'PRESUPUESTO OFICIAL'!$K$100</f>
        <v>0</v>
      </c>
      <c r="L5611" s="1146">
        <f>K5611*N5606</f>
        <v>0</v>
      </c>
      <c r="M5611" s="1147"/>
      <c r="N5611" s="341"/>
    </row>
    <row r="5612" spans="2:17">
      <c r="B5612" s="292" t="s">
        <v>293</v>
      </c>
      <c r="C5612" s="293"/>
      <c r="D5612" s="293"/>
      <c r="E5612" s="293"/>
      <c r="F5612" s="293"/>
      <c r="G5612" s="293"/>
      <c r="H5612" s="293"/>
      <c r="I5612" s="338"/>
      <c r="J5612" s="339"/>
      <c r="K5612" s="340">
        <f>'PRESUPUESTO OFICIAL'!$K$101</f>
        <v>0</v>
      </c>
      <c r="L5612" s="1146">
        <f>K5612*N5606</f>
        <v>0</v>
      </c>
      <c r="M5612" s="1147"/>
      <c r="N5612" s="341"/>
    </row>
    <row r="5613" spans="2:17" ht="13.5" thickBot="1">
      <c r="B5613" s="277" t="s">
        <v>294</v>
      </c>
      <c r="C5613" s="278"/>
      <c r="D5613" s="278"/>
      <c r="E5613" s="278"/>
      <c r="F5613" s="278"/>
      <c r="G5613" s="278"/>
      <c r="H5613" s="278"/>
      <c r="I5613" s="342"/>
      <c r="J5613" s="343"/>
      <c r="K5613" s="340">
        <f>'PRESUPUESTO OFICIAL'!$K$102</f>
        <v>0</v>
      </c>
      <c r="L5613" s="1148">
        <f>K5613*N5606</f>
        <v>0</v>
      </c>
      <c r="M5613" s="1149"/>
      <c r="N5613" s="341"/>
    </row>
    <row r="5614" spans="2:17" ht="13.5" thickBot="1">
      <c r="B5614" s="1100" t="s">
        <v>269</v>
      </c>
      <c r="C5614" s="1101"/>
      <c r="D5614" s="1101"/>
      <c r="E5614" s="1101"/>
      <c r="F5614" s="1101"/>
      <c r="G5614" s="1101"/>
      <c r="H5614" s="1101"/>
      <c r="I5614" s="1101"/>
      <c r="J5614" s="1101"/>
      <c r="K5614" s="1101"/>
      <c r="L5614" s="1101"/>
      <c r="M5614" s="1102"/>
      <c r="N5614" s="344">
        <f>SUM(L5611:M5613)</f>
        <v>0</v>
      </c>
    </row>
    <row r="5615" spans="2:17" ht="13.5" thickBot="1">
      <c r="B5615" s="283"/>
      <c r="N5615" s="284"/>
    </row>
    <row r="5616" spans="2:17" ht="13.5" thickBot="1">
      <c r="B5616" s="1150" t="s">
        <v>295</v>
      </c>
      <c r="C5616" s="1151"/>
      <c r="D5616" s="1151"/>
      <c r="E5616" s="1151"/>
      <c r="F5616" s="1151"/>
      <c r="G5616" s="1151"/>
      <c r="H5616" s="1151"/>
      <c r="I5616" s="1151"/>
      <c r="J5616" s="1151"/>
      <c r="K5616" s="1151"/>
      <c r="L5616" s="1151"/>
      <c r="M5616" s="1152"/>
      <c r="N5616" s="345">
        <f>ROUND(N5606+N5614,0)</f>
        <v>66338</v>
      </c>
    </row>
    <row r="5617" spans="2:14">
      <c r="B5617" s="280"/>
      <c r="C5617" s="281"/>
      <c r="D5617" s="281"/>
      <c r="E5617" s="281"/>
      <c r="F5617" s="281"/>
      <c r="G5617" s="281"/>
      <c r="H5617" s="281"/>
      <c r="I5617" s="281"/>
      <c r="J5617" s="281"/>
      <c r="K5617" s="281"/>
      <c r="L5617" s="281"/>
      <c r="M5617" s="281"/>
      <c r="N5617" s="282"/>
    </row>
    <row r="5618" spans="2:14">
      <c r="B5618" s="283"/>
      <c r="N5618" s="284"/>
    </row>
    <row r="5619" spans="2:14">
      <c r="B5619" s="283"/>
      <c r="N5619" s="284"/>
    </row>
    <row r="5620" spans="2:14">
      <c r="B5620" s="283"/>
      <c r="G5620" s="346" t="s">
        <v>296</v>
      </c>
      <c r="H5620" s="346"/>
      <c r="I5620" s="346"/>
      <c r="J5620" s="346"/>
      <c r="N5620" s="284"/>
    </row>
    <row r="5621" spans="2:14">
      <c r="B5621" s="347"/>
      <c r="C5621" s="348"/>
      <c r="D5621" s="348"/>
      <c r="E5621" s="348"/>
      <c r="F5621" s="348"/>
      <c r="G5621" s="346" t="s">
        <v>297</v>
      </c>
      <c r="H5621" s="348"/>
      <c r="I5621" s="348"/>
      <c r="J5621" s="348"/>
      <c r="K5621" s="348"/>
      <c r="L5621" s="348"/>
      <c r="M5621" s="348"/>
      <c r="N5621" s="349"/>
    </row>
    <row r="5622" spans="2:14">
      <c r="B5622" s="347"/>
      <c r="C5622" s="348"/>
      <c r="D5622" s="348"/>
      <c r="E5622" s="348"/>
      <c r="F5622" s="348"/>
      <c r="G5622" s="346" t="s">
        <v>298</v>
      </c>
      <c r="J5622" s="348"/>
      <c r="K5622" s="348"/>
      <c r="L5622" s="348"/>
      <c r="M5622" s="348"/>
      <c r="N5622" s="349"/>
    </row>
    <row r="5623" spans="2:14">
      <c r="B5623" s="268"/>
      <c r="C5623" s="350"/>
      <c r="D5623" s="350"/>
      <c r="E5623" s="350"/>
      <c r="F5623" s="350"/>
      <c r="G5623" s="346" t="s">
        <v>299</v>
      </c>
      <c r="H5623" s="350"/>
      <c r="I5623" s="350"/>
      <c r="J5623" s="350"/>
      <c r="K5623" s="350"/>
      <c r="L5623" s="350"/>
      <c r="M5623" s="350"/>
      <c r="N5623" s="351"/>
    </row>
    <row r="5624" spans="2:14">
      <c r="B5624" s="283"/>
      <c r="G5624" s="258" t="s">
        <v>300</v>
      </c>
      <c r="N5624" s="284"/>
    </row>
    <row r="5625" spans="2:14">
      <c r="B5625" s="352" t="s">
        <v>301</v>
      </c>
      <c r="C5625" s="353"/>
      <c r="D5625" s="353"/>
      <c r="E5625" s="353"/>
      <c r="F5625" s="353"/>
      <c r="G5625" s="353"/>
      <c r="H5625" s="353"/>
      <c r="I5625" s="353"/>
      <c r="J5625" s="353"/>
      <c r="K5625" s="353"/>
      <c r="L5625" s="353"/>
      <c r="M5625" s="353"/>
      <c r="N5625" s="354"/>
    </row>
    <row r="5626" spans="2:14">
      <c r="B5626" s="1153"/>
      <c r="C5626" s="1154"/>
      <c r="D5626" s="1154"/>
      <c r="E5626" s="1154"/>
      <c r="F5626" s="1154"/>
      <c r="G5626" s="1154"/>
      <c r="H5626" s="1154"/>
      <c r="I5626" s="1154"/>
      <c r="J5626" s="1154"/>
      <c r="K5626" s="1154"/>
      <c r="L5626" s="1154"/>
      <c r="M5626" s="1154"/>
      <c r="N5626" s="1155"/>
    </row>
    <row r="5627" spans="2:14">
      <c r="B5627" s="1153"/>
      <c r="C5627" s="1154"/>
      <c r="D5627" s="1154"/>
      <c r="E5627" s="1154"/>
      <c r="F5627" s="1154"/>
      <c r="G5627" s="1154"/>
      <c r="H5627" s="1154"/>
      <c r="I5627" s="1154"/>
      <c r="J5627" s="1154"/>
      <c r="K5627" s="1154"/>
      <c r="L5627" s="1154"/>
      <c r="M5627" s="1154"/>
      <c r="N5627" s="1155"/>
    </row>
    <row r="5628" spans="2:14">
      <c r="B5628" s="268"/>
      <c r="C5628" s="350"/>
      <c r="D5628" s="350"/>
      <c r="E5628" s="350"/>
      <c r="F5628" s="350"/>
      <c r="G5628" s="350"/>
      <c r="H5628" s="350"/>
      <c r="I5628" s="350"/>
      <c r="J5628" s="350"/>
      <c r="K5628" s="350"/>
      <c r="L5628" s="350"/>
      <c r="M5628" s="350"/>
      <c r="N5628" s="351"/>
    </row>
    <row r="5629" spans="2:14">
      <c r="B5629" s="355" t="s">
        <v>302</v>
      </c>
      <c r="C5629" s="350"/>
      <c r="D5629" s="350"/>
      <c r="E5629" s="350"/>
      <c r="F5629" s="350"/>
      <c r="G5629" s="350"/>
      <c r="H5629" s="350"/>
      <c r="I5629" s="350"/>
      <c r="J5629" s="350"/>
      <c r="K5629" s="350"/>
      <c r="L5629" s="350"/>
      <c r="M5629" s="350"/>
      <c r="N5629" s="351"/>
    </row>
    <row r="5630" spans="2:14">
      <c r="B5630" s="1159" t="s">
        <v>303</v>
      </c>
      <c r="C5630" s="1160"/>
      <c r="D5630" s="1160"/>
      <c r="E5630" s="1160"/>
      <c r="F5630" s="1160"/>
      <c r="G5630" s="1160"/>
      <c r="H5630" s="1160"/>
      <c r="I5630" s="1160"/>
      <c r="J5630" s="1160"/>
      <c r="K5630" s="1160"/>
      <c r="L5630" s="1160"/>
      <c r="M5630" s="1160"/>
      <c r="N5630" s="1161"/>
    </row>
    <row r="5631" spans="2:14">
      <c r="B5631" s="1159"/>
      <c r="C5631" s="1160"/>
      <c r="D5631" s="1160"/>
      <c r="E5631" s="1160"/>
      <c r="F5631" s="1160"/>
      <c r="G5631" s="1160"/>
      <c r="H5631" s="1160"/>
      <c r="I5631" s="1160"/>
      <c r="J5631" s="1160"/>
      <c r="K5631" s="1160"/>
      <c r="L5631" s="1160"/>
      <c r="M5631" s="1160"/>
      <c r="N5631" s="1161"/>
    </row>
    <row r="5632" spans="2:14">
      <c r="B5632" s="1159" t="s">
        <v>304</v>
      </c>
      <c r="C5632" s="1160"/>
      <c r="D5632" s="1160"/>
      <c r="E5632" s="1160"/>
      <c r="F5632" s="1160"/>
      <c r="G5632" s="1160"/>
      <c r="H5632" s="1160"/>
      <c r="I5632" s="1160"/>
      <c r="J5632" s="1160"/>
      <c r="K5632" s="1160"/>
      <c r="L5632" s="1160"/>
      <c r="M5632" s="1160"/>
      <c r="N5632" s="1161"/>
    </row>
    <row r="5633" spans="2:14">
      <c r="B5633" s="1159"/>
      <c r="C5633" s="1160"/>
      <c r="D5633" s="1160"/>
      <c r="E5633" s="1160"/>
      <c r="F5633" s="1160"/>
      <c r="G5633" s="1160"/>
      <c r="H5633" s="1160"/>
      <c r="I5633" s="1160"/>
      <c r="J5633" s="1160"/>
      <c r="K5633" s="1160"/>
      <c r="L5633" s="1160"/>
      <c r="M5633" s="1160"/>
      <c r="N5633" s="1161"/>
    </row>
    <row r="5634" spans="2:14">
      <c r="B5634" s="268"/>
      <c r="C5634" s="350"/>
      <c r="D5634" s="350"/>
      <c r="E5634" s="350"/>
      <c r="F5634" s="350"/>
      <c r="G5634" s="350"/>
      <c r="H5634" s="350"/>
      <c r="I5634" s="350"/>
      <c r="J5634" s="350"/>
      <c r="K5634" s="350"/>
      <c r="L5634" s="350"/>
      <c r="M5634" s="350"/>
      <c r="N5634" s="351"/>
    </row>
    <row r="5635" spans="2:14">
      <c r="B5635" s="283"/>
      <c r="G5635" s="346" t="s">
        <v>296</v>
      </c>
      <c r="N5635" s="284"/>
    </row>
    <row r="5636" spans="2:14">
      <c r="B5636" s="283"/>
      <c r="G5636" s="258" t="s">
        <v>305</v>
      </c>
      <c r="H5636" s="293"/>
      <c r="I5636" s="293"/>
      <c r="J5636" s="293"/>
      <c r="N5636" s="284"/>
    </row>
    <row r="5637" spans="2:14">
      <c r="B5637" s="283"/>
      <c r="G5637" s="258" t="s">
        <v>306</v>
      </c>
      <c r="H5637" s="325"/>
      <c r="I5637" s="325"/>
      <c r="J5637" s="325"/>
      <c r="N5637" s="284"/>
    </row>
    <row r="5638" spans="2:14">
      <c r="B5638" s="356"/>
      <c r="C5638" s="350"/>
      <c r="D5638" s="350"/>
      <c r="E5638" s="350"/>
      <c r="F5638" s="350"/>
      <c r="G5638" s="258" t="s">
        <v>299</v>
      </c>
      <c r="K5638" s="350"/>
      <c r="L5638" s="350"/>
      <c r="M5638" s="350"/>
      <c r="N5638" s="351"/>
    </row>
    <row r="5639" spans="2:14">
      <c r="B5639" s="357"/>
      <c r="C5639" s="358"/>
      <c r="D5639" s="358"/>
      <c r="J5639" s="1162"/>
      <c r="K5639" s="1162"/>
      <c r="L5639" s="1162"/>
      <c r="M5639" s="1162"/>
      <c r="N5639" s="1163"/>
    </row>
    <row r="5640" spans="2:14" ht="13.5" thickBot="1">
      <c r="B5640" s="1166"/>
      <c r="C5640" s="1167"/>
      <c r="D5640" s="1167"/>
      <c r="E5640" s="311"/>
      <c r="F5640" s="311"/>
      <c r="G5640" s="311"/>
      <c r="H5640" s="311"/>
      <c r="I5640" s="311"/>
      <c r="J5640" s="1164"/>
      <c r="K5640" s="1164"/>
      <c r="L5640" s="1164"/>
      <c r="M5640" s="1164"/>
      <c r="N5640" s="1165"/>
    </row>
    <row r="5641" spans="2:14" ht="13.5" thickBot="1"/>
    <row r="5642" spans="2:14">
      <c r="B5642" s="1070"/>
      <c r="C5642" s="1072"/>
      <c r="D5642" s="1073"/>
      <c r="E5642" s="1073"/>
      <c r="F5642" s="1073"/>
      <c r="G5642" s="1073"/>
      <c r="H5642" s="1073"/>
      <c r="I5642" s="1073"/>
      <c r="J5642" s="1074"/>
      <c r="K5642" s="1075"/>
      <c r="L5642" s="1076"/>
      <c r="M5642" s="1076"/>
      <c r="N5642" s="1077"/>
    </row>
    <row r="5643" spans="2:14">
      <c r="B5643" s="1071"/>
      <c r="C5643" s="1062" t="s">
        <v>244</v>
      </c>
      <c r="D5643" s="1063"/>
      <c r="E5643" s="1063"/>
      <c r="F5643" s="1063"/>
      <c r="G5643" s="1063"/>
      <c r="H5643" s="1063"/>
      <c r="I5643" s="1063"/>
      <c r="J5643" s="1064"/>
      <c r="K5643" s="1078"/>
      <c r="L5643" s="1079"/>
      <c r="M5643" s="1079"/>
      <c r="N5643" s="1080"/>
    </row>
    <row r="5644" spans="2:14">
      <c r="B5644" s="1071"/>
      <c r="C5644" s="1081"/>
      <c r="D5644" s="1082"/>
      <c r="E5644" s="1082"/>
      <c r="F5644" s="1082"/>
      <c r="G5644" s="1082"/>
      <c r="H5644" s="1082"/>
      <c r="I5644" s="1082"/>
      <c r="J5644" s="1083"/>
      <c r="K5644" s="1058" t="s">
        <v>245</v>
      </c>
      <c r="L5644" s="1085"/>
      <c r="M5644" s="1086"/>
      <c r="N5644" s="1087"/>
    </row>
    <row r="5645" spans="2:14">
      <c r="B5645" s="1071"/>
      <c r="C5645" s="1062" t="s">
        <v>246</v>
      </c>
      <c r="D5645" s="1063"/>
      <c r="E5645" s="1063"/>
      <c r="F5645" s="1063"/>
      <c r="G5645" s="1063"/>
      <c r="H5645" s="1063"/>
      <c r="I5645" s="1063"/>
      <c r="J5645" s="1064"/>
      <c r="K5645" s="1084"/>
      <c r="L5645" s="1088"/>
      <c r="M5645" s="1089"/>
      <c r="N5645" s="1090"/>
    </row>
    <row r="5646" spans="2:14">
      <c r="B5646" s="1071"/>
      <c r="C5646" s="1091"/>
      <c r="D5646" s="1092"/>
      <c r="E5646" s="1092"/>
      <c r="F5646" s="1092"/>
      <c r="G5646" s="1092"/>
      <c r="H5646" s="1092"/>
      <c r="I5646" s="1092"/>
      <c r="J5646" s="1093"/>
      <c r="K5646" s="1058" t="s">
        <v>247</v>
      </c>
      <c r="L5646" s="1058">
        <v>64</v>
      </c>
      <c r="M5646" s="1058" t="s">
        <v>248</v>
      </c>
      <c r="N5646" s="1060">
        <v>80</v>
      </c>
    </row>
    <row r="5647" spans="2:14">
      <c r="B5647" s="1071"/>
      <c r="C5647" s="1091"/>
      <c r="D5647" s="1092"/>
      <c r="E5647" s="1092"/>
      <c r="F5647" s="1092"/>
      <c r="G5647" s="1092"/>
      <c r="H5647" s="1092"/>
      <c r="I5647" s="1092"/>
      <c r="J5647" s="1093"/>
      <c r="K5647" s="1059"/>
      <c r="L5647" s="1059"/>
      <c r="M5647" s="1059"/>
      <c r="N5647" s="1061"/>
    </row>
    <row r="5648" spans="2:14">
      <c r="B5648" s="1071"/>
      <c r="C5648" s="1062" t="s">
        <v>249</v>
      </c>
      <c r="D5648" s="1063"/>
      <c r="E5648" s="1063"/>
      <c r="F5648" s="1063"/>
      <c r="G5648" s="1063"/>
      <c r="H5648" s="1063"/>
      <c r="I5648" s="1063"/>
      <c r="J5648" s="1064"/>
      <c r="K5648" s="1059"/>
      <c r="L5648" s="1059"/>
      <c r="M5648" s="1059"/>
      <c r="N5648" s="1061"/>
    </row>
    <row r="5649" spans="2:14" ht="13.5" thickBot="1">
      <c r="B5649" s="259"/>
      <c r="C5649" s="260"/>
      <c r="D5649" s="260"/>
      <c r="E5649" s="260"/>
      <c r="F5649" s="260"/>
      <c r="G5649" s="260"/>
      <c r="H5649" s="260"/>
      <c r="I5649" s="260"/>
      <c r="J5649" s="260"/>
      <c r="K5649" s="260"/>
      <c r="L5649" s="261"/>
      <c r="M5649" s="261"/>
      <c r="N5649" s="262"/>
    </row>
    <row r="5650" spans="2:14">
      <c r="B5650" s="263"/>
      <c r="C5650" s="264"/>
      <c r="D5650" s="264"/>
      <c r="E5650" s="264"/>
      <c r="F5650" s="264"/>
      <c r="G5650" s="264"/>
      <c r="H5650" s="264"/>
      <c r="I5650" s="264"/>
      <c r="J5650" s="264"/>
      <c r="K5650" s="265" t="s">
        <v>250</v>
      </c>
      <c r="L5650" s="266" t="s">
        <v>251</v>
      </c>
      <c r="M5650" s="266" t="s">
        <v>252</v>
      </c>
      <c r="N5650" s="267" t="s">
        <v>253</v>
      </c>
    </row>
    <row r="5651" spans="2:14">
      <c r="B5651" s="268"/>
      <c r="C5651" s="269"/>
      <c r="D5651" s="269"/>
      <c r="E5651" s="269"/>
      <c r="F5651" s="269"/>
      <c r="G5651" s="269"/>
      <c r="H5651" s="269"/>
      <c r="I5651" s="269"/>
      <c r="J5651" s="269"/>
      <c r="K5651" s="270"/>
      <c r="L5651" s="271"/>
      <c r="M5651" s="271"/>
      <c r="N5651" s="272"/>
    </row>
    <row r="5652" spans="2:14">
      <c r="B5652" s="1065" t="s">
        <v>254</v>
      </c>
      <c r="C5652" s="1066"/>
      <c r="D5652" s="1066"/>
      <c r="E5652" s="1066"/>
      <c r="F5652" s="269"/>
      <c r="G5652" s="269"/>
      <c r="H5652" s="269" t="s">
        <v>255</v>
      </c>
      <c r="J5652" s="269"/>
      <c r="K5652" s="270"/>
      <c r="N5652" s="273"/>
    </row>
    <row r="5653" spans="2:14">
      <c r="B5653" s="274"/>
      <c r="C5653" s="275"/>
      <c r="D5653" s="275"/>
      <c r="E5653" s="275"/>
      <c r="F5653" s="275"/>
      <c r="G5653" s="275"/>
      <c r="H5653" s="275"/>
      <c r="I5653" s="275"/>
      <c r="J5653" s="275"/>
      <c r="K5653" s="275"/>
      <c r="L5653" s="275"/>
      <c r="M5653" s="275"/>
      <c r="N5653" s="276"/>
    </row>
    <row r="5654" spans="2:14" ht="13.5" thickBot="1">
      <c r="B5654" s="277"/>
      <c r="C5654" s="278"/>
      <c r="D5654" s="278"/>
      <c r="E5654" s="278"/>
      <c r="F5654" s="278"/>
      <c r="G5654" s="278"/>
      <c r="H5654" s="278"/>
      <c r="I5654" s="278"/>
      <c r="J5654" s="278"/>
      <c r="K5654" s="278"/>
      <c r="L5654" s="278"/>
      <c r="M5654" s="278"/>
      <c r="N5654" s="279"/>
    </row>
    <row r="5655" spans="2:14" ht="13.5" thickBot="1">
      <c r="B5655" s="280"/>
      <c r="C5655" s="281"/>
      <c r="D5655" s="281"/>
      <c r="E5655" s="281"/>
      <c r="F5655" s="281"/>
      <c r="G5655" s="281"/>
      <c r="J5655" s="281"/>
      <c r="K5655" s="281"/>
      <c r="L5655" s="281"/>
      <c r="M5655" s="281"/>
      <c r="N5655" s="282"/>
    </row>
    <row r="5656" spans="2:14">
      <c r="B5656" s="1067" t="s">
        <v>256</v>
      </c>
      <c r="C5656" s="1068"/>
      <c r="D5656" s="1068"/>
      <c r="E5656" s="1068"/>
      <c r="F5656" s="1068"/>
      <c r="G5656" s="1068"/>
      <c r="H5656" s="1068"/>
      <c r="I5656" s="1068"/>
      <c r="J5656" s="1068"/>
      <c r="K5656" s="1068"/>
      <c r="L5656" s="1068"/>
      <c r="M5656" s="1068"/>
      <c r="N5656" s="1069"/>
    </row>
    <row r="5657" spans="2:14" ht="13.5" thickBot="1">
      <c r="B5657" s="283"/>
      <c r="N5657" s="284"/>
    </row>
    <row r="5658" spans="2:14">
      <c r="B5658" s="285" t="s">
        <v>257</v>
      </c>
      <c r="C5658" s="1120" t="s">
        <v>258</v>
      </c>
      <c r="D5658" s="1121"/>
      <c r="E5658" s="1121"/>
      <c r="F5658" s="1121"/>
      <c r="G5658" s="1121"/>
      <c r="H5658" s="1121"/>
      <c r="I5658" s="1121"/>
      <c r="J5658" s="1121"/>
      <c r="K5658" s="1122"/>
      <c r="L5658" s="1123" t="s">
        <v>259</v>
      </c>
      <c r="M5658" s="1124"/>
      <c r="N5658" s="285" t="s">
        <v>133</v>
      </c>
    </row>
    <row r="5659" spans="2:14" ht="28.5" customHeight="1" thickBot="1">
      <c r="B5659" s="286">
        <v>64</v>
      </c>
      <c r="C5659" s="1125" t="s">
        <v>207</v>
      </c>
      <c r="D5659" s="1126"/>
      <c r="E5659" s="1126"/>
      <c r="F5659" s="1126"/>
      <c r="G5659" s="1126"/>
      <c r="H5659" s="1126"/>
      <c r="I5659" s="1126"/>
      <c r="J5659" s="1126"/>
      <c r="K5659" s="1127"/>
      <c r="L5659" s="1128" t="s">
        <v>190</v>
      </c>
      <c r="M5659" s="1129"/>
      <c r="N5659" s="366">
        <v>10400</v>
      </c>
    </row>
    <row r="5660" spans="2:14">
      <c r="B5660" s="1103" t="s">
        <v>260</v>
      </c>
      <c r="C5660" s="1104"/>
      <c r="D5660" s="1104"/>
      <c r="E5660" s="1104"/>
      <c r="F5660" s="1104"/>
      <c r="G5660" s="1104"/>
      <c r="H5660" s="1104"/>
      <c r="I5660" s="1104"/>
      <c r="J5660" s="1104"/>
      <c r="K5660" s="1104"/>
      <c r="L5660" s="1104"/>
      <c r="M5660" s="1104"/>
      <c r="N5660" s="1105"/>
    </row>
    <row r="5661" spans="2:14">
      <c r="B5661" s="1106"/>
      <c r="C5661" s="1107"/>
      <c r="D5661" s="1107"/>
      <c r="E5661" s="1107"/>
      <c r="F5661" s="1107"/>
      <c r="G5661" s="1107"/>
      <c r="H5661" s="1107"/>
      <c r="I5661" s="1107"/>
      <c r="J5661" s="1107"/>
      <c r="K5661" s="1107"/>
      <c r="L5661" s="1107"/>
      <c r="M5661" s="1107"/>
      <c r="N5661" s="1108"/>
    </row>
    <row r="5662" spans="2:14" ht="13.5" thickBot="1">
      <c r="B5662" s="1109"/>
      <c r="C5662" s="1110"/>
      <c r="D5662" s="1110"/>
      <c r="E5662" s="1110"/>
      <c r="F5662" s="1110"/>
      <c r="G5662" s="1110"/>
      <c r="H5662" s="1110"/>
      <c r="I5662" s="1110"/>
      <c r="J5662" s="1110"/>
      <c r="K5662" s="1110"/>
      <c r="L5662" s="1110"/>
      <c r="M5662" s="1110"/>
      <c r="N5662" s="1111"/>
    </row>
    <row r="5663" spans="2:14">
      <c r="B5663" s="1130" t="s">
        <v>258</v>
      </c>
      <c r="C5663" s="1131"/>
      <c r="D5663" s="1131"/>
      <c r="E5663" s="1131"/>
      <c r="F5663" s="1132"/>
      <c r="G5663" s="1133" t="s">
        <v>261</v>
      </c>
      <c r="H5663" s="1131"/>
      <c r="I5663" s="1134" t="s">
        <v>262</v>
      </c>
      <c r="J5663" s="1135"/>
      <c r="K5663" s="288" t="s">
        <v>263</v>
      </c>
      <c r="L5663" s="1133" t="s">
        <v>264</v>
      </c>
      <c r="M5663" s="1136"/>
      <c r="N5663" s="289" t="s">
        <v>265</v>
      </c>
    </row>
    <row r="5664" spans="2:14" ht="13.5" thickBot="1">
      <c r="B5664" s="1179"/>
      <c r="C5664" s="1180"/>
      <c r="D5664" s="1180"/>
      <c r="E5664" s="1180"/>
      <c r="F5664" s="1181"/>
      <c r="G5664" s="295"/>
      <c r="H5664" s="294"/>
      <c r="I5664" s="1182"/>
      <c r="J5664" s="1183"/>
      <c r="K5664" s="290"/>
      <c r="L5664" s="1118"/>
      <c r="M5664" s="1119"/>
      <c r="N5664" s="290"/>
    </row>
    <row r="5665" spans="2:14" ht="13.5" thickBot="1">
      <c r="B5665" s="1100" t="s">
        <v>269</v>
      </c>
      <c r="C5665" s="1101"/>
      <c r="D5665" s="1101"/>
      <c r="E5665" s="1101"/>
      <c r="F5665" s="1101"/>
      <c r="G5665" s="1101"/>
      <c r="H5665" s="1101"/>
      <c r="I5665" s="1101"/>
      <c r="J5665" s="1101"/>
      <c r="K5665" s="1101"/>
      <c r="L5665" s="1101"/>
      <c r="M5665" s="1102"/>
      <c r="N5665" s="323">
        <f>+N5664</f>
        <v>0</v>
      </c>
    </row>
    <row r="5666" spans="2:14">
      <c r="B5666" s="1103" t="s">
        <v>270</v>
      </c>
      <c r="C5666" s="1104"/>
      <c r="D5666" s="1104"/>
      <c r="E5666" s="1104"/>
      <c r="F5666" s="1104"/>
      <c r="G5666" s="1104"/>
      <c r="H5666" s="1104"/>
      <c r="I5666" s="1104"/>
      <c r="J5666" s="1104"/>
      <c r="K5666" s="1104"/>
      <c r="L5666" s="1104"/>
      <c r="M5666" s="1104"/>
      <c r="N5666" s="1105"/>
    </row>
    <row r="5667" spans="2:14">
      <c r="B5667" s="1106"/>
      <c r="C5667" s="1107"/>
      <c r="D5667" s="1107"/>
      <c r="E5667" s="1107"/>
      <c r="F5667" s="1107"/>
      <c r="G5667" s="1107"/>
      <c r="H5667" s="1107"/>
      <c r="I5667" s="1107"/>
      <c r="J5667" s="1107"/>
      <c r="K5667" s="1107"/>
      <c r="L5667" s="1107"/>
      <c r="M5667" s="1107"/>
      <c r="N5667" s="1108"/>
    </row>
    <row r="5668" spans="2:14" ht="13.5" thickBot="1">
      <c r="B5668" s="1109"/>
      <c r="C5668" s="1110"/>
      <c r="D5668" s="1110"/>
      <c r="E5668" s="1110"/>
      <c r="F5668" s="1110"/>
      <c r="G5668" s="1110"/>
      <c r="H5668" s="1110"/>
      <c r="I5668" s="1110"/>
      <c r="J5668" s="1110"/>
      <c r="K5668" s="1110"/>
      <c r="L5668" s="1110"/>
      <c r="M5668" s="1110"/>
      <c r="N5668" s="1111"/>
    </row>
    <row r="5669" spans="2:14">
      <c r="B5669" s="1130" t="s">
        <v>258</v>
      </c>
      <c r="C5669" s="1139"/>
      <c r="D5669" s="1139"/>
      <c r="E5669" s="1139"/>
      <c r="F5669" s="1139"/>
      <c r="G5669" s="1139"/>
      <c r="H5669" s="1139"/>
      <c r="I5669" s="1136"/>
      <c r="J5669" s="299" t="s">
        <v>259</v>
      </c>
      <c r="K5669" s="288" t="s">
        <v>133</v>
      </c>
      <c r="L5669" s="1133" t="s">
        <v>271</v>
      </c>
      <c r="M5669" s="1136"/>
      <c r="N5669" s="289" t="s">
        <v>265</v>
      </c>
    </row>
    <row r="5670" spans="2:14" ht="13.5" thickBot="1">
      <c r="B5670" s="402" t="s">
        <v>397</v>
      </c>
      <c r="C5670" s="353"/>
      <c r="D5670" s="353"/>
      <c r="E5670" s="353"/>
      <c r="F5670" s="353"/>
      <c r="G5670" s="353"/>
      <c r="H5670" s="353"/>
      <c r="I5670" s="403"/>
      <c r="J5670" s="303"/>
      <c r="K5670" s="392"/>
      <c r="L5670" s="1144"/>
      <c r="M5670" s="1145"/>
      <c r="N5670" s="363"/>
    </row>
    <row r="5671" spans="2:14" ht="13.5" thickBot="1">
      <c r="B5671" s="1100" t="s">
        <v>269</v>
      </c>
      <c r="C5671" s="1101"/>
      <c r="D5671" s="1101"/>
      <c r="E5671" s="1101"/>
      <c r="F5671" s="1101"/>
      <c r="G5671" s="1101"/>
      <c r="H5671" s="1101"/>
      <c r="I5671" s="1101"/>
      <c r="J5671" s="1101"/>
      <c r="K5671" s="1101"/>
      <c r="L5671" s="1101"/>
      <c r="M5671" s="1102"/>
      <c r="N5671" s="323">
        <v>0</v>
      </c>
    </row>
    <row r="5672" spans="2:14">
      <c r="B5672" s="1103" t="s">
        <v>367</v>
      </c>
      <c r="C5672" s="1104"/>
      <c r="D5672" s="1104"/>
      <c r="E5672" s="1104"/>
      <c r="F5672" s="1104"/>
      <c r="G5672" s="1104"/>
      <c r="H5672" s="1104"/>
      <c r="I5672" s="1104"/>
      <c r="J5672" s="1104"/>
      <c r="K5672" s="1104"/>
      <c r="L5672" s="1104"/>
      <c r="M5672" s="1104"/>
      <c r="N5672" s="1105"/>
    </row>
    <row r="5673" spans="2:14">
      <c r="B5673" s="1106"/>
      <c r="C5673" s="1107"/>
      <c r="D5673" s="1107"/>
      <c r="E5673" s="1107"/>
      <c r="F5673" s="1107"/>
      <c r="G5673" s="1107"/>
      <c r="H5673" s="1107"/>
      <c r="I5673" s="1107"/>
      <c r="J5673" s="1107"/>
      <c r="K5673" s="1107"/>
      <c r="L5673" s="1107"/>
      <c r="M5673" s="1107"/>
      <c r="N5673" s="1108"/>
    </row>
    <row r="5674" spans="2:14" ht="13.5" thickBot="1">
      <c r="B5674" s="1109"/>
      <c r="C5674" s="1110"/>
      <c r="D5674" s="1110"/>
      <c r="E5674" s="1110"/>
      <c r="F5674" s="1110"/>
      <c r="G5674" s="1110"/>
      <c r="H5674" s="1110"/>
      <c r="I5674" s="1110"/>
      <c r="J5674" s="1110"/>
      <c r="K5674" s="1110"/>
      <c r="L5674" s="1110"/>
      <c r="M5674" s="1110"/>
      <c r="N5674" s="1111"/>
    </row>
    <row r="5675" spans="2:14">
      <c r="B5675" s="1130" t="s">
        <v>277</v>
      </c>
      <c r="C5675" s="1139"/>
      <c r="D5675" s="1139"/>
      <c r="E5675" s="1139"/>
      <c r="F5675" s="1139"/>
      <c r="G5675" s="1139"/>
      <c r="H5675" s="1139"/>
      <c r="I5675" s="288" t="s">
        <v>278</v>
      </c>
      <c r="J5675" s="306" t="s">
        <v>279</v>
      </c>
      <c r="K5675" s="307" t="s">
        <v>280</v>
      </c>
      <c r="L5675" s="1133" t="s">
        <v>281</v>
      </c>
      <c r="M5675" s="1136"/>
      <c r="N5675" s="289" t="s">
        <v>265</v>
      </c>
    </row>
    <row r="5676" spans="2:14" ht="13.5" thickBot="1">
      <c r="B5676" s="1112"/>
      <c r="C5676" s="1113"/>
      <c r="D5676" s="1113"/>
      <c r="E5676" s="1113"/>
      <c r="F5676" s="1113"/>
      <c r="G5676" s="1113"/>
      <c r="H5676" s="1113"/>
      <c r="I5676" s="393"/>
      <c r="J5676" s="309"/>
      <c r="K5676" s="308"/>
      <c r="L5676" s="1144"/>
      <c r="M5676" s="1145"/>
      <c r="N5676" s="363"/>
    </row>
    <row r="5677" spans="2:14" ht="13.5" thickBot="1">
      <c r="B5677" s="1100" t="s">
        <v>269</v>
      </c>
      <c r="C5677" s="1101"/>
      <c r="D5677" s="1101"/>
      <c r="E5677" s="1101"/>
      <c r="F5677" s="1101"/>
      <c r="G5677" s="1101"/>
      <c r="H5677" s="1101"/>
      <c r="I5677" s="1101"/>
      <c r="J5677" s="1101"/>
      <c r="K5677" s="1101"/>
      <c r="L5677" s="1101"/>
      <c r="M5677" s="1102"/>
      <c r="N5677" s="323">
        <f>+N5676</f>
        <v>0</v>
      </c>
    </row>
    <row r="5678" spans="2:14">
      <c r="B5678" s="1103" t="s">
        <v>282</v>
      </c>
      <c r="C5678" s="1104"/>
      <c r="D5678" s="1104"/>
      <c r="E5678" s="1104"/>
      <c r="F5678" s="1104"/>
      <c r="G5678" s="1104"/>
      <c r="H5678" s="1104"/>
      <c r="I5678" s="1104"/>
      <c r="J5678" s="1104"/>
      <c r="K5678" s="1104"/>
      <c r="L5678" s="1104"/>
      <c r="M5678" s="1104"/>
      <c r="N5678" s="1105"/>
    </row>
    <row r="5679" spans="2:14">
      <c r="B5679" s="1106"/>
      <c r="C5679" s="1107"/>
      <c r="D5679" s="1107"/>
      <c r="E5679" s="1107"/>
      <c r="F5679" s="1107"/>
      <c r="G5679" s="1107"/>
      <c r="H5679" s="1107"/>
      <c r="I5679" s="1107"/>
      <c r="J5679" s="1107"/>
      <c r="K5679" s="1107"/>
      <c r="L5679" s="1107"/>
      <c r="M5679" s="1107"/>
      <c r="N5679" s="1108"/>
    </row>
    <row r="5680" spans="2:14" ht="13.5" thickBot="1">
      <c r="B5680" s="1109"/>
      <c r="C5680" s="1110"/>
      <c r="D5680" s="1110"/>
      <c r="E5680" s="1110"/>
      <c r="F5680" s="1110"/>
      <c r="G5680" s="1110"/>
      <c r="H5680" s="1110"/>
      <c r="I5680" s="1110"/>
      <c r="J5680" s="1110"/>
      <c r="K5680" s="1110"/>
      <c r="L5680" s="1110"/>
      <c r="M5680" s="1110"/>
      <c r="N5680" s="1111"/>
    </row>
    <row r="5681" spans="2:17">
      <c r="B5681" s="1130" t="s">
        <v>283</v>
      </c>
      <c r="C5681" s="1139"/>
      <c r="D5681" s="1139"/>
      <c r="E5681" s="1139"/>
      <c r="F5681" s="1139"/>
      <c r="G5681" s="1139"/>
      <c r="H5681" s="1139"/>
      <c r="I5681" s="288" t="s">
        <v>284</v>
      </c>
      <c r="J5681" s="314" t="s">
        <v>285</v>
      </c>
      <c r="K5681" s="315" t="s">
        <v>286</v>
      </c>
      <c r="L5681" s="1140" t="s">
        <v>264</v>
      </c>
      <c r="M5681" s="1141"/>
      <c r="N5681" s="316" t="s">
        <v>265</v>
      </c>
    </row>
    <row r="5682" spans="2:17" ht="13.5" thickBot="1">
      <c r="B5682" s="317" t="s">
        <v>400</v>
      </c>
      <c r="C5682" s="318"/>
      <c r="D5682" s="318"/>
      <c r="E5682" s="318"/>
      <c r="F5682" s="318"/>
      <c r="G5682" s="318"/>
      <c r="H5682" s="318"/>
      <c r="I5682" s="319">
        <v>111478</v>
      </c>
      <c r="J5682" s="321">
        <v>0</v>
      </c>
      <c r="K5682" s="321">
        <f>+I5682+J5682</f>
        <v>111478</v>
      </c>
      <c r="L5682" s="1157">
        <v>400</v>
      </c>
      <c r="M5682" s="1158"/>
      <c r="N5682" s="322">
        <f>+K5682/L5682</f>
        <v>278.69499999999999</v>
      </c>
    </row>
    <row r="5683" spans="2:17" ht="13.5" thickBot="1">
      <c r="B5683" s="1100" t="s">
        <v>269</v>
      </c>
      <c r="C5683" s="1101"/>
      <c r="D5683" s="1101"/>
      <c r="E5683" s="1101"/>
      <c r="F5683" s="1101"/>
      <c r="G5683" s="1101"/>
      <c r="H5683" s="1101"/>
      <c r="I5683" s="1101"/>
      <c r="J5683" s="1101"/>
      <c r="K5683" s="1101"/>
      <c r="L5683" s="1101"/>
      <c r="M5683" s="1102"/>
      <c r="N5683" s="322">
        <f>+N5682</f>
        <v>278.69499999999999</v>
      </c>
    </row>
    <row r="5684" spans="2:17" ht="13.5" thickBot="1">
      <c r="B5684" s="324" t="s">
        <v>288</v>
      </c>
      <c r="C5684" s="325"/>
      <c r="D5684" s="325"/>
      <c r="E5684" s="325"/>
      <c r="F5684" s="325"/>
      <c r="G5684" s="325"/>
      <c r="H5684" s="325"/>
      <c r="I5684" s="326"/>
      <c r="J5684" s="327"/>
      <c r="K5684" s="328"/>
      <c r="L5684" s="329"/>
      <c r="M5684" s="329"/>
      <c r="N5684" s="330"/>
    </row>
    <row r="5685" spans="2:17">
      <c r="B5685" s="1130" t="s">
        <v>17</v>
      </c>
      <c r="C5685" s="1139"/>
      <c r="D5685" s="1139"/>
      <c r="E5685" s="1139"/>
      <c r="F5685" s="1139"/>
      <c r="G5685" s="1139"/>
      <c r="H5685" s="1139"/>
      <c r="I5685" s="1136"/>
      <c r="J5685" s="299" t="s">
        <v>259</v>
      </c>
      <c r="K5685" s="288" t="s">
        <v>133</v>
      </c>
      <c r="L5685" s="1133" t="s">
        <v>271</v>
      </c>
      <c r="M5685" s="1136"/>
      <c r="N5685" s="316" t="s">
        <v>265</v>
      </c>
    </row>
    <row r="5686" spans="2:17" ht="13.5" thickBot="1">
      <c r="B5686" s="331" t="s">
        <v>289</v>
      </c>
      <c r="C5686" s="332"/>
      <c r="D5686" s="332"/>
      <c r="E5686" s="332"/>
      <c r="F5686" s="332"/>
      <c r="G5686" s="332"/>
      <c r="H5686" s="332"/>
      <c r="I5686" s="333"/>
      <c r="J5686" s="334" t="s">
        <v>290</v>
      </c>
      <c r="K5686" s="335">
        <v>0.05</v>
      </c>
      <c r="L5686" s="1144">
        <f>+N5683</f>
        <v>278.69499999999999</v>
      </c>
      <c r="M5686" s="1145"/>
      <c r="N5686" s="322">
        <f>+K5686*L5686</f>
        <v>13.934750000000001</v>
      </c>
    </row>
    <row r="5687" spans="2:17" ht="13.5" thickBot="1">
      <c r="B5687" s="1100" t="s">
        <v>269</v>
      </c>
      <c r="C5687" s="1101"/>
      <c r="D5687" s="1101"/>
      <c r="E5687" s="1101"/>
      <c r="F5687" s="1101"/>
      <c r="G5687" s="1101"/>
      <c r="H5687" s="1101"/>
      <c r="I5687" s="1101"/>
      <c r="J5687" s="1101"/>
      <c r="K5687" s="1101"/>
      <c r="L5687" s="1101"/>
      <c r="M5687" s="1102"/>
      <c r="N5687" s="322">
        <f>+N5686</f>
        <v>13.934750000000001</v>
      </c>
      <c r="P5687" s="408">
        <v>3047200</v>
      </c>
    </row>
    <row r="5688" spans="2:17" ht="13.5" thickBot="1">
      <c r="B5688" s="1100"/>
      <c r="C5688" s="1101"/>
      <c r="D5688" s="1101"/>
      <c r="E5688" s="1101"/>
      <c r="F5688" s="1101"/>
      <c r="G5688" s="1101"/>
      <c r="H5688" s="1101"/>
      <c r="I5688" s="1101"/>
      <c r="J5688" s="1101"/>
      <c r="K5688" s="1101"/>
      <c r="L5688" s="1101"/>
      <c r="M5688" s="1102"/>
      <c r="N5688" s="322"/>
    </row>
    <row r="5689" spans="2:17" ht="13.5" thickBot="1">
      <c r="B5689" s="1150" t="s">
        <v>291</v>
      </c>
      <c r="C5689" s="1151"/>
      <c r="D5689" s="1151"/>
      <c r="E5689" s="1151"/>
      <c r="F5689" s="1151"/>
      <c r="G5689" s="1151"/>
      <c r="H5689" s="1151"/>
      <c r="I5689" s="1151"/>
      <c r="J5689" s="1151"/>
      <c r="K5689" s="1151"/>
      <c r="L5689" s="1151"/>
      <c r="M5689" s="1152"/>
      <c r="N5689" s="336">
        <f>+N5665+N5671+N5677+N5683+N5687</f>
        <v>292.62975</v>
      </c>
      <c r="P5689" s="409">
        <f>+N5689*N5659</f>
        <v>3043349.4</v>
      </c>
      <c r="Q5689" s="413">
        <f>+P5689-P5687</f>
        <v>-3850.6000000000931</v>
      </c>
    </row>
    <row r="5690" spans="2:17">
      <c r="B5690" s="1103" t="s">
        <v>292</v>
      </c>
      <c r="C5690" s="1104"/>
      <c r="D5690" s="1104"/>
      <c r="E5690" s="1104"/>
      <c r="F5690" s="1104"/>
      <c r="G5690" s="1104"/>
      <c r="H5690" s="1104"/>
      <c r="I5690" s="1104"/>
      <c r="J5690" s="1104"/>
      <c r="K5690" s="1104"/>
      <c r="L5690" s="1104"/>
      <c r="M5690" s="1104"/>
      <c r="N5690" s="1105"/>
    </row>
    <row r="5691" spans="2:17">
      <c r="B5691" s="1106"/>
      <c r="C5691" s="1107"/>
      <c r="D5691" s="1107"/>
      <c r="E5691" s="1107"/>
      <c r="F5691" s="1107"/>
      <c r="G5691" s="1107"/>
      <c r="H5691" s="1107"/>
      <c r="I5691" s="1107"/>
      <c r="J5691" s="1107"/>
      <c r="K5691" s="1107"/>
      <c r="L5691" s="1107"/>
      <c r="M5691" s="1107"/>
      <c r="N5691" s="1108"/>
    </row>
    <row r="5692" spans="2:17" ht="13.5" thickBot="1">
      <c r="B5692" s="1109"/>
      <c r="C5692" s="1110"/>
      <c r="D5692" s="1110"/>
      <c r="E5692" s="1110"/>
      <c r="F5692" s="1110"/>
      <c r="G5692" s="1110"/>
      <c r="H5692" s="1110"/>
      <c r="I5692" s="1110"/>
      <c r="J5692" s="1110"/>
      <c r="K5692" s="1110"/>
      <c r="L5692" s="1110"/>
      <c r="M5692" s="1110"/>
      <c r="N5692" s="1111"/>
    </row>
    <row r="5693" spans="2:17">
      <c r="B5693" s="1130" t="s">
        <v>17</v>
      </c>
      <c r="C5693" s="1139"/>
      <c r="D5693" s="1139"/>
      <c r="E5693" s="1139"/>
      <c r="F5693" s="1139"/>
      <c r="G5693" s="1139"/>
      <c r="H5693" s="1139"/>
      <c r="I5693" s="306"/>
      <c r="J5693" s="337"/>
      <c r="K5693" s="315" t="s">
        <v>79</v>
      </c>
      <c r="L5693" s="1140" t="s">
        <v>11</v>
      </c>
      <c r="M5693" s="1141"/>
      <c r="N5693" s="316"/>
    </row>
    <row r="5694" spans="2:17">
      <c r="B5694" s="1112" t="s">
        <v>232</v>
      </c>
      <c r="C5694" s="1113"/>
      <c r="D5694" s="1113"/>
      <c r="E5694" s="1113"/>
      <c r="F5694" s="1113"/>
      <c r="G5694" s="1113"/>
      <c r="H5694" s="1113"/>
      <c r="I5694" s="338"/>
      <c r="J5694" s="339"/>
      <c r="K5694" s="340">
        <f>'PRESUPUESTO OFICIAL'!$K$100</f>
        <v>0</v>
      </c>
      <c r="L5694" s="1146">
        <f>K5694*N5689</f>
        <v>0</v>
      </c>
      <c r="M5694" s="1147"/>
      <c r="N5694" s="341"/>
    </row>
    <row r="5695" spans="2:17">
      <c r="B5695" s="292" t="s">
        <v>293</v>
      </c>
      <c r="C5695" s="293"/>
      <c r="D5695" s="293"/>
      <c r="E5695" s="293"/>
      <c r="F5695" s="293"/>
      <c r="G5695" s="293"/>
      <c r="H5695" s="293"/>
      <c r="I5695" s="338"/>
      <c r="J5695" s="339"/>
      <c r="K5695" s="340">
        <f>'PRESUPUESTO OFICIAL'!$K$101</f>
        <v>0</v>
      </c>
      <c r="L5695" s="1146">
        <f>K5695*N5689</f>
        <v>0</v>
      </c>
      <c r="M5695" s="1147"/>
      <c r="N5695" s="341"/>
    </row>
    <row r="5696" spans="2:17" ht="13.5" thickBot="1">
      <c r="B5696" s="277" t="s">
        <v>294</v>
      </c>
      <c r="C5696" s="278"/>
      <c r="D5696" s="278"/>
      <c r="E5696" s="278"/>
      <c r="F5696" s="278"/>
      <c r="G5696" s="278"/>
      <c r="H5696" s="278"/>
      <c r="I5696" s="342"/>
      <c r="J5696" s="343"/>
      <c r="K5696" s="340">
        <f>'PRESUPUESTO OFICIAL'!$K$102</f>
        <v>0</v>
      </c>
      <c r="L5696" s="1148">
        <f>K5696*N5689</f>
        <v>0</v>
      </c>
      <c r="M5696" s="1149"/>
      <c r="N5696" s="341"/>
    </row>
    <row r="5697" spans="2:14" ht="13.5" thickBot="1">
      <c r="B5697" s="1100" t="s">
        <v>269</v>
      </c>
      <c r="C5697" s="1101"/>
      <c r="D5697" s="1101"/>
      <c r="E5697" s="1101"/>
      <c r="F5697" s="1101"/>
      <c r="G5697" s="1101"/>
      <c r="H5697" s="1101"/>
      <c r="I5697" s="1101"/>
      <c r="J5697" s="1101"/>
      <c r="K5697" s="1101"/>
      <c r="L5697" s="1101"/>
      <c r="M5697" s="1102"/>
      <c r="N5697" s="344">
        <f>SUM(L5694:M5696)</f>
        <v>0</v>
      </c>
    </row>
    <row r="5698" spans="2:14" ht="13.5" thickBot="1">
      <c r="B5698" s="283"/>
      <c r="N5698" s="284"/>
    </row>
    <row r="5699" spans="2:14" ht="13.5" thickBot="1">
      <c r="B5699" s="1150" t="s">
        <v>295</v>
      </c>
      <c r="C5699" s="1151"/>
      <c r="D5699" s="1151"/>
      <c r="E5699" s="1151"/>
      <c r="F5699" s="1151"/>
      <c r="G5699" s="1151"/>
      <c r="H5699" s="1151"/>
      <c r="I5699" s="1151"/>
      <c r="J5699" s="1151"/>
      <c r="K5699" s="1151"/>
      <c r="L5699" s="1151"/>
      <c r="M5699" s="1152"/>
      <c r="N5699" s="345">
        <f>ROUND(N5689+N5697,0)</f>
        <v>293</v>
      </c>
    </row>
    <row r="5700" spans="2:14">
      <c r="B5700" s="280"/>
      <c r="C5700" s="281"/>
      <c r="D5700" s="281"/>
      <c r="E5700" s="281"/>
      <c r="F5700" s="281"/>
      <c r="G5700" s="281"/>
      <c r="H5700" s="281"/>
      <c r="I5700" s="281"/>
      <c r="J5700" s="281"/>
      <c r="K5700" s="281"/>
      <c r="L5700" s="281"/>
      <c r="M5700" s="281"/>
      <c r="N5700" s="282"/>
    </row>
    <row r="5701" spans="2:14">
      <c r="B5701" s="283"/>
      <c r="N5701" s="284"/>
    </row>
    <row r="5702" spans="2:14">
      <c r="B5702" s="283"/>
      <c r="N5702" s="284"/>
    </row>
    <row r="5703" spans="2:14">
      <c r="B5703" s="283"/>
      <c r="G5703" s="346" t="s">
        <v>296</v>
      </c>
      <c r="H5703" s="346"/>
      <c r="I5703" s="346"/>
      <c r="J5703" s="346"/>
      <c r="N5703" s="284"/>
    </row>
    <row r="5704" spans="2:14">
      <c r="B5704" s="347"/>
      <c r="C5704" s="348"/>
      <c r="D5704" s="348"/>
      <c r="E5704" s="348"/>
      <c r="F5704" s="348"/>
      <c r="G5704" s="346" t="s">
        <v>297</v>
      </c>
      <c r="H5704" s="348"/>
      <c r="I5704" s="348"/>
      <c r="J5704" s="348"/>
      <c r="K5704" s="348"/>
      <c r="L5704" s="348"/>
      <c r="M5704" s="348"/>
      <c r="N5704" s="349"/>
    </row>
    <row r="5705" spans="2:14">
      <c r="B5705" s="347"/>
      <c r="C5705" s="348"/>
      <c r="D5705" s="348"/>
      <c r="E5705" s="348"/>
      <c r="F5705" s="348"/>
      <c r="G5705" s="346" t="s">
        <v>298</v>
      </c>
      <c r="J5705" s="348"/>
      <c r="K5705" s="348"/>
      <c r="L5705" s="348"/>
      <c r="M5705" s="348"/>
      <c r="N5705" s="349"/>
    </row>
    <row r="5706" spans="2:14">
      <c r="B5706" s="268"/>
      <c r="C5706" s="350"/>
      <c r="D5706" s="350"/>
      <c r="E5706" s="350"/>
      <c r="F5706" s="350"/>
      <c r="G5706" s="346" t="s">
        <v>299</v>
      </c>
      <c r="H5706" s="350"/>
      <c r="I5706" s="350"/>
      <c r="J5706" s="350"/>
      <c r="K5706" s="350"/>
      <c r="L5706" s="350"/>
      <c r="M5706" s="350"/>
      <c r="N5706" s="351"/>
    </row>
    <row r="5707" spans="2:14">
      <c r="B5707" s="283"/>
      <c r="G5707" s="258" t="s">
        <v>300</v>
      </c>
      <c r="N5707" s="284"/>
    </row>
    <row r="5708" spans="2:14">
      <c r="B5708" s="352" t="s">
        <v>301</v>
      </c>
      <c r="C5708" s="353"/>
      <c r="D5708" s="353"/>
      <c r="E5708" s="353"/>
      <c r="F5708" s="353"/>
      <c r="G5708" s="353"/>
      <c r="H5708" s="353"/>
      <c r="I5708" s="353"/>
      <c r="J5708" s="353"/>
      <c r="K5708" s="353"/>
      <c r="L5708" s="353"/>
      <c r="M5708" s="353"/>
      <c r="N5708" s="354"/>
    </row>
    <row r="5709" spans="2:14">
      <c r="B5709" s="1153"/>
      <c r="C5709" s="1154"/>
      <c r="D5709" s="1154"/>
      <c r="E5709" s="1154"/>
      <c r="F5709" s="1154"/>
      <c r="G5709" s="1154"/>
      <c r="H5709" s="1154"/>
      <c r="I5709" s="1154"/>
      <c r="J5709" s="1154"/>
      <c r="K5709" s="1154"/>
      <c r="L5709" s="1154"/>
      <c r="M5709" s="1154"/>
      <c r="N5709" s="1155"/>
    </row>
    <row r="5710" spans="2:14">
      <c r="B5710" s="1153"/>
      <c r="C5710" s="1154"/>
      <c r="D5710" s="1154"/>
      <c r="E5710" s="1154"/>
      <c r="F5710" s="1154"/>
      <c r="G5710" s="1154"/>
      <c r="H5710" s="1154"/>
      <c r="I5710" s="1154"/>
      <c r="J5710" s="1154"/>
      <c r="K5710" s="1154"/>
      <c r="L5710" s="1154"/>
      <c r="M5710" s="1154"/>
      <c r="N5710" s="1155"/>
    </row>
    <row r="5711" spans="2:14">
      <c r="B5711" s="268"/>
      <c r="C5711" s="350"/>
      <c r="D5711" s="350"/>
      <c r="E5711" s="350"/>
      <c r="F5711" s="350"/>
      <c r="G5711" s="350"/>
      <c r="H5711" s="350"/>
      <c r="I5711" s="350"/>
      <c r="J5711" s="350"/>
      <c r="K5711" s="350"/>
      <c r="L5711" s="350"/>
      <c r="M5711" s="350"/>
      <c r="N5711" s="351"/>
    </row>
    <row r="5712" spans="2:14">
      <c r="B5712" s="355" t="s">
        <v>302</v>
      </c>
      <c r="C5712" s="350"/>
      <c r="D5712" s="350"/>
      <c r="E5712" s="350"/>
      <c r="F5712" s="350"/>
      <c r="G5712" s="350"/>
      <c r="H5712" s="350"/>
      <c r="I5712" s="350"/>
      <c r="J5712" s="350"/>
      <c r="K5712" s="350"/>
      <c r="L5712" s="350"/>
      <c r="M5712" s="350"/>
      <c r="N5712" s="351"/>
    </row>
    <row r="5713" spans="2:14">
      <c r="B5713" s="1159" t="s">
        <v>303</v>
      </c>
      <c r="C5713" s="1160"/>
      <c r="D5713" s="1160"/>
      <c r="E5713" s="1160"/>
      <c r="F5713" s="1160"/>
      <c r="G5713" s="1160"/>
      <c r="H5713" s="1160"/>
      <c r="I5713" s="1160"/>
      <c r="J5713" s="1160"/>
      <c r="K5713" s="1160"/>
      <c r="L5713" s="1160"/>
      <c r="M5713" s="1160"/>
      <c r="N5713" s="1161"/>
    </row>
    <row r="5714" spans="2:14">
      <c r="B5714" s="1159"/>
      <c r="C5714" s="1160"/>
      <c r="D5714" s="1160"/>
      <c r="E5714" s="1160"/>
      <c r="F5714" s="1160"/>
      <c r="G5714" s="1160"/>
      <c r="H5714" s="1160"/>
      <c r="I5714" s="1160"/>
      <c r="J5714" s="1160"/>
      <c r="K5714" s="1160"/>
      <c r="L5714" s="1160"/>
      <c r="M5714" s="1160"/>
      <c r="N5714" s="1161"/>
    </row>
    <row r="5715" spans="2:14">
      <c r="B5715" s="1159" t="s">
        <v>304</v>
      </c>
      <c r="C5715" s="1160"/>
      <c r="D5715" s="1160"/>
      <c r="E5715" s="1160"/>
      <c r="F5715" s="1160"/>
      <c r="G5715" s="1160"/>
      <c r="H5715" s="1160"/>
      <c r="I5715" s="1160"/>
      <c r="J5715" s="1160"/>
      <c r="K5715" s="1160"/>
      <c r="L5715" s="1160"/>
      <c r="M5715" s="1160"/>
      <c r="N5715" s="1161"/>
    </row>
    <row r="5716" spans="2:14">
      <c r="B5716" s="1159"/>
      <c r="C5716" s="1160"/>
      <c r="D5716" s="1160"/>
      <c r="E5716" s="1160"/>
      <c r="F5716" s="1160"/>
      <c r="G5716" s="1160"/>
      <c r="H5716" s="1160"/>
      <c r="I5716" s="1160"/>
      <c r="J5716" s="1160"/>
      <c r="K5716" s="1160"/>
      <c r="L5716" s="1160"/>
      <c r="M5716" s="1160"/>
      <c r="N5716" s="1161"/>
    </row>
    <row r="5717" spans="2:14">
      <c r="B5717" s="268"/>
      <c r="C5717" s="350"/>
      <c r="D5717" s="350"/>
      <c r="E5717" s="350"/>
      <c r="F5717" s="350"/>
      <c r="G5717" s="350"/>
      <c r="H5717" s="350"/>
      <c r="I5717" s="350"/>
      <c r="J5717" s="350"/>
      <c r="K5717" s="350"/>
      <c r="L5717" s="350"/>
      <c r="M5717" s="350"/>
      <c r="N5717" s="351"/>
    </row>
    <row r="5718" spans="2:14">
      <c r="B5718" s="283"/>
      <c r="G5718" s="346" t="s">
        <v>296</v>
      </c>
      <c r="N5718" s="284"/>
    </row>
    <row r="5719" spans="2:14">
      <c r="B5719" s="283"/>
      <c r="G5719" s="258" t="s">
        <v>305</v>
      </c>
      <c r="H5719" s="293"/>
      <c r="I5719" s="293"/>
      <c r="J5719" s="293"/>
      <c r="N5719" s="284"/>
    </row>
    <row r="5720" spans="2:14">
      <c r="B5720" s="283"/>
      <c r="G5720" s="258" t="s">
        <v>306</v>
      </c>
      <c r="H5720" s="325"/>
      <c r="I5720" s="325"/>
      <c r="J5720" s="325"/>
      <c r="N5720" s="284"/>
    </row>
    <row r="5721" spans="2:14">
      <c r="B5721" s="356"/>
      <c r="C5721" s="350"/>
      <c r="D5721" s="350"/>
      <c r="E5721" s="350"/>
      <c r="F5721" s="350"/>
      <c r="G5721" s="258" t="s">
        <v>299</v>
      </c>
      <c r="K5721" s="350"/>
      <c r="L5721" s="350"/>
      <c r="M5721" s="350"/>
      <c r="N5721" s="351"/>
    </row>
    <row r="5722" spans="2:14">
      <c r="B5722" s="357"/>
      <c r="C5722" s="358"/>
      <c r="D5722" s="358"/>
      <c r="J5722" s="1162"/>
      <c r="K5722" s="1162"/>
      <c r="L5722" s="1162"/>
      <c r="M5722" s="1162"/>
      <c r="N5722" s="1163"/>
    </row>
    <row r="5723" spans="2:14" ht="13.5" thickBot="1">
      <c r="B5723" s="1166"/>
      <c r="C5723" s="1167"/>
      <c r="D5723" s="1167"/>
      <c r="E5723" s="311"/>
      <c r="F5723" s="311"/>
      <c r="G5723" s="311"/>
      <c r="H5723" s="311"/>
      <c r="I5723" s="311"/>
      <c r="J5723" s="1164"/>
      <c r="K5723" s="1164"/>
      <c r="L5723" s="1164"/>
      <c r="M5723" s="1164"/>
      <c r="N5723" s="1165"/>
    </row>
    <row r="5724" spans="2:14" ht="13.5" thickBot="1"/>
    <row r="5725" spans="2:14">
      <c r="B5725" s="1070"/>
      <c r="C5725" s="1072"/>
      <c r="D5725" s="1073"/>
      <c r="E5725" s="1073"/>
      <c r="F5725" s="1073"/>
      <c r="G5725" s="1073"/>
      <c r="H5725" s="1073"/>
      <c r="I5725" s="1073"/>
      <c r="J5725" s="1074"/>
      <c r="K5725" s="1075"/>
      <c r="L5725" s="1076"/>
      <c r="M5725" s="1076"/>
      <c r="N5725" s="1077"/>
    </row>
    <row r="5726" spans="2:14">
      <c r="B5726" s="1071"/>
      <c r="C5726" s="1062" t="s">
        <v>244</v>
      </c>
      <c r="D5726" s="1063"/>
      <c r="E5726" s="1063"/>
      <c r="F5726" s="1063"/>
      <c r="G5726" s="1063"/>
      <c r="H5726" s="1063"/>
      <c r="I5726" s="1063"/>
      <c r="J5726" s="1064"/>
      <c r="K5726" s="1078"/>
      <c r="L5726" s="1079"/>
      <c r="M5726" s="1079"/>
      <c r="N5726" s="1080"/>
    </row>
    <row r="5727" spans="2:14">
      <c r="B5727" s="1071"/>
      <c r="C5727" s="1081"/>
      <c r="D5727" s="1082"/>
      <c r="E5727" s="1082"/>
      <c r="F5727" s="1082"/>
      <c r="G5727" s="1082"/>
      <c r="H5727" s="1082"/>
      <c r="I5727" s="1082"/>
      <c r="J5727" s="1083"/>
      <c r="K5727" s="1058" t="s">
        <v>245</v>
      </c>
      <c r="L5727" s="1085"/>
      <c r="M5727" s="1086"/>
      <c r="N5727" s="1087"/>
    </row>
    <row r="5728" spans="2:14">
      <c r="B5728" s="1071"/>
      <c r="C5728" s="1062" t="s">
        <v>246</v>
      </c>
      <c r="D5728" s="1063"/>
      <c r="E5728" s="1063"/>
      <c r="F5728" s="1063"/>
      <c r="G5728" s="1063"/>
      <c r="H5728" s="1063"/>
      <c r="I5728" s="1063"/>
      <c r="J5728" s="1064"/>
      <c r="K5728" s="1084"/>
      <c r="L5728" s="1088"/>
      <c r="M5728" s="1089"/>
      <c r="N5728" s="1090"/>
    </row>
    <row r="5729" spans="2:14">
      <c r="B5729" s="1071"/>
      <c r="C5729" s="1091"/>
      <c r="D5729" s="1092"/>
      <c r="E5729" s="1092"/>
      <c r="F5729" s="1092"/>
      <c r="G5729" s="1092"/>
      <c r="H5729" s="1092"/>
      <c r="I5729" s="1092"/>
      <c r="J5729" s="1093"/>
      <c r="K5729" s="1058" t="s">
        <v>247</v>
      </c>
      <c r="L5729" s="1058">
        <v>65</v>
      </c>
      <c r="M5729" s="1058" t="s">
        <v>248</v>
      </c>
      <c r="N5729" s="1060">
        <v>80</v>
      </c>
    </row>
    <row r="5730" spans="2:14">
      <c r="B5730" s="1071"/>
      <c r="C5730" s="1091"/>
      <c r="D5730" s="1092"/>
      <c r="E5730" s="1092"/>
      <c r="F5730" s="1092"/>
      <c r="G5730" s="1092"/>
      <c r="H5730" s="1092"/>
      <c r="I5730" s="1092"/>
      <c r="J5730" s="1093"/>
      <c r="K5730" s="1059"/>
      <c r="L5730" s="1059"/>
      <c r="M5730" s="1059"/>
      <c r="N5730" s="1061"/>
    </row>
    <row r="5731" spans="2:14">
      <c r="B5731" s="1071"/>
      <c r="C5731" s="1062" t="s">
        <v>249</v>
      </c>
      <c r="D5731" s="1063"/>
      <c r="E5731" s="1063"/>
      <c r="F5731" s="1063"/>
      <c r="G5731" s="1063"/>
      <c r="H5731" s="1063"/>
      <c r="I5731" s="1063"/>
      <c r="J5731" s="1064"/>
      <c r="K5731" s="1059"/>
      <c r="L5731" s="1059"/>
      <c r="M5731" s="1059"/>
      <c r="N5731" s="1061"/>
    </row>
    <row r="5732" spans="2:14" ht="13.5" thickBot="1">
      <c r="B5732" s="259"/>
      <c r="C5732" s="260"/>
      <c r="D5732" s="260"/>
      <c r="E5732" s="260"/>
      <c r="F5732" s="260"/>
      <c r="G5732" s="260"/>
      <c r="H5732" s="260"/>
      <c r="I5732" s="260"/>
      <c r="J5732" s="260"/>
      <c r="K5732" s="260"/>
      <c r="L5732" s="261"/>
      <c r="M5732" s="261"/>
      <c r="N5732" s="262"/>
    </row>
    <row r="5733" spans="2:14">
      <c r="B5733" s="263"/>
      <c r="C5733" s="264"/>
      <c r="D5733" s="264"/>
      <c r="E5733" s="264"/>
      <c r="F5733" s="264"/>
      <c r="G5733" s="264"/>
      <c r="H5733" s="264"/>
      <c r="I5733" s="264"/>
      <c r="J5733" s="264"/>
      <c r="K5733" s="265" t="s">
        <v>250</v>
      </c>
      <c r="L5733" s="266" t="s">
        <v>251</v>
      </c>
      <c r="M5733" s="266" t="s">
        <v>252</v>
      </c>
      <c r="N5733" s="267" t="s">
        <v>253</v>
      </c>
    </row>
    <row r="5734" spans="2:14">
      <c r="B5734" s="268"/>
      <c r="C5734" s="269"/>
      <c r="D5734" s="269"/>
      <c r="E5734" s="269"/>
      <c r="F5734" s="269"/>
      <c r="G5734" s="269"/>
      <c r="H5734" s="269"/>
      <c r="I5734" s="269"/>
      <c r="J5734" s="269"/>
      <c r="K5734" s="270"/>
      <c r="L5734" s="271"/>
      <c r="M5734" s="271"/>
      <c r="N5734" s="272"/>
    </row>
    <row r="5735" spans="2:14">
      <c r="B5735" s="1065" t="s">
        <v>254</v>
      </c>
      <c r="C5735" s="1066"/>
      <c r="D5735" s="1066"/>
      <c r="E5735" s="1066"/>
      <c r="F5735" s="269"/>
      <c r="G5735" s="269"/>
      <c r="H5735" s="269" t="s">
        <v>255</v>
      </c>
      <c r="J5735" s="269"/>
      <c r="K5735" s="270"/>
      <c r="N5735" s="273"/>
    </row>
    <row r="5736" spans="2:14">
      <c r="B5736" s="274"/>
      <c r="C5736" s="275"/>
      <c r="D5736" s="275"/>
      <c r="E5736" s="275"/>
      <c r="F5736" s="275"/>
      <c r="G5736" s="275"/>
      <c r="H5736" s="275"/>
      <c r="I5736" s="275"/>
      <c r="J5736" s="275"/>
      <c r="K5736" s="275"/>
      <c r="L5736" s="275"/>
      <c r="M5736" s="275"/>
      <c r="N5736" s="276"/>
    </row>
    <row r="5737" spans="2:14" ht="13.5" thickBot="1">
      <c r="B5737" s="277"/>
      <c r="C5737" s="278"/>
      <c r="D5737" s="278"/>
      <c r="E5737" s="278"/>
      <c r="F5737" s="278"/>
      <c r="G5737" s="278"/>
      <c r="H5737" s="278"/>
      <c r="I5737" s="278"/>
      <c r="J5737" s="278"/>
      <c r="K5737" s="278"/>
      <c r="L5737" s="278"/>
      <c r="M5737" s="278"/>
      <c r="N5737" s="279"/>
    </row>
    <row r="5738" spans="2:14" ht="13.5" thickBot="1">
      <c r="B5738" s="280"/>
      <c r="C5738" s="281"/>
      <c r="D5738" s="281"/>
      <c r="E5738" s="281"/>
      <c r="F5738" s="281"/>
      <c r="G5738" s="281"/>
      <c r="J5738" s="281"/>
      <c r="K5738" s="281"/>
      <c r="L5738" s="281"/>
      <c r="M5738" s="281"/>
      <c r="N5738" s="282"/>
    </row>
    <row r="5739" spans="2:14">
      <c r="B5739" s="1067" t="s">
        <v>256</v>
      </c>
      <c r="C5739" s="1068"/>
      <c r="D5739" s="1068"/>
      <c r="E5739" s="1068"/>
      <c r="F5739" s="1068"/>
      <c r="G5739" s="1068"/>
      <c r="H5739" s="1068"/>
      <c r="I5739" s="1068"/>
      <c r="J5739" s="1068"/>
      <c r="K5739" s="1068"/>
      <c r="L5739" s="1068"/>
      <c r="M5739" s="1068"/>
      <c r="N5739" s="1069"/>
    </row>
    <row r="5740" spans="2:14" ht="13.5" thickBot="1">
      <c r="B5740" s="283"/>
      <c r="N5740" s="284"/>
    </row>
    <row r="5741" spans="2:14">
      <c r="B5741" s="285" t="s">
        <v>257</v>
      </c>
      <c r="C5741" s="1120" t="s">
        <v>258</v>
      </c>
      <c r="D5741" s="1121"/>
      <c r="E5741" s="1121"/>
      <c r="F5741" s="1121"/>
      <c r="G5741" s="1121"/>
      <c r="H5741" s="1121"/>
      <c r="I5741" s="1121"/>
      <c r="J5741" s="1121"/>
      <c r="K5741" s="1122"/>
      <c r="L5741" s="1123" t="s">
        <v>259</v>
      </c>
      <c r="M5741" s="1124"/>
      <c r="N5741" s="285" t="s">
        <v>133</v>
      </c>
    </row>
    <row r="5742" spans="2:14" ht="13.5" thickBot="1">
      <c r="B5742" s="286">
        <v>65</v>
      </c>
      <c r="C5742" s="1125" t="s">
        <v>208</v>
      </c>
      <c r="D5742" s="1126"/>
      <c r="E5742" s="1126"/>
      <c r="F5742" s="1126"/>
      <c r="G5742" s="1126"/>
      <c r="H5742" s="1126"/>
      <c r="I5742" s="1126"/>
      <c r="J5742" s="1126"/>
      <c r="K5742" s="1127"/>
      <c r="L5742" s="1128" t="s">
        <v>147</v>
      </c>
      <c r="M5742" s="1129"/>
      <c r="N5742" s="366">
        <v>680</v>
      </c>
    </row>
    <row r="5743" spans="2:14">
      <c r="B5743" s="1103" t="s">
        <v>260</v>
      </c>
      <c r="C5743" s="1104"/>
      <c r="D5743" s="1104"/>
      <c r="E5743" s="1104"/>
      <c r="F5743" s="1104"/>
      <c r="G5743" s="1104"/>
      <c r="H5743" s="1104"/>
      <c r="I5743" s="1104"/>
      <c r="J5743" s="1104"/>
      <c r="K5743" s="1104"/>
      <c r="L5743" s="1104"/>
      <c r="M5743" s="1104"/>
      <c r="N5743" s="1105"/>
    </row>
    <row r="5744" spans="2:14">
      <c r="B5744" s="1106"/>
      <c r="C5744" s="1107"/>
      <c r="D5744" s="1107"/>
      <c r="E5744" s="1107"/>
      <c r="F5744" s="1107"/>
      <c r="G5744" s="1107"/>
      <c r="H5744" s="1107"/>
      <c r="I5744" s="1107"/>
      <c r="J5744" s="1107"/>
      <c r="K5744" s="1107"/>
      <c r="L5744" s="1107"/>
      <c r="M5744" s="1107"/>
      <c r="N5744" s="1108"/>
    </row>
    <row r="5745" spans="2:14" ht="13.5" thickBot="1">
      <c r="B5745" s="1109"/>
      <c r="C5745" s="1110"/>
      <c r="D5745" s="1110"/>
      <c r="E5745" s="1110"/>
      <c r="F5745" s="1110"/>
      <c r="G5745" s="1110"/>
      <c r="H5745" s="1110"/>
      <c r="I5745" s="1110"/>
      <c r="J5745" s="1110"/>
      <c r="K5745" s="1110"/>
      <c r="L5745" s="1110"/>
      <c r="M5745" s="1110"/>
      <c r="N5745" s="1111"/>
    </row>
    <row r="5746" spans="2:14">
      <c r="B5746" s="1130" t="s">
        <v>258</v>
      </c>
      <c r="C5746" s="1131"/>
      <c r="D5746" s="1131"/>
      <c r="E5746" s="1131"/>
      <c r="F5746" s="1132"/>
      <c r="G5746" s="1133" t="s">
        <v>261</v>
      </c>
      <c r="H5746" s="1131"/>
      <c r="I5746" s="1134" t="s">
        <v>262</v>
      </c>
      <c r="J5746" s="1135"/>
      <c r="K5746" s="288" t="s">
        <v>263</v>
      </c>
      <c r="L5746" s="1133" t="s">
        <v>264</v>
      </c>
      <c r="M5746" s="1136"/>
      <c r="N5746" s="289" t="s">
        <v>265</v>
      </c>
    </row>
    <row r="5747" spans="2:14" ht="13.5" thickBot="1">
      <c r="B5747" s="1179"/>
      <c r="C5747" s="1180"/>
      <c r="D5747" s="1180"/>
      <c r="E5747" s="1180"/>
      <c r="F5747" s="1181"/>
      <c r="G5747" s="295"/>
      <c r="H5747" s="294"/>
      <c r="I5747" s="1182"/>
      <c r="J5747" s="1183"/>
      <c r="K5747" s="290"/>
      <c r="L5747" s="1118"/>
      <c r="M5747" s="1119"/>
      <c r="N5747" s="290"/>
    </row>
    <row r="5748" spans="2:14" ht="13.5" thickBot="1">
      <c r="B5748" s="1100" t="s">
        <v>269</v>
      </c>
      <c r="C5748" s="1101"/>
      <c r="D5748" s="1101"/>
      <c r="E5748" s="1101"/>
      <c r="F5748" s="1101"/>
      <c r="G5748" s="1101"/>
      <c r="H5748" s="1101"/>
      <c r="I5748" s="1101"/>
      <c r="J5748" s="1101"/>
      <c r="K5748" s="1101"/>
      <c r="L5748" s="1101"/>
      <c r="M5748" s="1102"/>
      <c r="N5748" s="323">
        <f>+N5747</f>
        <v>0</v>
      </c>
    </row>
    <row r="5749" spans="2:14">
      <c r="B5749" s="1103" t="s">
        <v>270</v>
      </c>
      <c r="C5749" s="1104"/>
      <c r="D5749" s="1104"/>
      <c r="E5749" s="1104"/>
      <c r="F5749" s="1104"/>
      <c r="G5749" s="1104"/>
      <c r="H5749" s="1104"/>
      <c r="I5749" s="1104"/>
      <c r="J5749" s="1104"/>
      <c r="K5749" s="1104"/>
      <c r="L5749" s="1104"/>
      <c r="M5749" s="1104"/>
      <c r="N5749" s="1105"/>
    </row>
    <row r="5750" spans="2:14">
      <c r="B5750" s="1106"/>
      <c r="C5750" s="1107"/>
      <c r="D5750" s="1107"/>
      <c r="E5750" s="1107"/>
      <c r="F5750" s="1107"/>
      <c r="G5750" s="1107"/>
      <c r="H5750" s="1107"/>
      <c r="I5750" s="1107"/>
      <c r="J5750" s="1107"/>
      <c r="K5750" s="1107"/>
      <c r="L5750" s="1107"/>
      <c r="M5750" s="1107"/>
      <c r="N5750" s="1108"/>
    </row>
    <row r="5751" spans="2:14" ht="13.5" thickBot="1">
      <c r="B5751" s="1109"/>
      <c r="C5751" s="1110"/>
      <c r="D5751" s="1110"/>
      <c r="E5751" s="1110"/>
      <c r="F5751" s="1110"/>
      <c r="G5751" s="1110"/>
      <c r="H5751" s="1110"/>
      <c r="I5751" s="1110"/>
      <c r="J5751" s="1110"/>
      <c r="K5751" s="1110"/>
      <c r="L5751" s="1110"/>
      <c r="M5751" s="1110"/>
      <c r="N5751" s="1111"/>
    </row>
    <row r="5752" spans="2:14">
      <c r="B5752" s="1130" t="s">
        <v>258</v>
      </c>
      <c r="C5752" s="1139"/>
      <c r="D5752" s="1139"/>
      <c r="E5752" s="1139"/>
      <c r="F5752" s="1139"/>
      <c r="G5752" s="1139"/>
      <c r="H5752" s="1139"/>
      <c r="I5752" s="1136"/>
      <c r="J5752" s="299" t="s">
        <v>259</v>
      </c>
      <c r="K5752" s="288" t="s">
        <v>133</v>
      </c>
      <c r="L5752" s="1133" t="s">
        <v>271</v>
      </c>
      <c r="M5752" s="1136"/>
      <c r="N5752" s="289" t="s">
        <v>265</v>
      </c>
    </row>
    <row r="5753" spans="2:14" ht="13.5" thickBot="1">
      <c r="B5753" s="402"/>
      <c r="C5753" s="353"/>
      <c r="D5753" s="353"/>
      <c r="E5753" s="353"/>
      <c r="F5753" s="353"/>
      <c r="G5753" s="353"/>
      <c r="H5753" s="353"/>
      <c r="I5753" s="403"/>
      <c r="J5753" s="303"/>
      <c r="K5753" s="392"/>
      <c r="L5753" s="1144"/>
      <c r="M5753" s="1145"/>
      <c r="N5753" s="363"/>
    </row>
    <row r="5754" spans="2:14" ht="13.5" thickBot="1">
      <c r="B5754" s="1100" t="s">
        <v>269</v>
      </c>
      <c r="C5754" s="1101"/>
      <c r="D5754" s="1101"/>
      <c r="E5754" s="1101"/>
      <c r="F5754" s="1101"/>
      <c r="G5754" s="1101"/>
      <c r="H5754" s="1101"/>
      <c r="I5754" s="1101"/>
      <c r="J5754" s="1101"/>
      <c r="K5754" s="1101"/>
      <c r="L5754" s="1101"/>
      <c r="M5754" s="1102"/>
      <c r="N5754" s="323">
        <v>0</v>
      </c>
    </row>
    <row r="5755" spans="2:14">
      <c r="B5755" s="1103" t="s">
        <v>367</v>
      </c>
      <c r="C5755" s="1104"/>
      <c r="D5755" s="1104"/>
      <c r="E5755" s="1104"/>
      <c r="F5755" s="1104"/>
      <c r="G5755" s="1104"/>
      <c r="H5755" s="1104"/>
      <c r="I5755" s="1104"/>
      <c r="J5755" s="1104"/>
      <c r="K5755" s="1104"/>
      <c r="L5755" s="1104"/>
      <c r="M5755" s="1104"/>
      <c r="N5755" s="1105"/>
    </row>
    <row r="5756" spans="2:14">
      <c r="B5756" s="1106"/>
      <c r="C5756" s="1107"/>
      <c r="D5756" s="1107"/>
      <c r="E5756" s="1107"/>
      <c r="F5756" s="1107"/>
      <c r="G5756" s="1107"/>
      <c r="H5756" s="1107"/>
      <c r="I5756" s="1107"/>
      <c r="J5756" s="1107"/>
      <c r="K5756" s="1107"/>
      <c r="L5756" s="1107"/>
      <c r="M5756" s="1107"/>
      <c r="N5756" s="1108"/>
    </row>
    <row r="5757" spans="2:14" ht="13.5" thickBot="1">
      <c r="B5757" s="1109"/>
      <c r="C5757" s="1110"/>
      <c r="D5757" s="1110"/>
      <c r="E5757" s="1110"/>
      <c r="F5757" s="1110"/>
      <c r="G5757" s="1110"/>
      <c r="H5757" s="1110"/>
      <c r="I5757" s="1110"/>
      <c r="J5757" s="1110"/>
      <c r="K5757" s="1110"/>
      <c r="L5757" s="1110"/>
      <c r="M5757" s="1110"/>
      <c r="N5757" s="1111"/>
    </row>
    <row r="5758" spans="2:14">
      <c r="B5758" s="1130" t="s">
        <v>277</v>
      </c>
      <c r="C5758" s="1139"/>
      <c r="D5758" s="1139"/>
      <c r="E5758" s="1139"/>
      <c r="F5758" s="1139"/>
      <c r="G5758" s="1139"/>
      <c r="H5758" s="1139"/>
      <c r="I5758" s="288" t="s">
        <v>278</v>
      </c>
      <c r="J5758" s="306" t="s">
        <v>279</v>
      </c>
      <c r="K5758" s="307" t="s">
        <v>280</v>
      </c>
      <c r="L5758" s="1133" t="s">
        <v>281</v>
      </c>
      <c r="M5758" s="1136"/>
      <c r="N5758" s="289" t="s">
        <v>265</v>
      </c>
    </row>
    <row r="5759" spans="2:14" ht="13.5" thickBot="1">
      <c r="B5759" s="1112"/>
      <c r="C5759" s="1113"/>
      <c r="D5759" s="1113"/>
      <c r="E5759" s="1113"/>
      <c r="F5759" s="1113"/>
      <c r="G5759" s="1113"/>
      <c r="H5759" s="1113"/>
      <c r="I5759" s="393"/>
      <c r="J5759" s="309"/>
      <c r="K5759" s="308"/>
      <c r="L5759" s="1144"/>
      <c r="M5759" s="1145"/>
      <c r="N5759" s="363"/>
    </row>
    <row r="5760" spans="2:14" ht="13.5" thickBot="1">
      <c r="B5760" s="1100" t="s">
        <v>269</v>
      </c>
      <c r="C5760" s="1101"/>
      <c r="D5760" s="1101"/>
      <c r="E5760" s="1101"/>
      <c r="F5760" s="1101"/>
      <c r="G5760" s="1101"/>
      <c r="H5760" s="1101"/>
      <c r="I5760" s="1101"/>
      <c r="J5760" s="1101"/>
      <c r="K5760" s="1101"/>
      <c r="L5760" s="1101"/>
      <c r="M5760" s="1102"/>
      <c r="N5760" s="323">
        <f>+N5759</f>
        <v>0</v>
      </c>
    </row>
    <row r="5761" spans="2:17">
      <c r="B5761" s="1103" t="s">
        <v>282</v>
      </c>
      <c r="C5761" s="1104"/>
      <c r="D5761" s="1104"/>
      <c r="E5761" s="1104"/>
      <c r="F5761" s="1104"/>
      <c r="G5761" s="1104"/>
      <c r="H5761" s="1104"/>
      <c r="I5761" s="1104"/>
      <c r="J5761" s="1104"/>
      <c r="K5761" s="1104"/>
      <c r="L5761" s="1104"/>
      <c r="M5761" s="1104"/>
      <c r="N5761" s="1105"/>
    </row>
    <row r="5762" spans="2:17">
      <c r="B5762" s="1106"/>
      <c r="C5762" s="1107"/>
      <c r="D5762" s="1107"/>
      <c r="E5762" s="1107"/>
      <c r="F5762" s="1107"/>
      <c r="G5762" s="1107"/>
      <c r="H5762" s="1107"/>
      <c r="I5762" s="1107"/>
      <c r="J5762" s="1107"/>
      <c r="K5762" s="1107"/>
      <c r="L5762" s="1107"/>
      <c r="M5762" s="1107"/>
      <c r="N5762" s="1108"/>
    </row>
    <row r="5763" spans="2:17" ht="13.5" thickBot="1">
      <c r="B5763" s="1109"/>
      <c r="C5763" s="1110"/>
      <c r="D5763" s="1110"/>
      <c r="E5763" s="1110"/>
      <c r="F5763" s="1110"/>
      <c r="G5763" s="1110"/>
      <c r="H5763" s="1110"/>
      <c r="I5763" s="1110"/>
      <c r="J5763" s="1110"/>
      <c r="K5763" s="1110"/>
      <c r="L5763" s="1110"/>
      <c r="M5763" s="1110"/>
      <c r="N5763" s="1111"/>
    </row>
    <row r="5764" spans="2:17">
      <c r="B5764" s="1130" t="s">
        <v>283</v>
      </c>
      <c r="C5764" s="1139"/>
      <c r="D5764" s="1139"/>
      <c r="E5764" s="1139"/>
      <c r="F5764" s="1139"/>
      <c r="G5764" s="1139"/>
      <c r="H5764" s="1139"/>
      <c r="I5764" s="288" t="s">
        <v>284</v>
      </c>
      <c r="J5764" s="314" t="s">
        <v>285</v>
      </c>
      <c r="K5764" s="315" t="s">
        <v>286</v>
      </c>
      <c r="L5764" s="1140" t="s">
        <v>264</v>
      </c>
      <c r="M5764" s="1141"/>
      <c r="N5764" s="316" t="s">
        <v>265</v>
      </c>
    </row>
    <row r="5765" spans="2:17" ht="13.5" thickBot="1">
      <c r="B5765" s="317" t="s">
        <v>401</v>
      </c>
      <c r="C5765" s="318"/>
      <c r="D5765" s="318"/>
      <c r="E5765" s="318"/>
      <c r="F5765" s="318"/>
      <c r="G5765" s="318"/>
      <c r="H5765" s="318"/>
      <c r="I5765" s="319">
        <v>31851</v>
      </c>
      <c r="J5765" s="321">
        <v>23888</v>
      </c>
      <c r="K5765" s="321">
        <f>+I5765+J5765</f>
        <v>55739</v>
      </c>
      <c r="L5765" s="1157">
        <v>20</v>
      </c>
      <c r="M5765" s="1158"/>
      <c r="N5765" s="322">
        <f>+K5765/L5765</f>
        <v>2786.95</v>
      </c>
    </row>
    <row r="5766" spans="2:17" ht="13.5" thickBot="1">
      <c r="B5766" s="1100" t="s">
        <v>269</v>
      </c>
      <c r="C5766" s="1101"/>
      <c r="D5766" s="1101"/>
      <c r="E5766" s="1101"/>
      <c r="F5766" s="1101"/>
      <c r="G5766" s="1101"/>
      <c r="H5766" s="1101"/>
      <c r="I5766" s="1101"/>
      <c r="J5766" s="1101"/>
      <c r="K5766" s="1101"/>
      <c r="L5766" s="1101"/>
      <c r="M5766" s="1102"/>
      <c r="N5766" s="322">
        <f>+N5765</f>
        <v>2786.95</v>
      </c>
    </row>
    <row r="5767" spans="2:17" ht="13.5" thickBot="1">
      <c r="B5767" s="324" t="s">
        <v>288</v>
      </c>
      <c r="C5767" s="325"/>
      <c r="D5767" s="325"/>
      <c r="E5767" s="325"/>
      <c r="F5767" s="325"/>
      <c r="G5767" s="325"/>
      <c r="H5767" s="325"/>
      <c r="I5767" s="326"/>
      <c r="J5767" s="327"/>
      <c r="K5767" s="328"/>
      <c r="L5767" s="329"/>
      <c r="M5767" s="329"/>
      <c r="N5767" s="330"/>
    </row>
    <row r="5768" spans="2:17">
      <c r="B5768" s="1130" t="s">
        <v>17</v>
      </c>
      <c r="C5768" s="1139"/>
      <c r="D5768" s="1139"/>
      <c r="E5768" s="1139"/>
      <c r="F5768" s="1139"/>
      <c r="G5768" s="1139"/>
      <c r="H5768" s="1139"/>
      <c r="I5768" s="1136"/>
      <c r="J5768" s="299" t="s">
        <v>259</v>
      </c>
      <c r="K5768" s="288" t="s">
        <v>133</v>
      </c>
      <c r="L5768" s="1133" t="s">
        <v>271</v>
      </c>
      <c r="M5768" s="1136"/>
      <c r="N5768" s="316" t="s">
        <v>265</v>
      </c>
    </row>
    <row r="5769" spans="2:17" ht="13.5" thickBot="1">
      <c r="B5769" s="331" t="s">
        <v>289</v>
      </c>
      <c r="C5769" s="332"/>
      <c r="D5769" s="332"/>
      <c r="E5769" s="332"/>
      <c r="F5769" s="332"/>
      <c r="G5769" s="332"/>
      <c r="H5769" s="332"/>
      <c r="I5769" s="333"/>
      <c r="J5769" s="334" t="s">
        <v>290</v>
      </c>
      <c r="K5769" s="335">
        <v>0.05</v>
      </c>
      <c r="L5769" s="1144">
        <f>+N5766</f>
        <v>2786.95</v>
      </c>
      <c r="M5769" s="1145"/>
      <c r="N5769" s="322">
        <f>+K5769*L5769</f>
        <v>139.3475</v>
      </c>
    </row>
    <row r="5770" spans="2:17" ht="13.5" thickBot="1">
      <c r="B5770" s="1100" t="s">
        <v>269</v>
      </c>
      <c r="C5770" s="1101"/>
      <c r="D5770" s="1101"/>
      <c r="E5770" s="1101"/>
      <c r="F5770" s="1101"/>
      <c r="G5770" s="1101"/>
      <c r="H5770" s="1101"/>
      <c r="I5770" s="1101"/>
      <c r="J5770" s="1101"/>
      <c r="K5770" s="1101"/>
      <c r="L5770" s="1101"/>
      <c r="M5770" s="1102"/>
      <c r="N5770" s="322">
        <f>+N5769</f>
        <v>139.3475</v>
      </c>
      <c r="P5770" s="408">
        <v>1989680</v>
      </c>
    </row>
    <row r="5771" spans="2:17" ht="13.5" thickBot="1">
      <c r="B5771" s="1100"/>
      <c r="C5771" s="1101"/>
      <c r="D5771" s="1101"/>
      <c r="E5771" s="1101"/>
      <c r="F5771" s="1101"/>
      <c r="G5771" s="1101"/>
      <c r="H5771" s="1101"/>
      <c r="I5771" s="1101"/>
      <c r="J5771" s="1101"/>
      <c r="K5771" s="1101"/>
      <c r="L5771" s="1101"/>
      <c r="M5771" s="1102"/>
      <c r="N5771" s="322"/>
    </row>
    <row r="5772" spans="2:17" ht="13.5" thickBot="1">
      <c r="B5772" s="1150" t="s">
        <v>291</v>
      </c>
      <c r="C5772" s="1151"/>
      <c r="D5772" s="1151"/>
      <c r="E5772" s="1151"/>
      <c r="F5772" s="1151"/>
      <c r="G5772" s="1151"/>
      <c r="H5772" s="1151"/>
      <c r="I5772" s="1151"/>
      <c r="J5772" s="1151"/>
      <c r="K5772" s="1151"/>
      <c r="L5772" s="1151"/>
      <c r="M5772" s="1152"/>
      <c r="N5772" s="336">
        <f>+N5748+N5754+N5760+N5766+N5770</f>
        <v>2926.2974999999997</v>
      </c>
      <c r="P5772" s="409">
        <f>+N5772*N5742</f>
        <v>1989882.2999999998</v>
      </c>
      <c r="Q5772" s="413">
        <f>+P5772-P5770</f>
        <v>202.29999999981374</v>
      </c>
    </row>
    <row r="5773" spans="2:17">
      <c r="B5773" s="1103" t="s">
        <v>292</v>
      </c>
      <c r="C5773" s="1104"/>
      <c r="D5773" s="1104"/>
      <c r="E5773" s="1104"/>
      <c r="F5773" s="1104"/>
      <c r="G5773" s="1104"/>
      <c r="H5773" s="1104"/>
      <c r="I5773" s="1104"/>
      <c r="J5773" s="1104"/>
      <c r="K5773" s="1104"/>
      <c r="L5773" s="1104"/>
      <c r="M5773" s="1104"/>
      <c r="N5773" s="1105"/>
    </row>
    <row r="5774" spans="2:17">
      <c r="B5774" s="1106"/>
      <c r="C5774" s="1107"/>
      <c r="D5774" s="1107"/>
      <c r="E5774" s="1107"/>
      <c r="F5774" s="1107"/>
      <c r="G5774" s="1107"/>
      <c r="H5774" s="1107"/>
      <c r="I5774" s="1107"/>
      <c r="J5774" s="1107"/>
      <c r="K5774" s="1107"/>
      <c r="L5774" s="1107"/>
      <c r="M5774" s="1107"/>
      <c r="N5774" s="1108"/>
    </row>
    <row r="5775" spans="2:17" ht="13.5" thickBot="1">
      <c r="B5775" s="1109"/>
      <c r="C5775" s="1110"/>
      <c r="D5775" s="1110"/>
      <c r="E5775" s="1110"/>
      <c r="F5775" s="1110"/>
      <c r="G5775" s="1110"/>
      <c r="H5775" s="1110"/>
      <c r="I5775" s="1110"/>
      <c r="J5775" s="1110"/>
      <c r="K5775" s="1110"/>
      <c r="L5775" s="1110"/>
      <c r="M5775" s="1110"/>
      <c r="N5775" s="1111"/>
    </row>
    <row r="5776" spans="2:17">
      <c r="B5776" s="1130" t="s">
        <v>17</v>
      </c>
      <c r="C5776" s="1139"/>
      <c r="D5776" s="1139"/>
      <c r="E5776" s="1139"/>
      <c r="F5776" s="1139"/>
      <c r="G5776" s="1139"/>
      <c r="H5776" s="1139"/>
      <c r="I5776" s="306"/>
      <c r="J5776" s="337"/>
      <c r="K5776" s="315" t="s">
        <v>79</v>
      </c>
      <c r="L5776" s="1140" t="s">
        <v>11</v>
      </c>
      <c r="M5776" s="1141"/>
      <c r="N5776" s="316"/>
    </row>
    <row r="5777" spans="2:14">
      <c r="B5777" s="1112" t="s">
        <v>232</v>
      </c>
      <c r="C5777" s="1113"/>
      <c r="D5777" s="1113"/>
      <c r="E5777" s="1113"/>
      <c r="F5777" s="1113"/>
      <c r="G5777" s="1113"/>
      <c r="H5777" s="1113"/>
      <c r="I5777" s="338"/>
      <c r="J5777" s="339"/>
      <c r="K5777" s="340">
        <f>'PRESUPUESTO OFICIAL'!$K$100</f>
        <v>0</v>
      </c>
      <c r="L5777" s="1146">
        <f>K5777*N5772</f>
        <v>0</v>
      </c>
      <c r="M5777" s="1147"/>
      <c r="N5777" s="341"/>
    </row>
    <row r="5778" spans="2:14">
      <c r="B5778" s="292" t="s">
        <v>293</v>
      </c>
      <c r="C5778" s="293"/>
      <c r="D5778" s="293"/>
      <c r="E5778" s="293"/>
      <c r="F5778" s="293"/>
      <c r="G5778" s="293"/>
      <c r="H5778" s="293"/>
      <c r="I5778" s="338"/>
      <c r="J5778" s="339"/>
      <c r="K5778" s="340">
        <f>'PRESUPUESTO OFICIAL'!$K$101</f>
        <v>0</v>
      </c>
      <c r="L5778" s="1146">
        <f>K5778*N5772</f>
        <v>0</v>
      </c>
      <c r="M5778" s="1147"/>
      <c r="N5778" s="341"/>
    </row>
    <row r="5779" spans="2:14" ht="13.5" thickBot="1">
      <c r="B5779" s="277" t="s">
        <v>294</v>
      </c>
      <c r="C5779" s="278"/>
      <c r="D5779" s="278"/>
      <c r="E5779" s="278"/>
      <c r="F5779" s="278"/>
      <c r="G5779" s="278"/>
      <c r="H5779" s="278"/>
      <c r="I5779" s="342"/>
      <c r="J5779" s="343"/>
      <c r="K5779" s="340">
        <f>'PRESUPUESTO OFICIAL'!$K$102</f>
        <v>0</v>
      </c>
      <c r="L5779" s="1148">
        <f>K5779*N5772</f>
        <v>0</v>
      </c>
      <c r="M5779" s="1149"/>
      <c r="N5779" s="341"/>
    </row>
    <row r="5780" spans="2:14" ht="13.5" thickBot="1">
      <c r="B5780" s="1100" t="s">
        <v>269</v>
      </c>
      <c r="C5780" s="1101"/>
      <c r="D5780" s="1101"/>
      <c r="E5780" s="1101"/>
      <c r="F5780" s="1101"/>
      <c r="G5780" s="1101"/>
      <c r="H5780" s="1101"/>
      <c r="I5780" s="1101"/>
      <c r="J5780" s="1101"/>
      <c r="K5780" s="1101"/>
      <c r="L5780" s="1101"/>
      <c r="M5780" s="1102"/>
      <c r="N5780" s="344">
        <f>SUM(L5777:M5779)</f>
        <v>0</v>
      </c>
    </row>
    <row r="5781" spans="2:14" ht="13.5" thickBot="1">
      <c r="B5781" s="283"/>
      <c r="N5781" s="284"/>
    </row>
    <row r="5782" spans="2:14" ht="13.5" thickBot="1">
      <c r="B5782" s="1150" t="s">
        <v>295</v>
      </c>
      <c r="C5782" s="1151"/>
      <c r="D5782" s="1151"/>
      <c r="E5782" s="1151"/>
      <c r="F5782" s="1151"/>
      <c r="G5782" s="1151"/>
      <c r="H5782" s="1151"/>
      <c r="I5782" s="1151"/>
      <c r="J5782" s="1151"/>
      <c r="K5782" s="1151"/>
      <c r="L5782" s="1151"/>
      <c r="M5782" s="1152"/>
      <c r="N5782" s="345">
        <f>ROUND(N5772+N5780,0)</f>
        <v>2926</v>
      </c>
    </row>
    <row r="5783" spans="2:14">
      <c r="B5783" s="280"/>
      <c r="C5783" s="281"/>
      <c r="D5783" s="281"/>
      <c r="E5783" s="281"/>
      <c r="F5783" s="281"/>
      <c r="G5783" s="281"/>
      <c r="H5783" s="281"/>
      <c r="I5783" s="281"/>
      <c r="J5783" s="281"/>
      <c r="K5783" s="281"/>
      <c r="L5783" s="281"/>
      <c r="M5783" s="281"/>
      <c r="N5783" s="282"/>
    </row>
    <row r="5784" spans="2:14">
      <c r="B5784" s="283"/>
      <c r="N5784" s="284"/>
    </row>
    <row r="5785" spans="2:14">
      <c r="B5785" s="283"/>
      <c r="N5785" s="284"/>
    </row>
    <row r="5786" spans="2:14">
      <c r="B5786" s="283"/>
      <c r="G5786" s="346" t="s">
        <v>296</v>
      </c>
      <c r="H5786" s="346"/>
      <c r="I5786" s="346"/>
      <c r="J5786" s="346"/>
      <c r="N5786" s="284"/>
    </row>
    <row r="5787" spans="2:14">
      <c r="B5787" s="347"/>
      <c r="C5787" s="348"/>
      <c r="D5787" s="348"/>
      <c r="E5787" s="348"/>
      <c r="F5787" s="348"/>
      <c r="G5787" s="346" t="s">
        <v>297</v>
      </c>
      <c r="H5787" s="348"/>
      <c r="I5787" s="348"/>
      <c r="J5787" s="348"/>
      <c r="K5787" s="348"/>
      <c r="L5787" s="348"/>
      <c r="M5787" s="348"/>
      <c r="N5787" s="349"/>
    </row>
    <row r="5788" spans="2:14">
      <c r="B5788" s="347"/>
      <c r="C5788" s="348"/>
      <c r="D5788" s="348"/>
      <c r="E5788" s="348"/>
      <c r="F5788" s="348"/>
      <c r="G5788" s="346" t="s">
        <v>298</v>
      </c>
      <c r="J5788" s="348"/>
      <c r="K5788" s="348"/>
      <c r="L5788" s="348"/>
      <c r="M5788" s="348"/>
      <c r="N5788" s="349"/>
    </row>
    <row r="5789" spans="2:14">
      <c r="B5789" s="268"/>
      <c r="C5789" s="350"/>
      <c r="D5789" s="350"/>
      <c r="E5789" s="350"/>
      <c r="F5789" s="350"/>
      <c r="G5789" s="346" t="s">
        <v>299</v>
      </c>
      <c r="H5789" s="350"/>
      <c r="I5789" s="350"/>
      <c r="J5789" s="350"/>
      <c r="K5789" s="350"/>
      <c r="L5789" s="350"/>
      <c r="M5789" s="350"/>
      <c r="N5789" s="351"/>
    </row>
    <row r="5790" spans="2:14">
      <c r="B5790" s="283"/>
      <c r="G5790" s="258" t="s">
        <v>300</v>
      </c>
      <c r="N5790" s="284"/>
    </row>
    <row r="5791" spans="2:14">
      <c r="B5791" s="352" t="s">
        <v>301</v>
      </c>
      <c r="C5791" s="353"/>
      <c r="D5791" s="353"/>
      <c r="E5791" s="353"/>
      <c r="F5791" s="353"/>
      <c r="G5791" s="353"/>
      <c r="H5791" s="353"/>
      <c r="I5791" s="353"/>
      <c r="J5791" s="353"/>
      <c r="K5791" s="353"/>
      <c r="L5791" s="353"/>
      <c r="M5791" s="353"/>
      <c r="N5791" s="354"/>
    </row>
    <row r="5792" spans="2:14">
      <c r="B5792" s="1153"/>
      <c r="C5792" s="1154"/>
      <c r="D5792" s="1154"/>
      <c r="E5792" s="1154"/>
      <c r="F5792" s="1154"/>
      <c r="G5792" s="1154"/>
      <c r="H5792" s="1154"/>
      <c r="I5792" s="1154"/>
      <c r="J5792" s="1154"/>
      <c r="K5792" s="1154"/>
      <c r="L5792" s="1154"/>
      <c r="M5792" s="1154"/>
      <c r="N5792" s="1155"/>
    </row>
    <row r="5793" spans="2:14">
      <c r="B5793" s="1153"/>
      <c r="C5793" s="1154"/>
      <c r="D5793" s="1154"/>
      <c r="E5793" s="1154"/>
      <c r="F5793" s="1154"/>
      <c r="G5793" s="1154"/>
      <c r="H5793" s="1154"/>
      <c r="I5793" s="1154"/>
      <c r="J5793" s="1154"/>
      <c r="K5793" s="1154"/>
      <c r="L5793" s="1154"/>
      <c r="M5793" s="1154"/>
      <c r="N5793" s="1155"/>
    </row>
    <row r="5794" spans="2:14">
      <c r="B5794" s="268"/>
      <c r="C5794" s="350"/>
      <c r="D5794" s="350"/>
      <c r="E5794" s="350"/>
      <c r="F5794" s="350"/>
      <c r="G5794" s="350"/>
      <c r="H5794" s="350"/>
      <c r="I5794" s="350"/>
      <c r="J5794" s="350"/>
      <c r="K5794" s="350"/>
      <c r="L5794" s="350"/>
      <c r="M5794" s="350"/>
      <c r="N5794" s="351"/>
    </row>
    <row r="5795" spans="2:14">
      <c r="B5795" s="355" t="s">
        <v>302</v>
      </c>
      <c r="C5795" s="350"/>
      <c r="D5795" s="350"/>
      <c r="E5795" s="350"/>
      <c r="F5795" s="350"/>
      <c r="G5795" s="350"/>
      <c r="H5795" s="350"/>
      <c r="I5795" s="350"/>
      <c r="J5795" s="350"/>
      <c r="K5795" s="350"/>
      <c r="L5795" s="350"/>
      <c r="M5795" s="350"/>
      <c r="N5795" s="351"/>
    </row>
    <row r="5796" spans="2:14">
      <c r="B5796" s="1159" t="s">
        <v>303</v>
      </c>
      <c r="C5796" s="1160"/>
      <c r="D5796" s="1160"/>
      <c r="E5796" s="1160"/>
      <c r="F5796" s="1160"/>
      <c r="G5796" s="1160"/>
      <c r="H5796" s="1160"/>
      <c r="I5796" s="1160"/>
      <c r="J5796" s="1160"/>
      <c r="K5796" s="1160"/>
      <c r="L5796" s="1160"/>
      <c r="M5796" s="1160"/>
      <c r="N5796" s="1161"/>
    </row>
    <row r="5797" spans="2:14">
      <c r="B5797" s="1159"/>
      <c r="C5797" s="1160"/>
      <c r="D5797" s="1160"/>
      <c r="E5797" s="1160"/>
      <c r="F5797" s="1160"/>
      <c r="G5797" s="1160"/>
      <c r="H5797" s="1160"/>
      <c r="I5797" s="1160"/>
      <c r="J5797" s="1160"/>
      <c r="K5797" s="1160"/>
      <c r="L5797" s="1160"/>
      <c r="M5797" s="1160"/>
      <c r="N5797" s="1161"/>
    </row>
    <row r="5798" spans="2:14">
      <c r="B5798" s="1159" t="s">
        <v>304</v>
      </c>
      <c r="C5798" s="1160"/>
      <c r="D5798" s="1160"/>
      <c r="E5798" s="1160"/>
      <c r="F5798" s="1160"/>
      <c r="G5798" s="1160"/>
      <c r="H5798" s="1160"/>
      <c r="I5798" s="1160"/>
      <c r="J5798" s="1160"/>
      <c r="K5798" s="1160"/>
      <c r="L5798" s="1160"/>
      <c r="M5798" s="1160"/>
      <c r="N5798" s="1161"/>
    </row>
    <row r="5799" spans="2:14">
      <c r="B5799" s="1159"/>
      <c r="C5799" s="1160"/>
      <c r="D5799" s="1160"/>
      <c r="E5799" s="1160"/>
      <c r="F5799" s="1160"/>
      <c r="G5799" s="1160"/>
      <c r="H5799" s="1160"/>
      <c r="I5799" s="1160"/>
      <c r="J5799" s="1160"/>
      <c r="K5799" s="1160"/>
      <c r="L5799" s="1160"/>
      <c r="M5799" s="1160"/>
      <c r="N5799" s="1161"/>
    </row>
    <row r="5800" spans="2:14">
      <c r="B5800" s="268"/>
      <c r="C5800" s="350"/>
      <c r="D5800" s="350"/>
      <c r="E5800" s="350"/>
      <c r="F5800" s="350"/>
      <c r="G5800" s="350"/>
      <c r="H5800" s="350"/>
      <c r="I5800" s="350"/>
      <c r="J5800" s="350"/>
      <c r="K5800" s="350"/>
      <c r="L5800" s="350"/>
      <c r="M5800" s="350"/>
      <c r="N5800" s="351"/>
    </row>
    <row r="5801" spans="2:14">
      <c r="B5801" s="283"/>
      <c r="G5801" s="346" t="s">
        <v>296</v>
      </c>
      <c r="N5801" s="284"/>
    </row>
    <row r="5802" spans="2:14">
      <c r="B5802" s="283"/>
      <c r="G5802" s="258" t="s">
        <v>305</v>
      </c>
      <c r="H5802" s="293"/>
      <c r="I5802" s="293"/>
      <c r="J5802" s="293"/>
      <c r="N5802" s="284"/>
    </row>
    <row r="5803" spans="2:14">
      <c r="B5803" s="283"/>
      <c r="G5803" s="258" t="s">
        <v>306</v>
      </c>
      <c r="H5803" s="325"/>
      <c r="I5803" s="325"/>
      <c r="J5803" s="325"/>
      <c r="N5803" s="284"/>
    </row>
    <row r="5804" spans="2:14">
      <c r="B5804" s="356"/>
      <c r="C5804" s="350"/>
      <c r="D5804" s="350"/>
      <c r="E5804" s="350"/>
      <c r="F5804" s="350"/>
      <c r="G5804" s="258" t="s">
        <v>299</v>
      </c>
      <c r="K5804" s="350"/>
      <c r="L5804" s="350"/>
      <c r="M5804" s="350"/>
      <c r="N5804" s="351"/>
    </row>
    <row r="5805" spans="2:14">
      <c r="B5805" s="357"/>
      <c r="C5805" s="358"/>
      <c r="D5805" s="358"/>
      <c r="J5805" s="1162"/>
      <c r="K5805" s="1162"/>
      <c r="L5805" s="1162"/>
      <c r="M5805" s="1162"/>
      <c r="N5805" s="1163"/>
    </row>
    <row r="5806" spans="2:14" ht="13.5" thickBot="1">
      <c r="B5806" s="1166"/>
      <c r="C5806" s="1167"/>
      <c r="D5806" s="1167"/>
      <c r="E5806" s="311"/>
      <c r="F5806" s="311"/>
      <c r="G5806" s="311"/>
      <c r="H5806" s="311"/>
      <c r="I5806" s="311"/>
      <c r="J5806" s="1164"/>
      <c r="K5806" s="1164"/>
      <c r="L5806" s="1164"/>
      <c r="M5806" s="1164"/>
      <c r="N5806" s="1165"/>
    </row>
    <row r="5807" spans="2:14" ht="13.5" thickBot="1"/>
    <row r="5808" spans="2:14">
      <c r="B5808" s="1070"/>
      <c r="C5808" s="1072"/>
      <c r="D5808" s="1073"/>
      <c r="E5808" s="1073"/>
      <c r="F5808" s="1073"/>
      <c r="G5808" s="1073"/>
      <c r="H5808" s="1073"/>
      <c r="I5808" s="1073"/>
      <c r="J5808" s="1074"/>
      <c r="K5808" s="1075"/>
      <c r="L5808" s="1076"/>
      <c r="M5808" s="1076"/>
      <c r="N5808" s="1077"/>
    </row>
    <row r="5809" spans="2:14">
      <c r="B5809" s="1071"/>
      <c r="C5809" s="1062" t="s">
        <v>244</v>
      </c>
      <c r="D5809" s="1063"/>
      <c r="E5809" s="1063"/>
      <c r="F5809" s="1063"/>
      <c r="G5809" s="1063"/>
      <c r="H5809" s="1063"/>
      <c r="I5809" s="1063"/>
      <c r="J5809" s="1064"/>
      <c r="K5809" s="1078"/>
      <c r="L5809" s="1079"/>
      <c r="M5809" s="1079"/>
      <c r="N5809" s="1080"/>
    </row>
    <row r="5810" spans="2:14">
      <c r="B5810" s="1071"/>
      <c r="C5810" s="1081"/>
      <c r="D5810" s="1082"/>
      <c r="E5810" s="1082"/>
      <c r="F5810" s="1082"/>
      <c r="G5810" s="1082"/>
      <c r="H5810" s="1082"/>
      <c r="I5810" s="1082"/>
      <c r="J5810" s="1083"/>
      <c r="K5810" s="1058" t="s">
        <v>245</v>
      </c>
      <c r="L5810" s="1085"/>
      <c r="M5810" s="1086"/>
      <c r="N5810" s="1087"/>
    </row>
    <row r="5811" spans="2:14">
      <c r="B5811" s="1071"/>
      <c r="C5811" s="1062" t="s">
        <v>246</v>
      </c>
      <c r="D5811" s="1063"/>
      <c r="E5811" s="1063"/>
      <c r="F5811" s="1063"/>
      <c r="G5811" s="1063"/>
      <c r="H5811" s="1063"/>
      <c r="I5811" s="1063"/>
      <c r="J5811" s="1064"/>
      <c r="K5811" s="1084"/>
      <c r="L5811" s="1088"/>
      <c r="M5811" s="1089"/>
      <c r="N5811" s="1090"/>
    </row>
    <row r="5812" spans="2:14">
      <c r="B5812" s="1071"/>
      <c r="C5812" s="1091"/>
      <c r="D5812" s="1092"/>
      <c r="E5812" s="1092"/>
      <c r="F5812" s="1092"/>
      <c r="G5812" s="1092"/>
      <c r="H5812" s="1092"/>
      <c r="I5812" s="1092"/>
      <c r="J5812" s="1093"/>
      <c r="K5812" s="1058" t="s">
        <v>247</v>
      </c>
      <c r="L5812" s="1058">
        <v>66</v>
      </c>
      <c r="M5812" s="1058" t="s">
        <v>248</v>
      </c>
      <c r="N5812" s="1060">
        <v>80</v>
      </c>
    </row>
    <row r="5813" spans="2:14">
      <c r="B5813" s="1071"/>
      <c r="C5813" s="1091"/>
      <c r="D5813" s="1092"/>
      <c r="E5813" s="1092"/>
      <c r="F5813" s="1092"/>
      <c r="G5813" s="1092"/>
      <c r="H5813" s="1092"/>
      <c r="I5813" s="1092"/>
      <c r="J5813" s="1093"/>
      <c r="K5813" s="1059"/>
      <c r="L5813" s="1059"/>
      <c r="M5813" s="1059"/>
      <c r="N5813" s="1061"/>
    </row>
    <row r="5814" spans="2:14">
      <c r="B5814" s="1071"/>
      <c r="C5814" s="1062" t="s">
        <v>249</v>
      </c>
      <c r="D5814" s="1063"/>
      <c r="E5814" s="1063"/>
      <c r="F5814" s="1063"/>
      <c r="G5814" s="1063"/>
      <c r="H5814" s="1063"/>
      <c r="I5814" s="1063"/>
      <c r="J5814" s="1064"/>
      <c r="K5814" s="1059"/>
      <c r="L5814" s="1059"/>
      <c r="M5814" s="1059"/>
      <c r="N5814" s="1061"/>
    </row>
    <row r="5815" spans="2:14" ht="13.5" thickBot="1">
      <c r="B5815" s="259"/>
      <c r="C5815" s="260"/>
      <c r="D5815" s="260"/>
      <c r="E5815" s="260"/>
      <c r="F5815" s="260"/>
      <c r="G5815" s="260"/>
      <c r="H5815" s="260"/>
      <c r="I5815" s="260"/>
      <c r="J5815" s="260"/>
      <c r="K5815" s="260"/>
      <c r="L5815" s="261"/>
      <c r="M5815" s="261"/>
      <c r="N5815" s="262"/>
    </row>
    <row r="5816" spans="2:14">
      <c r="B5816" s="263"/>
      <c r="C5816" s="264"/>
      <c r="D5816" s="264"/>
      <c r="E5816" s="264"/>
      <c r="F5816" s="264"/>
      <c r="G5816" s="264"/>
      <c r="H5816" s="264"/>
      <c r="I5816" s="264"/>
      <c r="J5816" s="264"/>
      <c r="K5816" s="265" t="s">
        <v>250</v>
      </c>
      <c r="L5816" s="266" t="s">
        <v>251</v>
      </c>
      <c r="M5816" s="266" t="s">
        <v>252</v>
      </c>
      <c r="N5816" s="267" t="s">
        <v>253</v>
      </c>
    </row>
    <row r="5817" spans="2:14">
      <c r="B5817" s="268"/>
      <c r="C5817" s="269"/>
      <c r="D5817" s="269"/>
      <c r="E5817" s="269"/>
      <c r="F5817" s="269"/>
      <c r="G5817" s="269"/>
      <c r="H5817" s="269"/>
      <c r="I5817" s="269"/>
      <c r="J5817" s="269"/>
      <c r="K5817" s="270"/>
      <c r="L5817" s="271"/>
      <c r="M5817" s="271"/>
      <c r="N5817" s="272"/>
    </row>
    <row r="5818" spans="2:14">
      <c r="B5818" s="1065" t="s">
        <v>254</v>
      </c>
      <c r="C5818" s="1066"/>
      <c r="D5818" s="1066"/>
      <c r="E5818" s="1066"/>
      <c r="F5818" s="269"/>
      <c r="G5818" s="269"/>
      <c r="H5818" s="269" t="s">
        <v>255</v>
      </c>
      <c r="J5818" s="269"/>
      <c r="K5818" s="270"/>
      <c r="N5818" s="273"/>
    </row>
    <row r="5819" spans="2:14">
      <c r="B5819" s="274"/>
      <c r="C5819" s="275"/>
      <c r="D5819" s="275"/>
      <c r="E5819" s="275"/>
      <c r="F5819" s="275"/>
      <c r="G5819" s="275"/>
      <c r="H5819" s="275"/>
      <c r="I5819" s="275"/>
      <c r="J5819" s="275"/>
      <c r="K5819" s="275"/>
      <c r="L5819" s="275"/>
      <c r="M5819" s="275"/>
      <c r="N5819" s="276"/>
    </row>
    <row r="5820" spans="2:14" ht="13.5" thickBot="1">
      <c r="B5820" s="277"/>
      <c r="C5820" s="278"/>
      <c r="D5820" s="278"/>
      <c r="E5820" s="278"/>
      <c r="F5820" s="278"/>
      <c r="G5820" s="278"/>
      <c r="H5820" s="278"/>
      <c r="I5820" s="278"/>
      <c r="J5820" s="278"/>
      <c r="K5820" s="278"/>
      <c r="L5820" s="278"/>
      <c r="M5820" s="278"/>
      <c r="N5820" s="279"/>
    </row>
    <row r="5821" spans="2:14" ht="13.5" thickBot="1">
      <c r="B5821" s="280"/>
      <c r="C5821" s="281"/>
      <c r="D5821" s="281"/>
      <c r="E5821" s="281"/>
      <c r="F5821" s="281"/>
      <c r="G5821" s="281"/>
      <c r="J5821" s="281"/>
      <c r="K5821" s="281"/>
      <c r="L5821" s="281"/>
      <c r="M5821" s="281"/>
      <c r="N5821" s="282"/>
    </row>
    <row r="5822" spans="2:14">
      <c r="B5822" s="1067" t="s">
        <v>256</v>
      </c>
      <c r="C5822" s="1068"/>
      <c r="D5822" s="1068"/>
      <c r="E5822" s="1068"/>
      <c r="F5822" s="1068"/>
      <c r="G5822" s="1068"/>
      <c r="H5822" s="1068"/>
      <c r="I5822" s="1068"/>
      <c r="J5822" s="1068"/>
      <c r="K5822" s="1068"/>
      <c r="L5822" s="1068"/>
      <c r="M5822" s="1068"/>
      <c r="N5822" s="1069"/>
    </row>
    <row r="5823" spans="2:14" ht="13.5" thickBot="1">
      <c r="B5823" s="283"/>
      <c r="N5823" s="284"/>
    </row>
    <row r="5824" spans="2:14">
      <c r="B5824" s="285" t="s">
        <v>257</v>
      </c>
      <c r="C5824" s="1120" t="s">
        <v>258</v>
      </c>
      <c r="D5824" s="1121"/>
      <c r="E5824" s="1121"/>
      <c r="F5824" s="1121"/>
      <c r="G5824" s="1121"/>
      <c r="H5824" s="1121"/>
      <c r="I5824" s="1121"/>
      <c r="J5824" s="1121"/>
      <c r="K5824" s="1122"/>
      <c r="L5824" s="1123" t="s">
        <v>259</v>
      </c>
      <c r="M5824" s="1124"/>
      <c r="N5824" s="285" t="s">
        <v>133</v>
      </c>
    </row>
    <row r="5825" spans="2:14" ht="13.5" thickBot="1">
      <c r="B5825" s="286">
        <v>66</v>
      </c>
      <c r="C5825" s="1125" t="s">
        <v>209</v>
      </c>
      <c r="D5825" s="1126"/>
      <c r="E5825" s="1126"/>
      <c r="F5825" s="1126"/>
      <c r="G5825" s="1126"/>
      <c r="H5825" s="1126"/>
      <c r="I5825" s="1126"/>
      <c r="J5825" s="1126"/>
      <c r="K5825" s="1127"/>
      <c r="L5825" s="1128" t="s">
        <v>147</v>
      </c>
      <c r="M5825" s="1129"/>
      <c r="N5825" s="366">
        <v>280</v>
      </c>
    </row>
    <row r="5826" spans="2:14">
      <c r="B5826" s="1103" t="s">
        <v>260</v>
      </c>
      <c r="C5826" s="1104"/>
      <c r="D5826" s="1104"/>
      <c r="E5826" s="1104"/>
      <c r="F5826" s="1104"/>
      <c r="G5826" s="1104"/>
      <c r="H5826" s="1104"/>
      <c r="I5826" s="1104"/>
      <c r="J5826" s="1104"/>
      <c r="K5826" s="1104"/>
      <c r="L5826" s="1104"/>
      <c r="M5826" s="1104"/>
      <c r="N5826" s="1105"/>
    </row>
    <row r="5827" spans="2:14">
      <c r="B5827" s="1106"/>
      <c r="C5827" s="1107"/>
      <c r="D5827" s="1107"/>
      <c r="E5827" s="1107"/>
      <c r="F5827" s="1107"/>
      <c r="G5827" s="1107"/>
      <c r="H5827" s="1107"/>
      <c r="I5827" s="1107"/>
      <c r="J5827" s="1107"/>
      <c r="K5827" s="1107"/>
      <c r="L5827" s="1107"/>
      <c r="M5827" s="1107"/>
      <c r="N5827" s="1108"/>
    </row>
    <row r="5828" spans="2:14" ht="13.5" thickBot="1">
      <c r="B5828" s="1109"/>
      <c r="C5828" s="1110"/>
      <c r="D5828" s="1110"/>
      <c r="E5828" s="1110"/>
      <c r="F5828" s="1110"/>
      <c r="G5828" s="1110"/>
      <c r="H5828" s="1110"/>
      <c r="I5828" s="1110"/>
      <c r="J5828" s="1110"/>
      <c r="K5828" s="1110"/>
      <c r="L5828" s="1110"/>
      <c r="M5828" s="1110"/>
      <c r="N5828" s="1111"/>
    </row>
    <row r="5829" spans="2:14">
      <c r="B5829" s="1130" t="s">
        <v>258</v>
      </c>
      <c r="C5829" s="1131"/>
      <c r="D5829" s="1131"/>
      <c r="E5829" s="1131"/>
      <c r="F5829" s="1132"/>
      <c r="G5829" s="1133" t="s">
        <v>261</v>
      </c>
      <c r="H5829" s="1131"/>
      <c r="I5829" s="1134" t="s">
        <v>262</v>
      </c>
      <c r="J5829" s="1135"/>
      <c r="K5829" s="288" t="s">
        <v>263</v>
      </c>
      <c r="L5829" s="1133" t="s">
        <v>264</v>
      </c>
      <c r="M5829" s="1136"/>
      <c r="N5829" s="289" t="s">
        <v>265</v>
      </c>
    </row>
    <row r="5830" spans="2:14" ht="13.5" thickBot="1">
      <c r="B5830" s="1179"/>
      <c r="C5830" s="1180"/>
      <c r="D5830" s="1180"/>
      <c r="E5830" s="1180"/>
      <c r="F5830" s="1181"/>
      <c r="G5830" s="295"/>
      <c r="H5830" s="294"/>
      <c r="I5830" s="1182"/>
      <c r="J5830" s="1183"/>
      <c r="K5830" s="290"/>
      <c r="L5830" s="1118"/>
      <c r="M5830" s="1119"/>
      <c r="N5830" s="290"/>
    </row>
    <row r="5831" spans="2:14" ht="13.5" thickBot="1">
      <c r="B5831" s="1100" t="s">
        <v>269</v>
      </c>
      <c r="C5831" s="1101"/>
      <c r="D5831" s="1101"/>
      <c r="E5831" s="1101"/>
      <c r="F5831" s="1101"/>
      <c r="G5831" s="1101"/>
      <c r="H5831" s="1101"/>
      <c r="I5831" s="1101"/>
      <c r="J5831" s="1101"/>
      <c r="K5831" s="1101"/>
      <c r="L5831" s="1101"/>
      <c r="M5831" s="1102"/>
      <c r="N5831" s="323">
        <f>+N5830</f>
        <v>0</v>
      </c>
    </row>
    <row r="5832" spans="2:14">
      <c r="B5832" s="1103" t="s">
        <v>270</v>
      </c>
      <c r="C5832" s="1104"/>
      <c r="D5832" s="1104"/>
      <c r="E5832" s="1104"/>
      <c r="F5832" s="1104"/>
      <c r="G5832" s="1104"/>
      <c r="H5832" s="1104"/>
      <c r="I5832" s="1104"/>
      <c r="J5832" s="1104"/>
      <c r="K5832" s="1104"/>
      <c r="L5832" s="1104"/>
      <c r="M5832" s="1104"/>
      <c r="N5832" s="1105"/>
    </row>
    <row r="5833" spans="2:14">
      <c r="B5833" s="1106"/>
      <c r="C5833" s="1107"/>
      <c r="D5833" s="1107"/>
      <c r="E5833" s="1107"/>
      <c r="F5833" s="1107"/>
      <c r="G5833" s="1107"/>
      <c r="H5833" s="1107"/>
      <c r="I5833" s="1107"/>
      <c r="J5833" s="1107"/>
      <c r="K5833" s="1107"/>
      <c r="L5833" s="1107"/>
      <c r="M5833" s="1107"/>
      <c r="N5833" s="1108"/>
    </row>
    <row r="5834" spans="2:14" ht="13.5" thickBot="1">
      <c r="B5834" s="1109"/>
      <c r="C5834" s="1110"/>
      <c r="D5834" s="1110"/>
      <c r="E5834" s="1110"/>
      <c r="F5834" s="1110"/>
      <c r="G5834" s="1110"/>
      <c r="H5834" s="1110"/>
      <c r="I5834" s="1110"/>
      <c r="J5834" s="1110"/>
      <c r="K5834" s="1110"/>
      <c r="L5834" s="1110"/>
      <c r="M5834" s="1110"/>
      <c r="N5834" s="1111"/>
    </row>
    <row r="5835" spans="2:14">
      <c r="B5835" s="1130" t="s">
        <v>258</v>
      </c>
      <c r="C5835" s="1139"/>
      <c r="D5835" s="1139"/>
      <c r="E5835" s="1139"/>
      <c r="F5835" s="1139"/>
      <c r="G5835" s="1139"/>
      <c r="H5835" s="1139"/>
      <c r="I5835" s="1136"/>
      <c r="J5835" s="299" t="s">
        <v>259</v>
      </c>
      <c r="K5835" s="288" t="s">
        <v>133</v>
      </c>
      <c r="L5835" s="1133" t="s">
        <v>271</v>
      </c>
      <c r="M5835" s="1136"/>
      <c r="N5835" s="289" t="s">
        <v>265</v>
      </c>
    </row>
    <row r="5836" spans="2:14" ht="13.5" thickBot="1">
      <c r="B5836" s="402" t="s">
        <v>397</v>
      </c>
      <c r="C5836" s="353"/>
      <c r="D5836" s="353"/>
      <c r="E5836" s="353"/>
      <c r="F5836" s="353"/>
      <c r="G5836" s="353"/>
      <c r="H5836" s="353"/>
      <c r="I5836" s="403"/>
      <c r="J5836" s="303"/>
      <c r="K5836" s="392"/>
      <c r="L5836" s="1144"/>
      <c r="M5836" s="1145"/>
      <c r="N5836" s="363"/>
    </row>
    <row r="5837" spans="2:14" ht="13.5" thickBot="1">
      <c r="B5837" s="1100" t="s">
        <v>269</v>
      </c>
      <c r="C5837" s="1101"/>
      <c r="D5837" s="1101"/>
      <c r="E5837" s="1101"/>
      <c r="F5837" s="1101"/>
      <c r="G5837" s="1101"/>
      <c r="H5837" s="1101"/>
      <c r="I5837" s="1101"/>
      <c r="J5837" s="1101"/>
      <c r="K5837" s="1101"/>
      <c r="L5837" s="1101"/>
      <c r="M5837" s="1102"/>
      <c r="N5837" s="323">
        <v>0</v>
      </c>
    </row>
    <row r="5838" spans="2:14">
      <c r="B5838" s="1103" t="s">
        <v>367</v>
      </c>
      <c r="C5838" s="1104"/>
      <c r="D5838" s="1104"/>
      <c r="E5838" s="1104"/>
      <c r="F5838" s="1104"/>
      <c r="G5838" s="1104"/>
      <c r="H5838" s="1104"/>
      <c r="I5838" s="1104"/>
      <c r="J5838" s="1104"/>
      <c r="K5838" s="1104"/>
      <c r="L5838" s="1104"/>
      <c r="M5838" s="1104"/>
      <c r="N5838" s="1105"/>
    </row>
    <row r="5839" spans="2:14">
      <c r="B5839" s="1106"/>
      <c r="C5839" s="1107"/>
      <c r="D5839" s="1107"/>
      <c r="E5839" s="1107"/>
      <c r="F5839" s="1107"/>
      <c r="G5839" s="1107"/>
      <c r="H5839" s="1107"/>
      <c r="I5839" s="1107"/>
      <c r="J5839" s="1107"/>
      <c r="K5839" s="1107"/>
      <c r="L5839" s="1107"/>
      <c r="M5839" s="1107"/>
      <c r="N5839" s="1108"/>
    </row>
    <row r="5840" spans="2:14" ht="13.5" thickBot="1">
      <c r="B5840" s="1109"/>
      <c r="C5840" s="1110"/>
      <c r="D5840" s="1110"/>
      <c r="E5840" s="1110"/>
      <c r="F5840" s="1110"/>
      <c r="G5840" s="1110"/>
      <c r="H5840" s="1110"/>
      <c r="I5840" s="1110"/>
      <c r="J5840" s="1110"/>
      <c r="K5840" s="1110"/>
      <c r="L5840" s="1110"/>
      <c r="M5840" s="1110"/>
      <c r="N5840" s="1111"/>
    </row>
    <row r="5841" spans="2:17">
      <c r="B5841" s="1130" t="s">
        <v>277</v>
      </c>
      <c r="C5841" s="1139"/>
      <c r="D5841" s="1139"/>
      <c r="E5841" s="1139"/>
      <c r="F5841" s="1139"/>
      <c r="G5841" s="1139"/>
      <c r="H5841" s="1139"/>
      <c r="I5841" s="288" t="s">
        <v>278</v>
      </c>
      <c r="J5841" s="306" t="s">
        <v>279</v>
      </c>
      <c r="K5841" s="307" t="s">
        <v>280</v>
      </c>
      <c r="L5841" s="1133" t="s">
        <v>281</v>
      </c>
      <c r="M5841" s="1136"/>
      <c r="N5841" s="289" t="s">
        <v>265</v>
      </c>
    </row>
    <row r="5842" spans="2:17" ht="13.5" thickBot="1">
      <c r="B5842" s="1112"/>
      <c r="C5842" s="1113"/>
      <c r="D5842" s="1113"/>
      <c r="E5842" s="1113"/>
      <c r="F5842" s="1113"/>
      <c r="G5842" s="1113"/>
      <c r="H5842" s="1113"/>
      <c r="I5842" s="393"/>
      <c r="J5842" s="309"/>
      <c r="K5842" s="308"/>
      <c r="L5842" s="1144"/>
      <c r="M5842" s="1145"/>
      <c r="N5842" s="363"/>
    </row>
    <row r="5843" spans="2:17" ht="13.5" thickBot="1">
      <c r="B5843" s="1100" t="s">
        <v>269</v>
      </c>
      <c r="C5843" s="1101"/>
      <c r="D5843" s="1101"/>
      <c r="E5843" s="1101"/>
      <c r="F5843" s="1101"/>
      <c r="G5843" s="1101"/>
      <c r="H5843" s="1101"/>
      <c r="I5843" s="1101"/>
      <c r="J5843" s="1101"/>
      <c r="K5843" s="1101"/>
      <c r="L5843" s="1101"/>
      <c r="M5843" s="1102"/>
      <c r="N5843" s="323">
        <f>+N5842</f>
        <v>0</v>
      </c>
    </row>
    <row r="5844" spans="2:17">
      <c r="B5844" s="1103" t="s">
        <v>282</v>
      </c>
      <c r="C5844" s="1104"/>
      <c r="D5844" s="1104"/>
      <c r="E5844" s="1104"/>
      <c r="F5844" s="1104"/>
      <c r="G5844" s="1104"/>
      <c r="H5844" s="1104"/>
      <c r="I5844" s="1104"/>
      <c r="J5844" s="1104"/>
      <c r="K5844" s="1104"/>
      <c r="L5844" s="1104"/>
      <c r="M5844" s="1104"/>
      <c r="N5844" s="1105"/>
    </row>
    <row r="5845" spans="2:17">
      <c r="B5845" s="1106"/>
      <c r="C5845" s="1107"/>
      <c r="D5845" s="1107"/>
      <c r="E5845" s="1107"/>
      <c r="F5845" s="1107"/>
      <c r="G5845" s="1107"/>
      <c r="H5845" s="1107"/>
      <c r="I5845" s="1107"/>
      <c r="J5845" s="1107"/>
      <c r="K5845" s="1107"/>
      <c r="L5845" s="1107"/>
      <c r="M5845" s="1107"/>
      <c r="N5845" s="1108"/>
    </row>
    <row r="5846" spans="2:17" ht="13.5" thickBot="1">
      <c r="B5846" s="1109"/>
      <c r="C5846" s="1110"/>
      <c r="D5846" s="1110"/>
      <c r="E5846" s="1110"/>
      <c r="F5846" s="1110"/>
      <c r="G5846" s="1110"/>
      <c r="H5846" s="1110"/>
      <c r="I5846" s="1110"/>
      <c r="J5846" s="1110"/>
      <c r="K5846" s="1110"/>
      <c r="L5846" s="1110"/>
      <c r="M5846" s="1110"/>
      <c r="N5846" s="1111"/>
    </row>
    <row r="5847" spans="2:17">
      <c r="B5847" s="1130" t="s">
        <v>283</v>
      </c>
      <c r="C5847" s="1139"/>
      <c r="D5847" s="1139"/>
      <c r="E5847" s="1139"/>
      <c r="F5847" s="1139"/>
      <c r="G5847" s="1139"/>
      <c r="H5847" s="1139"/>
      <c r="I5847" s="288" t="s">
        <v>284</v>
      </c>
      <c r="J5847" s="314" t="s">
        <v>285</v>
      </c>
      <c r="K5847" s="315" t="s">
        <v>286</v>
      </c>
      <c r="L5847" s="1140" t="s">
        <v>264</v>
      </c>
      <c r="M5847" s="1141"/>
      <c r="N5847" s="316" t="s">
        <v>265</v>
      </c>
    </row>
    <row r="5848" spans="2:17" ht="13.5" thickBot="1">
      <c r="B5848" s="317" t="s">
        <v>402</v>
      </c>
      <c r="C5848" s="318"/>
      <c r="D5848" s="318"/>
      <c r="E5848" s="318"/>
      <c r="F5848" s="318"/>
      <c r="G5848" s="318"/>
      <c r="H5848" s="318"/>
      <c r="I5848" s="319">
        <v>31851</v>
      </c>
      <c r="J5848" s="321">
        <v>23888</v>
      </c>
      <c r="K5848" s="321">
        <f>+I5848+J5848</f>
        <v>55739</v>
      </c>
      <c r="L5848" s="1157">
        <v>10</v>
      </c>
      <c r="M5848" s="1158"/>
      <c r="N5848" s="322">
        <f>+K5848/L5848</f>
        <v>5573.9</v>
      </c>
    </row>
    <row r="5849" spans="2:17" ht="13.5" thickBot="1">
      <c r="B5849" s="1100" t="s">
        <v>269</v>
      </c>
      <c r="C5849" s="1101"/>
      <c r="D5849" s="1101"/>
      <c r="E5849" s="1101"/>
      <c r="F5849" s="1101"/>
      <c r="G5849" s="1101"/>
      <c r="H5849" s="1101"/>
      <c r="I5849" s="1101"/>
      <c r="J5849" s="1101"/>
      <c r="K5849" s="1101"/>
      <c r="L5849" s="1101"/>
      <c r="M5849" s="1102"/>
      <c r="N5849" s="322">
        <f>+N5848</f>
        <v>5573.9</v>
      </c>
    </row>
    <row r="5850" spans="2:17" ht="13.5" thickBot="1">
      <c r="B5850" s="324" t="s">
        <v>288</v>
      </c>
      <c r="C5850" s="325"/>
      <c r="D5850" s="325"/>
      <c r="E5850" s="325"/>
      <c r="F5850" s="325"/>
      <c r="G5850" s="325"/>
      <c r="H5850" s="325"/>
      <c r="I5850" s="326"/>
      <c r="J5850" s="327"/>
      <c r="K5850" s="328"/>
      <c r="L5850" s="329"/>
      <c r="M5850" s="329"/>
      <c r="N5850" s="330"/>
    </row>
    <row r="5851" spans="2:17">
      <c r="B5851" s="1130" t="s">
        <v>17</v>
      </c>
      <c r="C5851" s="1139"/>
      <c r="D5851" s="1139"/>
      <c r="E5851" s="1139"/>
      <c r="F5851" s="1139"/>
      <c r="G5851" s="1139"/>
      <c r="H5851" s="1139"/>
      <c r="I5851" s="1136"/>
      <c r="J5851" s="299" t="s">
        <v>259</v>
      </c>
      <c r="K5851" s="288" t="s">
        <v>133</v>
      </c>
      <c r="L5851" s="1133" t="s">
        <v>271</v>
      </c>
      <c r="M5851" s="1136"/>
      <c r="N5851" s="316" t="s">
        <v>265</v>
      </c>
    </row>
    <row r="5852" spans="2:17" ht="13.5" thickBot="1">
      <c r="B5852" s="331" t="s">
        <v>289</v>
      </c>
      <c r="C5852" s="332"/>
      <c r="D5852" s="332"/>
      <c r="E5852" s="332"/>
      <c r="F5852" s="332"/>
      <c r="G5852" s="332"/>
      <c r="H5852" s="332"/>
      <c r="I5852" s="333"/>
      <c r="J5852" s="334" t="s">
        <v>290</v>
      </c>
      <c r="K5852" s="335">
        <v>0.05</v>
      </c>
      <c r="L5852" s="1144">
        <f>+N5849</f>
        <v>5573.9</v>
      </c>
      <c r="M5852" s="1145"/>
      <c r="N5852" s="322">
        <f>+K5852*L5852</f>
        <v>278.69499999999999</v>
      </c>
    </row>
    <row r="5853" spans="2:17" ht="13.5" thickBot="1">
      <c r="B5853" s="1100" t="s">
        <v>269</v>
      </c>
      <c r="C5853" s="1101"/>
      <c r="D5853" s="1101"/>
      <c r="E5853" s="1101"/>
      <c r="F5853" s="1101"/>
      <c r="G5853" s="1101"/>
      <c r="H5853" s="1101"/>
      <c r="I5853" s="1101"/>
      <c r="J5853" s="1101"/>
      <c r="K5853" s="1101"/>
      <c r="L5853" s="1101"/>
      <c r="M5853" s="1102"/>
      <c r="N5853" s="322">
        <f>+N5852</f>
        <v>278.69499999999999</v>
      </c>
      <c r="P5853" s="408">
        <v>1638840</v>
      </c>
    </row>
    <row r="5854" spans="2:17" ht="13.5" thickBot="1">
      <c r="B5854" s="1100"/>
      <c r="C5854" s="1101"/>
      <c r="D5854" s="1101"/>
      <c r="E5854" s="1101"/>
      <c r="F5854" s="1101"/>
      <c r="G5854" s="1101"/>
      <c r="H5854" s="1101"/>
      <c r="I5854" s="1101"/>
      <c r="J5854" s="1101"/>
      <c r="K5854" s="1101"/>
      <c r="L5854" s="1101"/>
      <c r="M5854" s="1102"/>
      <c r="N5854" s="322"/>
    </row>
    <row r="5855" spans="2:17" ht="13.5" thickBot="1">
      <c r="B5855" s="1150" t="s">
        <v>291</v>
      </c>
      <c r="C5855" s="1151"/>
      <c r="D5855" s="1151"/>
      <c r="E5855" s="1151"/>
      <c r="F5855" s="1151"/>
      <c r="G5855" s="1151"/>
      <c r="H5855" s="1151"/>
      <c r="I5855" s="1151"/>
      <c r="J5855" s="1151"/>
      <c r="K5855" s="1151"/>
      <c r="L5855" s="1151"/>
      <c r="M5855" s="1152"/>
      <c r="N5855" s="336">
        <f>+N5831+N5837+N5843+N5849+N5853</f>
        <v>5852.5949999999993</v>
      </c>
      <c r="P5855" s="409">
        <f>+N5855*N5825</f>
        <v>1638726.5999999999</v>
      </c>
      <c r="Q5855" s="413">
        <f>+P5855-P5853</f>
        <v>-113.4000000001397</v>
      </c>
    </row>
    <row r="5856" spans="2:17">
      <c r="B5856" s="1103" t="s">
        <v>292</v>
      </c>
      <c r="C5856" s="1104"/>
      <c r="D5856" s="1104"/>
      <c r="E5856" s="1104"/>
      <c r="F5856" s="1104"/>
      <c r="G5856" s="1104"/>
      <c r="H5856" s="1104"/>
      <c r="I5856" s="1104"/>
      <c r="J5856" s="1104"/>
      <c r="K5856" s="1104"/>
      <c r="L5856" s="1104"/>
      <c r="M5856" s="1104"/>
      <c r="N5856" s="1105"/>
    </row>
    <row r="5857" spans="2:14">
      <c r="B5857" s="1106"/>
      <c r="C5857" s="1107"/>
      <c r="D5857" s="1107"/>
      <c r="E5857" s="1107"/>
      <c r="F5857" s="1107"/>
      <c r="G5857" s="1107"/>
      <c r="H5857" s="1107"/>
      <c r="I5857" s="1107"/>
      <c r="J5857" s="1107"/>
      <c r="K5857" s="1107"/>
      <c r="L5857" s="1107"/>
      <c r="M5857" s="1107"/>
      <c r="N5857" s="1108"/>
    </row>
    <row r="5858" spans="2:14" ht="13.5" thickBot="1">
      <c r="B5858" s="1109"/>
      <c r="C5858" s="1110"/>
      <c r="D5858" s="1110"/>
      <c r="E5858" s="1110"/>
      <c r="F5858" s="1110"/>
      <c r="G5858" s="1110"/>
      <c r="H5858" s="1110"/>
      <c r="I5858" s="1110"/>
      <c r="J5858" s="1110"/>
      <c r="K5858" s="1110"/>
      <c r="L5858" s="1110"/>
      <c r="M5858" s="1110"/>
      <c r="N5858" s="1111"/>
    </row>
    <row r="5859" spans="2:14">
      <c r="B5859" s="1130" t="s">
        <v>17</v>
      </c>
      <c r="C5859" s="1139"/>
      <c r="D5859" s="1139"/>
      <c r="E5859" s="1139"/>
      <c r="F5859" s="1139"/>
      <c r="G5859" s="1139"/>
      <c r="H5859" s="1139"/>
      <c r="I5859" s="306"/>
      <c r="J5859" s="337"/>
      <c r="K5859" s="315" t="s">
        <v>79</v>
      </c>
      <c r="L5859" s="1140" t="s">
        <v>11</v>
      </c>
      <c r="M5859" s="1141"/>
      <c r="N5859" s="316"/>
    </row>
    <row r="5860" spans="2:14">
      <c r="B5860" s="1112" t="s">
        <v>232</v>
      </c>
      <c r="C5860" s="1113"/>
      <c r="D5860" s="1113"/>
      <c r="E5860" s="1113"/>
      <c r="F5860" s="1113"/>
      <c r="G5860" s="1113"/>
      <c r="H5860" s="1113"/>
      <c r="I5860" s="338"/>
      <c r="J5860" s="339"/>
      <c r="K5860" s="340">
        <f>'PRESUPUESTO OFICIAL'!$K$100</f>
        <v>0</v>
      </c>
      <c r="L5860" s="1146">
        <f>K5860*N5855</f>
        <v>0</v>
      </c>
      <c r="M5860" s="1147"/>
      <c r="N5860" s="341"/>
    </row>
    <row r="5861" spans="2:14">
      <c r="B5861" s="292" t="s">
        <v>293</v>
      </c>
      <c r="C5861" s="293"/>
      <c r="D5861" s="293"/>
      <c r="E5861" s="293"/>
      <c r="F5861" s="293"/>
      <c r="G5861" s="293"/>
      <c r="H5861" s="293"/>
      <c r="I5861" s="338"/>
      <c r="J5861" s="339"/>
      <c r="K5861" s="340">
        <f>'PRESUPUESTO OFICIAL'!$K$101</f>
        <v>0</v>
      </c>
      <c r="L5861" s="1146">
        <f>K5861*N5855</f>
        <v>0</v>
      </c>
      <c r="M5861" s="1147"/>
      <c r="N5861" s="341"/>
    </row>
    <row r="5862" spans="2:14" ht="13.5" thickBot="1">
      <c r="B5862" s="277" t="s">
        <v>294</v>
      </c>
      <c r="C5862" s="278"/>
      <c r="D5862" s="278"/>
      <c r="E5862" s="278"/>
      <c r="F5862" s="278"/>
      <c r="G5862" s="278"/>
      <c r="H5862" s="278"/>
      <c r="I5862" s="342"/>
      <c r="J5862" s="343"/>
      <c r="K5862" s="340">
        <f>'PRESUPUESTO OFICIAL'!$K$102</f>
        <v>0</v>
      </c>
      <c r="L5862" s="1148">
        <f>K5862*N5855</f>
        <v>0</v>
      </c>
      <c r="M5862" s="1149"/>
      <c r="N5862" s="341"/>
    </row>
    <row r="5863" spans="2:14" ht="13.5" thickBot="1">
      <c r="B5863" s="1100" t="s">
        <v>269</v>
      </c>
      <c r="C5863" s="1101"/>
      <c r="D5863" s="1101"/>
      <c r="E5863" s="1101"/>
      <c r="F5863" s="1101"/>
      <c r="G5863" s="1101"/>
      <c r="H5863" s="1101"/>
      <c r="I5863" s="1101"/>
      <c r="J5863" s="1101"/>
      <c r="K5863" s="1101"/>
      <c r="L5863" s="1101"/>
      <c r="M5863" s="1102"/>
      <c r="N5863" s="344">
        <f>SUM(L5860:M5862)</f>
        <v>0</v>
      </c>
    </row>
    <row r="5864" spans="2:14" ht="13.5" thickBot="1">
      <c r="B5864" s="283"/>
      <c r="N5864" s="284"/>
    </row>
    <row r="5865" spans="2:14" ht="13.5" thickBot="1">
      <c r="B5865" s="1150" t="s">
        <v>295</v>
      </c>
      <c r="C5865" s="1151"/>
      <c r="D5865" s="1151"/>
      <c r="E5865" s="1151"/>
      <c r="F5865" s="1151"/>
      <c r="G5865" s="1151"/>
      <c r="H5865" s="1151"/>
      <c r="I5865" s="1151"/>
      <c r="J5865" s="1151"/>
      <c r="K5865" s="1151"/>
      <c r="L5865" s="1151"/>
      <c r="M5865" s="1152"/>
      <c r="N5865" s="345">
        <f>ROUND(N5855+N5863,0)</f>
        <v>5853</v>
      </c>
    </row>
    <row r="5866" spans="2:14">
      <c r="B5866" s="280"/>
      <c r="C5866" s="281"/>
      <c r="D5866" s="281"/>
      <c r="E5866" s="281"/>
      <c r="F5866" s="281"/>
      <c r="G5866" s="281"/>
      <c r="H5866" s="281"/>
      <c r="I5866" s="281"/>
      <c r="J5866" s="281"/>
      <c r="K5866" s="281"/>
      <c r="L5866" s="281"/>
      <c r="M5866" s="281"/>
      <c r="N5866" s="282"/>
    </row>
    <row r="5867" spans="2:14">
      <c r="B5867" s="283"/>
      <c r="N5867" s="284"/>
    </row>
    <row r="5868" spans="2:14">
      <c r="B5868" s="283"/>
      <c r="N5868" s="284"/>
    </row>
    <row r="5869" spans="2:14">
      <c r="B5869" s="283"/>
      <c r="G5869" s="346" t="s">
        <v>296</v>
      </c>
      <c r="H5869" s="346"/>
      <c r="I5869" s="346"/>
      <c r="J5869" s="346"/>
      <c r="N5869" s="284"/>
    </row>
    <row r="5870" spans="2:14">
      <c r="B5870" s="347"/>
      <c r="C5870" s="348"/>
      <c r="D5870" s="348"/>
      <c r="E5870" s="348"/>
      <c r="F5870" s="348"/>
      <c r="G5870" s="346" t="s">
        <v>297</v>
      </c>
      <c r="H5870" s="348"/>
      <c r="I5870" s="348"/>
      <c r="J5870" s="348"/>
      <c r="K5870" s="348"/>
      <c r="L5870" s="348"/>
      <c r="M5870" s="348"/>
      <c r="N5870" s="349"/>
    </row>
    <row r="5871" spans="2:14">
      <c r="B5871" s="347"/>
      <c r="C5871" s="348"/>
      <c r="D5871" s="348"/>
      <c r="E5871" s="348"/>
      <c r="F5871" s="348"/>
      <c r="G5871" s="346" t="s">
        <v>298</v>
      </c>
      <c r="J5871" s="348"/>
      <c r="K5871" s="348"/>
      <c r="L5871" s="348"/>
      <c r="M5871" s="348"/>
      <c r="N5871" s="349"/>
    </row>
    <row r="5872" spans="2:14">
      <c r="B5872" s="268"/>
      <c r="C5872" s="350"/>
      <c r="D5872" s="350"/>
      <c r="E5872" s="350"/>
      <c r="F5872" s="350"/>
      <c r="G5872" s="346" t="s">
        <v>299</v>
      </c>
      <c r="H5872" s="350"/>
      <c r="I5872" s="350"/>
      <c r="J5872" s="350"/>
      <c r="K5872" s="350"/>
      <c r="L5872" s="350"/>
      <c r="M5872" s="350"/>
      <c r="N5872" s="351"/>
    </row>
    <row r="5873" spans="2:14">
      <c r="B5873" s="283"/>
      <c r="G5873" s="258" t="s">
        <v>300</v>
      </c>
      <c r="N5873" s="284"/>
    </row>
    <row r="5874" spans="2:14">
      <c r="B5874" s="352" t="s">
        <v>301</v>
      </c>
      <c r="C5874" s="353"/>
      <c r="D5874" s="353"/>
      <c r="E5874" s="353"/>
      <c r="F5874" s="353"/>
      <c r="G5874" s="353"/>
      <c r="H5874" s="353"/>
      <c r="I5874" s="353"/>
      <c r="J5874" s="353"/>
      <c r="K5874" s="353"/>
      <c r="L5874" s="353"/>
      <c r="M5874" s="353"/>
      <c r="N5874" s="354"/>
    </row>
    <row r="5875" spans="2:14">
      <c r="B5875" s="1153"/>
      <c r="C5875" s="1154"/>
      <c r="D5875" s="1154"/>
      <c r="E5875" s="1154"/>
      <c r="F5875" s="1154"/>
      <c r="G5875" s="1154"/>
      <c r="H5875" s="1154"/>
      <c r="I5875" s="1154"/>
      <c r="J5875" s="1154"/>
      <c r="K5875" s="1154"/>
      <c r="L5875" s="1154"/>
      <c r="M5875" s="1154"/>
      <c r="N5875" s="1155"/>
    </row>
    <row r="5876" spans="2:14">
      <c r="B5876" s="1153"/>
      <c r="C5876" s="1154"/>
      <c r="D5876" s="1154"/>
      <c r="E5876" s="1154"/>
      <c r="F5876" s="1154"/>
      <c r="G5876" s="1154"/>
      <c r="H5876" s="1154"/>
      <c r="I5876" s="1154"/>
      <c r="J5876" s="1154"/>
      <c r="K5876" s="1154"/>
      <c r="L5876" s="1154"/>
      <c r="M5876" s="1154"/>
      <c r="N5876" s="1155"/>
    </row>
    <row r="5877" spans="2:14">
      <c r="B5877" s="268"/>
      <c r="C5877" s="350"/>
      <c r="D5877" s="350"/>
      <c r="E5877" s="350"/>
      <c r="F5877" s="350"/>
      <c r="G5877" s="350"/>
      <c r="H5877" s="350"/>
      <c r="I5877" s="350"/>
      <c r="J5877" s="350"/>
      <c r="K5877" s="350"/>
      <c r="L5877" s="350"/>
      <c r="M5877" s="350"/>
      <c r="N5877" s="351"/>
    </row>
    <row r="5878" spans="2:14">
      <c r="B5878" s="355" t="s">
        <v>302</v>
      </c>
      <c r="C5878" s="350"/>
      <c r="D5878" s="350"/>
      <c r="E5878" s="350"/>
      <c r="F5878" s="350"/>
      <c r="G5878" s="350"/>
      <c r="H5878" s="350"/>
      <c r="I5878" s="350"/>
      <c r="J5878" s="350"/>
      <c r="K5878" s="350"/>
      <c r="L5878" s="350"/>
      <c r="M5878" s="350"/>
      <c r="N5878" s="351"/>
    </row>
    <row r="5879" spans="2:14">
      <c r="B5879" s="1159" t="s">
        <v>303</v>
      </c>
      <c r="C5879" s="1160"/>
      <c r="D5879" s="1160"/>
      <c r="E5879" s="1160"/>
      <c r="F5879" s="1160"/>
      <c r="G5879" s="1160"/>
      <c r="H5879" s="1160"/>
      <c r="I5879" s="1160"/>
      <c r="J5879" s="1160"/>
      <c r="K5879" s="1160"/>
      <c r="L5879" s="1160"/>
      <c r="M5879" s="1160"/>
      <c r="N5879" s="1161"/>
    </row>
    <row r="5880" spans="2:14">
      <c r="B5880" s="1159"/>
      <c r="C5880" s="1160"/>
      <c r="D5880" s="1160"/>
      <c r="E5880" s="1160"/>
      <c r="F5880" s="1160"/>
      <c r="G5880" s="1160"/>
      <c r="H5880" s="1160"/>
      <c r="I5880" s="1160"/>
      <c r="J5880" s="1160"/>
      <c r="K5880" s="1160"/>
      <c r="L5880" s="1160"/>
      <c r="M5880" s="1160"/>
      <c r="N5880" s="1161"/>
    </row>
    <row r="5881" spans="2:14">
      <c r="B5881" s="1159" t="s">
        <v>304</v>
      </c>
      <c r="C5881" s="1160"/>
      <c r="D5881" s="1160"/>
      <c r="E5881" s="1160"/>
      <c r="F5881" s="1160"/>
      <c r="G5881" s="1160"/>
      <c r="H5881" s="1160"/>
      <c r="I5881" s="1160"/>
      <c r="J5881" s="1160"/>
      <c r="K5881" s="1160"/>
      <c r="L5881" s="1160"/>
      <c r="M5881" s="1160"/>
      <c r="N5881" s="1161"/>
    </row>
    <row r="5882" spans="2:14">
      <c r="B5882" s="1159"/>
      <c r="C5882" s="1160"/>
      <c r="D5882" s="1160"/>
      <c r="E5882" s="1160"/>
      <c r="F5882" s="1160"/>
      <c r="G5882" s="1160"/>
      <c r="H5882" s="1160"/>
      <c r="I5882" s="1160"/>
      <c r="J5882" s="1160"/>
      <c r="K5882" s="1160"/>
      <c r="L5882" s="1160"/>
      <c r="M5882" s="1160"/>
      <c r="N5882" s="1161"/>
    </row>
    <row r="5883" spans="2:14">
      <c r="B5883" s="268"/>
      <c r="C5883" s="350"/>
      <c r="D5883" s="350"/>
      <c r="E5883" s="350"/>
      <c r="F5883" s="350"/>
      <c r="G5883" s="350"/>
      <c r="H5883" s="350"/>
      <c r="I5883" s="350"/>
      <c r="J5883" s="350"/>
      <c r="K5883" s="350"/>
      <c r="L5883" s="350"/>
      <c r="M5883" s="350"/>
      <c r="N5883" s="351"/>
    </row>
    <row r="5884" spans="2:14">
      <c r="B5884" s="283"/>
      <c r="G5884" s="346" t="s">
        <v>296</v>
      </c>
      <c r="N5884" s="284"/>
    </row>
    <row r="5885" spans="2:14">
      <c r="B5885" s="283"/>
      <c r="G5885" s="258" t="s">
        <v>305</v>
      </c>
      <c r="H5885" s="293"/>
      <c r="I5885" s="293"/>
      <c r="J5885" s="293"/>
      <c r="N5885" s="284"/>
    </row>
    <row r="5886" spans="2:14">
      <c r="B5886" s="283"/>
      <c r="G5886" s="258" t="s">
        <v>306</v>
      </c>
      <c r="H5886" s="325"/>
      <c r="I5886" s="325"/>
      <c r="J5886" s="325"/>
      <c r="N5886" s="284"/>
    </row>
    <row r="5887" spans="2:14">
      <c r="B5887" s="356"/>
      <c r="C5887" s="350"/>
      <c r="D5887" s="350"/>
      <c r="E5887" s="350"/>
      <c r="F5887" s="350"/>
      <c r="G5887" s="258" t="s">
        <v>299</v>
      </c>
      <c r="K5887" s="350"/>
      <c r="L5887" s="350"/>
      <c r="M5887" s="350"/>
      <c r="N5887" s="351"/>
    </row>
    <row r="5888" spans="2:14">
      <c r="B5888" s="357"/>
      <c r="C5888" s="358"/>
      <c r="D5888" s="358"/>
      <c r="J5888" s="1162"/>
      <c r="K5888" s="1162"/>
      <c r="L5888" s="1162"/>
      <c r="M5888" s="1162"/>
      <c r="N5888" s="1163"/>
    </row>
    <row r="5889" spans="2:14" ht="13.5" thickBot="1">
      <c r="B5889" s="1166"/>
      <c r="C5889" s="1167"/>
      <c r="D5889" s="1167"/>
      <c r="E5889" s="311"/>
      <c r="F5889" s="311"/>
      <c r="G5889" s="311"/>
      <c r="H5889" s="311"/>
      <c r="I5889" s="311"/>
      <c r="J5889" s="1164"/>
      <c r="K5889" s="1164"/>
      <c r="L5889" s="1164"/>
      <c r="M5889" s="1164"/>
      <c r="N5889" s="1165"/>
    </row>
    <row r="5890" spans="2:14" ht="13.5" thickBot="1"/>
    <row r="5891" spans="2:14">
      <c r="B5891" s="1070"/>
      <c r="C5891" s="1072"/>
      <c r="D5891" s="1073"/>
      <c r="E5891" s="1073"/>
      <c r="F5891" s="1073"/>
      <c r="G5891" s="1073"/>
      <c r="H5891" s="1073"/>
      <c r="I5891" s="1073"/>
      <c r="J5891" s="1074"/>
      <c r="K5891" s="1075"/>
      <c r="L5891" s="1076"/>
      <c r="M5891" s="1076"/>
      <c r="N5891" s="1077"/>
    </row>
    <row r="5892" spans="2:14">
      <c r="B5892" s="1071"/>
      <c r="C5892" s="1062" t="s">
        <v>244</v>
      </c>
      <c r="D5892" s="1063"/>
      <c r="E5892" s="1063"/>
      <c r="F5892" s="1063"/>
      <c r="G5892" s="1063"/>
      <c r="H5892" s="1063"/>
      <c r="I5892" s="1063"/>
      <c r="J5892" s="1064"/>
      <c r="K5892" s="1078"/>
      <c r="L5892" s="1079"/>
      <c r="M5892" s="1079"/>
      <c r="N5892" s="1080"/>
    </row>
    <row r="5893" spans="2:14">
      <c r="B5893" s="1071"/>
      <c r="C5893" s="1081"/>
      <c r="D5893" s="1082"/>
      <c r="E5893" s="1082"/>
      <c r="F5893" s="1082"/>
      <c r="G5893" s="1082"/>
      <c r="H5893" s="1082"/>
      <c r="I5893" s="1082"/>
      <c r="J5893" s="1083"/>
      <c r="K5893" s="1058" t="s">
        <v>245</v>
      </c>
      <c r="L5893" s="1085"/>
      <c r="M5893" s="1086"/>
      <c r="N5893" s="1087"/>
    </row>
    <row r="5894" spans="2:14">
      <c r="B5894" s="1071"/>
      <c r="C5894" s="1062" t="s">
        <v>246</v>
      </c>
      <c r="D5894" s="1063"/>
      <c r="E5894" s="1063"/>
      <c r="F5894" s="1063"/>
      <c r="G5894" s="1063"/>
      <c r="H5894" s="1063"/>
      <c r="I5894" s="1063"/>
      <c r="J5894" s="1064"/>
      <c r="K5894" s="1084"/>
      <c r="L5894" s="1088"/>
      <c r="M5894" s="1089"/>
      <c r="N5894" s="1090"/>
    </row>
    <row r="5895" spans="2:14">
      <c r="B5895" s="1071"/>
      <c r="C5895" s="1091"/>
      <c r="D5895" s="1092"/>
      <c r="E5895" s="1092"/>
      <c r="F5895" s="1092"/>
      <c r="G5895" s="1092"/>
      <c r="H5895" s="1092"/>
      <c r="I5895" s="1092"/>
      <c r="J5895" s="1093"/>
      <c r="K5895" s="1058" t="s">
        <v>247</v>
      </c>
      <c r="L5895" s="1058">
        <v>67</v>
      </c>
      <c r="M5895" s="1058" t="s">
        <v>248</v>
      </c>
      <c r="N5895" s="1060">
        <v>80</v>
      </c>
    </row>
    <row r="5896" spans="2:14">
      <c r="B5896" s="1071"/>
      <c r="C5896" s="1091"/>
      <c r="D5896" s="1092"/>
      <c r="E5896" s="1092"/>
      <c r="F5896" s="1092"/>
      <c r="G5896" s="1092"/>
      <c r="H5896" s="1092"/>
      <c r="I5896" s="1092"/>
      <c r="J5896" s="1093"/>
      <c r="K5896" s="1059"/>
      <c r="L5896" s="1059"/>
      <c r="M5896" s="1059"/>
      <c r="N5896" s="1061"/>
    </row>
    <row r="5897" spans="2:14">
      <c r="B5897" s="1071"/>
      <c r="C5897" s="1062" t="s">
        <v>249</v>
      </c>
      <c r="D5897" s="1063"/>
      <c r="E5897" s="1063"/>
      <c r="F5897" s="1063"/>
      <c r="G5897" s="1063"/>
      <c r="H5897" s="1063"/>
      <c r="I5897" s="1063"/>
      <c r="J5897" s="1064"/>
      <c r="K5897" s="1059"/>
      <c r="L5897" s="1059"/>
      <c r="M5897" s="1059"/>
      <c r="N5897" s="1061"/>
    </row>
    <row r="5898" spans="2:14" ht="13.5" thickBot="1">
      <c r="B5898" s="259"/>
      <c r="C5898" s="260"/>
      <c r="D5898" s="260"/>
      <c r="E5898" s="260"/>
      <c r="F5898" s="260"/>
      <c r="G5898" s="260"/>
      <c r="H5898" s="260"/>
      <c r="I5898" s="260"/>
      <c r="J5898" s="260"/>
      <c r="K5898" s="260"/>
      <c r="L5898" s="261"/>
      <c r="M5898" s="261"/>
      <c r="N5898" s="262"/>
    </row>
    <row r="5899" spans="2:14">
      <c r="B5899" s="263"/>
      <c r="C5899" s="264"/>
      <c r="D5899" s="264"/>
      <c r="E5899" s="264"/>
      <c r="F5899" s="264"/>
      <c r="G5899" s="264"/>
      <c r="H5899" s="264"/>
      <c r="I5899" s="264"/>
      <c r="J5899" s="264"/>
      <c r="K5899" s="265" t="s">
        <v>250</v>
      </c>
      <c r="L5899" s="266" t="s">
        <v>251</v>
      </c>
      <c r="M5899" s="266" t="s">
        <v>252</v>
      </c>
      <c r="N5899" s="267" t="s">
        <v>253</v>
      </c>
    </row>
    <row r="5900" spans="2:14">
      <c r="B5900" s="268"/>
      <c r="C5900" s="269"/>
      <c r="D5900" s="269"/>
      <c r="E5900" s="269"/>
      <c r="F5900" s="269"/>
      <c r="G5900" s="269"/>
      <c r="H5900" s="269"/>
      <c r="I5900" s="269"/>
      <c r="J5900" s="269"/>
      <c r="K5900" s="270"/>
      <c r="L5900" s="271"/>
      <c r="M5900" s="271"/>
      <c r="N5900" s="272"/>
    </row>
    <row r="5901" spans="2:14">
      <c r="B5901" s="1065" t="s">
        <v>254</v>
      </c>
      <c r="C5901" s="1066"/>
      <c r="D5901" s="1066"/>
      <c r="E5901" s="1066"/>
      <c r="F5901" s="269"/>
      <c r="G5901" s="269"/>
      <c r="H5901" s="269" t="s">
        <v>255</v>
      </c>
      <c r="J5901" s="269"/>
      <c r="K5901" s="270"/>
      <c r="N5901" s="273"/>
    </row>
    <row r="5902" spans="2:14">
      <c r="B5902" s="274"/>
      <c r="C5902" s="275"/>
      <c r="D5902" s="275"/>
      <c r="E5902" s="275"/>
      <c r="F5902" s="275"/>
      <c r="G5902" s="275"/>
      <c r="H5902" s="275"/>
      <c r="I5902" s="275"/>
      <c r="J5902" s="275"/>
      <c r="K5902" s="275"/>
      <c r="L5902" s="275"/>
      <c r="M5902" s="275"/>
      <c r="N5902" s="276"/>
    </row>
    <row r="5903" spans="2:14" ht="13.5" thickBot="1">
      <c r="B5903" s="277"/>
      <c r="C5903" s="278"/>
      <c r="D5903" s="278"/>
      <c r="E5903" s="278"/>
      <c r="F5903" s="278"/>
      <c r="G5903" s="278"/>
      <c r="H5903" s="278"/>
      <c r="I5903" s="278"/>
      <c r="J5903" s="278"/>
      <c r="K5903" s="278"/>
      <c r="L5903" s="278"/>
      <c r="M5903" s="278"/>
      <c r="N5903" s="279"/>
    </row>
    <row r="5904" spans="2:14" ht="13.5" thickBot="1">
      <c r="B5904" s="280"/>
      <c r="C5904" s="281"/>
      <c r="D5904" s="281"/>
      <c r="E5904" s="281"/>
      <c r="F5904" s="281"/>
      <c r="G5904" s="281"/>
      <c r="J5904" s="281"/>
      <c r="K5904" s="281"/>
      <c r="L5904" s="281"/>
      <c r="M5904" s="281"/>
      <c r="N5904" s="282"/>
    </row>
    <row r="5905" spans="2:14">
      <c r="B5905" s="1067" t="s">
        <v>256</v>
      </c>
      <c r="C5905" s="1068"/>
      <c r="D5905" s="1068"/>
      <c r="E5905" s="1068"/>
      <c r="F5905" s="1068"/>
      <c r="G5905" s="1068"/>
      <c r="H5905" s="1068"/>
      <c r="I5905" s="1068"/>
      <c r="J5905" s="1068"/>
      <c r="K5905" s="1068"/>
      <c r="L5905" s="1068"/>
      <c r="M5905" s="1068"/>
      <c r="N5905" s="1069"/>
    </row>
    <row r="5906" spans="2:14" ht="13.5" thickBot="1">
      <c r="B5906" s="283"/>
      <c r="N5906" s="284"/>
    </row>
    <row r="5907" spans="2:14">
      <c r="B5907" s="285" t="s">
        <v>257</v>
      </c>
      <c r="C5907" s="1120" t="s">
        <v>258</v>
      </c>
      <c r="D5907" s="1121"/>
      <c r="E5907" s="1121"/>
      <c r="F5907" s="1121"/>
      <c r="G5907" s="1121"/>
      <c r="H5907" s="1121"/>
      <c r="I5907" s="1121"/>
      <c r="J5907" s="1121"/>
      <c r="K5907" s="1122"/>
      <c r="L5907" s="1123" t="s">
        <v>259</v>
      </c>
      <c r="M5907" s="1124"/>
      <c r="N5907" s="285" t="s">
        <v>133</v>
      </c>
    </row>
    <row r="5908" spans="2:14" ht="13.5" thickBot="1">
      <c r="B5908" s="286">
        <v>67</v>
      </c>
      <c r="C5908" s="1125" t="s">
        <v>210</v>
      </c>
      <c r="D5908" s="1126"/>
      <c r="E5908" s="1126"/>
      <c r="F5908" s="1126"/>
      <c r="G5908" s="1126"/>
      <c r="H5908" s="1126"/>
      <c r="I5908" s="1126"/>
      <c r="J5908" s="1126"/>
      <c r="K5908" s="1127"/>
      <c r="L5908" s="1128" t="s">
        <v>147</v>
      </c>
      <c r="M5908" s="1129"/>
      <c r="N5908" s="366">
        <v>280</v>
      </c>
    </row>
    <row r="5909" spans="2:14">
      <c r="B5909" s="1103" t="s">
        <v>260</v>
      </c>
      <c r="C5909" s="1104"/>
      <c r="D5909" s="1104"/>
      <c r="E5909" s="1104"/>
      <c r="F5909" s="1104"/>
      <c r="G5909" s="1104"/>
      <c r="H5909" s="1104"/>
      <c r="I5909" s="1104"/>
      <c r="J5909" s="1104"/>
      <c r="K5909" s="1104"/>
      <c r="L5909" s="1104"/>
      <c r="M5909" s="1104"/>
      <c r="N5909" s="1105"/>
    </row>
    <row r="5910" spans="2:14">
      <c r="B5910" s="1106"/>
      <c r="C5910" s="1107"/>
      <c r="D5910" s="1107"/>
      <c r="E5910" s="1107"/>
      <c r="F5910" s="1107"/>
      <c r="G5910" s="1107"/>
      <c r="H5910" s="1107"/>
      <c r="I5910" s="1107"/>
      <c r="J5910" s="1107"/>
      <c r="K5910" s="1107"/>
      <c r="L5910" s="1107"/>
      <c r="M5910" s="1107"/>
      <c r="N5910" s="1108"/>
    </row>
    <row r="5911" spans="2:14" ht="13.5" thickBot="1">
      <c r="B5911" s="1109"/>
      <c r="C5911" s="1110"/>
      <c r="D5911" s="1110"/>
      <c r="E5911" s="1110"/>
      <c r="F5911" s="1110"/>
      <c r="G5911" s="1110"/>
      <c r="H5911" s="1110"/>
      <c r="I5911" s="1110"/>
      <c r="J5911" s="1110"/>
      <c r="K5911" s="1110"/>
      <c r="L5911" s="1110"/>
      <c r="M5911" s="1110"/>
      <c r="N5911" s="1111"/>
    </row>
    <row r="5912" spans="2:14">
      <c r="B5912" s="1130" t="s">
        <v>258</v>
      </c>
      <c r="C5912" s="1131"/>
      <c r="D5912" s="1131"/>
      <c r="E5912" s="1131"/>
      <c r="F5912" s="1132"/>
      <c r="G5912" s="1133" t="s">
        <v>261</v>
      </c>
      <c r="H5912" s="1131"/>
      <c r="I5912" s="1134" t="s">
        <v>262</v>
      </c>
      <c r="J5912" s="1135"/>
      <c r="K5912" s="288" t="s">
        <v>263</v>
      </c>
      <c r="L5912" s="1133" t="s">
        <v>264</v>
      </c>
      <c r="M5912" s="1136"/>
      <c r="N5912" s="289" t="s">
        <v>265</v>
      </c>
    </row>
    <row r="5913" spans="2:14" ht="13.5" thickBot="1">
      <c r="B5913" s="1179"/>
      <c r="C5913" s="1180"/>
      <c r="D5913" s="1180"/>
      <c r="E5913" s="1180"/>
      <c r="F5913" s="1181"/>
      <c r="G5913" s="295"/>
      <c r="H5913" s="294"/>
      <c r="I5913" s="1182"/>
      <c r="J5913" s="1183"/>
      <c r="K5913" s="290"/>
      <c r="L5913" s="1118"/>
      <c r="M5913" s="1119"/>
      <c r="N5913" s="290"/>
    </row>
    <row r="5914" spans="2:14" ht="13.5" thickBot="1">
      <c r="B5914" s="1100" t="s">
        <v>269</v>
      </c>
      <c r="C5914" s="1101"/>
      <c r="D5914" s="1101"/>
      <c r="E5914" s="1101"/>
      <c r="F5914" s="1101"/>
      <c r="G5914" s="1101"/>
      <c r="H5914" s="1101"/>
      <c r="I5914" s="1101"/>
      <c r="J5914" s="1101"/>
      <c r="K5914" s="1101"/>
      <c r="L5914" s="1101"/>
      <c r="M5914" s="1102"/>
      <c r="N5914" s="323">
        <f>+N5913</f>
        <v>0</v>
      </c>
    </row>
    <row r="5915" spans="2:14">
      <c r="B5915" s="1103" t="s">
        <v>270</v>
      </c>
      <c r="C5915" s="1104"/>
      <c r="D5915" s="1104"/>
      <c r="E5915" s="1104"/>
      <c r="F5915" s="1104"/>
      <c r="G5915" s="1104"/>
      <c r="H5915" s="1104"/>
      <c r="I5915" s="1104"/>
      <c r="J5915" s="1104"/>
      <c r="K5915" s="1104"/>
      <c r="L5915" s="1104"/>
      <c r="M5915" s="1104"/>
      <c r="N5915" s="1105"/>
    </row>
    <row r="5916" spans="2:14">
      <c r="B5916" s="1106"/>
      <c r="C5916" s="1107"/>
      <c r="D5916" s="1107"/>
      <c r="E5916" s="1107"/>
      <c r="F5916" s="1107"/>
      <c r="G5916" s="1107"/>
      <c r="H5916" s="1107"/>
      <c r="I5916" s="1107"/>
      <c r="J5916" s="1107"/>
      <c r="K5916" s="1107"/>
      <c r="L5916" s="1107"/>
      <c r="M5916" s="1107"/>
      <c r="N5916" s="1108"/>
    </row>
    <row r="5917" spans="2:14" ht="13.5" thickBot="1">
      <c r="B5917" s="1109"/>
      <c r="C5917" s="1110"/>
      <c r="D5917" s="1110"/>
      <c r="E5917" s="1110"/>
      <c r="F5917" s="1110"/>
      <c r="G5917" s="1110"/>
      <c r="H5917" s="1110"/>
      <c r="I5917" s="1110"/>
      <c r="J5917" s="1110"/>
      <c r="K5917" s="1110"/>
      <c r="L5917" s="1110"/>
      <c r="M5917" s="1110"/>
      <c r="N5917" s="1111"/>
    </row>
    <row r="5918" spans="2:14">
      <c r="B5918" s="1130" t="s">
        <v>258</v>
      </c>
      <c r="C5918" s="1139"/>
      <c r="D5918" s="1139"/>
      <c r="E5918" s="1139"/>
      <c r="F5918" s="1139"/>
      <c r="G5918" s="1139"/>
      <c r="H5918" s="1139"/>
      <c r="I5918" s="1136"/>
      <c r="J5918" s="299" t="s">
        <v>259</v>
      </c>
      <c r="K5918" s="288" t="s">
        <v>133</v>
      </c>
      <c r="L5918" s="1133" t="s">
        <v>271</v>
      </c>
      <c r="M5918" s="1136"/>
      <c r="N5918" s="289" t="s">
        <v>265</v>
      </c>
    </row>
    <row r="5919" spans="2:14" ht="13.5" thickBot="1">
      <c r="B5919" s="402"/>
      <c r="C5919" s="353"/>
      <c r="D5919" s="353"/>
      <c r="E5919" s="353"/>
      <c r="F5919" s="353"/>
      <c r="G5919" s="353"/>
      <c r="H5919" s="353"/>
      <c r="I5919" s="403"/>
      <c r="J5919" s="303"/>
      <c r="K5919" s="392"/>
      <c r="L5919" s="1144"/>
      <c r="M5919" s="1145"/>
      <c r="N5919" s="363"/>
    </row>
    <row r="5920" spans="2:14" ht="13.5" thickBot="1">
      <c r="B5920" s="1100" t="s">
        <v>269</v>
      </c>
      <c r="C5920" s="1101"/>
      <c r="D5920" s="1101"/>
      <c r="E5920" s="1101"/>
      <c r="F5920" s="1101"/>
      <c r="G5920" s="1101"/>
      <c r="H5920" s="1101"/>
      <c r="I5920" s="1101"/>
      <c r="J5920" s="1101"/>
      <c r="K5920" s="1101"/>
      <c r="L5920" s="1101"/>
      <c r="M5920" s="1102"/>
      <c r="N5920" s="323">
        <v>0</v>
      </c>
    </row>
    <row r="5921" spans="2:16">
      <c r="B5921" s="1103" t="s">
        <v>367</v>
      </c>
      <c r="C5921" s="1104"/>
      <c r="D5921" s="1104"/>
      <c r="E5921" s="1104"/>
      <c r="F5921" s="1104"/>
      <c r="G5921" s="1104"/>
      <c r="H5921" s="1104"/>
      <c r="I5921" s="1104"/>
      <c r="J5921" s="1104"/>
      <c r="K5921" s="1104"/>
      <c r="L5921" s="1104"/>
      <c r="M5921" s="1104"/>
      <c r="N5921" s="1105"/>
    </row>
    <row r="5922" spans="2:16">
      <c r="B5922" s="1106"/>
      <c r="C5922" s="1107"/>
      <c r="D5922" s="1107"/>
      <c r="E5922" s="1107"/>
      <c r="F5922" s="1107"/>
      <c r="G5922" s="1107"/>
      <c r="H5922" s="1107"/>
      <c r="I5922" s="1107"/>
      <c r="J5922" s="1107"/>
      <c r="K5922" s="1107"/>
      <c r="L5922" s="1107"/>
      <c r="M5922" s="1107"/>
      <c r="N5922" s="1108"/>
    </row>
    <row r="5923" spans="2:16" ht="13.5" thickBot="1">
      <c r="B5923" s="1109"/>
      <c r="C5923" s="1110"/>
      <c r="D5923" s="1110"/>
      <c r="E5923" s="1110"/>
      <c r="F5923" s="1110"/>
      <c r="G5923" s="1110"/>
      <c r="H5923" s="1110"/>
      <c r="I5923" s="1110"/>
      <c r="J5923" s="1110"/>
      <c r="K5923" s="1110"/>
      <c r="L5923" s="1110"/>
      <c r="M5923" s="1110"/>
      <c r="N5923" s="1111"/>
    </row>
    <row r="5924" spans="2:16">
      <c r="B5924" s="1130" t="s">
        <v>277</v>
      </c>
      <c r="C5924" s="1139"/>
      <c r="D5924" s="1139"/>
      <c r="E5924" s="1139"/>
      <c r="F5924" s="1139"/>
      <c r="G5924" s="1139"/>
      <c r="H5924" s="1139"/>
      <c r="I5924" s="288" t="s">
        <v>278</v>
      </c>
      <c r="J5924" s="306" t="s">
        <v>279</v>
      </c>
      <c r="K5924" s="307" t="s">
        <v>280</v>
      </c>
      <c r="L5924" s="1133" t="s">
        <v>281</v>
      </c>
      <c r="M5924" s="1136"/>
      <c r="N5924" s="289" t="s">
        <v>265</v>
      </c>
    </row>
    <row r="5925" spans="2:16" ht="13.5" thickBot="1">
      <c r="B5925" s="1112"/>
      <c r="C5925" s="1113"/>
      <c r="D5925" s="1113"/>
      <c r="E5925" s="1113"/>
      <c r="F5925" s="1113"/>
      <c r="G5925" s="1113"/>
      <c r="H5925" s="1113"/>
      <c r="I5925" s="393"/>
      <c r="J5925" s="309"/>
      <c r="K5925" s="308"/>
      <c r="L5925" s="1144"/>
      <c r="M5925" s="1145"/>
      <c r="N5925" s="363"/>
    </row>
    <row r="5926" spans="2:16" ht="13.5" thickBot="1">
      <c r="B5926" s="1100" t="s">
        <v>269</v>
      </c>
      <c r="C5926" s="1101"/>
      <c r="D5926" s="1101"/>
      <c r="E5926" s="1101"/>
      <c r="F5926" s="1101"/>
      <c r="G5926" s="1101"/>
      <c r="H5926" s="1101"/>
      <c r="I5926" s="1101"/>
      <c r="J5926" s="1101"/>
      <c r="K5926" s="1101"/>
      <c r="L5926" s="1101"/>
      <c r="M5926" s="1102"/>
      <c r="N5926" s="323">
        <f>+N5925</f>
        <v>0</v>
      </c>
    </row>
    <row r="5927" spans="2:16">
      <c r="B5927" s="1103" t="s">
        <v>282</v>
      </c>
      <c r="C5927" s="1104"/>
      <c r="D5927" s="1104"/>
      <c r="E5927" s="1104"/>
      <c r="F5927" s="1104"/>
      <c r="G5927" s="1104"/>
      <c r="H5927" s="1104"/>
      <c r="I5927" s="1104"/>
      <c r="J5927" s="1104"/>
      <c r="K5927" s="1104"/>
      <c r="L5927" s="1104"/>
      <c r="M5927" s="1104"/>
      <c r="N5927" s="1105"/>
    </row>
    <row r="5928" spans="2:16">
      <c r="B5928" s="1106"/>
      <c r="C5928" s="1107"/>
      <c r="D5928" s="1107"/>
      <c r="E5928" s="1107"/>
      <c r="F5928" s="1107"/>
      <c r="G5928" s="1107"/>
      <c r="H5928" s="1107"/>
      <c r="I5928" s="1107"/>
      <c r="J5928" s="1107"/>
      <c r="K5928" s="1107"/>
      <c r="L5928" s="1107"/>
      <c r="M5928" s="1107"/>
      <c r="N5928" s="1108"/>
    </row>
    <row r="5929" spans="2:16" ht="13.5" thickBot="1">
      <c r="B5929" s="1109"/>
      <c r="C5929" s="1110"/>
      <c r="D5929" s="1110"/>
      <c r="E5929" s="1110"/>
      <c r="F5929" s="1110"/>
      <c r="G5929" s="1110"/>
      <c r="H5929" s="1110"/>
      <c r="I5929" s="1110"/>
      <c r="J5929" s="1110"/>
      <c r="K5929" s="1110"/>
      <c r="L5929" s="1110"/>
      <c r="M5929" s="1110"/>
      <c r="N5929" s="1111"/>
    </row>
    <row r="5930" spans="2:16">
      <c r="B5930" s="1130" t="s">
        <v>283</v>
      </c>
      <c r="C5930" s="1139"/>
      <c r="D5930" s="1139"/>
      <c r="E5930" s="1139"/>
      <c r="F5930" s="1139"/>
      <c r="G5930" s="1139"/>
      <c r="H5930" s="1139"/>
      <c r="I5930" s="288" t="s">
        <v>284</v>
      </c>
      <c r="J5930" s="314" t="s">
        <v>285</v>
      </c>
      <c r="K5930" s="315" t="s">
        <v>286</v>
      </c>
      <c r="L5930" s="1140" t="s">
        <v>264</v>
      </c>
      <c r="M5930" s="1141"/>
      <c r="N5930" s="316" t="s">
        <v>265</v>
      </c>
    </row>
    <row r="5931" spans="2:16" ht="13.5" thickBot="1">
      <c r="B5931" s="317" t="s">
        <v>402</v>
      </c>
      <c r="C5931" s="318"/>
      <c r="D5931" s="318"/>
      <c r="E5931" s="318"/>
      <c r="F5931" s="318"/>
      <c r="G5931" s="318"/>
      <c r="H5931" s="318"/>
      <c r="I5931" s="319">
        <v>31851</v>
      </c>
      <c r="J5931" s="321">
        <v>23888</v>
      </c>
      <c r="K5931" s="321">
        <f>+I5931+J5931</f>
        <v>55739</v>
      </c>
      <c r="L5931" s="1157">
        <v>5.9999880000000001</v>
      </c>
      <c r="M5931" s="1158"/>
      <c r="N5931" s="322">
        <f>+K5931/L5931</f>
        <v>9289.8519130371587</v>
      </c>
    </row>
    <row r="5932" spans="2:16" ht="13.5" thickBot="1">
      <c r="B5932" s="1100" t="s">
        <v>269</v>
      </c>
      <c r="C5932" s="1101"/>
      <c r="D5932" s="1101"/>
      <c r="E5932" s="1101"/>
      <c r="F5932" s="1101"/>
      <c r="G5932" s="1101"/>
      <c r="H5932" s="1101"/>
      <c r="I5932" s="1101"/>
      <c r="J5932" s="1101"/>
      <c r="K5932" s="1101"/>
      <c r="L5932" s="1101"/>
      <c r="M5932" s="1102"/>
      <c r="N5932" s="322">
        <f>+N5931</f>
        <v>9289.8519130371587</v>
      </c>
    </row>
    <row r="5933" spans="2:16" ht="13.5" thickBot="1">
      <c r="B5933" s="324" t="s">
        <v>288</v>
      </c>
      <c r="C5933" s="325"/>
      <c r="D5933" s="325"/>
      <c r="E5933" s="325"/>
      <c r="F5933" s="325"/>
      <c r="G5933" s="325"/>
      <c r="H5933" s="325"/>
      <c r="I5933" s="326"/>
      <c r="J5933" s="327"/>
      <c r="K5933" s="328"/>
      <c r="L5933" s="329"/>
      <c r="M5933" s="329"/>
      <c r="N5933" s="330"/>
    </row>
    <row r="5934" spans="2:16">
      <c r="B5934" s="1130" t="s">
        <v>17</v>
      </c>
      <c r="C5934" s="1139"/>
      <c r="D5934" s="1139"/>
      <c r="E5934" s="1139"/>
      <c r="F5934" s="1139"/>
      <c r="G5934" s="1139"/>
      <c r="H5934" s="1139"/>
      <c r="I5934" s="1136"/>
      <c r="J5934" s="299" t="s">
        <v>259</v>
      </c>
      <c r="K5934" s="288" t="s">
        <v>133</v>
      </c>
      <c r="L5934" s="1133" t="s">
        <v>271</v>
      </c>
      <c r="M5934" s="1136"/>
      <c r="N5934" s="316" t="s">
        <v>265</v>
      </c>
    </row>
    <row r="5935" spans="2:16" ht="13.5" thickBot="1">
      <c r="B5935" s="331" t="s">
        <v>289</v>
      </c>
      <c r="C5935" s="332"/>
      <c r="D5935" s="332"/>
      <c r="E5935" s="332"/>
      <c r="F5935" s="332"/>
      <c r="G5935" s="332"/>
      <c r="H5935" s="332"/>
      <c r="I5935" s="333"/>
      <c r="J5935" s="334" t="s">
        <v>290</v>
      </c>
      <c r="K5935" s="335">
        <v>0.05</v>
      </c>
      <c r="L5935" s="1144">
        <f>+N5932</f>
        <v>9289.8519130371587</v>
      </c>
      <c r="M5935" s="1145"/>
      <c r="N5935" s="322">
        <f>+K5935*L5935</f>
        <v>464.49259565185798</v>
      </c>
    </row>
    <row r="5936" spans="2:16" ht="13.5" thickBot="1">
      <c r="B5936" s="1100" t="s">
        <v>269</v>
      </c>
      <c r="C5936" s="1101"/>
      <c r="D5936" s="1101"/>
      <c r="E5936" s="1101"/>
      <c r="F5936" s="1101"/>
      <c r="G5936" s="1101"/>
      <c r="H5936" s="1101"/>
      <c r="I5936" s="1101"/>
      <c r="J5936" s="1101"/>
      <c r="K5936" s="1101"/>
      <c r="L5936" s="1101"/>
      <c r="M5936" s="1102"/>
      <c r="N5936" s="322">
        <f>+N5935</f>
        <v>464.49259565185798</v>
      </c>
      <c r="P5936" s="408">
        <v>2731400</v>
      </c>
    </row>
    <row r="5937" spans="2:17" ht="13.5" thickBot="1">
      <c r="B5937" s="1100"/>
      <c r="C5937" s="1101"/>
      <c r="D5937" s="1101"/>
      <c r="E5937" s="1101"/>
      <c r="F5937" s="1101"/>
      <c r="G5937" s="1101"/>
      <c r="H5937" s="1101"/>
      <c r="I5937" s="1101"/>
      <c r="J5937" s="1101"/>
      <c r="K5937" s="1101"/>
      <c r="L5937" s="1101"/>
      <c r="M5937" s="1102"/>
      <c r="N5937" s="322"/>
    </row>
    <row r="5938" spans="2:17" ht="13.5" thickBot="1">
      <c r="B5938" s="1150" t="s">
        <v>291</v>
      </c>
      <c r="C5938" s="1151"/>
      <c r="D5938" s="1151"/>
      <c r="E5938" s="1151"/>
      <c r="F5938" s="1151"/>
      <c r="G5938" s="1151"/>
      <c r="H5938" s="1151"/>
      <c r="I5938" s="1151"/>
      <c r="J5938" s="1151"/>
      <c r="K5938" s="1151"/>
      <c r="L5938" s="1151"/>
      <c r="M5938" s="1152"/>
      <c r="N5938" s="336">
        <f>+N5914+N5920+N5926+N5932+N5936</f>
        <v>9754.3445086890169</v>
      </c>
      <c r="P5938" s="409">
        <f>+N5938*N5908</f>
        <v>2731216.4624329247</v>
      </c>
      <c r="Q5938" s="413">
        <f>+P5938-P5936</f>
        <v>-183.53756707534194</v>
      </c>
    </row>
    <row r="5939" spans="2:17">
      <c r="B5939" s="1103" t="s">
        <v>292</v>
      </c>
      <c r="C5939" s="1104"/>
      <c r="D5939" s="1104"/>
      <c r="E5939" s="1104"/>
      <c r="F5939" s="1104"/>
      <c r="G5939" s="1104"/>
      <c r="H5939" s="1104"/>
      <c r="I5939" s="1104"/>
      <c r="J5939" s="1104"/>
      <c r="K5939" s="1104"/>
      <c r="L5939" s="1104"/>
      <c r="M5939" s="1104"/>
      <c r="N5939" s="1105"/>
    </row>
    <row r="5940" spans="2:17">
      <c r="B5940" s="1106"/>
      <c r="C5940" s="1107"/>
      <c r="D5940" s="1107"/>
      <c r="E5940" s="1107"/>
      <c r="F5940" s="1107"/>
      <c r="G5940" s="1107"/>
      <c r="H5940" s="1107"/>
      <c r="I5940" s="1107"/>
      <c r="J5940" s="1107"/>
      <c r="K5940" s="1107"/>
      <c r="L5940" s="1107"/>
      <c r="M5940" s="1107"/>
      <c r="N5940" s="1108"/>
    </row>
    <row r="5941" spans="2:17" ht="13.5" thickBot="1">
      <c r="B5941" s="1109"/>
      <c r="C5941" s="1110"/>
      <c r="D5941" s="1110"/>
      <c r="E5941" s="1110"/>
      <c r="F5941" s="1110"/>
      <c r="G5941" s="1110"/>
      <c r="H5941" s="1110"/>
      <c r="I5941" s="1110"/>
      <c r="J5941" s="1110"/>
      <c r="K5941" s="1110"/>
      <c r="L5941" s="1110"/>
      <c r="M5941" s="1110"/>
      <c r="N5941" s="1111"/>
    </row>
    <row r="5942" spans="2:17">
      <c r="B5942" s="1130" t="s">
        <v>17</v>
      </c>
      <c r="C5942" s="1139"/>
      <c r="D5942" s="1139"/>
      <c r="E5942" s="1139"/>
      <c r="F5942" s="1139"/>
      <c r="G5942" s="1139"/>
      <c r="H5942" s="1139"/>
      <c r="I5942" s="306"/>
      <c r="J5942" s="337"/>
      <c r="K5942" s="315" t="s">
        <v>79</v>
      </c>
      <c r="L5942" s="1140" t="s">
        <v>11</v>
      </c>
      <c r="M5942" s="1141"/>
      <c r="N5942" s="316"/>
    </row>
    <row r="5943" spans="2:17">
      <c r="B5943" s="1112" t="s">
        <v>232</v>
      </c>
      <c r="C5943" s="1113"/>
      <c r="D5943" s="1113"/>
      <c r="E5943" s="1113"/>
      <c r="F5943" s="1113"/>
      <c r="G5943" s="1113"/>
      <c r="H5943" s="1113"/>
      <c r="I5943" s="338"/>
      <c r="J5943" s="339"/>
      <c r="K5943" s="340">
        <f>'PRESUPUESTO OFICIAL'!$K$100</f>
        <v>0</v>
      </c>
      <c r="L5943" s="1146">
        <f>K5943*N5938</f>
        <v>0</v>
      </c>
      <c r="M5943" s="1147"/>
      <c r="N5943" s="341"/>
    </row>
    <row r="5944" spans="2:17">
      <c r="B5944" s="292" t="s">
        <v>293</v>
      </c>
      <c r="C5944" s="293"/>
      <c r="D5944" s="293"/>
      <c r="E5944" s="293"/>
      <c r="F5944" s="293"/>
      <c r="G5944" s="293"/>
      <c r="H5944" s="293"/>
      <c r="I5944" s="338"/>
      <c r="J5944" s="339"/>
      <c r="K5944" s="340">
        <f>'PRESUPUESTO OFICIAL'!$K$101</f>
        <v>0</v>
      </c>
      <c r="L5944" s="1146">
        <f>K5944*N5938</f>
        <v>0</v>
      </c>
      <c r="M5944" s="1147"/>
      <c r="N5944" s="341"/>
    </row>
    <row r="5945" spans="2:17" ht="13.5" thickBot="1">
      <c r="B5945" s="277" t="s">
        <v>294</v>
      </c>
      <c r="C5945" s="278"/>
      <c r="D5945" s="278"/>
      <c r="E5945" s="278"/>
      <c r="F5945" s="278"/>
      <c r="G5945" s="278"/>
      <c r="H5945" s="278"/>
      <c r="I5945" s="342"/>
      <c r="J5945" s="343"/>
      <c r="K5945" s="340">
        <f>'PRESUPUESTO OFICIAL'!$K$102</f>
        <v>0</v>
      </c>
      <c r="L5945" s="1148">
        <f>K5945*N5938</f>
        <v>0</v>
      </c>
      <c r="M5945" s="1149"/>
      <c r="N5945" s="341"/>
    </row>
    <row r="5946" spans="2:17" ht="13.5" thickBot="1">
      <c r="B5946" s="1100" t="s">
        <v>269</v>
      </c>
      <c r="C5946" s="1101"/>
      <c r="D5946" s="1101"/>
      <c r="E5946" s="1101"/>
      <c r="F5946" s="1101"/>
      <c r="G5946" s="1101"/>
      <c r="H5946" s="1101"/>
      <c r="I5946" s="1101"/>
      <c r="J5946" s="1101"/>
      <c r="K5946" s="1101"/>
      <c r="L5946" s="1101"/>
      <c r="M5946" s="1102"/>
      <c r="N5946" s="344">
        <f>SUM(L5943:M5945)</f>
        <v>0</v>
      </c>
    </row>
    <row r="5947" spans="2:17" ht="13.5" thickBot="1">
      <c r="B5947" s="283"/>
      <c r="N5947" s="284"/>
    </row>
    <row r="5948" spans="2:17" ht="13.5" thickBot="1">
      <c r="B5948" s="1150" t="s">
        <v>295</v>
      </c>
      <c r="C5948" s="1151"/>
      <c r="D5948" s="1151"/>
      <c r="E5948" s="1151"/>
      <c r="F5948" s="1151"/>
      <c r="G5948" s="1151"/>
      <c r="H5948" s="1151"/>
      <c r="I5948" s="1151"/>
      <c r="J5948" s="1151"/>
      <c r="K5948" s="1151"/>
      <c r="L5948" s="1151"/>
      <c r="M5948" s="1152"/>
      <c r="N5948" s="345">
        <f>ROUND(N5938+N5946,0)</f>
        <v>9754</v>
      </c>
    </row>
    <row r="5949" spans="2:17">
      <c r="B5949" s="280"/>
      <c r="C5949" s="281"/>
      <c r="D5949" s="281"/>
      <c r="E5949" s="281"/>
      <c r="F5949" s="281"/>
      <c r="G5949" s="281"/>
      <c r="H5949" s="281"/>
      <c r="I5949" s="281"/>
      <c r="J5949" s="281"/>
      <c r="K5949" s="281"/>
      <c r="L5949" s="281"/>
      <c r="M5949" s="281"/>
      <c r="N5949" s="282"/>
    </row>
    <row r="5950" spans="2:17">
      <c r="B5950" s="283"/>
      <c r="N5950" s="284"/>
    </row>
    <row r="5951" spans="2:17">
      <c r="B5951" s="283"/>
      <c r="N5951" s="284"/>
    </row>
    <row r="5952" spans="2:17">
      <c r="B5952" s="283"/>
      <c r="G5952" s="346" t="s">
        <v>296</v>
      </c>
      <c r="H5952" s="346"/>
      <c r="I5952" s="346"/>
      <c r="J5952" s="346"/>
      <c r="N5952" s="284"/>
    </row>
    <row r="5953" spans="2:14">
      <c r="B5953" s="347"/>
      <c r="C5953" s="348"/>
      <c r="D5953" s="348"/>
      <c r="E5953" s="348"/>
      <c r="F5953" s="348"/>
      <c r="G5953" s="346" t="s">
        <v>297</v>
      </c>
      <c r="H5953" s="348"/>
      <c r="I5953" s="348"/>
      <c r="J5953" s="348"/>
      <c r="K5953" s="348"/>
      <c r="L5953" s="348"/>
      <c r="M5953" s="348"/>
      <c r="N5953" s="349"/>
    </row>
    <row r="5954" spans="2:14">
      <c r="B5954" s="347"/>
      <c r="C5954" s="348"/>
      <c r="D5954" s="348"/>
      <c r="E5954" s="348"/>
      <c r="F5954" s="348"/>
      <c r="G5954" s="346" t="s">
        <v>298</v>
      </c>
      <c r="J5954" s="348"/>
      <c r="K5954" s="348"/>
      <c r="L5954" s="348"/>
      <c r="M5954" s="348"/>
      <c r="N5954" s="349"/>
    </row>
    <row r="5955" spans="2:14">
      <c r="B5955" s="268"/>
      <c r="C5955" s="350"/>
      <c r="D5955" s="350"/>
      <c r="E5955" s="350"/>
      <c r="F5955" s="350"/>
      <c r="G5955" s="346" t="s">
        <v>299</v>
      </c>
      <c r="H5955" s="350"/>
      <c r="I5955" s="350"/>
      <c r="J5955" s="350"/>
      <c r="K5955" s="350"/>
      <c r="L5955" s="350"/>
      <c r="M5955" s="350"/>
      <c r="N5955" s="351"/>
    </row>
    <row r="5956" spans="2:14">
      <c r="B5956" s="283"/>
      <c r="G5956" s="258" t="s">
        <v>300</v>
      </c>
      <c r="N5956" s="284"/>
    </row>
    <row r="5957" spans="2:14">
      <c r="B5957" s="352" t="s">
        <v>301</v>
      </c>
      <c r="C5957" s="353"/>
      <c r="D5957" s="353"/>
      <c r="E5957" s="353"/>
      <c r="F5957" s="353"/>
      <c r="G5957" s="353"/>
      <c r="H5957" s="353"/>
      <c r="I5957" s="353"/>
      <c r="J5957" s="353"/>
      <c r="K5957" s="353"/>
      <c r="L5957" s="353"/>
      <c r="M5957" s="353"/>
      <c r="N5957" s="354"/>
    </row>
    <row r="5958" spans="2:14">
      <c r="B5958" s="1153"/>
      <c r="C5958" s="1154"/>
      <c r="D5958" s="1154"/>
      <c r="E5958" s="1154"/>
      <c r="F5958" s="1154"/>
      <c r="G5958" s="1154"/>
      <c r="H5958" s="1154"/>
      <c r="I5958" s="1154"/>
      <c r="J5958" s="1154"/>
      <c r="K5958" s="1154"/>
      <c r="L5958" s="1154"/>
      <c r="M5958" s="1154"/>
      <c r="N5958" s="1155"/>
    </row>
    <row r="5959" spans="2:14">
      <c r="B5959" s="1153"/>
      <c r="C5959" s="1154"/>
      <c r="D5959" s="1154"/>
      <c r="E5959" s="1154"/>
      <c r="F5959" s="1154"/>
      <c r="G5959" s="1154"/>
      <c r="H5959" s="1154"/>
      <c r="I5959" s="1154"/>
      <c r="J5959" s="1154"/>
      <c r="K5959" s="1154"/>
      <c r="L5959" s="1154"/>
      <c r="M5959" s="1154"/>
      <c r="N5959" s="1155"/>
    </row>
    <row r="5960" spans="2:14">
      <c r="B5960" s="268"/>
      <c r="C5960" s="350"/>
      <c r="D5960" s="350"/>
      <c r="E5960" s="350"/>
      <c r="F5960" s="350"/>
      <c r="G5960" s="350"/>
      <c r="H5960" s="350"/>
      <c r="I5960" s="350"/>
      <c r="J5960" s="350"/>
      <c r="K5960" s="350"/>
      <c r="L5960" s="350"/>
      <c r="M5960" s="350"/>
      <c r="N5960" s="351"/>
    </row>
    <row r="5961" spans="2:14">
      <c r="B5961" s="355" t="s">
        <v>302</v>
      </c>
      <c r="C5961" s="350"/>
      <c r="D5961" s="350"/>
      <c r="E5961" s="350"/>
      <c r="F5961" s="350"/>
      <c r="G5961" s="350"/>
      <c r="H5961" s="350"/>
      <c r="I5961" s="350"/>
      <c r="J5961" s="350"/>
      <c r="K5961" s="350"/>
      <c r="L5961" s="350"/>
      <c r="M5961" s="350"/>
      <c r="N5961" s="351"/>
    </row>
    <row r="5962" spans="2:14">
      <c r="B5962" s="1159" t="s">
        <v>303</v>
      </c>
      <c r="C5962" s="1160"/>
      <c r="D5962" s="1160"/>
      <c r="E5962" s="1160"/>
      <c r="F5962" s="1160"/>
      <c r="G5962" s="1160"/>
      <c r="H5962" s="1160"/>
      <c r="I5962" s="1160"/>
      <c r="J5962" s="1160"/>
      <c r="K5962" s="1160"/>
      <c r="L5962" s="1160"/>
      <c r="M5962" s="1160"/>
      <c r="N5962" s="1161"/>
    </row>
    <row r="5963" spans="2:14">
      <c r="B5963" s="1159"/>
      <c r="C5963" s="1160"/>
      <c r="D5963" s="1160"/>
      <c r="E5963" s="1160"/>
      <c r="F5963" s="1160"/>
      <c r="G5963" s="1160"/>
      <c r="H5963" s="1160"/>
      <c r="I5963" s="1160"/>
      <c r="J5963" s="1160"/>
      <c r="K5963" s="1160"/>
      <c r="L5963" s="1160"/>
      <c r="M5963" s="1160"/>
      <c r="N5963" s="1161"/>
    </row>
    <row r="5964" spans="2:14">
      <c r="B5964" s="1159" t="s">
        <v>304</v>
      </c>
      <c r="C5964" s="1160"/>
      <c r="D5964" s="1160"/>
      <c r="E5964" s="1160"/>
      <c r="F5964" s="1160"/>
      <c r="G5964" s="1160"/>
      <c r="H5964" s="1160"/>
      <c r="I5964" s="1160"/>
      <c r="J5964" s="1160"/>
      <c r="K5964" s="1160"/>
      <c r="L5964" s="1160"/>
      <c r="M5964" s="1160"/>
      <c r="N5964" s="1161"/>
    </row>
    <row r="5965" spans="2:14">
      <c r="B5965" s="1159"/>
      <c r="C5965" s="1160"/>
      <c r="D5965" s="1160"/>
      <c r="E5965" s="1160"/>
      <c r="F5965" s="1160"/>
      <c r="G5965" s="1160"/>
      <c r="H5965" s="1160"/>
      <c r="I5965" s="1160"/>
      <c r="J5965" s="1160"/>
      <c r="K5965" s="1160"/>
      <c r="L5965" s="1160"/>
      <c r="M5965" s="1160"/>
      <c r="N5965" s="1161"/>
    </row>
    <row r="5966" spans="2:14">
      <c r="B5966" s="268"/>
      <c r="C5966" s="350"/>
      <c r="D5966" s="350"/>
      <c r="E5966" s="350"/>
      <c r="F5966" s="350"/>
      <c r="G5966" s="350"/>
      <c r="H5966" s="350"/>
      <c r="I5966" s="350"/>
      <c r="J5966" s="350"/>
      <c r="K5966" s="350"/>
      <c r="L5966" s="350"/>
      <c r="M5966" s="350"/>
      <c r="N5966" s="351"/>
    </row>
    <row r="5967" spans="2:14">
      <c r="B5967" s="283"/>
      <c r="G5967" s="346" t="s">
        <v>296</v>
      </c>
      <c r="N5967" s="284"/>
    </row>
    <row r="5968" spans="2:14">
      <c r="B5968" s="283"/>
      <c r="G5968" s="258" t="s">
        <v>305</v>
      </c>
      <c r="H5968" s="293"/>
      <c r="I5968" s="293"/>
      <c r="J5968" s="293"/>
      <c r="N5968" s="284"/>
    </row>
    <row r="5969" spans="2:14">
      <c r="B5969" s="283"/>
      <c r="G5969" s="258" t="s">
        <v>306</v>
      </c>
      <c r="H5969" s="325"/>
      <c r="I5969" s="325"/>
      <c r="J5969" s="325"/>
      <c r="N5969" s="284"/>
    </row>
    <row r="5970" spans="2:14">
      <c r="B5970" s="356"/>
      <c r="C5970" s="350"/>
      <c r="D5970" s="350"/>
      <c r="E5970" s="350"/>
      <c r="F5970" s="350"/>
      <c r="G5970" s="258" t="s">
        <v>299</v>
      </c>
      <c r="K5970" s="350"/>
      <c r="L5970" s="350"/>
      <c r="M5970" s="350"/>
      <c r="N5970" s="351"/>
    </row>
    <row r="5971" spans="2:14">
      <c r="B5971" s="357"/>
      <c r="C5971" s="358"/>
      <c r="D5971" s="358"/>
      <c r="J5971" s="1162"/>
      <c r="K5971" s="1162"/>
      <c r="L5971" s="1162"/>
      <c r="M5971" s="1162"/>
      <c r="N5971" s="1163"/>
    </row>
    <row r="5972" spans="2:14" ht="13.5" thickBot="1">
      <c r="B5972" s="1166"/>
      <c r="C5972" s="1167"/>
      <c r="D5972" s="1167"/>
      <c r="E5972" s="311"/>
      <c r="F5972" s="311"/>
      <c r="G5972" s="311"/>
      <c r="H5972" s="311"/>
      <c r="I5972" s="311"/>
      <c r="J5972" s="1164"/>
      <c r="K5972" s="1164"/>
      <c r="L5972" s="1164"/>
      <c r="M5972" s="1164"/>
      <c r="N5972" s="1165"/>
    </row>
    <row r="5973" spans="2:14" ht="13.5" thickBot="1"/>
    <row r="5974" spans="2:14">
      <c r="B5974" s="1070"/>
      <c r="C5974" s="1072"/>
      <c r="D5974" s="1073"/>
      <c r="E5974" s="1073"/>
      <c r="F5974" s="1073"/>
      <c r="G5974" s="1073"/>
      <c r="H5974" s="1073"/>
      <c r="I5974" s="1073"/>
      <c r="J5974" s="1074"/>
      <c r="K5974" s="1075"/>
      <c r="L5974" s="1076"/>
      <c r="M5974" s="1076"/>
      <c r="N5974" s="1077"/>
    </row>
    <row r="5975" spans="2:14">
      <c r="B5975" s="1071"/>
      <c r="C5975" s="1062" t="s">
        <v>244</v>
      </c>
      <c r="D5975" s="1063"/>
      <c r="E5975" s="1063"/>
      <c r="F5975" s="1063"/>
      <c r="G5975" s="1063"/>
      <c r="H5975" s="1063"/>
      <c r="I5975" s="1063"/>
      <c r="J5975" s="1064"/>
      <c r="K5975" s="1078"/>
      <c r="L5975" s="1079"/>
      <c r="M5975" s="1079"/>
      <c r="N5975" s="1080"/>
    </row>
    <row r="5976" spans="2:14">
      <c r="B5976" s="1071"/>
      <c r="C5976" s="1081"/>
      <c r="D5976" s="1082"/>
      <c r="E5976" s="1082"/>
      <c r="F5976" s="1082"/>
      <c r="G5976" s="1082"/>
      <c r="H5976" s="1082"/>
      <c r="I5976" s="1082"/>
      <c r="J5976" s="1083"/>
      <c r="K5976" s="1058" t="s">
        <v>245</v>
      </c>
      <c r="L5976" s="1085"/>
      <c r="M5976" s="1086"/>
      <c r="N5976" s="1087"/>
    </row>
    <row r="5977" spans="2:14">
      <c r="B5977" s="1071"/>
      <c r="C5977" s="1062" t="s">
        <v>246</v>
      </c>
      <c r="D5977" s="1063"/>
      <c r="E5977" s="1063"/>
      <c r="F5977" s="1063"/>
      <c r="G5977" s="1063"/>
      <c r="H5977" s="1063"/>
      <c r="I5977" s="1063"/>
      <c r="J5977" s="1064"/>
      <c r="K5977" s="1084"/>
      <c r="L5977" s="1088"/>
      <c r="M5977" s="1089"/>
      <c r="N5977" s="1090"/>
    </row>
    <row r="5978" spans="2:14">
      <c r="B5978" s="1071"/>
      <c r="C5978" s="1091"/>
      <c r="D5978" s="1092"/>
      <c r="E5978" s="1092"/>
      <c r="F5978" s="1092"/>
      <c r="G5978" s="1092"/>
      <c r="H5978" s="1092"/>
      <c r="I5978" s="1092"/>
      <c r="J5978" s="1093"/>
      <c r="K5978" s="1058" t="s">
        <v>247</v>
      </c>
      <c r="L5978" s="1058">
        <v>68</v>
      </c>
      <c r="M5978" s="1058" t="s">
        <v>248</v>
      </c>
      <c r="N5978" s="1060">
        <v>80</v>
      </c>
    </row>
    <row r="5979" spans="2:14">
      <c r="B5979" s="1071"/>
      <c r="C5979" s="1091"/>
      <c r="D5979" s="1092"/>
      <c r="E5979" s="1092"/>
      <c r="F5979" s="1092"/>
      <c r="G5979" s="1092"/>
      <c r="H5979" s="1092"/>
      <c r="I5979" s="1092"/>
      <c r="J5979" s="1093"/>
      <c r="K5979" s="1059"/>
      <c r="L5979" s="1059"/>
      <c r="M5979" s="1059"/>
      <c r="N5979" s="1061"/>
    </row>
    <row r="5980" spans="2:14">
      <c r="B5980" s="1071"/>
      <c r="C5980" s="1062" t="s">
        <v>249</v>
      </c>
      <c r="D5980" s="1063"/>
      <c r="E5980" s="1063"/>
      <c r="F5980" s="1063"/>
      <c r="G5980" s="1063"/>
      <c r="H5980" s="1063"/>
      <c r="I5980" s="1063"/>
      <c r="J5980" s="1064"/>
      <c r="K5980" s="1059"/>
      <c r="L5980" s="1059"/>
      <c r="M5980" s="1059"/>
      <c r="N5980" s="1061"/>
    </row>
    <row r="5981" spans="2:14" ht="13.5" thickBot="1">
      <c r="B5981" s="259"/>
      <c r="C5981" s="260"/>
      <c r="D5981" s="260"/>
      <c r="E5981" s="260"/>
      <c r="F5981" s="260"/>
      <c r="G5981" s="260"/>
      <c r="H5981" s="260"/>
      <c r="I5981" s="260"/>
      <c r="J5981" s="260"/>
      <c r="K5981" s="260"/>
      <c r="L5981" s="261"/>
      <c r="M5981" s="261"/>
      <c r="N5981" s="262"/>
    </row>
    <row r="5982" spans="2:14">
      <c r="B5982" s="263"/>
      <c r="C5982" s="264"/>
      <c r="D5982" s="264"/>
      <c r="E5982" s="264"/>
      <c r="F5982" s="264"/>
      <c r="G5982" s="264"/>
      <c r="H5982" s="264"/>
      <c r="I5982" s="264"/>
      <c r="J5982" s="264"/>
      <c r="K5982" s="265" t="s">
        <v>250</v>
      </c>
      <c r="L5982" s="266" t="s">
        <v>251</v>
      </c>
      <c r="M5982" s="266" t="s">
        <v>252</v>
      </c>
      <c r="N5982" s="267" t="s">
        <v>253</v>
      </c>
    </row>
    <row r="5983" spans="2:14">
      <c r="B5983" s="268"/>
      <c r="C5983" s="269"/>
      <c r="D5983" s="269"/>
      <c r="E5983" s="269"/>
      <c r="F5983" s="269"/>
      <c r="G5983" s="269"/>
      <c r="H5983" s="269"/>
      <c r="I5983" s="269"/>
      <c r="J5983" s="269"/>
      <c r="K5983" s="270"/>
      <c r="L5983" s="271"/>
      <c r="M5983" s="271"/>
      <c r="N5983" s="272"/>
    </row>
    <row r="5984" spans="2:14">
      <c r="B5984" s="1065" t="s">
        <v>254</v>
      </c>
      <c r="C5984" s="1066"/>
      <c r="D5984" s="1066"/>
      <c r="E5984" s="1066"/>
      <c r="F5984" s="269"/>
      <c r="G5984" s="269"/>
      <c r="H5984" s="269" t="s">
        <v>255</v>
      </c>
      <c r="J5984" s="269"/>
      <c r="K5984" s="270"/>
      <c r="N5984" s="273"/>
    </row>
    <row r="5985" spans="2:14">
      <c r="B5985" s="274"/>
      <c r="C5985" s="275"/>
      <c r="D5985" s="275"/>
      <c r="E5985" s="275"/>
      <c r="F5985" s="275"/>
      <c r="G5985" s="275"/>
      <c r="H5985" s="275"/>
      <c r="I5985" s="275"/>
      <c r="J5985" s="275"/>
      <c r="K5985" s="275"/>
      <c r="L5985" s="275"/>
      <c r="M5985" s="275"/>
      <c r="N5985" s="276"/>
    </row>
    <row r="5986" spans="2:14" ht="13.5" thickBot="1">
      <c r="B5986" s="277"/>
      <c r="C5986" s="278"/>
      <c r="D5986" s="278"/>
      <c r="E5986" s="278"/>
      <c r="F5986" s="278"/>
      <c r="G5986" s="278"/>
      <c r="H5986" s="278"/>
      <c r="I5986" s="278"/>
      <c r="J5986" s="278"/>
      <c r="K5986" s="278"/>
      <c r="L5986" s="278"/>
      <c r="M5986" s="278"/>
      <c r="N5986" s="279"/>
    </row>
    <row r="5987" spans="2:14" ht="13.5" thickBot="1">
      <c r="B5987" s="280"/>
      <c r="C5987" s="281"/>
      <c r="D5987" s="281"/>
      <c r="E5987" s="281"/>
      <c r="F5987" s="281"/>
      <c r="G5987" s="281"/>
      <c r="J5987" s="281"/>
      <c r="K5987" s="281"/>
      <c r="L5987" s="281"/>
      <c r="M5987" s="281"/>
      <c r="N5987" s="282"/>
    </row>
    <row r="5988" spans="2:14">
      <c r="B5988" s="1067" t="s">
        <v>256</v>
      </c>
      <c r="C5988" s="1068"/>
      <c r="D5988" s="1068"/>
      <c r="E5988" s="1068"/>
      <c r="F5988" s="1068"/>
      <c r="G5988" s="1068"/>
      <c r="H5988" s="1068"/>
      <c r="I5988" s="1068"/>
      <c r="J5988" s="1068"/>
      <c r="K5988" s="1068"/>
      <c r="L5988" s="1068"/>
      <c r="M5988" s="1068"/>
      <c r="N5988" s="1069"/>
    </row>
    <row r="5989" spans="2:14" ht="13.5" thickBot="1">
      <c r="B5989" s="283"/>
      <c r="N5989" s="284"/>
    </row>
    <row r="5990" spans="2:14">
      <c r="B5990" s="285" t="s">
        <v>257</v>
      </c>
      <c r="C5990" s="1120" t="s">
        <v>258</v>
      </c>
      <c r="D5990" s="1121"/>
      <c r="E5990" s="1121"/>
      <c r="F5990" s="1121"/>
      <c r="G5990" s="1121"/>
      <c r="H5990" s="1121"/>
      <c r="I5990" s="1121"/>
      <c r="J5990" s="1121"/>
      <c r="K5990" s="1122"/>
      <c r="L5990" s="1123" t="s">
        <v>259</v>
      </c>
      <c r="M5990" s="1124"/>
      <c r="N5990" s="285" t="s">
        <v>133</v>
      </c>
    </row>
    <row r="5991" spans="2:14" ht="13.5" thickBot="1">
      <c r="B5991" s="286">
        <v>68</v>
      </c>
      <c r="C5991" s="1125" t="s">
        <v>211</v>
      </c>
      <c r="D5991" s="1126"/>
      <c r="E5991" s="1126"/>
      <c r="F5991" s="1126"/>
      <c r="G5991" s="1126"/>
      <c r="H5991" s="1126"/>
      <c r="I5991" s="1126"/>
      <c r="J5991" s="1126"/>
      <c r="K5991" s="1127"/>
      <c r="L5991" s="1128" t="s">
        <v>147</v>
      </c>
      <c r="M5991" s="1129"/>
      <c r="N5991" s="366">
        <v>100</v>
      </c>
    </row>
    <row r="5992" spans="2:14">
      <c r="B5992" s="1103" t="s">
        <v>260</v>
      </c>
      <c r="C5992" s="1104"/>
      <c r="D5992" s="1104"/>
      <c r="E5992" s="1104"/>
      <c r="F5992" s="1104"/>
      <c r="G5992" s="1104"/>
      <c r="H5992" s="1104"/>
      <c r="I5992" s="1104"/>
      <c r="J5992" s="1104"/>
      <c r="K5992" s="1104"/>
      <c r="L5992" s="1104"/>
      <c r="M5992" s="1104"/>
      <c r="N5992" s="1105"/>
    </row>
    <row r="5993" spans="2:14">
      <c r="B5993" s="1106"/>
      <c r="C5993" s="1107"/>
      <c r="D5993" s="1107"/>
      <c r="E5993" s="1107"/>
      <c r="F5993" s="1107"/>
      <c r="G5993" s="1107"/>
      <c r="H5993" s="1107"/>
      <c r="I5993" s="1107"/>
      <c r="J5993" s="1107"/>
      <c r="K5993" s="1107"/>
      <c r="L5993" s="1107"/>
      <c r="M5993" s="1107"/>
      <c r="N5993" s="1108"/>
    </row>
    <row r="5994" spans="2:14" ht="13.5" thickBot="1">
      <c r="B5994" s="1109"/>
      <c r="C5994" s="1110"/>
      <c r="D5994" s="1110"/>
      <c r="E5994" s="1110"/>
      <c r="F5994" s="1110"/>
      <c r="G5994" s="1110"/>
      <c r="H5994" s="1110"/>
      <c r="I5994" s="1110"/>
      <c r="J5994" s="1110"/>
      <c r="K5994" s="1110"/>
      <c r="L5994" s="1110"/>
      <c r="M5994" s="1110"/>
      <c r="N5994" s="1111"/>
    </row>
    <row r="5995" spans="2:14">
      <c r="B5995" s="1130" t="s">
        <v>258</v>
      </c>
      <c r="C5995" s="1131"/>
      <c r="D5995" s="1131"/>
      <c r="E5995" s="1131"/>
      <c r="F5995" s="1132"/>
      <c r="G5995" s="1133" t="s">
        <v>261</v>
      </c>
      <c r="H5995" s="1131"/>
      <c r="I5995" s="1134" t="s">
        <v>262</v>
      </c>
      <c r="J5995" s="1135"/>
      <c r="K5995" s="288" t="s">
        <v>263</v>
      </c>
      <c r="L5995" s="1133" t="s">
        <v>264</v>
      </c>
      <c r="M5995" s="1136"/>
      <c r="N5995" s="289" t="s">
        <v>265</v>
      </c>
    </row>
    <row r="5996" spans="2:14" ht="13.5" thickBot="1">
      <c r="B5996" s="1179"/>
      <c r="C5996" s="1180"/>
      <c r="D5996" s="1180"/>
      <c r="E5996" s="1180"/>
      <c r="F5996" s="1181"/>
      <c r="G5996" s="295"/>
      <c r="H5996" s="294"/>
      <c r="I5996" s="1182"/>
      <c r="J5996" s="1183"/>
      <c r="K5996" s="290"/>
      <c r="L5996" s="1118"/>
      <c r="M5996" s="1119"/>
      <c r="N5996" s="290"/>
    </row>
    <row r="5997" spans="2:14" ht="13.5" thickBot="1">
      <c r="B5997" s="1100" t="s">
        <v>269</v>
      </c>
      <c r="C5997" s="1101"/>
      <c r="D5997" s="1101"/>
      <c r="E5997" s="1101"/>
      <c r="F5997" s="1101"/>
      <c r="G5997" s="1101"/>
      <c r="H5997" s="1101"/>
      <c r="I5997" s="1101"/>
      <c r="J5997" s="1101"/>
      <c r="K5997" s="1101"/>
      <c r="L5997" s="1101"/>
      <c r="M5997" s="1102"/>
      <c r="N5997" s="323">
        <f>+N5996</f>
        <v>0</v>
      </c>
    </row>
    <row r="5998" spans="2:14">
      <c r="B5998" s="1103" t="s">
        <v>270</v>
      </c>
      <c r="C5998" s="1104"/>
      <c r="D5998" s="1104"/>
      <c r="E5998" s="1104"/>
      <c r="F5998" s="1104"/>
      <c r="G5998" s="1104"/>
      <c r="H5998" s="1104"/>
      <c r="I5998" s="1104"/>
      <c r="J5998" s="1104"/>
      <c r="K5998" s="1104"/>
      <c r="L5998" s="1104"/>
      <c r="M5998" s="1104"/>
      <c r="N5998" s="1105"/>
    </row>
    <row r="5999" spans="2:14">
      <c r="B5999" s="1106"/>
      <c r="C5999" s="1107"/>
      <c r="D5999" s="1107"/>
      <c r="E5999" s="1107"/>
      <c r="F5999" s="1107"/>
      <c r="G5999" s="1107"/>
      <c r="H5999" s="1107"/>
      <c r="I5999" s="1107"/>
      <c r="J5999" s="1107"/>
      <c r="K5999" s="1107"/>
      <c r="L5999" s="1107"/>
      <c r="M5999" s="1107"/>
      <c r="N5999" s="1108"/>
    </row>
    <row r="6000" spans="2:14" ht="13.5" thickBot="1">
      <c r="B6000" s="1109"/>
      <c r="C6000" s="1110"/>
      <c r="D6000" s="1110"/>
      <c r="E6000" s="1110"/>
      <c r="F6000" s="1110"/>
      <c r="G6000" s="1110"/>
      <c r="H6000" s="1110"/>
      <c r="I6000" s="1110"/>
      <c r="J6000" s="1110"/>
      <c r="K6000" s="1110"/>
      <c r="L6000" s="1110"/>
      <c r="M6000" s="1110"/>
      <c r="N6000" s="1111"/>
    </row>
    <row r="6001" spans="2:14">
      <c r="B6001" s="1130" t="s">
        <v>258</v>
      </c>
      <c r="C6001" s="1139"/>
      <c r="D6001" s="1139"/>
      <c r="E6001" s="1139"/>
      <c r="F6001" s="1139"/>
      <c r="G6001" s="1139"/>
      <c r="H6001" s="1139"/>
      <c r="I6001" s="1136"/>
      <c r="J6001" s="299" t="s">
        <v>259</v>
      </c>
      <c r="K6001" s="288" t="s">
        <v>133</v>
      </c>
      <c r="L6001" s="1133" t="s">
        <v>271</v>
      </c>
      <c r="M6001" s="1136"/>
      <c r="N6001" s="289" t="s">
        <v>265</v>
      </c>
    </row>
    <row r="6002" spans="2:14" ht="13.5" thickBot="1">
      <c r="B6002" s="402"/>
      <c r="C6002" s="353"/>
      <c r="D6002" s="353"/>
      <c r="E6002" s="353"/>
      <c r="F6002" s="353"/>
      <c r="G6002" s="353"/>
      <c r="H6002" s="353"/>
      <c r="I6002" s="403"/>
      <c r="J6002" s="303"/>
      <c r="K6002" s="392"/>
      <c r="L6002" s="1144"/>
      <c r="M6002" s="1145"/>
      <c r="N6002" s="363"/>
    </row>
    <row r="6003" spans="2:14" ht="13.5" thickBot="1">
      <c r="B6003" s="1100" t="s">
        <v>269</v>
      </c>
      <c r="C6003" s="1101"/>
      <c r="D6003" s="1101"/>
      <c r="E6003" s="1101"/>
      <c r="F6003" s="1101"/>
      <c r="G6003" s="1101"/>
      <c r="H6003" s="1101"/>
      <c r="I6003" s="1101"/>
      <c r="J6003" s="1101"/>
      <c r="K6003" s="1101"/>
      <c r="L6003" s="1101"/>
      <c r="M6003" s="1102"/>
      <c r="N6003" s="323">
        <v>0</v>
      </c>
    </row>
    <row r="6004" spans="2:14">
      <c r="B6004" s="1103" t="s">
        <v>367</v>
      </c>
      <c r="C6004" s="1104"/>
      <c r="D6004" s="1104"/>
      <c r="E6004" s="1104"/>
      <c r="F6004" s="1104"/>
      <c r="G6004" s="1104"/>
      <c r="H6004" s="1104"/>
      <c r="I6004" s="1104"/>
      <c r="J6004" s="1104"/>
      <c r="K6004" s="1104"/>
      <c r="L6004" s="1104"/>
      <c r="M6004" s="1104"/>
      <c r="N6004" s="1105"/>
    </row>
    <row r="6005" spans="2:14">
      <c r="B6005" s="1106"/>
      <c r="C6005" s="1107"/>
      <c r="D6005" s="1107"/>
      <c r="E6005" s="1107"/>
      <c r="F6005" s="1107"/>
      <c r="G6005" s="1107"/>
      <c r="H6005" s="1107"/>
      <c r="I6005" s="1107"/>
      <c r="J6005" s="1107"/>
      <c r="K6005" s="1107"/>
      <c r="L6005" s="1107"/>
      <c r="M6005" s="1107"/>
      <c r="N6005" s="1108"/>
    </row>
    <row r="6006" spans="2:14" ht="13.5" thickBot="1">
      <c r="B6006" s="1109"/>
      <c r="C6006" s="1110"/>
      <c r="D6006" s="1110"/>
      <c r="E6006" s="1110"/>
      <c r="F6006" s="1110"/>
      <c r="G6006" s="1110"/>
      <c r="H6006" s="1110"/>
      <c r="I6006" s="1110"/>
      <c r="J6006" s="1110"/>
      <c r="K6006" s="1110"/>
      <c r="L6006" s="1110"/>
      <c r="M6006" s="1110"/>
      <c r="N6006" s="1111"/>
    </row>
    <row r="6007" spans="2:14">
      <c r="B6007" s="1130" t="s">
        <v>277</v>
      </c>
      <c r="C6007" s="1139"/>
      <c r="D6007" s="1139"/>
      <c r="E6007" s="1139"/>
      <c r="F6007" s="1139"/>
      <c r="G6007" s="1139"/>
      <c r="H6007" s="1139"/>
      <c r="I6007" s="288" t="s">
        <v>278</v>
      </c>
      <c r="J6007" s="306" t="s">
        <v>279</v>
      </c>
      <c r="K6007" s="307" t="s">
        <v>280</v>
      </c>
      <c r="L6007" s="1133" t="s">
        <v>281</v>
      </c>
      <c r="M6007" s="1136"/>
      <c r="N6007" s="289" t="s">
        <v>265</v>
      </c>
    </row>
    <row r="6008" spans="2:14" ht="13.5" thickBot="1">
      <c r="B6008" s="1112"/>
      <c r="C6008" s="1113"/>
      <c r="D6008" s="1113"/>
      <c r="E6008" s="1113"/>
      <c r="F6008" s="1113"/>
      <c r="G6008" s="1113"/>
      <c r="H6008" s="1113"/>
      <c r="I6008" s="393"/>
      <c r="J6008" s="309"/>
      <c r="K6008" s="308"/>
      <c r="L6008" s="1144"/>
      <c r="M6008" s="1145"/>
      <c r="N6008" s="363"/>
    </row>
    <row r="6009" spans="2:14" ht="13.5" thickBot="1">
      <c r="B6009" s="1100" t="s">
        <v>269</v>
      </c>
      <c r="C6009" s="1101"/>
      <c r="D6009" s="1101"/>
      <c r="E6009" s="1101"/>
      <c r="F6009" s="1101"/>
      <c r="G6009" s="1101"/>
      <c r="H6009" s="1101"/>
      <c r="I6009" s="1101"/>
      <c r="J6009" s="1101"/>
      <c r="K6009" s="1101"/>
      <c r="L6009" s="1101"/>
      <c r="M6009" s="1102"/>
      <c r="N6009" s="323">
        <f>+N6008</f>
        <v>0</v>
      </c>
    </row>
    <row r="6010" spans="2:14">
      <c r="B6010" s="1103" t="s">
        <v>282</v>
      </c>
      <c r="C6010" s="1104"/>
      <c r="D6010" s="1104"/>
      <c r="E6010" s="1104"/>
      <c r="F6010" s="1104"/>
      <c r="G6010" s="1104"/>
      <c r="H6010" s="1104"/>
      <c r="I6010" s="1104"/>
      <c r="J6010" s="1104"/>
      <c r="K6010" s="1104"/>
      <c r="L6010" s="1104"/>
      <c r="M6010" s="1104"/>
      <c r="N6010" s="1105"/>
    </row>
    <row r="6011" spans="2:14">
      <c r="B6011" s="1106"/>
      <c r="C6011" s="1107"/>
      <c r="D6011" s="1107"/>
      <c r="E6011" s="1107"/>
      <c r="F6011" s="1107"/>
      <c r="G6011" s="1107"/>
      <c r="H6011" s="1107"/>
      <c r="I6011" s="1107"/>
      <c r="J6011" s="1107"/>
      <c r="K6011" s="1107"/>
      <c r="L6011" s="1107"/>
      <c r="M6011" s="1107"/>
      <c r="N6011" s="1108"/>
    </row>
    <row r="6012" spans="2:14" ht="13.5" thickBot="1">
      <c r="B6012" s="1109"/>
      <c r="C6012" s="1110"/>
      <c r="D6012" s="1110"/>
      <c r="E6012" s="1110"/>
      <c r="F6012" s="1110"/>
      <c r="G6012" s="1110"/>
      <c r="H6012" s="1110"/>
      <c r="I6012" s="1110"/>
      <c r="J6012" s="1110"/>
      <c r="K6012" s="1110"/>
      <c r="L6012" s="1110"/>
      <c r="M6012" s="1110"/>
      <c r="N6012" s="1111"/>
    </row>
    <row r="6013" spans="2:14">
      <c r="B6013" s="1130" t="s">
        <v>283</v>
      </c>
      <c r="C6013" s="1139"/>
      <c r="D6013" s="1139"/>
      <c r="E6013" s="1139"/>
      <c r="F6013" s="1139"/>
      <c r="G6013" s="1139"/>
      <c r="H6013" s="1139"/>
      <c r="I6013" s="288" t="s">
        <v>284</v>
      </c>
      <c r="J6013" s="314" t="s">
        <v>285</v>
      </c>
      <c r="K6013" s="315" t="s">
        <v>286</v>
      </c>
      <c r="L6013" s="1140" t="s">
        <v>264</v>
      </c>
      <c r="M6013" s="1141"/>
      <c r="N6013" s="316" t="s">
        <v>265</v>
      </c>
    </row>
    <row r="6014" spans="2:14" ht="13.5" thickBot="1">
      <c r="B6014" s="317" t="s">
        <v>402</v>
      </c>
      <c r="C6014" s="318"/>
      <c r="D6014" s="318"/>
      <c r="E6014" s="318"/>
      <c r="F6014" s="318"/>
      <c r="G6014" s="318"/>
      <c r="H6014" s="318"/>
      <c r="I6014" s="319">
        <v>31851</v>
      </c>
      <c r="J6014" s="321">
        <v>23888</v>
      </c>
      <c r="K6014" s="321">
        <f>+I6014+J6014</f>
        <v>55739</v>
      </c>
      <c r="L6014" s="1157">
        <v>5</v>
      </c>
      <c r="M6014" s="1158"/>
      <c r="N6014" s="322">
        <f>+K6014/L6014</f>
        <v>11147.8</v>
      </c>
    </row>
    <row r="6015" spans="2:14" ht="13.5" thickBot="1">
      <c r="B6015" s="1100" t="s">
        <v>269</v>
      </c>
      <c r="C6015" s="1101"/>
      <c r="D6015" s="1101"/>
      <c r="E6015" s="1101"/>
      <c r="F6015" s="1101"/>
      <c r="G6015" s="1101"/>
      <c r="H6015" s="1101"/>
      <c r="I6015" s="1101"/>
      <c r="J6015" s="1101"/>
      <c r="K6015" s="1101"/>
      <c r="L6015" s="1101"/>
      <c r="M6015" s="1102"/>
      <c r="N6015" s="322">
        <f>+N6014</f>
        <v>11147.8</v>
      </c>
    </row>
    <row r="6016" spans="2:14" ht="13.5" thickBot="1">
      <c r="B6016" s="324" t="s">
        <v>288</v>
      </c>
      <c r="C6016" s="325"/>
      <c r="D6016" s="325"/>
      <c r="E6016" s="325"/>
      <c r="F6016" s="325"/>
      <c r="G6016" s="325"/>
      <c r="H6016" s="325"/>
      <c r="I6016" s="326"/>
      <c r="J6016" s="327"/>
      <c r="K6016" s="328"/>
      <c r="L6016" s="329"/>
      <c r="M6016" s="329"/>
      <c r="N6016" s="330"/>
    </row>
    <row r="6017" spans="2:17">
      <c r="B6017" s="1130" t="s">
        <v>17</v>
      </c>
      <c r="C6017" s="1139"/>
      <c r="D6017" s="1139"/>
      <c r="E6017" s="1139"/>
      <c r="F6017" s="1139"/>
      <c r="G6017" s="1139"/>
      <c r="H6017" s="1139"/>
      <c r="I6017" s="1136"/>
      <c r="J6017" s="299" t="s">
        <v>259</v>
      </c>
      <c r="K6017" s="288" t="s">
        <v>133</v>
      </c>
      <c r="L6017" s="1133" t="s">
        <v>271</v>
      </c>
      <c r="M6017" s="1136"/>
      <c r="N6017" s="316" t="s">
        <v>265</v>
      </c>
    </row>
    <row r="6018" spans="2:17" ht="13.5" thickBot="1">
      <c r="B6018" s="331" t="s">
        <v>289</v>
      </c>
      <c r="C6018" s="332"/>
      <c r="D6018" s="332"/>
      <c r="E6018" s="332"/>
      <c r="F6018" s="332"/>
      <c r="G6018" s="332"/>
      <c r="H6018" s="332"/>
      <c r="I6018" s="333"/>
      <c r="J6018" s="334" t="s">
        <v>290</v>
      </c>
      <c r="K6018" s="335">
        <v>0.05</v>
      </c>
      <c r="L6018" s="1144">
        <f>+N6015</f>
        <v>11147.8</v>
      </c>
      <c r="M6018" s="1145"/>
      <c r="N6018" s="322">
        <f>+K6018*L6018</f>
        <v>557.39</v>
      </c>
    </row>
    <row r="6019" spans="2:17" ht="13.5" thickBot="1">
      <c r="B6019" s="1100" t="s">
        <v>269</v>
      </c>
      <c r="C6019" s="1101"/>
      <c r="D6019" s="1101"/>
      <c r="E6019" s="1101"/>
      <c r="F6019" s="1101"/>
      <c r="G6019" s="1101"/>
      <c r="H6019" s="1101"/>
      <c r="I6019" s="1101"/>
      <c r="J6019" s="1101"/>
      <c r="K6019" s="1101"/>
      <c r="L6019" s="1101"/>
      <c r="M6019" s="1102"/>
      <c r="N6019" s="322">
        <f>+N6018</f>
        <v>557.39</v>
      </c>
      <c r="P6019" s="408">
        <v>1170500</v>
      </c>
    </row>
    <row r="6020" spans="2:17" ht="13.5" thickBot="1">
      <c r="B6020" s="1100"/>
      <c r="C6020" s="1101"/>
      <c r="D6020" s="1101"/>
      <c r="E6020" s="1101"/>
      <c r="F6020" s="1101"/>
      <c r="G6020" s="1101"/>
      <c r="H6020" s="1101"/>
      <c r="I6020" s="1101"/>
      <c r="J6020" s="1101"/>
      <c r="K6020" s="1101"/>
      <c r="L6020" s="1101"/>
      <c r="M6020" s="1102"/>
      <c r="N6020" s="322"/>
    </row>
    <row r="6021" spans="2:17" ht="13.5" thickBot="1">
      <c r="B6021" s="1150" t="s">
        <v>291</v>
      </c>
      <c r="C6021" s="1151"/>
      <c r="D6021" s="1151"/>
      <c r="E6021" s="1151"/>
      <c r="F6021" s="1151"/>
      <c r="G6021" s="1151"/>
      <c r="H6021" s="1151"/>
      <c r="I6021" s="1151"/>
      <c r="J6021" s="1151"/>
      <c r="K6021" s="1151"/>
      <c r="L6021" s="1151"/>
      <c r="M6021" s="1152"/>
      <c r="N6021" s="336">
        <f>+N5997+N6003+N6009+N6015+N6019</f>
        <v>11705.189999999999</v>
      </c>
      <c r="P6021" s="409">
        <f>+N6021*N5991</f>
        <v>1170518.9999999998</v>
      </c>
      <c r="Q6021" s="413">
        <f>+P6021-P6019</f>
        <v>18.999999999767169</v>
      </c>
    </row>
    <row r="6022" spans="2:17">
      <c r="B6022" s="1103" t="s">
        <v>292</v>
      </c>
      <c r="C6022" s="1104"/>
      <c r="D6022" s="1104"/>
      <c r="E6022" s="1104"/>
      <c r="F6022" s="1104"/>
      <c r="G6022" s="1104"/>
      <c r="H6022" s="1104"/>
      <c r="I6022" s="1104"/>
      <c r="J6022" s="1104"/>
      <c r="K6022" s="1104"/>
      <c r="L6022" s="1104"/>
      <c r="M6022" s="1104"/>
      <c r="N6022" s="1105"/>
    </row>
    <row r="6023" spans="2:17">
      <c r="B6023" s="1106"/>
      <c r="C6023" s="1107"/>
      <c r="D6023" s="1107"/>
      <c r="E6023" s="1107"/>
      <c r="F6023" s="1107"/>
      <c r="G6023" s="1107"/>
      <c r="H6023" s="1107"/>
      <c r="I6023" s="1107"/>
      <c r="J6023" s="1107"/>
      <c r="K6023" s="1107"/>
      <c r="L6023" s="1107"/>
      <c r="M6023" s="1107"/>
      <c r="N6023" s="1108"/>
    </row>
    <row r="6024" spans="2:17" ht="13.5" thickBot="1">
      <c r="B6024" s="1109"/>
      <c r="C6024" s="1110"/>
      <c r="D6024" s="1110"/>
      <c r="E6024" s="1110"/>
      <c r="F6024" s="1110"/>
      <c r="G6024" s="1110"/>
      <c r="H6024" s="1110"/>
      <c r="I6024" s="1110"/>
      <c r="J6024" s="1110"/>
      <c r="K6024" s="1110"/>
      <c r="L6024" s="1110"/>
      <c r="M6024" s="1110"/>
      <c r="N6024" s="1111"/>
    </row>
    <row r="6025" spans="2:17">
      <c r="B6025" s="1130" t="s">
        <v>17</v>
      </c>
      <c r="C6025" s="1139"/>
      <c r="D6025" s="1139"/>
      <c r="E6025" s="1139"/>
      <c r="F6025" s="1139"/>
      <c r="G6025" s="1139"/>
      <c r="H6025" s="1139"/>
      <c r="I6025" s="306"/>
      <c r="J6025" s="337"/>
      <c r="K6025" s="315" t="s">
        <v>79</v>
      </c>
      <c r="L6025" s="1140" t="s">
        <v>11</v>
      </c>
      <c r="M6025" s="1141"/>
      <c r="N6025" s="316"/>
    </row>
    <row r="6026" spans="2:17">
      <c r="B6026" s="1112" t="s">
        <v>232</v>
      </c>
      <c r="C6026" s="1113"/>
      <c r="D6026" s="1113"/>
      <c r="E6026" s="1113"/>
      <c r="F6026" s="1113"/>
      <c r="G6026" s="1113"/>
      <c r="H6026" s="1113"/>
      <c r="I6026" s="338"/>
      <c r="J6026" s="339"/>
      <c r="K6026" s="340">
        <f>'PRESUPUESTO OFICIAL'!$K$100</f>
        <v>0</v>
      </c>
      <c r="L6026" s="1146">
        <f>K6026*N6021</f>
        <v>0</v>
      </c>
      <c r="M6026" s="1147"/>
      <c r="N6026" s="341"/>
    </row>
    <row r="6027" spans="2:17">
      <c r="B6027" s="292" t="s">
        <v>293</v>
      </c>
      <c r="C6027" s="293"/>
      <c r="D6027" s="293"/>
      <c r="E6027" s="293"/>
      <c r="F6027" s="293"/>
      <c r="G6027" s="293"/>
      <c r="H6027" s="293"/>
      <c r="I6027" s="338"/>
      <c r="J6027" s="339"/>
      <c r="K6027" s="340">
        <f>'PRESUPUESTO OFICIAL'!$K$101</f>
        <v>0</v>
      </c>
      <c r="L6027" s="1146">
        <f>K6027*N6021</f>
        <v>0</v>
      </c>
      <c r="M6027" s="1147"/>
      <c r="N6027" s="341"/>
    </row>
    <row r="6028" spans="2:17" ht="13.5" thickBot="1">
      <c r="B6028" s="277" t="s">
        <v>294</v>
      </c>
      <c r="C6028" s="278"/>
      <c r="D6028" s="278"/>
      <c r="E6028" s="278"/>
      <c r="F6028" s="278"/>
      <c r="G6028" s="278"/>
      <c r="H6028" s="278"/>
      <c r="I6028" s="342"/>
      <c r="J6028" s="343"/>
      <c r="K6028" s="340">
        <f>'PRESUPUESTO OFICIAL'!$K$102</f>
        <v>0</v>
      </c>
      <c r="L6028" s="1148">
        <f>K6028*N6021</f>
        <v>0</v>
      </c>
      <c r="M6028" s="1149"/>
      <c r="N6028" s="341"/>
    </row>
    <row r="6029" spans="2:17" ht="13.5" thickBot="1">
      <c r="B6029" s="1100" t="s">
        <v>269</v>
      </c>
      <c r="C6029" s="1101"/>
      <c r="D6029" s="1101"/>
      <c r="E6029" s="1101"/>
      <c r="F6029" s="1101"/>
      <c r="G6029" s="1101"/>
      <c r="H6029" s="1101"/>
      <c r="I6029" s="1101"/>
      <c r="J6029" s="1101"/>
      <c r="K6029" s="1101"/>
      <c r="L6029" s="1101"/>
      <c r="M6029" s="1102"/>
      <c r="N6029" s="344">
        <f>SUM(L6026:M6028)</f>
        <v>0</v>
      </c>
    </row>
    <row r="6030" spans="2:17" ht="13.5" thickBot="1">
      <c r="B6030" s="283"/>
      <c r="N6030" s="284"/>
    </row>
    <row r="6031" spans="2:17" ht="13.5" thickBot="1">
      <c r="B6031" s="1150" t="s">
        <v>295</v>
      </c>
      <c r="C6031" s="1151"/>
      <c r="D6031" s="1151"/>
      <c r="E6031" s="1151"/>
      <c r="F6031" s="1151"/>
      <c r="G6031" s="1151"/>
      <c r="H6031" s="1151"/>
      <c r="I6031" s="1151"/>
      <c r="J6031" s="1151"/>
      <c r="K6031" s="1151"/>
      <c r="L6031" s="1151"/>
      <c r="M6031" s="1152"/>
      <c r="N6031" s="345">
        <f>ROUND(N6021+N6029,0)</f>
        <v>11705</v>
      </c>
    </row>
    <row r="6032" spans="2:17">
      <c r="B6032" s="280"/>
      <c r="C6032" s="281"/>
      <c r="D6032" s="281"/>
      <c r="E6032" s="281"/>
      <c r="F6032" s="281"/>
      <c r="G6032" s="281"/>
      <c r="H6032" s="281"/>
      <c r="I6032" s="281"/>
      <c r="J6032" s="281"/>
      <c r="K6032" s="281"/>
      <c r="L6032" s="281"/>
      <c r="M6032" s="281"/>
      <c r="N6032" s="282"/>
    </row>
    <row r="6033" spans="2:14">
      <c r="B6033" s="283"/>
      <c r="N6033" s="284"/>
    </row>
    <row r="6034" spans="2:14">
      <c r="B6034" s="283"/>
      <c r="N6034" s="284"/>
    </row>
    <row r="6035" spans="2:14">
      <c r="B6035" s="283"/>
      <c r="G6035" s="346" t="s">
        <v>296</v>
      </c>
      <c r="H6035" s="346"/>
      <c r="I6035" s="346"/>
      <c r="J6035" s="346"/>
      <c r="N6035" s="284"/>
    </row>
    <row r="6036" spans="2:14">
      <c r="B6036" s="347"/>
      <c r="C6036" s="348"/>
      <c r="D6036" s="348"/>
      <c r="E6036" s="348"/>
      <c r="F6036" s="348"/>
      <c r="G6036" s="346" t="s">
        <v>297</v>
      </c>
      <c r="H6036" s="348"/>
      <c r="I6036" s="348"/>
      <c r="J6036" s="348"/>
      <c r="K6036" s="348"/>
      <c r="L6036" s="348"/>
      <c r="M6036" s="348"/>
      <c r="N6036" s="349"/>
    </row>
    <row r="6037" spans="2:14">
      <c r="B6037" s="347"/>
      <c r="C6037" s="348"/>
      <c r="D6037" s="348"/>
      <c r="E6037" s="348"/>
      <c r="F6037" s="348"/>
      <c r="G6037" s="346" t="s">
        <v>298</v>
      </c>
      <c r="J6037" s="348"/>
      <c r="K6037" s="348"/>
      <c r="L6037" s="348"/>
      <c r="M6037" s="348"/>
      <c r="N6037" s="349"/>
    </row>
    <row r="6038" spans="2:14">
      <c r="B6038" s="268"/>
      <c r="C6038" s="350"/>
      <c r="D6038" s="350"/>
      <c r="E6038" s="350"/>
      <c r="F6038" s="350"/>
      <c r="G6038" s="346" t="s">
        <v>299</v>
      </c>
      <c r="H6038" s="350"/>
      <c r="I6038" s="350"/>
      <c r="J6038" s="350"/>
      <c r="K6038" s="350"/>
      <c r="L6038" s="350"/>
      <c r="M6038" s="350"/>
      <c r="N6038" s="351"/>
    </row>
    <row r="6039" spans="2:14">
      <c r="B6039" s="283"/>
      <c r="G6039" s="258" t="s">
        <v>300</v>
      </c>
      <c r="N6039" s="284"/>
    </row>
    <row r="6040" spans="2:14">
      <c r="B6040" s="352" t="s">
        <v>301</v>
      </c>
      <c r="C6040" s="353"/>
      <c r="D6040" s="353"/>
      <c r="E6040" s="353"/>
      <c r="F6040" s="353"/>
      <c r="G6040" s="353"/>
      <c r="H6040" s="353"/>
      <c r="I6040" s="353"/>
      <c r="J6040" s="353"/>
      <c r="K6040" s="353"/>
      <c r="L6040" s="353"/>
      <c r="M6040" s="353"/>
      <c r="N6040" s="354"/>
    </row>
    <row r="6041" spans="2:14">
      <c r="B6041" s="1153"/>
      <c r="C6041" s="1154"/>
      <c r="D6041" s="1154"/>
      <c r="E6041" s="1154"/>
      <c r="F6041" s="1154"/>
      <c r="G6041" s="1154"/>
      <c r="H6041" s="1154"/>
      <c r="I6041" s="1154"/>
      <c r="J6041" s="1154"/>
      <c r="K6041" s="1154"/>
      <c r="L6041" s="1154"/>
      <c r="M6041" s="1154"/>
      <c r="N6041" s="1155"/>
    </row>
    <row r="6042" spans="2:14">
      <c r="B6042" s="1153"/>
      <c r="C6042" s="1154"/>
      <c r="D6042" s="1154"/>
      <c r="E6042" s="1154"/>
      <c r="F6042" s="1154"/>
      <c r="G6042" s="1154"/>
      <c r="H6042" s="1154"/>
      <c r="I6042" s="1154"/>
      <c r="J6042" s="1154"/>
      <c r="K6042" s="1154"/>
      <c r="L6042" s="1154"/>
      <c r="M6042" s="1154"/>
      <c r="N6042" s="1155"/>
    </row>
    <row r="6043" spans="2:14">
      <c r="B6043" s="268"/>
      <c r="C6043" s="350"/>
      <c r="D6043" s="350"/>
      <c r="E6043" s="350"/>
      <c r="F6043" s="350"/>
      <c r="G6043" s="350"/>
      <c r="H6043" s="350"/>
      <c r="I6043" s="350"/>
      <c r="J6043" s="350"/>
      <c r="K6043" s="350"/>
      <c r="L6043" s="350"/>
      <c r="M6043" s="350"/>
      <c r="N6043" s="351"/>
    </row>
    <row r="6044" spans="2:14">
      <c r="B6044" s="355" t="s">
        <v>302</v>
      </c>
      <c r="C6044" s="350"/>
      <c r="D6044" s="350"/>
      <c r="E6044" s="350"/>
      <c r="F6044" s="350"/>
      <c r="G6044" s="350"/>
      <c r="H6044" s="350"/>
      <c r="I6044" s="350"/>
      <c r="J6044" s="350"/>
      <c r="K6044" s="350"/>
      <c r="L6044" s="350"/>
      <c r="M6044" s="350"/>
      <c r="N6044" s="351"/>
    </row>
    <row r="6045" spans="2:14">
      <c r="B6045" s="1159" t="s">
        <v>303</v>
      </c>
      <c r="C6045" s="1160"/>
      <c r="D6045" s="1160"/>
      <c r="E6045" s="1160"/>
      <c r="F6045" s="1160"/>
      <c r="G6045" s="1160"/>
      <c r="H6045" s="1160"/>
      <c r="I6045" s="1160"/>
      <c r="J6045" s="1160"/>
      <c r="K6045" s="1160"/>
      <c r="L6045" s="1160"/>
      <c r="M6045" s="1160"/>
      <c r="N6045" s="1161"/>
    </row>
    <row r="6046" spans="2:14">
      <c r="B6046" s="1159"/>
      <c r="C6046" s="1160"/>
      <c r="D6046" s="1160"/>
      <c r="E6046" s="1160"/>
      <c r="F6046" s="1160"/>
      <c r="G6046" s="1160"/>
      <c r="H6046" s="1160"/>
      <c r="I6046" s="1160"/>
      <c r="J6046" s="1160"/>
      <c r="K6046" s="1160"/>
      <c r="L6046" s="1160"/>
      <c r="M6046" s="1160"/>
      <c r="N6046" s="1161"/>
    </row>
    <row r="6047" spans="2:14">
      <c r="B6047" s="1159" t="s">
        <v>304</v>
      </c>
      <c r="C6047" s="1160"/>
      <c r="D6047" s="1160"/>
      <c r="E6047" s="1160"/>
      <c r="F6047" s="1160"/>
      <c r="G6047" s="1160"/>
      <c r="H6047" s="1160"/>
      <c r="I6047" s="1160"/>
      <c r="J6047" s="1160"/>
      <c r="K6047" s="1160"/>
      <c r="L6047" s="1160"/>
      <c r="M6047" s="1160"/>
      <c r="N6047" s="1161"/>
    </row>
    <row r="6048" spans="2:14">
      <c r="B6048" s="1159"/>
      <c r="C6048" s="1160"/>
      <c r="D6048" s="1160"/>
      <c r="E6048" s="1160"/>
      <c r="F6048" s="1160"/>
      <c r="G6048" s="1160"/>
      <c r="H6048" s="1160"/>
      <c r="I6048" s="1160"/>
      <c r="J6048" s="1160"/>
      <c r="K6048" s="1160"/>
      <c r="L6048" s="1160"/>
      <c r="M6048" s="1160"/>
      <c r="N6048" s="1161"/>
    </row>
    <row r="6049" spans="2:14">
      <c r="B6049" s="268"/>
      <c r="C6049" s="350"/>
      <c r="D6049" s="350"/>
      <c r="E6049" s="350"/>
      <c r="F6049" s="350"/>
      <c r="G6049" s="350"/>
      <c r="H6049" s="350"/>
      <c r="I6049" s="350"/>
      <c r="J6049" s="350"/>
      <c r="K6049" s="350"/>
      <c r="L6049" s="350"/>
      <c r="M6049" s="350"/>
      <c r="N6049" s="351"/>
    </row>
    <row r="6050" spans="2:14">
      <c r="B6050" s="283"/>
      <c r="G6050" s="346" t="s">
        <v>296</v>
      </c>
      <c r="N6050" s="284"/>
    </row>
    <row r="6051" spans="2:14">
      <c r="B6051" s="283"/>
      <c r="G6051" s="258" t="s">
        <v>305</v>
      </c>
      <c r="H6051" s="293"/>
      <c r="I6051" s="293"/>
      <c r="J6051" s="293"/>
      <c r="N6051" s="284"/>
    </row>
    <row r="6052" spans="2:14">
      <c r="B6052" s="283"/>
      <c r="G6052" s="258" t="s">
        <v>306</v>
      </c>
      <c r="H6052" s="325"/>
      <c r="I6052" s="325"/>
      <c r="J6052" s="325"/>
      <c r="N6052" s="284"/>
    </row>
    <row r="6053" spans="2:14">
      <c r="B6053" s="356"/>
      <c r="C6053" s="350"/>
      <c r="D6053" s="350"/>
      <c r="E6053" s="350"/>
      <c r="F6053" s="350"/>
      <c r="G6053" s="258" t="s">
        <v>299</v>
      </c>
      <c r="K6053" s="350"/>
      <c r="L6053" s="350"/>
      <c r="M6053" s="350"/>
      <c r="N6053" s="351"/>
    </row>
    <row r="6054" spans="2:14">
      <c r="B6054" s="357"/>
      <c r="C6054" s="358"/>
      <c r="D6054" s="358"/>
      <c r="J6054" s="1162"/>
      <c r="K6054" s="1162"/>
      <c r="L6054" s="1162"/>
      <c r="M6054" s="1162"/>
      <c r="N6054" s="1163"/>
    </row>
    <row r="6055" spans="2:14" ht="13.5" thickBot="1">
      <c r="B6055" s="1166"/>
      <c r="C6055" s="1167"/>
      <c r="D6055" s="1167"/>
      <c r="E6055" s="311"/>
      <c r="F6055" s="311"/>
      <c r="G6055" s="311"/>
      <c r="H6055" s="311"/>
      <c r="I6055" s="311"/>
      <c r="J6055" s="1164"/>
      <c r="K6055" s="1164"/>
      <c r="L6055" s="1164"/>
      <c r="M6055" s="1164"/>
      <c r="N6055" s="1165"/>
    </row>
    <row r="6056" spans="2:14" ht="13.5" thickBot="1"/>
    <row r="6057" spans="2:14">
      <c r="B6057" s="1070"/>
      <c r="C6057" s="1072"/>
      <c r="D6057" s="1073"/>
      <c r="E6057" s="1073"/>
      <c r="F6057" s="1073"/>
      <c r="G6057" s="1073"/>
      <c r="H6057" s="1073"/>
      <c r="I6057" s="1073"/>
      <c r="J6057" s="1074"/>
      <c r="K6057" s="1075"/>
      <c r="L6057" s="1076"/>
      <c r="M6057" s="1076"/>
      <c r="N6057" s="1077"/>
    </row>
    <row r="6058" spans="2:14">
      <c r="B6058" s="1071"/>
      <c r="C6058" s="1062" t="s">
        <v>244</v>
      </c>
      <c r="D6058" s="1063"/>
      <c r="E6058" s="1063"/>
      <c r="F6058" s="1063"/>
      <c r="G6058" s="1063"/>
      <c r="H6058" s="1063"/>
      <c r="I6058" s="1063"/>
      <c r="J6058" s="1064"/>
      <c r="K6058" s="1078"/>
      <c r="L6058" s="1079"/>
      <c r="M6058" s="1079"/>
      <c r="N6058" s="1080"/>
    </row>
    <row r="6059" spans="2:14">
      <c r="B6059" s="1071"/>
      <c r="C6059" s="1081"/>
      <c r="D6059" s="1082"/>
      <c r="E6059" s="1082"/>
      <c r="F6059" s="1082"/>
      <c r="G6059" s="1082"/>
      <c r="H6059" s="1082"/>
      <c r="I6059" s="1082"/>
      <c r="J6059" s="1083"/>
      <c r="K6059" s="1058" t="s">
        <v>245</v>
      </c>
      <c r="L6059" s="1085"/>
      <c r="M6059" s="1086"/>
      <c r="N6059" s="1087"/>
    </row>
    <row r="6060" spans="2:14">
      <c r="B6060" s="1071"/>
      <c r="C6060" s="1062" t="s">
        <v>246</v>
      </c>
      <c r="D6060" s="1063"/>
      <c r="E6060" s="1063"/>
      <c r="F6060" s="1063"/>
      <c r="G6060" s="1063"/>
      <c r="H6060" s="1063"/>
      <c r="I6060" s="1063"/>
      <c r="J6060" s="1064"/>
      <c r="K6060" s="1084"/>
      <c r="L6060" s="1088"/>
      <c r="M6060" s="1089"/>
      <c r="N6060" s="1090"/>
    </row>
    <row r="6061" spans="2:14">
      <c r="B6061" s="1071"/>
      <c r="C6061" s="1091"/>
      <c r="D6061" s="1092"/>
      <c r="E6061" s="1092"/>
      <c r="F6061" s="1092"/>
      <c r="G6061" s="1092"/>
      <c r="H6061" s="1092"/>
      <c r="I6061" s="1092"/>
      <c r="J6061" s="1093"/>
      <c r="K6061" s="1058" t="s">
        <v>247</v>
      </c>
      <c r="L6061" s="1058">
        <v>69</v>
      </c>
      <c r="M6061" s="1058" t="s">
        <v>248</v>
      </c>
      <c r="N6061" s="1060">
        <v>80</v>
      </c>
    </row>
    <row r="6062" spans="2:14">
      <c r="B6062" s="1071"/>
      <c r="C6062" s="1091"/>
      <c r="D6062" s="1092"/>
      <c r="E6062" s="1092"/>
      <c r="F6062" s="1092"/>
      <c r="G6062" s="1092"/>
      <c r="H6062" s="1092"/>
      <c r="I6062" s="1092"/>
      <c r="J6062" s="1093"/>
      <c r="K6062" s="1059"/>
      <c r="L6062" s="1059"/>
      <c r="M6062" s="1059"/>
      <c r="N6062" s="1061"/>
    </row>
    <row r="6063" spans="2:14">
      <c r="B6063" s="1071"/>
      <c r="C6063" s="1062" t="s">
        <v>249</v>
      </c>
      <c r="D6063" s="1063"/>
      <c r="E6063" s="1063"/>
      <c r="F6063" s="1063"/>
      <c r="G6063" s="1063"/>
      <c r="H6063" s="1063"/>
      <c r="I6063" s="1063"/>
      <c r="J6063" s="1064"/>
      <c r="K6063" s="1059"/>
      <c r="L6063" s="1059"/>
      <c r="M6063" s="1059"/>
      <c r="N6063" s="1061"/>
    </row>
    <row r="6064" spans="2:14" ht="13.5" thickBot="1">
      <c r="B6064" s="259"/>
      <c r="C6064" s="260"/>
      <c r="D6064" s="260"/>
      <c r="E6064" s="260"/>
      <c r="F6064" s="260"/>
      <c r="G6064" s="260"/>
      <c r="H6064" s="260"/>
      <c r="I6064" s="260"/>
      <c r="J6064" s="260"/>
      <c r="K6064" s="260"/>
      <c r="L6064" s="261"/>
      <c r="M6064" s="261"/>
      <c r="N6064" s="262"/>
    </row>
    <row r="6065" spans="2:14">
      <c r="B6065" s="263"/>
      <c r="C6065" s="264"/>
      <c r="D6065" s="264"/>
      <c r="E6065" s="264"/>
      <c r="F6065" s="264"/>
      <c r="G6065" s="264"/>
      <c r="H6065" s="264"/>
      <c r="I6065" s="264"/>
      <c r="J6065" s="264"/>
      <c r="K6065" s="265" t="s">
        <v>250</v>
      </c>
      <c r="L6065" s="266" t="s">
        <v>251</v>
      </c>
      <c r="M6065" s="266" t="s">
        <v>252</v>
      </c>
      <c r="N6065" s="267" t="s">
        <v>253</v>
      </c>
    </row>
    <row r="6066" spans="2:14">
      <c r="B6066" s="268"/>
      <c r="C6066" s="269"/>
      <c r="D6066" s="269"/>
      <c r="E6066" s="269"/>
      <c r="F6066" s="269"/>
      <c r="G6066" s="269"/>
      <c r="H6066" s="269"/>
      <c r="I6066" s="269"/>
      <c r="J6066" s="269"/>
      <c r="K6066" s="270"/>
      <c r="L6066" s="271"/>
      <c r="M6066" s="271"/>
      <c r="N6066" s="272"/>
    </row>
    <row r="6067" spans="2:14">
      <c r="B6067" s="1065" t="s">
        <v>254</v>
      </c>
      <c r="C6067" s="1066"/>
      <c r="D6067" s="1066"/>
      <c r="E6067" s="1066"/>
      <c r="F6067" s="269"/>
      <c r="G6067" s="269"/>
      <c r="H6067" s="269" t="s">
        <v>255</v>
      </c>
      <c r="J6067" s="269"/>
      <c r="K6067" s="270"/>
      <c r="N6067" s="273"/>
    </row>
    <row r="6068" spans="2:14">
      <c r="B6068" s="274"/>
      <c r="C6068" s="275"/>
      <c r="D6068" s="275"/>
      <c r="E6068" s="275"/>
      <c r="F6068" s="275"/>
      <c r="G6068" s="275"/>
      <c r="H6068" s="275"/>
      <c r="I6068" s="275"/>
      <c r="J6068" s="275"/>
      <c r="K6068" s="275"/>
      <c r="L6068" s="275"/>
      <c r="M6068" s="275"/>
      <c r="N6068" s="276"/>
    </row>
    <row r="6069" spans="2:14" ht="13.5" thickBot="1">
      <c r="B6069" s="277"/>
      <c r="C6069" s="278"/>
      <c r="D6069" s="278"/>
      <c r="E6069" s="278"/>
      <c r="F6069" s="278"/>
      <c r="G6069" s="278"/>
      <c r="H6069" s="278"/>
      <c r="I6069" s="278"/>
      <c r="J6069" s="278"/>
      <c r="K6069" s="278"/>
      <c r="L6069" s="278"/>
      <c r="M6069" s="278"/>
      <c r="N6069" s="279"/>
    </row>
    <row r="6070" spans="2:14" ht="13.5" thickBot="1">
      <c r="B6070" s="280"/>
      <c r="C6070" s="281"/>
      <c r="D6070" s="281"/>
      <c r="E6070" s="281"/>
      <c r="F6070" s="281"/>
      <c r="G6070" s="281"/>
      <c r="J6070" s="281"/>
      <c r="K6070" s="281"/>
      <c r="L6070" s="281"/>
      <c r="M6070" s="281"/>
      <c r="N6070" s="282"/>
    </row>
    <row r="6071" spans="2:14">
      <c r="B6071" s="1067" t="s">
        <v>256</v>
      </c>
      <c r="C6071" s="1068"/>
      <c r="D6071" s="1068"/>
      <c r="E6071" s="1068"/>
      <c r="F6071" s="1068"/>
      <c r="G6071" s="1068"/>
      <c r="H6071" s="1068"/>
      <c r="I6071" s="1068"/>
      <c r="J6071" s="1068"/>
      <c r="K6071" s="1068"/>
      <c r="L6071" s="1068"/>
      <c r="M6071" s="1068"/>
      <c r="N6071" s="1069"/>
    </row>
    <row r="6072" spans="2:14" ht="13.5" thickBot="1">
      <c r="B6072" s="283"/>
      <c r="N6072" s="284"/>
    </row>
    <row r="6073" spans="2:14">
      <c r="B6073" s="285" t="s">
        <v>257</v>
      </c>
      <c r="C6073" s="1120" t="s">
        <v>258</v>
      </c>
      <c r="D6073" s="1121"/>
      <c r="E6073" s="1121"/>
      <c r="F6073" s="1121"/>
      <c r="G6073" s="1121"/>
      <c r="H6073" s="1121"/>
      <c r="I6073" s="1121"/>
      <c r="J6073" s="1121"/>
      <c r="K6073" s="1122"/>
      <c r="L6073" s="1123" t="s">
        <v>259</v>
      </c>
      <c r="M6073" s="1124"/>
      <c r="N6073" s="285" t="s">
        <v>133</v>
      </c>
    </row>
    <row r="6074" spans="2:14" ht="30" customHeight="1" thickBot="1">
      <c r="B6074" s="286">
        <v>69</v>
      </c>
      <c r="C6074" s="1125" t="s">
        <v>212</v>
      </c>
      <c r="D6074" s="1126"/>
      <c r="E6074" s="1126"/>
      <c r="F6074" s="1126"/>
      <c r="G6074" s="1126"/>
      <c r="H6074" s="1126"/>
      <c r="I6074" s="1126"/>
      <c r="J6074" s="1126"/>
      <c r="K6074" s="1127"/>
      <c r="L6074" s="1128" t="s">
        <v>143</v>
      </c>
      <c r="M6074" s="1129"/>
      <c r="N6074" s="366">
        <v>240</v>
      </c>
    </row>
    <row r="6075" spans="2:14">
      <c r="B6075" s="1103" t="s">
        <v>260</v>
      </c>
      <c r="C6075" s="1104"/>
      <c r="D6075" s="1104"/>
      <c r="E6075" s="1104"/>
      <c r="F6075" s="1104"/>
      <c r="G6075" s="1104"/>
      <c r="H6075" s="1104"/>
      <c r="I6075" s="1104"/>
      <c r="J6075" s="1104"/>
      <c r="K6075" s="1104"/>
      <c r="L6075" s="1104"/>
      <c r="M6075" s="1104"/>
      <c r="N6075" s="1105"/>
    </row>
    <row r="6076" spans="2:14">
      <c r="B6076" s="1106"/>
      <c r="C6076" s="1107"/>
      <c r="D6076" s="1107"/>
      <c r="E6076" s="1107"/>
      <c r="F6076" s="1107"/>
      <c r="G6076" s="1107"/>
      <c r="H6076" s="1107"/>
      <c r="I6076" s="1107"/>
      <c r="J6076" s="1107"/>
      <c r="K6076" s="1107"/>
      <c r="L6076" s="1107"/>
      <c r="M6076" s="1107"/>
      <c r="N6076" s="1108"/>
    </row>
    <row r="6077" spans="2:14" ht="13.5" thickBot="1">
      <c r="B6077" s="1109"/>
      <c r="C6077" s="1110"/>
      <c r="D6077" s="1110"/>
      <c r="E6077" s="1110"/>
      <c r="F6077" s="1110"/>
      <c r="G6077" s="1110"/>
      <c r="H6077" s="1110"/>
      <c r="I6077" s="1110"/>
      <c r="J6077" s="1110"/>
      <c r="K6077" s="1110"/>
      <c r="L6077" s="1110"/>
      <c r="M6077" s="1110"/>
      <c r="N6077" s="1111"/>
    </row>
    <row r="6078" spans="2:14">
      <c r="B6078" s="1130" t="s">
        <v>258</v>
      </c>
      <c r="C6078" s="1131"/>
      <c r="D6078" s="1131"/>
      <c r="E6078" s="1131"/>
      <c r="F6078" s="1132"/>
      <c r="G6078" s="1133" t="s">
        <v>261</v>
      </c>
      <c r="H6078" s="1131"/>
      <c r="I6078" s="1134" t="s">
        <v>262</v>
      </c>
      <c r="J6078" s="1135"/>
      <c r="K6078" s="288" t="s">
        <v>263</v>
      </c>
      <c r="L6078" s="1133" t="s">
        <v>264</v>
      </c>
      <c r="M6078" s="1136"/>
      <c r="N6078" s="289" t="s">
        <v>265</v>
      </c>
    </row>
    <row r="6079" spans="2:14" ht="13.5" thickBot="1">
      <c r="B6079" s="1179" t="s">
        <v>340</v>
      </c>
      <c r="C6079" s="1180"/>
      <c r="D6079" s="1180"/>
      <c r="E6079" s="1180"/>
      <c r="F6079" s="1181"/>
      <c r="G6079" s="295"/>
      <c r="H6079" s="294"/>
      <c r="I6079" s="1182" t="s">
        <v>267</v>
      </c>
      <c r="J6079" s="1183"/>
      <c r="K6079" s="290">
        <v>45220</v>
      </c>
      <c r="L6079" s="1118">
        <v>20</v>
      </c>
      <c r="M6079" s="1119"/>
      <c r="N6079" s="290">
        <f>+K6079/L6079</f>
        <v>2261</v>
      </c>
    </row>
    <row r="6080" spans="2:14" ht="13.5" thickBot="1">
      <c r="B6080" s="1100" t="s">
        <v>269</v>
      </c>
      <c r="C6080" s="1101"/>
      <c r="D6080" s="1101"/>
      <c r="E6080" s="1101"/>
      <c r="F6080" s="1101"/>
      <c r="G6080" s="1101"/>
      <c r="H6080" s="1101"/>
      <c r="I6080" s="1101"/>
      <c r="J6080" s="1101"/>
      <c r="K6080" s="1101"/>
      <c r="L6080" s="1101"/>
      <c r="M6080" s="1102"/>
      <c r="N6080" s="323">
        <f>+N6079</f>
        <v>2261</v>
      </c>
    </row>
    <row r="6081" spans="2:14">
      <c r="B6081" s="1103" t="s">
        <v>270</v>
      </c>
      <c r="C6081" s="1104"/>
      <c r="D6081" s="1104"/>
      <c r="E6081" s="1104"/>
      <c r="F6081" s="1104"/>
      <c r="G6081" s="1104"/>
      <c r="H6081" s="1104"/>
      <c r="I6081" s="1104"/>
      <c r="J6081" s="1104"/>
      <c r="K6081" s="1104"/>
      <c r="L6081" s="1104"/>
      <c r="M6081" s="1104"/>
      <c r="N6081" s="1105"/>
    </row>
    <row r="6082" spans="2:14">
      <c r="B6082" s="1106"/>
      <c r="C6082" s="1107"/>
      <c r="D6082" s="1107"/>
      <c r="E6082" s="1107"/>
      <c r="F6082" s="1107"/>
      <c r="G6082" s="1107"/>
      <c r="H6082" s="1107"/>
      <c r="I6082" s="1107"/>
      <c r="J6082" s="1107"/>
      <c r="K6082" s="1107"/>
      <c r="L6082" s="1107"/>
      <c r="M6082" s="1107"/>
      <c r="N6082" s="1108"/>
    </row>
    <row r="6083" spans="2:14" ht="13.5" thickBot="1">
      <c r="B6083" s="1109"/>
      <c r="C6083" s="1110"/>
      <c r="D6083" s="1110"/>
      <c r="E6083" s="1110"/>
      <c r="F6083" s="1110"/>
      <c r="G6083" s="1110"/>
      <c r="H6083" s="1110"/>
      <c r="I6083" s="1110"/>
      <c r="J6083" s="1110"/>
      <c r="K6083" s="1110"/>
      <c r="L6083" s="1110"/>
      <c r="M6083" s="1110"/>
      <c r="N6083" s="1111"/>
    </row>
    <row r="6084" spans="2:14">
      <c r="B6084" s="1130" t="s">
        <v>258</v>
      </c>
      <c r="C6084" s="1139"/>
      <c r="D6084" s="1139"/>
      <c r="E6084" s="1139"/>
      <c r="F6084" s="1139"/>
      <c r="G6084" s="1139"/>
      <c r="H6084" s="1139"/>
      <c r="I6084" s="1136"/>
      <c r="J6084" s="299" t="s">
        <v>259</v>
      </c>
      <c r="K6084" s="288" t="s">
        <v>133</v>
      </c>
      <c r="L6084" s="1133" t="s">
        <v>271</v>
      </c>
      <c r="M6084" s="1136"/>
      <c r="N6084" s="289" t="s">
        <v>265</v>
      </c>
    </row>
    <row r="6085" spans="2:14">
      <c r="B6085" s="402" t="s">
        <v>348</v>
      </c>
      <c r="C6085" s="353"/>
      <c r="D6085" s="353"/>
      <c r="E6085" s="353"/>
      <c r="F6085" s="353"/>
      <c r="G6085" s="353"/>
      <c r="H6085" s="353"/>
      <c r="I6085" s="403"/>
      <c r="J6085" s="303" t="s">
        <v>147</v>
      </c>
      <c r="K6085" s="392">
        <v>7.0999999999999994E-2</v>
      </c>
      <c r="L6085" s="1144">
        <v>369520</v>
      </c>
      <c r="M6085" s="1145"/>
      <c r="N6085" s="363">
        <f>+K6085*L6085</f>
        <v>26235.919999999998</v>
      </c>
    </row>
    <row r="6086" spans="2:14" ht="13.5" thickBot="1">
      <c r="B6086" s="402" t="s">
        <v>332</v>
      </c>
      <c r="C6086" s="353"/>
      <c r="D6086" s="353"/>
      <c r="E6086" s="353"/>
      <c r="F6086" s="353"/>
      <c r="G6086" s="353"/>
      <c r="H6086" s="353"/>
      <c r="I6086" s="403"/>
      <c r="J6086" s="303" t="s">
        <v>196</v>
      </c>
      <c r="K6086" s="392">
        <v>1</v>
      </c>
      <c r="L6086" s="1144">
        <v>10710</v>
      </c>
      <c r="M6086" s="1145"/>
      <c r="N6086" s="363">
        <f>+K6086*L6086</f>
        <v>10710</v>
      </c>
    </row>
    <row r="6087" spans="2:14" ht="13.5" thickBot="1">
      <c r="B6087" s="1100" t="s">
        <v>269</v>
      </c>
      <c r="C6087" s="1101"/>
      <c r="D6087" s="1101"/>
      <c r="E6087" s="1101"/>
      <c r="F6087" s="1101"/>
      <c r="G6087" s="1101"/>
      <c r="H6087" s="1101"/>
      <c r="I6087" s="1101"/>
      <c r="J6087" s="1101"/>
      <c r="K6087" s="1101"/>
      <c r="L6087" s="1101"/>
      <c r="M6087" s="1102"/>
      <c r="N6087" s="323">
        <f>+N6085+N6086</f>
        <v>36945.919999999998</v>
      </c>
    </row>
    <row r="6088" spans="2:14">
      <c r="B6088" s="1103" t="s">
        <v>367</v>
      </c>
      <c r="C6088" s="1104"/>
      <c r="D6088" s="1104"/>
      <c r="E6088" s="1104"/>
      <c r="F6088" s="1104"/>
      <c r="G6088" s="1104"/>
      <c r="H6088" s="1104"/>
      <c r="I6088" s="1104"/>
      <c r="J6088" s="1104"/>
      <c r="K6088" s="1104"/>
      <c r="L6088" s="1104"/>
      <c r="M6088" s="1104"/>
      <c r="N6088" s="1105"/>
    </row>
    <row r="6089" spans="2:14">
      <c r="B6089" s="1106"/>
      <c r="C6089" s="1107"/>
      <c r="D6089" s="1107"/>
      <c r="E6089" s="1107"/>
      <c r="F6089" s="1107"/>
      <c r="G6089" s="1107"/>
      <c r="H6089" s="1107"/>
      <c r="I6089" s="1107"/>
      <c r="J6089" s="1107"/>
      <c r="K6089" s="1107"/>
      <c r="L6089" s="1107"/>
      <c r="M6089" s="1107"/>
      <c r="N6089" s="1108"/>
    </row>
    <row r="6090" spans="2:14" ht="13.5" thickBot="1">
      <c r="B6090" s="1109"/>
      <c r="C6090" s="1110"/>
      <c r="D6090" s="1110"/>
      <c r="E6090" s="1110"/>
      <c r="F6090" s="1110"/>
      <c r="G6090" s="1110"/>
      <c r="H6090" s="1110"/>
      <c r="I6090" s="1110"/>
      <c r="J6090" s="1110"/>
      <c r="K6090" s="1110"/>
      <c r="L6090" s="1110"/>
      <c r="M6090" s="1110"/>
      <c r="N6090" s="1111"/>
    </row>
    <row r="6091" spans="2:14">
      <c r="B6091" s="1130" t="s">
        <v>277</v>
      </c>
      <c r="C6091" s="1139"/>
      <c r="D6091" s="1139"/>
      <c r="E6091" s="1139"/>
      <c r="F6091" s="1139"/>
      <c r="G6091" s="1139"/>
      <c r="H6091" s="1139"/>
      <c r="I6091" s="288" t="s">
        <v>278</v>
      </c>
      <c r="J6091" s="306" t="s">
        <v>279</v>
      </c>
      <c r="K6091" s="307" t="s">
        <v>280</v>
      </c>
      <c r="L6091" s="1133" t="s">
        <v>281</v>
      </c>
      <c r="M6091" s="1136"/>
      <c r="N6091" s="289" t="s">
        <v>265</v>
      </c>
    </row>
    <row r="6092" spans="2:14" ht="13.5" thickBot="1">
      <c r="B6092" s="1112"/>
      <c r="C6092" s="1113"/>
      <c r="D6092" s="1113"/>
      <c r="E6092" s="1113"/>
      <c r="F6092" s="1113"/>
      <c r="G6092" s="1113"/>
      <c r="H6092" s="1113"/>
      <c r="I6092" s="393"/>
      <c r="J6092" s="309"/>
      <c r="K6092" s="308"/>
      <c r="L6092" s="1144"/>
      <c r="M6092" s="1145"/>
      <c r="N6092" s="363"/>
    </row>
    <row r="6093" spans="2:14" ht="13.5" thickBot="1">
      <c r="B6093" s="1100" t="s">
        <v>269</v>
      </c>
      <c r="C6093" s="1101"/>
      <c r="D6093" s="1101"/>
      <c r="E6093" s="1101"/>
      <c r="F6093" s="1101"/>
      <c r="G6093" s="1101"/>
      <c r="H6093" s="1101"/>
      <c r="I6093" s="1101"/>
      <c r="J6093" s="1101"/>
      <c r="K6093" s="1101"/>
      <c r="L6093" s="1101"/>
      <c r="M6093" s="1102"/>
      <c r="N6093" s="323">
        <f>+N6092</f>
        <v>0</v>
      </c>
    </row>
    <row r="6094" spans="2:14">
      <c r="B6094" s="1103" t="s">
        <v>282</v>
      </c>
      <c r="C6094" s="1104"/>
      <c r="D6094" s="1104"/>
      <c r="E6094" s="1104"/>
      <c r="F6094" s="1104"/>
      <c r="G6094" s="1104"/>
      <c r="H6094" s="1104"/>
      <c r="I6094" s="1104"/>
      <c r="J6094" s="1104"/>
      <c r="K6094" s="1104"/>
      <c r="L6094" s="1104"/>
      <c r="M6094" s="1104"/>
      <c r="N6094" s="1105"/>
    </row>
    <row r="6095" spans="2:14">
      <c r="B6095" s="1106"/>
      <c r="C6095" s="1107"/>
      <c r="D6095" s="1107"/>
      <c r="E6095" s="1107"/>
      <c r="F6095" s="1107"/>
      <c r="G6095" s="1107"/>
      <c r="H6095" s="1107"/>
      <c r="I6095" s="1107"/>
      <c r="J6095" s="1107"/>
      <c r="K6095" s="1107"/>
      <c r="L6095" s="1107"/>
      <c r="M6095" s="1107"/>
      <c r="N6095" s="1108"/>
    </row>
    <row r="6096" spans="2:14" ht="13.5" thickBot="1">
      <c r="B6096" s="1109"/>
      <c r="C6096" s="1110"/>
      <c r="D6096" s="1110"/>
      <c r="E6096" s="1110"/>
      <c r="F6096" s="1110"/>
      <c r="G6096" s="1110"/>
      <c r="H6096" s="1110"/>
      <c r="I6096" s="1110"/>
      <c r="J6096" s="1110"/>
      <c r="K6096" s="1110"/>
      <c r="L6096" s="1110"/>
      <c r="M6096" s="1110"/>
      <c r="N6096" s="1111"/>
    </row>
    <row r="6097" spans="2:17">
      <c r="B6097" s="1130" t="s">
        <v>283</v>
      </c>
      <c r="C6097" s="1139"/>
      <c r="D6097" s="1139"/>
      <c r="E6097" s="1139"/>
      <c r="F6097" s="1139"/>
      <c r="G6097" s="1139"/>
      <c r="H6097" s="1139"/>
      <c r="I6097" s="288" t="s">
        <v>284</v>
      </c>
      <c r="J6097" s="314" t="s">
        <v>285</v>
      </c>
      <c r="K6097" s="315" t="s">
        <v>286</v>
      </c>
      <c r="L6097" s="1140" t="s">
        <v>264</v>
      </c>
      <c r="M6097" s="1141"/>
      <c r="N6097" s="316" t="s">
        <v>265</v>
      </c>
    </row>
    <row r="6098" spans="2:17" ht="13.5" thickBot="1">
      <c r="B6098" s="317" t="s">
        <v>322</v>
      </c>
      <c r="C6098" s="318"/>
      <c r="D6098" s="318"/>
      <c r="E6098" s="318"/>
      <c r="F6098" s="318"/>
      <c r="G6098" s="318"/>
      <c r="H6098" s="318"/>
      <c r="I6098" s="319">
        <v>153482</v>
      </c>
      <c r="J6098" s="321">
        <v>0</v>
      </c>
      <c r="K6098" s="321">
        <f>+I6098+J6098</f>
        <v>153482</v>
      </c>
      <c r="L6098" s="1157">
        <v>12.000048</v>
      </c>
      <c r="M6098" s="1158"/>
      <c r="N6098" s="322">
        <f>+K6098/L6098</f>
        <v>12790.115506204642</v>
      </c>
    </row>
    <row r="6099" spans="2:17" ht="13.5" thickBot="1">
      <c r="B6099" s="1100" t="s">
        <v>269</v>
      </c>
      <c r="C6099" s="1101"/>
      <c r="D6099" s="1101"/>
      <c r="E6099" s="1101"/>
      <c r="F6099" s="1101"/>
      <c r="G6099" s="1101"/>
      <c r="H6099" s="1101"/>
      <c r="I6099" s="1101"/>
      <c r="J6099" s="1101"/>
      <c r="K6099" s="1101"/>
      <c r="L6099" s="1101"/>
      <c r="M6099" s="1102"/>
      <c r="N6099" s="322">
        <f>+N6098</f>
        <v>12790.115506204642</v>
      </c>
    </row>
    <row r="6100" spans="2:17" ht="13.5" thickBot="1">
      <c r="B6100" s="324" t="s">
        <v>288</v>
      </c>
      <c r="C6100" s="325"/>
      <c r="D6100" s="325"/>
      <c r="E6100" s="325"/>
      <c r="F6100" s="325"/>
      <c r="G6100" s="325"/>
      <c r="H6100" s="325"/>
      <c r="I6100" s="326"/>
      <c r="J6100" s="327"/>
      <c r="K6100" s="328"/>
      <c r="L6100" s="329"/>
      <c r="M6100" s="329"/>
      <c r="N6100" s="330"/>
    </row>
    <row r="6101" spans="2:17">
      <c r="B6101" s="1130" t="s">
        <v>17</v>
      </c>
      <c r="C6101" s="1139"/>
      <c r="D6101" s="1139"/>
      <c r="E6101" s="1139"/>
      <c r="F6101" s="1139"/>
      <c r="G6101" s="1139"/>
      <c r="H6101" s="1139"/>
      <c r="I6101" s="1136"/>
      <c r="J6101" s="299" t="s">
        <v>259</v>
      </c>
      <c r="K6101" s="288" t="s">
        <v>133</v>
      </c>
      <c r="L6101" s="1133" t="s">
        <v>271</v>
      </c>
      <c r="M6101" s="1136"/>
      <c r="N6101" s="316" t="s">
        <v>265</v>
      </c>
    </row>
    <row r="6102" spans="2:17" ht="13.5" thickBot="1">
      <c r="B6102" s="331" t="s">
        <v>289</v>
      </c>
      <c r="C6102" s="332"/>
      <c r="D6102" s="332"/>
      <c r="E6102" s="332"/>
      <c r="F6102" s="332"/>
      <c r="G6102" s="332"/>
      <c r="H6102" s="332"/>
      <c r="I6102" s="333"/>
      <c r="J6102" s="334" t="s">
        <v>290</v>
      </c>
      <c r="K6102" s="335">
        <v>0.05</v>
      </c>
      <c r="L6102" s="1144">
        <f>+N6099</f>
        <v>12790.115506204642</v>
      </c>
      <c r="M6102" s="1145"/>
      <c r="N6102" s="322">
        <f>+K6102*L6102</f>
        <v>639.50577531023214</v>
      </c>
    </row>
    <row r="6103" spans="2:17" ht="13.5" thickBot="1">
      <c r="B6103" s="1100" t="s">
        <v>269</v>
      </c>
      <c r="C6103" s="1101"/>
      <c r="D6103" s="1101"/>
      <c r="E6103" s="1101"/>
      <c r="F6103" s="1101"/>
      <c r="G6103" s="1101"/>
      <c r="H6103" s="1101"/>
      <c r="I6103" s="1101"/>
      <c r="J6103" s="1101"/>
      <c r="K6103" s="1101"/>
      <c r="L6103" s="1101"/>
      <c r="M6103" s="1102"/>
      <c r="N6103" s="322">
        <f>+N6102</f>
        <v>639.50577531023214</v>
      </c>
      <c r="P6103" s="408">
        <v>12632880</v>
      </c>
    </row>
    <row r="6104" spans="2:17" ht="13.5" thickBot="1">
      <c r="B6104" s="1100"/>
      <c r="C6104" s="1101"/>
      <c r="D6104" s="1101"/>
      <c r="E6104" s="1101"/>
      <c r="F6104" s="1101"/>
      <c r="G6104" s="1101"/>
      <c r="H6104" s="1101"/>
      <c r="I6104" s="1101"/>
      <c r="J6104" s="1101"/>
      <c r="K6104" s="1101"/>
      <c r="L6104" s="1101"/>
      <c r="M6104" s="1102"/>
      <c r="N6104" s="322"/>
    </row>
    <row r="6105" spans="2:17" ht="13.5" thickBot="1">
      <c r="B6105" s="1150" t="s">
        <v>291</v>
      </c>
      <c r="C6105" s="1151"/>
      <c r="D6105" s="1151"/>
      <c r="E6105" s="1151"/>
      <c r="F6105" s="1151"/>
      <c r="G6105" s="1151"/>
      <c r="H6105" s="1151"/>
      <c r="I6105" s="1151"/>
      <c r="J6105" s="1151"/>
      <c r="K6105" s="1151"/>
      <c r="L6105" s="1151"/>
      <c r="M6105" s="1152"/>
      <c r="N6105" s="336">
        <f>+N6080+N6087+N6093+N6099+N6103</f>
        <v>52636.541281514874</v>
      </c>
      <c r="P6105" s="409">
        <f>+N6105*N6074</f>
        <v>12632769.907563569</v>
      </c>
      <c r="Q6105" s="413">
        <f>+P6105-P6103</f>
        <v>-110.09243643097579</v>
      </c>
    </row>
    <row r="6106" spans="2:17">
      <c r="B6106" s="1103" t="s">
        <v>292</v>
      </c>
      <c r="C6106" s="1104"/>
      <c r="D6106" s="1104"/>
      <c r="E6106" s="1104"/>
      <c r="F6106" s="1104"/>
      <c r="G6106" s="1104"/>
      <c r="H6106" s="1104"/>
      <c r="I6106" s="1104"/>
      <c r="J6106" s="1104"/>
      <c r="K6106" s="1104"/>
      <c r="L6106" s="1104"/>
      <c r="M6106" s="1104"/>
      <c r="N6106" s="1105"/>
    </row>
    <row r="6107" spans="2:17">
      <c r="B6107" s="1106"/>
      <c r="C6107" s="1107"/>
      <c r="D6107" s="1107"/>
      <c r="E6107" s="1107"/>
      <c r="F6107" s="1107"/>
      <c r="G6107" s="1107"/>
      <c r="H6107" s="1107"/>
      <c r="I6107" s="1107"/>
      <c r="J6107" s="1107"/>
      <c r="K6107" s="1107"/>
      <c r="L6107" s="1107"/>
      <c r="M6107" s="1107"/>
      <c r="N6107" s="1108"/>
    </row>
    <row r="6108" spans="2:17" ht="13.5" thickBot="1">
      <c r="B6108" s="1109"/>
      <c r="C6108" s="1110"/>
      <c r="D6108" s="1110"/>
      <c r="E6108" s="1110"/>
      <c r="F6108" s="1110"/>
      <c r="G6108" s="1110"/>
      <c r="H6108" s="1110"/>
      <c r="I6108" s="1110"/>
      <c r="J6108" s="1110"/>
      <c r="K6108" s="1110"/>
      <c r="L6108" s="1110"/>
      <c r="M6108" s="1110"/>
      <c r="N6108" s="1111"/>
    </row>
    <row r="6109" spans="2:17">
      <c r="B6109" s="1130" t="s">
        <v>17</v>
      </c>
      <c r="C6109" s="1139"/>
      <c r="D6109" s="1139"/>
      <c r="E6109" s="1139"/>
      <c r="F6109" s="1139"/>
      <c r="G6109" s="1139"/>
      <c r="H6109" s="1139"/>
      <c r="I6109" s="306"/>
      <c r="J6109" s="337"/>
      <c r="K6109" s="315" t="s">
        <v>79</v>
      </c>
      <c r="L6109" s="1140" t="s">
        <v>11</v>
      </c>
      <c r="M6109" s="1141"/>
      <c r="N6109" s="316"/>
    </row>
    <row r="6110" spans="2:17">
      <c r="B6110" s="1112" t="s">
        <v>232</v>
      </c>
      <c r="C6110" s="1113"/>
      <c r="D6110" s="1113"/>
      <c r="E6110" s="1113"/>
      <c r="F6110" s="1113"/>
      <c r="G6110" s="1113"/>
      <c r="H6110" s="1113"/>
      <c r="I6110" s="338"/>
      <c r="J6110" s="339"/>
      <c r="K6110" s="340">
        <f>'PRESUPUESTO OFICIAL'!$K$100</f>
        <v>0</v>
      </c>
      <c r="L6110" s="1146">
        <f>K6110*N6105</f>
        <v>0</v>
      </c>
      <c r="M6110" s="1147"/>
      <c r="N6110" s="341"/>
    </row>
    <row r="6111" spans="2:17">
      <c r="B6111" s="292" t="s">
        <v>293</v>
      </c>
      <c r="C6111" s="293"/>
      <c r="D6111" s="293"/>
      <c r="E6111" s="293"/>
      <c r="F6111" s="293"/>
      <c r="G6111" s="293"/>
      <c r="H6111" s="293"/>
      <c r="I6111" s="338"/>
      <c r="J6111" s="339"/>
      <c r="K6111" s="340">
        <f>'PRESUPUESTO OFICIAL'!$K$101</f>
        <v>0</v>
      </c>
      <c r="L6111" s="1146">
        <f>K6111*N6105</f>
        <v>0</v>
      </c>
      <c r="M6111" s="1147"/>
      <c r="N6111" s="341"/>
    </row>
    <row r="6112" spans="2:17" ht="13.5" thickBot="1">
      <c r="B6112" s="277" t="s">
        <v>294</v>
      </c>
      <c r="C6112" s="278"/>
      <c r="D6112" s="278"/>
      <c r="E6112" s="278"/>
      <c r="F6112" s="278"/>
      <c r="G6112" s="278"/>
      <c r="H6112" s="278"/>
      <c r="I6112" s="342"/>
      <c r="J6112" s="343"/>
      <c r="K6112" s="340">
        <f>'PRESUPUESTO OFICIAL'!$K$102</f>
        <v>0</v>
      </c>
      <c r="L6112" s="1148">
        <f>K6112*N6105</f>
        <v>0</v>
      </c>
      <c r="M6112" s="1149"/>
      <c r="N6112" s="341"/>
    </row>
    <row r="6113" spans="2:14" ht="13.5" thickBot="1">
      <c r="B6113" s="1100" t="s">
        <v>269</v>
      </c>
      <c r="C6113" s="1101"/>
      <c r="D6113" s="1101"/>
      <c r="E6113" s="1101"/>
      <c r="F6113" s="1101"/>
      <c r="G6113" s="1101"/>
      <c r="H6113" s="1101"/>
      <c r="I6113" s="1101"/>
      <c r="J6113" s="1101"/>
      <c r="K6113" s="1101"/>
      <c r="L6113" s="1101"/>
      <c r="M6113" s="1102"/>
      <c r="N6113" s="344">
        <f>SUM(L6110:M6112)</f>
        <v>0</v>
      </c>
    </row>
    <row r="6114" spans="2:14" ht="13.5" thickBot="1">
      <c r="B6114" s="283"/>
      <c r="N6114" s="284"/>
    </row>
    <row r="6115" spans="2:14" ht="13.5" thickBot="1">
      <c r="B6115" s="1150" t="s">
        <v>295</v>
      </c>
      <c r="C6115" s="1151"/>
      <c r="D6115" s="1151"/>
      <c r="E6115" s="1151"/>
      <c r="F6115" s="1151"/>
      <c r="G6115" s="1151"/>
      <c r="H6115" s="1151"/>
      <c r="I6115" s="1151"/>
      <c r="J6115" s="1151"/>
      <c r="K6115" s="1151"/>
      <c r="L6115" s="1151"/>
      <c r="M6115" s="1152"/>
      <c r="N6115" s="345">
        <f>ROUND(N6105+N6113,0)</f>
        <v>52637</v>
      </c>
    </row>
    <row r="6116" spans="2:14">
      <c r="B6116" s="280"/>
      <c r="C6116" s="281"/>
      <c r="D6116" s="281"/>
      <c r="E6116" s="281"/>
      <c r="F6116" s="281"/>
      <c r="G6116" s="281"/>
      <c r="H6116" s="281"/>
      <c r="I6116" s="281"/>
      <c r="J6116" s="281"/>
      <c r="K6116" s="281"/>
      <c r="L6116" s="281"/>
      <c r="M6116" s="281"/>
      <c r="N6116" s="282"/>
    </row>
    <row r="6117" spans="2:14">
      <c r="B6117" s="283"/>
      <c r="N6117" s="284"/>
    </row>
    <row r="6118" spans="2:14">
      <c r="B6118" s="283"/>
      <c r="N6118" s="284"/>
    </row>
    <row r="6119" spans="2:14">
      <c r="B6119" s="283"/>
      <c r="G6119" s="346" t="s">
        <v>296</v>
      </c>
      <c r="H6119" s="346"/>
      <c r="I6119" s="346"/>
      <c r="J6119" s="346"/>
      <c r="N6119" s="284"/>
    </row>
    <row r="6120" spans="2:14">
      <c r="B6120" s="347"/>
      <c r="C6120" s="348"/>
      <c r="D6120" s="348"/>
      <c r="E6120" s="348"/>
      <c r="F6120" s="348"/>
      <c r="G6120" s="346" t="s">
        <v>297</v>
      </c>
      <c r="H6120" s="348"/>
      <c r="I6120" s="348"/>
      <c r="J6120" s="348"/>
      <c r="K6120" s="348"/>
      <c r="L6120" s="348"/>
      <c r="M6120" s="348"/>
      <c r="N6120" s="349"/>
    </row>
    <row r="6121" spans="2:14">
      <c r="B6121" s="347"/>
      <c r="C6121" s="348"/>
      <c r="D6121" s="348"/>
      <c r="E6121" s="348"/>
      <c r="F6121" s="348"/>
      <c r="G6121" s="346" t="s">
        <v>298</v>
      </c>
      <c r="J6121" s="348"/>
      <c r="K6121" s="348"/>
      <c r="L6121" s="348"/>
      <c r="M6121" s="348"/>
      <c r="N6121" s="349"/>
    </row>
    <row r="6122" spans="2:14">
      <c r="B6122" s="268"/>
      <c r="C6122" s="350"/>
      <c r="D6122" s="350"/>
      <c r="E6122" s="350"/>
      <c r="F6122" s="350"/>
      <c r="G6122" s="346" t="s">
        <v>299</v>
      </c>
      <c r="H6122" s="350"/>
      <c r="I6122" s="350"/>
      <c r="J6122" s="350"/>
      <c r="K6122" s="350"/>
      <c r="L6122" s="350"/>
      <c r="M6122" s="350"/>
      <c r="N6122" s="351"/>
    </row>
    <row r="6123" spans="2:14">
      <c r="B6123" s="283"/>
      <c r="G6123" s="258" t="s">
        <v>300</v>
      </c>
      <c r="N6123" s="284"/>
    </row>
    <row r="6124" spans="2:14">
      <c r="B6124" s="352" t="s">
        <v>301</v>
      </c>
      <c r="C6124" s="353"/>
      <c r="D6124" s="353"/>
      <c r="E6124" s="353"/>
      <c r="F6124" s="353"/>
      <c r="G6124" s="353"/>
      <c r="H6124" s="353"/>
      <c r="I6124" s="353"/>
      <c r="J6124" s="353"/>
      <c r="K6124" s="353"/>
      <c r="L6124" s="353"/>
      <c r="M6124" s="353"/>
      <c r="N6124" s="354"/>
    </row>
    <row r="6125" spans="2:14">
      <c r="B6125" s="1153"/>
      <c r="C6125" s="1154"/>
      <c r="D6125" s="1154"/>
      <c r="E6125" s="1154"/>
      <c r="F6125" s="1154"/>
      <c r="G6125" s="1154"/>
      <c r="H6125" s="1154"/>
      <c r="I6125" s="1154"/>
      <c r="J6125" s="1154"/>
      <c r="K6125" s="1154"/>
      <c r="L6125" s="1154"/>
      <c r="M6125" s="1154"/>
      <c r="N6125" s="1155"/>
    </row>
    <row r="6126" spans="2:14">
      <c r="B6126" s="1153"/>
      <c r="C6126" s="1154"/>
      <c r="D6126" s="1154"/>
      <c r="E6126" s="1154"/>
      <c r="F6126" s="1154"/>
      <c r="G6126" s="1154"/>
      <c r="H6126" s="1154"/>
      <c r="I6126" s="1154"/>
      <c r="J6126" s="1154"/>
      <c r="K6126" s="1154"/>
      <c r="L6126" s="1154"/>
      <c r="M6126" s="1154"/>
      <c r="N6126" s="1155"/>
    </row>
    <row r="6127" spans="2:14">
      <c r="B6127" s="268"/>
      <c r="C6127" s="350"/>
      <c r="D6127" s="350"/>
      <c r="E6127" s="350"/>
      <c r="F6127" s="350"/>
      <c r="G6127" s="350"/>
      <c r="H6127" s="350"/>
      <c r="I6127" s="350"/>
      <c r="J6127" s="350"/>
      <c r="K6127" s="350"/>
      <c r="L6127" s="350"/>
      <c r="M6127" s="350"/>
      <c r="N6127" s="351"/>
    </row>
    <row r="6128" spans="2:14">
      <c r="B6128" s="355" t="s">
        <v>302</v>
      </c>
      <c r="C6128" s="350"/>
      <c r="D6128" s="350"/>
      <c r="E6128" s="350"/>
      <c r="F6128" s="350"/>
      <c r="G6128" s="350"/>
      <c r="H6128" s="350"/>
      <c r="I6128" s="350"/>
      <c r="J6128" s="350"/>
      <c r="K6128" s="350"/>
      <c r="L6128" s="350"/>
      <c r="M6128" s="350"/>
      <c r="N6128" s="351"/>
    </row>
    <row r="6129" spans="2:14">
      <c r="B6129" s="1159" t="s">
        <v>303</v>
      </c>
      <c r="C6129" s="1160"/>
      <c r="D6129" s="1160"/>
      <c r="E6129" s="1160"/>
      <c r="F6129" s="1160"/>
      <c r="G6129" s="1160"/>
      <c r="H6129" s="1160"/>
      <c r="I6129" s="1160"/>
      <c r="J6129" s="1160"/>
      <c r="K6129" s="1160"/>
      <c r="L6129" s="1160"/>
      <c r="M6129" s="1160"/>
      <c r="N6129" s="1161"/>
    </row>
    <row r="6130" spans="2:14">
      <c r="B6130" s="1159"/>
      <c r="C6130" s="1160"/>
      <c r="D6130" s="1160"/>
      <c r="E6130" s="1160"/>
      <c r="F6130" s="1160"/>
      <c r="G6130" s="1160"/>
      <c r="H6130" s="1160"/>
      <c r="I6130" s="1160"/>
      <c r="J6130" s="1160"/>
      <c r="K6130" s="1160"/>
      <c r="L6130" s="1160"/>
      <c r="M6130" s="1160"/>
      <c r="N6130" s="1161"/>
    </row>
    <row r="6131" spans="2:14">
      <c r="B6131" s="1159" t="s">
        <v>304</v>
      </c>
      <c r="C6131" s="1160"/>
      <c r="D6131" s="1160"/>
      <c r="E6131" s="1160"/>
      <c r="F6131" s="1160"/>
      <c r="G6131" s="1160"/>
      <c r="H6131" s="1160"/>
      <c r="I6131" s="1160"/>
      <c r="J6131" s="1160"/>
      <c r="K6131" s="1160"/>
      <c r="L6131" s="1160"/>
      <c r="M6131" s="1160"/>
      <c r="N6131" s="1161"/>
    </row>
    <row r="6132" spans="2:14">
      <c r="B6132" s="1159"/>
      <c r="C6132" s="1160"/>
      <c r="D6132" s="1160"/>
      <c r="E6132" s="1160"/>
      <c r="F6132" s="1160"/>
      <c r="G6132" s="1160"/>
      <c r="H6132" s="1160"/>
      <c r="I6132" s="1160"/>
      <c r="J6132" s="1160"/>
      <c r="K6132" s="1160"/>
      <c r="L6132" s="1160"/>
      <c r="M6132" s="1160"/>
      <c r="N6132" s="1161"/>
    </row>
    <row r="6133" spans="2:14">
      <c r="B6133" s="268"/>
      <c r="C6133" s="350"/>
      <c r="D6133" s="350"/>
      <c r="E6133" s="350"/>
      <c r="F6133" s="350"/>
      <c r="G6133" s="350"/>
      <c r="H6133" s="350"/>
      <c r="I6133" s="350"/>
      <c r="J6133" s="350"/>
      <c r="K6133" s="350"/>
      <c r="L6133" s="350"/>
      <c r="M6133" s="350"/>
      <c r="N6133" s="351"/>
    </row>
    <row r="6134" spans="2:14">
      <c r="B6134" s="283"/>
      <c r="G6134" s="346" t="s">
        <v>296</v>
      </c>
      <c r="N6134" s="284"/>
    </row>
    <row r="6135" spans="2:14">
      <c r="B6135" s="283"/>
      <c r="G6135" s="258" t="s">
        <v>305</v>
      </c>
      <c r="H6135" s="293"/>
      <c r="I6135" s="293"/>
      <c r="J6135" s="293"/>
      <c r="N6135" s="284"/>
    </row>
    <row r="6136" spans="2:14">
      <c r="B6136" s="283"/>
      <c r="G6136" s="258" t="s">
        <v>306</v>
      </c>
      <c r="H6136" s="325"/>
      <c r="I6136" s="325"/>
      <c r="J6136" s="325"/>
      <c r="N6136" s="284"/>
    </row>
    <row r="6137" spans="2:14">
      <c r="B6137" s="356"/>
      <c r="C6137" s="350"/>
      <c r="D6137" s="350"/>
      <c r="E6137" s="350"/>
      <c r="F6137" s="350"/>
      <c r="G6137" s="258" t="s">
        <v>299</v>
      </c>
      <c r="K6137" s="350"/>
      <c r="L6137" s="350"/>
      <c r="M6137" s="350"/>
      <c r="N6137" s="351"/>
    </row>
    <row r="6138" spans="2:14">
      <c r="B6138" s="357"/>
      <c r="C6138" s="358"/>
      <c r="D6138" s="358"/>
      <c r="J6138" s="1162"/>
      <c r="K6138" s="1162"/>
      <c r="L6138" s="1162"/>
      <c r="M6138" s="1162"/>
      <c r="N6138" s="1163"/>
    </row>
    <row r="6139" spans="2:14" ht="13.5" thickBot="1">
      <c r="B6139" s="1166"/>
      <c r="C6139" s="1167"/>
      <c r="D6139" s="1167"/>
      <c r="E6139" s="311"/>
      <c r="F6139" s="311"/>
      <c r="G6139" s="311"/>
      <c r="H6139" s="311"/>
      <c r="I6139" s="311"/>
      <c r="J6139" s="1164"/>
      <c r="K6139" s="1164"/>
      <c r="L6139" s="1164"/>
      <c r="M6139" s="1164"/>
      <c r="N6139" s="1165"/>
    </row>
    <row r="6140" spans="2:14" ht="13.5" thickBot="1"/>
    <row r="6141" spans="2:14">
      <c r="B6141" s="1070"/>
      <c r="C6141" s="1072"/>
      <c r="D6141" s="1073"/>
      <c r="E6141" s="1073"/>
      <c r="F6141" s="1073"/>
      <c r="G6141" s="1073"/>
      <c r="H6141" s="1073"/>
      <c r="I6141" s="1073"/>
      <c r="J6141" s="1074"/>
      <c r="K6141" s="1075"/>
      <c r="L6141" s="1076"/>
      <c r="M6141" s="1076"/>
      <c r="N6141" s="1077"/>
    </row>
    <row r="6142" spans="2:14">
      <c r="B6142" s="1071"/>
      <c r="C6142" s="1062" t="s">
        <v>244</v>
      </c>
      <c r="D6142" s="1063"/>
      <c r="E6142" s="1063"/>
      <c r="F6142" s="1063"/>
      <c r="G6142" s="1063"/>
      <c r="H6142" s="1063"/>
      <c r="I6142" s="1063"/>
      <c r="J6142" s="1064"/>
      <c r="K6142" s="1078"/>
      <c r="L6142" s="1079"/>
      <c r="M6142" s="1079"/>
      <c r="N6142" s="1080"/>
    </row>
    <row r="6143" spans="2:14">
      <c r="B6143" s="1071"/>
      <c r="C6143" s="1081"/>
      <c r="D6143" s="1082"/>
      <c r="E6143" s="1082"/>
      <c r="F6143" s="1082"/>
      <c r="G6143" s="1082"/>
      <c r="H6143" s="1082"/>
      <c r="I6143" s="1082"/>
      <c r="J6143" s="1083"/>
      <c r="K6143" s="1058" t="s">
        <v>245</v>
      </c>
      <c r="L6143" s="1085"/>
      <c r="M6143" s="1086"/>
      <c r="N6143" s="1087"/>
    </row>
    <row r="6144" spans="2:14">
      <c r="B6144" s="1071"/>
      <c r="C6144" s="1062" t="s">
        <v>246</v>
      </c>
      <c r="D6144" s="1063"/>
      <c r="E6144" s="1063"/>
      <c r="F6144" s="1063"/>
      <c r="G6144" s="1063"/>
      <c r="H6144" s="1063"/>
      <c r="I6144" s="1063"/>
      <c r="J6144" s="1064"/>
      <c r="K6144" s="1084"/>
      <c r="L6144" s="1088"/>
      <c r="M6144" s="1089"/>
      <c r="N6144" s="1090"/>
    </row>
    <row r="6145" spans="2:14">
      <c r="B6145" s="1071"/>
      <c r="C6145" s="1091"/>
      <c r="D6145" s="1092"/>
      <c r="E6145" s="1092"/>
      <c r="F6145" s="1092"/>
      <c r="G6145" s="1092"/>
      <c r="H6145" s="1092"/>
      <c r="I6145" s="1092"/>
      <c r="J6145" s="1093"/>
      <c r="K6145" s="1058" t="s">
        <v>247</v>
      </c>
      <c r="L6145" s="1058">
        <v>70</v>
      </c>
      <c r="M6145" s="1058" t="s">
        <v>248</v>
      </c>
      <c r="N6145" s="1060">
        <v>80</v>
      </c>
    </row>
    <row r="6146" spans="2:14">
      <c r="B6146" s="1071"/>
      <c r="C6146" s="1091"/>
      <c r="D6146" s="1092"/>
      <c r="E6146" s="1092"/>
      <c r="F6146" s="1092"/>
      <c r="G6146" s="1092"/>
      <c r="H6146" s="1092"/>
      <c r="I6146" s="1092"/>
      <c r="J6146" s="1093"/>
      <c r="K6146" s="1059"/>
      <c r="L6146" s="1059"/>
      <c r="M6146" s="1059"/>
      <c r="N6146" s="1061"/>
    </row>
    <row r="6147" spans="2:14">
      <c r="B6147" s="1071"/>
      <c r="C6147" s="1062" t="s">
        <v>249</v>
      </c>
      <c r="D6147" s="1063"/>
      <c r="E6147" s="1063"/>
      <c r="F6147" s="1063"/>
      <c r="G6147" s="1063"/>
      <c r="H6147" s="1063"/>
      <c r="I6147" s="1063"/>
      <c r="J6147" s="1064"/>
      <c r="K6147" s="1059"/>
      <c r="L6147" s="1059"/>
      <c r="M6147" s="1059"/>
      <c r="N6147" s="1061"/>
    </row>
    <row r="6148" spans="2:14" ht="13.5" thickBot="1">
      <c r="B6148" s="259"/>
      <c r="C6148" s="260"/>
      <c r="D6148" s="260"/>
      <c r="E6148" s="260"/>
      <c r="F6148" s="260"/>
      <c r="G6148" s="260"/>
      <c r="H6148" s="260"/>
      <c r="I6148" s="260"/>
      <c r="J6148" s="260"/>
      <c r="K6148" s="260"/>
      <c r="L6148" s="261"/>
      <c r="M6148" s="261"/>
      <c r="N6148" s="262"/>
    </row>
    <row r="6149" spans="2:14">
      <c r="B6149" s="263"/>
      <c r="C6149" s="264"/>
      <c r="D6149" s="264"/>
      <c r="E6149" s="264"/>
      <c r="F6149" s="264"/>
      <c r="G6149" s="264"/>
      <c r="H6149" s="264"/>
      <c r="I6149" s="264"/>
      <c r="J6149" s="264"/>
      <c r="K6149" s="265" t="s">
        <v>250</v>
      </c>
      <c r="L6149" s="266" t="s">
        <v>251</v>
      </c>
      <c r="M6149" s="266" t="s">
        <v>252</v>
      </c>
      <c r="N6149" s="267" t="s">
        <v>253</v>
      </c>
    </row>
    <row r="6150" spans="2:14">
      <c r="B6150" s="268"/>
      <c r="C6150" s="269"/>
      <c r="D6150" s="269"/>
      <c r="E6150" s="269"/>
      <c r="F6150" s="269"/>
      <c r="G6150" s="269"/>
      <c r="H6150" s="269"/>
      <c r="I6150" s="269"/>
      <c r="J6150" s="269"/>
      <c r="K6150" s="270"/>
      <c r="L6150" s="271"/>
      <c r="M6150" s="271"/>
      <c r="N6150" s="272"/>
    </row>
    <row r="6151" spans="2:14">
      <c r="B6151" s="1065" t="s">
        <v>254</v>
      </c>
      <c r="C6151" s="1066"/>
      <c r="D6151" s="1066"/>
      <c r="E6151" s="1066"/>
      <c r="F6151" s="269"/>
      <c r="G6151" s="269"/>
      <c r="H6151" s="269" t="s">
        <v>255</v>
      </c>
      <c r="J6151" s="269"/>
      <c r="K6151" s="270"/>
      <c r="N6151" s="273"/>
    </row>
    <row r="6152" spans="2:14">
      <c r="B6152" s="274"/>
      <c r="C6152" s="275"/>
      <c r="D6152" s="275"/>
      <c r="E6152" s="275"/>
      <c r="F6152" s="275"/>
      <c r="G6152" s="275"/>
      <c r="H6152" s="275"/>
      <c r="I6152" s="275"/>
      <c r="J6152" s="275"/>
      <c r="K6152" s="275"/>
      <c r="L6152" s="275"/>
      <c r="M6152" s="275"/>
      <c r="N6152" s="276"/>
    </row>
    <row r="6153" spans="2:14" ht="13.5" thickBot="1">
      <c r="B6153" s="277"/>
      <c r="C6153" s="278"/>
      <c r="D6153" s="278"/>
      <c r="E6153" s="278"/>
      <c r="F6153" s="278"/>
      <c r="G6153" s="278"/>
      <c r="H6153" s="278"/>
      <c r="I6153" s="278"/>
      <c r="J6153" s="278"/>
      <c r="K6153" s="278"/>
      <c r="L6153" s="278"/>
      <c r="M6153" s="278"/>
      <c r="N6153" s="279"/>
    </row>
    <row r="6154" spans="2:14" ht="13.5" thickBot="1">
      <c r="B6154" s="280"/>
      <c r="C6154" s="281"/>
      <c r="D6154" s="281"/>
      <c r="E6154" s="281"/>
      <c r="F6154" s="281"/>
      <c r="G6154" s="281"/>
      <c r="J6154" s="281"/>
      <c r="K6154" s="281"/>
      <c r="L6154" s="281"/>
      <c r="M6154" s="281"/>
      <c r="N6154" s="282"/>
    </row>
    <row r="6155" spans="2:14">
      <c r="B6155" s="1067" t="s">
        <v>256</v>
      </c>
      <c r="C6155" s="1068"/>
      <c r="D6155" s="1068"/>
      <c r="E6155" s="1068"/>
      <c r="F6155" s="1068"/>
      <c r="G6155" s="1068"/>
      <c r="H6155" s="1068"/>
      <c r="I6155" s="1068"/>
      <c r="J6155" s="1068"/>
      <c r="K6155" s="1068"/>
      <c r="L6155" s="1068"/>
      <c r="M6155" s="1068"/>
      <c r="N6155" s="1069"/>
    </row>
    <row r="6156" spans="2:14" ht="13.5" thickBot="1">
      <c r="B6156" s="283"/>
      <c r="N6156" s="284"/>
    </row>
    <row r="6157" spans="2:14">
      <c r="B6157" s="285" t="s">
        <v>257</v>
      </c>
      <c r="C6157" s="1120" t="s">
        <v>258</v>
      </c>
      <c r="D6157" s="1121"/>
      <c r="E6157" s="1121"/>
      <c r="F6157" s="1121"/>
      <c r="G6157" s="1121"/>
      <c r="H6157" s="1121"/>
      <c r="I6157" s="1121"/>
      <c r="J6157" s="1121"/>
      <c r="K6157" s="1122"/>
      <c r="L6157" s="1123" t="s">
        <v>259</v>
      </c>
      <c r="M6157" s="1124"/>
      <c r="N6157" s="285" t="s">
        <v>133</v>
      </c>
    </row>
    <row r="6158" spans="2:14" ht="33.75" customHeight="1" thickBot="1">
      <c r="B6158" s="286">
        <v>70</v>
      </c>
      <c r="C6158" s="1125" t="s">
        <v>213</v>
      </c>
      <c r="D6158" s="1126"/>
      <c r="E6158" s="1126"/>
      <c r="F6158" s="1126"/>
      <c r="G6158" s="1126"/>
      <c r="H6158" s="1126"/>
      <c r="I6158" s="1126"/>
      <c r="J6158" s="1126"/>
      <c r="K6158" s="1127"/>
      <c r="L6158" s="1128" t="s">
        <v>143</v>
      </c>
      <c r="M6158" s="1129"/>
      <c r="N6158" s="366">
        <v>50</v>
      </c>
    </row>
    <row r="6159" spans="2:14">
      <c r="B6159" s="1103" t="s">
        <v>260</v>
      </c>
      <c r="C6159" s="1104"/>
      <c r="D6159" s="1104"/>
      <c r="E6159" s="1104"/>
      <c r="F6159" s="1104"/>
      <c r="G6159" s="1104"/>
      <c r="H6159" s="1104"/>
      <c r="I6159" s="1104"/>
      <c r="J6159" s="1104"/>
      <c r="K6159" s="1104"/>
      <c r="L6159" s="1104"/>
      <c r="M6159" s="1104"/>
      <c r="N6159" s="1105"/>
    </row>
    <row r="6160" spans="2:14">
      <c r="B6160" s="1106"/>
      <c r="C6160" s="1107"/>
      <c r="D6160" s="1107"/>
      <c r="E6160" s="1107"/>
      <c r="F6160" s="1107"/>
      <c r="G6160" s="1107"/>
      <c r="H6160" s="1107"/>
      <c r="I6160" s="1107"/>
      <c r="J6160" s="1107"/>
      <c r="K6160" s="1107"/>
      <c r="L6160" s="1107"/>
      <c r="M6160" s="1107"/>
      <c r="N6160" s="1108"/>
    </row>
    <row r="6161" spans="2:14" ht="13.5" thickBot="1">
      <c r="B6161" s="1109"/>
      <c r="C6161" s="1110"/>
      <c r="D6161" s="1110"/>
      <c r="E6161" s="1110"/>
      <c r="F6161" s="1110"/>
      <c r="G6161" s="1110"/>
      <c r="H6161" s="1110"/>
      <c r="I6161" s="1110"/>
      <c r="J6161" s="1110"/>
      <c r="K6161" s="1110"/>
      <c r="L6161" s="1110"/>
      <c r="M6161" s="1110"/>
      <c r="N6161" s="1111"/>
    </row>
    <row r="6162" spans="2:14">
      <c r="B6162" s="1130" t="s">
        <v>258</v>
      </c>
      <c r="C6162" s="1131"/>
      <c r="D6162" s="1131"/>
      <c r="E6162" s="1131"/>
      <c r="F6162" s="1132"/>
      <c r="G6162" s="1133" t="s">
        <v>261</v>
      </c>
      <c r="H6162" s="1131"/>
      <c r="I6162" s="1134" t="s">
        <v>262</v>
      </c>
      <c r="J6162" s="1135"/>
      <c r="K6162" s="288" t="s">
        <v>263</v>
      </c>
      <c r="L6162" s="1133" t="s">
        <v>264</v>
      </c>
      <c r="M6162" s="1136"/>
      <c r="N6162" s="289" t="s">
        <v>265</v>
      </c>
    </row>
    <row r="6163" spans="2:14" ht="13.5" thickBot="1">
      <c r="B6163" s="1179" t="s">
        <v>340</v>
      </c>
      <c r="C6163" s="1180"/>
      <c r="D6163" s="1180"/>
      <c r="E6163" s="1180"/>
      <c r="F6163" s="1181"/>
      <c r="G6163" s="295"/>
      <c r="H6163" s="294"/>
      <c r="I6163" s="1182" t="s">
        <v>267</v>
      </c>
      <c r="J6163" s="1183"/>
      <c r="K6163" s="290">
        <v>45220</v>
      </c>
      <c r="L6163" s="1118">
        <v>10</v>
      </c>
      <c r="M6163" s="1119"/>
      <c r="N6163" s="290">
        <f>+K6163/L6163</f>
        <v>4522</v>
      </c>
    </row>
    <row r="6164" spans="2:14" ht="13.5" thickBot="1">
      <c r="B6164" s="1100" t="s">
        <v>269</v>
      </c>
      <c r="C6164" s="1101"/>
      <c r="D6164" s="1101"/>
      <c r="E6164" s="1101"/>
      <c r="F6164" s="1101"/>
      <c r="G6164" s="1101"/>
      <c r="H6164" s="1101"/>
      <c r="I6164" s="1101"/>
      <c r="J6164" s="1101"/>
      <c r="K6164" s="1101"/>
      <c r="L6164" s="1101"/>
      <c r="M6164" s="1102"/>
      <c r="N6164" s="323">
        <f>+N6163</f>
        <v>4522</v>
      </c>
    </row>
    <row r="6165" spans="2:14">
      <c r="B6165" s="1103" t="s">
        <v>270</v>
      </c>
      <c r="C6165" s="1104"/>
      <c r="D6165" s="1104"/>
      <c r="E6165" s="1104"/>
      <c r="F6165" s="1104"/>
      <c r="G6165" s="1104"/>
      <c r="H6165" s="1104"/>
      <c r="I6165" s="1104"/>
      <c r="J6165" s="1104"/>
      <c r="K6165" s="1104"/>
      <c r="L6165" s="1104"/>
      <c r="M6165" s="1104"/>
      <c r="N6165" s="1105"/>
    </row>
    <row r="6166" spans="2:14">
      <c r="B6166" s="1106"/>
      <c r="C6166" s="1107"/>
      <c r="D6166" s="1107"/>
      <c r="E6166" s="1107"/>
      <c r="F6166" s="1107"/>
      <c r="G6166" s="1107"/>
      <c r="H6166" s="1107"/>
      <c r="I6166" s="1107"/>
      <c r="J6166" s="1107"/>
      <c r="K6166" s="1107"/>
      <c r="L6166" s="1107"/>
      <c r="M6166" s="1107"/>
      <c r="N6166" s="1108"/>
    </row>
    <row r="6167" spans="2:14" ht="13.5" thickBot="1">
      <c r="B6167" s="1109"/>
      <c r="C6167" s="1110"/>
      <c r="D6167" s="1110"/>
      <c r="E6167" s="1110"/>
      <c r="F6167" s="1110"/>
      <c r="G6167" s="1110"/>
      <c r="H6167" s="1110"/>
      <c r="I6167" s="1110"/>
      <c r="J6167" s="1110"/>
      <c r="K6167" s="1110"/>
      <c r="L6167" s="1110"/>
      <c r="M6167" s="1110"/>
      <c r="N6167" s="1111"/>
    </row>
    <row r="6168" spans="2:14">
      <c r="B6168" s="1130" t="s">
        <v>258</v>
      </c>
      <c r="C6168" s="1139"/>
      <c r="D6168" s="1139"/>
      <c r="E6168" s="1139"/>
      <c r="F6168" s="1139"/>
      <c r="G6168" s="1139"/>
      <c r="H6168" s="1139"/>
      <c r="I6168" s="1136"/>
      <c r="J6168" s="299" t="s">
        <v>259</v>
      </c>
      <c r="K6168" s="288" t="s">
        <v>133</v>
      </c>
      <c r="L6168" s="1133" t="s">
        <v>271</v>
      </c>
      <c r="M6168" s="1136"/>
      <c r="N6168" s="289" t="s">
        <v>265</v>
      </c>
    </row>
    <row r="6169" spans="2:14">
      <c r="B6169" s="402" t="s">
        <v>348</v>
      </c>
      <c r="C6169" s="353"/>
      <c r="D6169" s="353"/>
      <c r="E6169" s="353"/>
      <c r="F6169" s="353"/>
      <c r="G6169" s="353"/>
      <c r="H6169" s="353"/>
      <c r="I6169" s="403"/>
      <c r="J6169" s="303" t="s">
        <v>147</v>
      </c>
      <c r="K6169" s="392">
        <v>0.27300000000000002</v>
      </c>
      <c r="L6169" s="1144">
        <v>369520</v>
      </c>
      <c r="M6169" s="1145"/>
      <c r="N6169" s="363">
        <f>+K6169*L6169</f>
        <v>100878.96</v>
      </c>
    </row>
    <row r="6170" spans="2:14">
      <c r="B6170" s="402" t="s">
        <v>352</v>
      </c>
      <c r="C6170" s="353"/>
      <c r="D6170" s="353"/>
      <c r="E6170" s="353"/>
      <c r="F6170" s="353"/>
      <c r="G6170" s="353"/>
      <c r="H6170" s="353"/>
      <c r="I6170" s="403"/>
      <c r="J6170" s="303" t="s">
        <v>196</v>
      </c>
      <c r="K6170" s="392">
        <v>1</v>
      </c>
      <c r="L6170" s="1144">
        <v>21420</v>
      </c>
      <c r="M6170" s="1145"/>
      <c r="N6170" s="363">
        <f>+K6170*L6170</f>
        <v>21420</v>
      </c>
    </row>
    <row r="6171" spans="2:14" ht="13.5" thickBot="1">
      <c r="B6171" s="402" t="s">
        <v>332</v>
      </c>
      <c r="C6171" s="353"/>
      <c r="D6171" s="353"/>
      <c r="E6171" s="353"/>
      <c r="F6171" s="353"/>
      <c r="G6171" s="353"/>
      <c r="H6171" s="353"/>
      <c r="I6171" s="403"/>
      <c r="J6171" s="303" t="s">
        <v>196</v>
      </c>
      <c r="K6171" s="392">
        <v>0.6</v>
      </c>
      <c r="L6171" s="1144">
        <v>10710</v>
      </c>
      <c r="M6171" s="1145"/>
      <c r="N6171" s="363">
        <f>+K6171*L6171</f>
        <v>6426</v>
      </c>
    </row>
    <row r="6172" spans="2:14" ht="13.5" thickBot="1">
      <c r="B6172" s="1100" t="s">
        <v>269</v>
      </c>
      <c r="C6172" s="1101"/>
      <c r="D6172" s="1101"/>
      <c r="E6172" s="1101"/>
      <c r="F6172" s="1101"/>
      <c r="G6172" s="1101"/>
      <c r="H6172" s="1101"/>
      <c r="I6172" s="1101"/>
      <c r="J6172" s="1101"/>
      <c r="K6172" s="1101"/>
      <c r="L6172" s="1101"/>
      <c r="M6172" s="1102"/>
      <c r="N6172" s="323">
        <f>+N6169+N6170+N6171</f>
        <v>128724.96</v>
      </c>
    </row>
    <row r="6173" spans="2:14">
      <c r="B6173" s="1103" t="s">
        <v>367</v>
      </c>
      <c r="C6173" s="1104"/>
      <c r="D6173" s="1104"/>
      <c r="E6173" s="1104"/>
      <c r="F6173" s="1104"/>
      <c r="G6173" s="1104"/>
      <c r="H6173" s="1104"/>
      <c r="I6173" s="1104"/>
      <c r="J6173" s="1104"/>
      <c r="K6173" s="1104"/>
      <c r="L6173" s="1104"/>
      <c r="M6173" s="1104"/>
      <c r="N6173" s="1105"/>
    </row>
    <row r="6174" spans="2:14">
      <c r="B6174" s="1106"/>
      <c r="C6174" s="1107"/>
      <c r="D6174" s="1107"/>
      <c r="E6174" s="1107"/>
      <c r="F6174" s="1107"/>
      <c r="G6174" s="1107"/>
      <c r="H6174" s="1107"/>
      <c r="I6174" s="1107"/>
      <c r="J6174" s="1107"/>
      <c r="K6174" s="1107"/>
      <c r="L6174" s="1107"/>
      <c r="M6174" s="1107"/>
      <c r="N6174" s="1108"/>
    </row>
    <row r="6175" spans="2:14" ht="13.5" thickBot="1">
      <c r="B6175" s="1109"/>
      <c r="C6175" s="1110"/>
      <c r="D6175" s="1110"/>
      <c r="E6175" s="1110"/>
      <c r="F6175" s="1110"/>
      <c r="G6175" s="1110"/>
      <c r="H6175" s="1110"/>
      <c r="I6175" s="1110"/>
      <c r="J6175" s="1110"/>
      <c r="K6175" s="1110"/>
      <c r="L6175" s="1110"/>
      <c r="M6175" s="1110"/>
      <c r="N6175" s="1111"/>
    </row>
    <row r="6176" spans="2:14">
      <c r="B6176" s="1130" t="s">
        <v>277</v>
      </c>
      <c r="C6176" s="1139"/>
      <c r="D6176" s="1139"/>
      <c r="E6176" s="1139"/>
      <c r="F6176" s="1139"/>
      <c r="G6176" s="1139"/>
      <c r="H6176" s="1139"/>
      <c r="I6176" s="288" t="s">
        <v>278</v>
      </c>
      <c r="J6176" s="306" t="s">
        <v>279</v>
      </c>
      <c r="K6176" s="307" t="s">
        <v>280</v>
      </c>
      <c r="L6176" s="1133" t="s">
        <v>281</v>
      </c>
      <c r="M6176" s="1136"/>
      <c r="N6176" s="289" t="s">
        <v>265</v>
      </c>
    </row>
    <row r="6177" spans="2:17" ht="13.5" thickBot="1">
      <c r="B6177" s="1112"/>
      <c r="C6177" s="1113"/>
      <c r="D6177" s="1113"/>
      <c r="E6177" s="1113"/>
      <c r="F6177" s="1113"/>
      <c r="G6177" s="1113"/>
      <c r="H6177" s="1113"/>
      <c r="I6177" s="393"/>
      <c r="J6177" s="309"/>
      <c r="K6177" s="308"/>
      <c r="L6177" s="1144"/>
      <c r="M6177" s="1145"/>
      <c r="N6177" s="363"/>
    </row>
    <row r="6178" spans="2:17" ht="13.5" thickBot="1">
      <c r="B6178" s="1100" t="s">
        <v>269</v>
      </c>
      <c r="C6178" s="1101"/>
      <c r="D6178" s="1101"/>
      <c r="E6178" s="1101"/>
      <c r="F6178" s="1101"/>
      <c r="G6178" s="1101"/>
      <c r="H6178" s="1101"/>
      <c r="I6178" s="1101"/>
      <c r="J6178" s="1101"/>
      <c r="K6178" s="1101"/>
      <c r="L6178" s="1101"/>
      <c r="M6178" s="1102"/>
      <c r="N6178" s="323">
        <f>+N6177</f>
        <v>0</v>
      </c>
    </row>
    <row r="6179" spans="2:17">
      <c r="B6179" s="1103" t="s">
        <v>282</v>
      </c>
      <c r="C6179" s="1104"/>
      <c r="D6179" s="1104"/>
      <c r="E6179" s="1104"/>
      <c r="F6179" s="1104"/>
      <c r="G6179" s="1104"/>
      <c r="H6179" s="1104"/>
      <c r="I6179" s="1104"/>
      <c r="J6179" s="1104"/>
      <c r="K6179" s="1104"/>
      <c r="L6179" s="1104"/>
      <c r="M6179" s="1104"/>
      <c r="N6179" s="1105"/>
    </row>
    <row r="6180" spans="2:17">
      <c r="B6180" s="1106"/>
      <c r="C6180" s="1107"/>
      <c r="D6180" s="1107"/>
      <c r="E6180" s="1107"/>
      <c r="F6180" s="1107"/>
      <c r="G6180" s="1107"/>
      <c r="H6180" s="1107"/>
      <c r="I6180" s="1107"/>
      <c r="J6180" s="1107"/>
      <c r="K6180" s="1107"/>
      <c r="L6180" s="1107"/>
      <c r="M6180" s="1107"/>
      <c r="N6180" s="1108"/>
    </row>
    <row r="6181" spans="2:17" ht="13.5" thickBot="1">
      <c r="B6181" s="1109"/>
      <c r="C6181" s="1110"/>
      <c r="D6181" s="1110"/>
      <c r="E6181" s="1110"/>
      <c r="F6181" s="1110"/>
      <c r="G6181" s="1110"/>
      <c r="H6181" s="1110"/>
      <c r="I6181" s="1110"/>
      <c r="J6181" s="1110"/>
      <c r="K6181" s="1110"/>
      <c r="L6181" s="1110"/>
      <c r="M6181" s="1110"/>
      <c r="N6181" s="1111"/>
    </row>
    <row r="6182" spans="2:17">
      <c r="B6182" s="1130" t="s">
        <v>283</v>
      </c>
      <c r="C6182" s="1139"/>
      <c r="D6182" s="1139"/>
      <c r="E6182" s="1139"/>
      <c r="F6182" s="1139"/>
      <c r="G6182" s="1139"/>
      <c r="H6182" s="1139"/>
      <c r="I6182" s="288" t="s">
        <v>284</v>
      </c>
      <c r="J6182" s="314" t="s">
        <v>285</v>
      </c>
      <c r="K6182" s="315" t="s">
        <v>286</v>
      </c>
      <c r="L6182" s="1140" t="s">
        <v>264</v>
      </c>
      <c r="M6182" s="1141"/>
      <c r="N6182" s="316" t="s">
        <v>265</v>
      </c>
    </row>
    <row r="6183" spans="2:17" ht="13.5" thickBot="1">
      <c r="B6183" s="317" t="s">
        <v>322</v>
      </c>
      <c r="C6183" s="318"/>
      <c r="D6183" s="318"/>
      <c r="E6183" s="318"/>
      <c r="F6183" s="318"/>
      <c r="G6183" s="318"/>
      <c r="H6183" s="318"/>
      <c r="I6183" s="319">
        <v>153482</v>
      </c>
      <c r="J6183" s="321">
        <v>0</v>
      </c>
      <c r="K6183" s="321">
        <f>+I6183+J6183</f>
        <v>153482</v>
      </c>
      <c r="L6183" s="1157">
        <v>5</v>
      </c>
      <c r="M6183" s="1158"/>
      <c r="N6183" s="322">
        <f>+K6183/L6183</f>
        <v>30696.400000000001</v>
      </c>
    </row>
    <row r="6184" spans="2:17" ht="13.5" thickBot="1">
      <c r="B6184" s="1100" t="s">
        <v>269</v>
      </c>
      <c r="C6184" s="1101"/>
      <c r="D6184" s="1101"/>
      <c r="E6184" s="1101"/>
      <c r="F6184" s="1101"/>
      <c r="G6184" s="1101"/>
      <c r="H6184" s="1101"/>
      <c r="I6184" s="1101"/>
      <c r="J6184" s="1101"/>
      <c r="K6184" s="1101"/>
      <c r="L6184" s="1101"/>
      <c r="M6184" s="1102"/>
      <c r="N6184" s="322">
        <f>+N6183</f>
        <v>30696.400000000001</v>
      </c>
    </row>
    <row r="6185" spans="2:17" ht="13.5" thickBot="1">
      <c r="B6185" s="324" t="s">
        <v>288</v>
      </c>
      <c r="C6185" s="325"/>
      <c r="D6185" s="325"/>
      <c r="E6185" s="325"/>
      <c r="F6185" s="325"/>
      <c r="G6185" s="325"/>
      <c r="H6185" s="325"/>
      <c r="I6185" s="326"/>
      <c r="J6185" s="327"/>
      <c r="K6185" s="328"/>
      <c r="L6185" s="329"/>
      <c r="M6185" s="329"/>
      <c r="N6185" s="330"/>
    </row>
    <row r="6186" spans="2:17">
      <c r="B6186" s="1130" t="s">
        <v>17</v>
      </c>
      <c r="C6186" s="1139"/>
      <c r="D6186" s="1139"/>
      <c r="E6186" s="1139"/>
      <c r="F6186" s="1139"/>
      <c r="G6186" s="1139"/>
      <c r="H6186" s="1139"/>
      <c r="I6186" s="1136"/>
      <c r="J6186" s="299" t="s">
        <v>259</v>
      </c>
      <c r="K6186" s="288" t="s">
        <v>133</v>
      </c>
      <c r="L6186" s="1133" t="s">
        <v>271</v>
      </c>
      <c r="M6186" s="1136"/>
      <c r="N6186" s="316" t="s">
        <v>265</v>
      </c>
    </row>
    <row r="6187" spans="2:17" ht="13.5" thickBot="1">
      <c r="B6187" s="331" t="s">
        <v>289</v>
      </c>
      <c r="C6187" s="332"/>
      <c r="D6187" s="332"/>
      <c r="E6187" s="332"/>
      <c r="F6187" s="332"/>
      <c r="G6187" s="332"/>
      <c r="H6187" s="332"/>
      <c r="I6187" s="333"/>
      <c r="J6187" s="334" t="s">
        <v>290</v>
      </c>
      <c r="K6187" s="335">
        <v>0.05</v>
      </c>
      <c r="L6187" s="1144">
        <f>+N6184</f>
        <v>30696.400000000001</v>
      </c>
      <c r="M6187" s="1145"/>
      <c r="N6187" s="322">
        <f>+K6187*L6187</f>
        <v>1534.8200000000002</v>
      </c>
    </row>
    <row r="6188" spans="2:17" ht="13.5" thickBot="1">
      <c r="B6188" s="1100" t="s">
        <v>269</v>
      </c>
      <c r="C6188" s="1101"/>
      <c r="D6188" s="1101"/>
      <c r="E6188" s="1101"/>
      <c r="F6188" s="1101"/>
      <c r="G6188" s="1101"/>
      <c r="H6188" s="1101"/>
      <c r="I6188" s="1101"/>
      <c r="J6188" s="1101"/>
      <c r="K6188" s="1101"/>
      <c r="L6188" s="1101"/>
      <c r="M6188" s="1102"/>
      <c r="N6188" s="322">
        <f>+N6187</f>
        <v>1534.8200000000002</v>
      </c>
      <c r="P6188" s="408">
        <v>8273900</v>
      </c>
    </row>
    <row r="6189" spans="2:17" ht="13.5" thickBot="1">
      <c r="B6189" s="1100"/>
      <c r="C6189" s="1101"/>
      <c r="D6189" s="1101"/>
      <c r="E6189" s="1101"/>
      <c r="F6189" s="1101"/>
      <c r="G6189" s="1101"/>
      <c r="H6189" s="1101"/>
      <c r="I6189" s="1101"/>
      <c r="J6189" s="1101"/>
      <c r="K6189" s="1101"/>
      <c r="L6189" s="1101"/>
      <c r="M6189" s="1102"/>
      <c r="N6189" s="322"/>
    </row>
    <row r="6190" spans="2:17" ht="13.5" thickBot="1">
      <c r="B6190" s="1150" t="s">
        <v>291</v>
      </c>
      <c r="C6190" s="1151"/>
      <c r="D6190" s="1151"/>
      <c r="E6190" s="1151"/>
      <c r="F6190" s="1151"/>
      <c r="G6190" s="1151"/>
      <c r="H6190" s="1151"/>
      <c r="I6190" s="1151"/>
      <c r="J6190" s="1151"/>
      <c r="K6190" s="1151"/>
      <c r="L6190" s="1151"/>
      <c r="M6190" s="1152"/>
      <c r="N6190" s="336">
        <f>+N6164+N6172+N6178+N6184+N6188</f>
        <v>165478.18000000002</v>
      </c>
      <c r="P6190" s="409">
        <f>+N6190*N6158</f>
        <v>8273909.0000000009</v>
      </c>
      <c r="Q6190" s="413">
        <f>+P6190-P6188</f>
        <v>9.0000000009313226</v>
      </c>
    </row>
    <row r="6191" spans="2:17">
      <c r="B6191" s="1103" t="s">
        <v>292</v>
      </c>
      <c r="C6191" s="1104"/>
      <c r="D6191" s="1104"/>
      <c r="E6191" s="1104"/>
      <c r="F6191" s="1104"/>
      <c r="G6191" s="1104"/>
      <c r="H6191" s="1104"/>
      <c r="I6191" s="1104"/>
      <c r="J6191" s="1104"/>
      <c r="K6191" s="1104"/>
      <c r="L6191" s="1104"/>
      <c r="M6191" s="1104"/>
      <c r="N6191" s="1105"/>
    </row>
    <row r="6192" spans="2:17">
      <c r="B6192" s="1106"/>
      <c r="C6192" s="1107"/>
      <c r="D6192" s="1107"/>
      <c r="E6192" s="1107"/>
      <c r="F6192" s="1107"/>
      <c r="G6192" s="1107"/>
      <c r="H6192" s="1107"/>
      <c r="I6192" s="1107"/>
      <c r="J6192" s="1107"/>
      <c r="K6192" s="1107"/>
      <c r="L6192" s="1107"/>
      <c r="M6192" s="1107"/>
      <c r="N6192" s="1108"/>
    </row>
    <row r="6193" spans="2:14" ht="13.5" thickBot="1">
      <c r="B6193" s="1109"/>
      <c r="C6193" s="1110"/>
      <c r="D6193" s="1110"/>
      <c r="E6193" s="1110"/>
      <c r="F6193" s="1110"/>
      <c r="G6193" s="1110"/>
      <c r="H6193" s="1110"/>
      <c r="I6193" s="1110"/>
      <c r="J6193" s="1110"/>
      <c r="K6193" s="1110"/>
      <c r="L6193" s="1110"/>
      <c r="M6193" s="1110"/>
      <c r="N6193" s="1111"/>
    </row>
    <row r="6194" spans="2:14">
      <c r="B6194" s="1130" t="s">
        <v>17</v>
      </c>
      <c r="C6194" s="1139"/>
      <c r="D6194" s="1139"/>
      <c r="E6194" s="1139"/>
      <c r="F6194" s="1139"/>
      <c r="G6194" s="1139"/>
      <c r="H6194" s="1139"/>
      <c r="I6194" s="306"/>
      <c r="J6194" s="337"/>
      <c r="K6194" s="315" t="s">
        <v>79</v>
      </c>
      <c r="L6194" s="1140" t="s">
        <v>11</v>
      </c>
      <c r="M6194" s="1141"/>
      <c r="N6194" s="316"/>
    </row>
    <row r="6195" spans="2:14">
      <c r="B6195" s="1112" t="s">
        <v>232</v>
      </c>
      <c r="C6195" s="1113"/>
      <c r="D6195" s="1113"/>
      <c r="E6195" s="1113"/>
      <c r="F6195" s="1113"/>
      <c r="G6195" s="1113"/>
      <c r="H6195" s="1113"/>
      <c r="I6195" s="338"/>
      <c r="J6195" s="339"/>
      <c r="K6195" s="340">
        <f>'PRESUPUESTO OFICIAL'!$K$100</f>
        <v>0</v>
      </c>
      <c r="L6195" s="1146">
        <f>K6195*N6190</f>
        <v>0</v>
      </c>
      <c r="M6195" s="1147"/>
      <c r="N6195" s="341"/>
    </row>
    <row r="6196" spans="2:14">
      <c r="B6196" s="292" t="s">
        <v>293</v>
      </c>
      <c r="C6196" s="293"/>
      <c r="D6196" s="293"/>
      <c r="E6196" s="293"/>
      <c r="F6196" s="293"/>
      <c r="G6196" s="293"/>
      <c r="H6196" s="293"/>
      <c r="I6196" s="338"/>
      <c r="J6196" s="339"/>
      <c r="K6196" s="340">
        <f>'PRESUPUESTO OFICIAL'!$K$101</f>
        <v>0</v>
      </c>
      <c r="L6196" s="1146">
        <f>K6196*N6190</f>
        <v>0</v>
      </c>
      <c r="M6196" s="1147"/>
      <c r="N6196" s="341"/>
    </row>
    <row r="6197" spans="2:14" ht="13.5" thickBot="1">
      <c r="B6197" s="277" t="s">
        <v>294</v>
      </c>
      <c r="C6197" s="278"/>
      <c r="D6197" s="278"/>
      <c r="E6197" s="278"/>
      <c r="F6197" s="278"/>
      <c r="G6197" s="278"/>
      <c r="H6197" s="278"/>
      <c r="I6197" s="342"/>
      <c r="J6197" s="343"/>
      <c r="K6197" s="340">
        <f>'PRESUPUESTO OFICIAL'!$K$102</f>
        <v>0</v>
      </c>
      <c r="L6197" s="1148">
        <f>K6197*N6190</f>
        <v>0</v>
      </c>
      <c r="M6197" s="1149"/>
      <c r="N6197" s="341"/>
    </row>
    <row r="6198" spans="2:14" ht="13.5" thickBot="1">
      <c r="B6198" s="1100" t="s">
        <v>269</v>
      </c>
      <c r="C6198" s="1101"/>
      <c r="D6198" s="1101"/>
      <c r="E6198" s="1101"/>
      <c r="F6198" s="1101"/>
      <c r="G6198" s="1101"/>
      <c r="H6198" s="1101"/>
      <c r="I6198" s="1101"/>
      <c r="J6198" s="1101"/>
      <c r="K6198" s="1101"/>
      <c r="L6198" s="1101"/>
      <c r="M6198" s="1102"/>
      <c r="N6198" s="344">
        <f>SUM(L6195:M6197)</f>
        <v>0</v>
      </c>
    </row>
    <row r="6199" spans="2:14" ht="13.5" thickBot="1">
      <c r="B6199" s="283"/>
      <c r="N6199" s="284"/>
    </row>
    <row r="6200" spans="2:14" ht="13.5" thickBot="1">
      <c r="B6200" s="1150" t="s">
        <v>295</v>
      </c>
      <c r="C6200" s="1151"/>
      <c r="D6200" s="1151"/>
      <c r="E6200" s="1151"/>
      <c r="F6200" s="1151"/>
      <c r="G6200" s="1151"/>
      <c r="H6200" s="1151"/>
      <c r="I6200" s="1151"/>
      <c r="J6200" s="1151"/>
      <c r="K6200" s="1151"/>
      <c r="L6200" s="1151"/>
      <c r="M6200" s="1152"/>
      <c r="N6200" s="345">
        <f>ROUND(N6190+N6198,0)</f>
        <v>165478</v>
      </c>
    </row>
    <row r="6201" spans="2:14">
      <c r="B6201" s="280"/>
      <c r="C6201" s="281"/>
      <c r="D6201" s="281"/>
      <c r="E6201" s="281"/>
      <c r="F6201" s="281"/>
      <c r="G6201" s="281"/>
      <c r="H6201" s="281"/>
      <c r="I6201" s="281"/>
      <c r="J6201" s="281"/>
      <c r="K6201" s="281"/>
      <c r="L6201" s="281"/>
      <c r="M6201" s="281"/>
      <c r="N6201" s="282"/>
    </row>
    <row r="6202" spans="2:14">
      <c r="B6202" s="283"/>
      <c r="N6202" s="284"/>
    </row>
    <row r="6203" spans="2:14">
      <c r="B6203" s="283"/>
      <c r="N6203" s="284"/>
    </row>
    <row r="6204" spans="2:14">
      <c r="B6204" s="283"/>
      <c r="G6204" s="346" t="s">
        <v>296</v>
      </c>
      <c r="H6204" s="346"/>
      <c r="I6204" s="346"/>
      <c r="J6204" s="346"/>
      <c r="N6204" s="284"/>
    </row>
    <row r="6205" spans="2:14">
      <c r="B6205" s="347"/>
      <c r="C6205" s="348"/>
      <c r="D6205" s="348"/>
      <c r="E6205" s="348"/>
      <c r="F6205" s="348"/>
      <c r="G6205" s="346" t="s">
        <v>297</v>
      </c>
      <c r="H6205" s="348"/>
      <c r="I6205" s="348"/>
      <c r="J6205" s="348"/>
      <c r="K6205" s="348"/>
      <c r="L6205" s="348"/>
      <c r="M6205" s="348"/>
      <c r="N6205" s="349"/>
    </row>
    <row r="6206" spans="2:14">
      <c r="B6206" s="347"/>
      <c r="C6206" s="348"/>
      <c r="D6206" s="348"/>
      <c r="E6206" s="348"/>
      <c r="F6206" s="348"/>
      <c r="G6206" s="346" t="s">
        <v>298</v>
      </c>
      <c r="J6206" s="348"/>
      <c r="K6206" s="348"/>
      <c r="L6206" s="348"/>
      <c r="M6206" s="348"/>
      <c r="N6206" s="349"/>
    </row>
    <row r="6207" spans="2:14">
      <c r="B6207" s="268"/>
      <c r="C6207" s="350"/>
      <c r="D6207" s="350"/>
      <c r="E6207" s="350"/>
      <c r="F6207" s="350"/>
      <c r="G6207" s="346" t="s">
        <v>299</v>
      </c>
      <c r="H6207" s="350"/>
      <c r="I6207" s="350"/>
      <c r="J6207" s="350"/>
      <c r="K6207" s="350"/>
      <c r="L6207" s="350"/>
      <c r="M6207" s="350"/>
      <c r="N6207" s="351"/>
    </row>
    <row r="6208" spans="2:14">
      <c r="B6208" s="283"/>
      <c r="G6208" s="258" t="s">
        <v>300</v>
      </c>
      <c r="N6208" s="284"/>
    </row>
    <row r="6209" spans="2:14">
      <c r="B6209" s="352" t="s">
        <v>301</v>
      </c>
      <c r="C6209" s="353"/>
      <c r="D6209" s="353"/>
      <c r="E6209" s="353"/>
      <c r="F6209" s="353"/>
      <c r="G6209" s="353"/>
      <c r="H6209" s="353"/>
      <c r="I6209" s="353"/>
      <c r="J6209" s="353"/>
      <c r="K6209" s="353"/>
      <c r="L6209" s="353"/>
      <c r="M6209" s="353"/>
      <c r="N6209" s="354"/>
    </row>
    <row r="6210" spans="2:14">
      <c r="B6210" s="1153"/>
      <c r="C6210" s="1154"/>
      <c r="D6210" s="1154"/>
      <c r="E6210" s="1154"/>
      <c r="F6210" s="1154"/>
      <c r="G6210" s="1154"/>
      <c r="H6210" s="1154"/>
      <c r="I6210" s="1154"/>
      <c r="J6210" s="1154"/>
      <c r="K6210" s="1154"/>
      <c r="L6210" s="1154"/>
      <c r="M6210" s="1154"/>
      <c r="N6210" s="1155"/>
    </row>
    <row r="6211" spans="2:14">
      <c r="B6211" s="1153"/>
      <c r="C6211" s="1154"/>
      <c r="D6211" s="1154"/>
      <c r="E6211" s="1154"/>
      <c r="F6211" s="1154"/>
      <c r="G6211" s="1154"/>
      <c r="H6211" s="1154"/>
      <c r="I6211" s="1154"/>
      <c r="J6211" s="1154"/>
      <c r="K6211" s="1154"/>
      <c r="L6211" s="1154"/>
      <c r="M6211" s="1154"/>
      <c r="N6211" s="1155"/>
    </row>
    <row r="6212" spans="2:14">
      <c r="B6212" s="268"/>
      <c r="C6212" s="350"/>
      <c r="D6212" s="350"/>
      <c r="E6212" s="350"/>
      <c r="F6212" s="350"/>
      <c r="G6212" s="350"/>
      <c r="H6212" s="350"/>
      <c r="I6212" s="350"/>
      <c r="J6212" s="350"/>
      <c r="K6212" s="350"/>
      <c r="L6212" s="350"/>
      <c r="M6212" s="350"/>
      <c r="N6212" s="351"/>
    </row>
    <row r="6213" spans="2:14">
      <c r="B6213" s="355" t="s">
        <v>302</v>
      </c>
      <c r="C6213" s="350"/>
      <c r="D6213" s="350"/>
      <c r="E6213" s="350"/>
      <c r="F6213" s="350"/>
      <c r="G6213" s="350"/>
      <c r="H6213" s="350"/>
      <c r="I6213" s="350"/>
      <c r="J6213" s="350"/>
      <c r="K6213" s="350"/>
      <c r="L6213" s="350"/>
      <c r="M6213" s="350"/>
      <c r="N6213" s="351"/>
    </row>
    <row r="6214" spans="2:14">
      <c r="B6214" s="1159" t="s">
        <v>303</v>
      </c>
      <c r="C6214" s="1160"/>
      <c r="D6214" s="1160"/>
      <c r="E6214" s="1160"/>
      <c r="F6214" s="1160"/>
      <c r="G6214" s="1160"/>
      <c r="H6214" s="1160"/>
      <c r="I6214" s="1160"/>
      <c r="J6214" s="1160"/>
      <c r="K6214" s="1160"/>
      <c r="L6214" s="1160"/>
      <c r="M6214" s="1160"/>
      <c r="N6214" s="1161"/>
    </row>
    <row r="6215" spans="2:14">
      <c r="B6215" s="1159"/>
      <c r="C6215" s="1160"/>
      <c r="D6215" s="1160"/>
      <c r="E6215" s="1160"/>
      <c r="F6215" s="1160"/>
      <c r="G6215" s="1160"/>
      <c r="H6215" s="1160"/>
      <c r="I6215" s="1160"/>
      <c r="J6215" s="1160"/>
      <c r="K6215" s="1160"/>
      <c r="L6215" s="1160"/>
      <c r="M6215" s="1160"/>
      <c r="N6215" s="1161"/>
    </row>
    <row r="6216" spans="2:14">
      <c r="B6216" s="1159" t="s">
        <v>304</v>
      </c>
      <c r="C6216" s="1160"/>
      <c r="D6216" s="1160"/>
      <c r="E6216" s="1160"/>
      <c r="F6216" s="1160"/>
      <c r="G6216" s="1160"/>
      <c r="H6216" s="1160"/>
      <c r="I6216" s="1160"/>
      <c r="J6216" s="1160"/>
      <c r="K6216" s="1160"/>
      <c r="L6216" s="1160"/>
      <c r="M6216" s="1160"/>
      <c r="N6216" s="1161"/>
    </row>
    <row r="6217" spans="2:14">
      <c r="B6217" s="1159"/>
      <c r="C6217" s="1160"/>
      <c r="D6217" s="1160"/>
      <c r="E6217" s="1160"/>
      <c r="F6217" s="1160"/>
      <c r="G6217" s="1160"/>
      <c r="H6217" s="1160"/>
      <c r="I6217" s="1160"/>
      <c r="J6217" s="1160"/>
      <c r="K6217" s="1160"/>
      <c r="L6217" s="1160"/>
      <c r="M6217" s="1160"/>
      <c r="N6217" s="1161"/>
    </row>
    <row r="6218" spans="2:14">
      <c r="B6218" s="268"/>
      <c r="C6218" s="350"/>
      <c r="D6218" s="350"/>
      <c r="E6218" s="350"/>
      <c r="F6218" s="350"/>
      <c r="G6218" s="350"/>
      <c r="H6218" s="350"/>
      <c r="I6218" s="350"/>
      <c r="J6218" s="350"/>
      <c r="K6218" s="350"/>
      <c r="L6218" s="350"/>
      <c r="M6218" s="350"/>
      <c r="N6218" s="351"/>
    </row>
    <row r="6219" spans="2:14">
      <c r="B6219" s="283"/>
      <c r="G6219" s="346" t="s">
        <v>296</v>
      </c>
      <c r="N6219" s="284"/>
    </row>
    <row r="6220" spans="2:14">
      <c r="B6220" s="283"/>
      <c r="G6220" s="258" t="s">
        <v>305</v>
      </c>
      <c r="H6220" s="293"/>
      <c r="I6220" s="293"/>
      <c r="J6220" s="293"/>
      <c r="N6220" s="284"/>
    </row>
    <row r="6221" spans="2:14">
      <c r="B6221" s="283"/>
      <c r="G6221" s="258" t="s">
        <v>306</v>
      </c>
      <c r="H6221" s="325"/>
      <c r="I6221" s="325"/>
      <c r="J6221" s="325"/>
      <c r="N6221" s="284"/>
    </row>
    <row r="6222" spans="2:14">
      <c r="B6222" s="356"/>
      <c r="C6222" s="350"/>
      <c r="D6222" s="350"/>
      <c r="E6222" s="350"/>
      <c r="F6222" s="350"/>
      <c r="G6222" s="258" t="s">
        <v>299</v>
      </c>
      <c r="K6222" s="350"/>
      <c r="L6222" s="350"/>
      <c r="M6222" s="350"/>
      <c r="N6222" s="351"/>
    </row>
    <row r="6223" spans="2:14">
      <c r="B6223" s="357"/>
      <c r="C6223" s="358"/>
      <c r="D6223" s="358"/>
      <c r="J6223" s="1162"/>
      <c r="K6223" s="1162"/>
      <c r="L6223" s="1162"/>
      <c r="M6223" s="1162"/>
      <c r="N6223" s="1163"/>
    </row>
    <row r="6224" spans="2:14" ht="13.5" thickBot="1">
      <c r="B6224" s="1166"/>
      <c r="C6224" s="1167"/>
      <c r="D6224" s="1167"/>
      <c r="E6224" s="311"/>
      <c r="F6224" s="311"/>
      <c r="G6224" s="311"/>
      <c r="H6224" s="311"/>
      <c r="I6224" s="311"/>
      <c r="J6224" s="1164"/>
      <c r="K6224" s="1164"/>
      <c r="L6224" s="1164"/>
      <c r="M6224" s="1164"/>
      <c r="N6224" s="1165"/>
    </row>
    <row r="6225" spans="2:14" ht="13.5" thickBot="1"/>
    <row r="6226" spans="2:14">
      <c r="B6226" s="1070"/>
      <c r="C6226" s="1072"/>
      <c r="D6226" s="1073"/>
      <c r="E6226" s="1073"/>
      <c r="F6226" s="1073"/>
      <c r="G6226" s="1073"/>
      <c r="H6226" s="1073"/>
      <c r="I6226" s="1073"/>
      <c r="J6226" s="1074"/>
      <c r="K6226" s="1075"/>
      <c r="L6226" s="1076"/>
      <c r="M6226" s="1076"/>
      <c r="N6226" s="1077"/>
    </row>
    <row r="6227" spans="2:14">
      <c r="B6227" s="1071"/>
      <c r="C6227" s="1062" t="s">
        <v>244</v>
      </c>
      <c r="D6227" s="1063"/>
      <c r="E6227" s="1063"/>
      <c r="F6227" s="1063"/>
      <c r="G6227" s="1063"/>
      <c r="H6227" s="1063"/>
      <c r="I6227" s="1063"/>
      <c r="J6227" s="1064"/>
      <c r="K6227" s="1078"/>
      <c r="L6227" s="1079"/>
      <c r="M6227" s="1079"/>
      <c r="N6227" s="1080"/>
    </row>
    <row r="6228" spans="2:14">
      <c r="B6228" s="1071"/>
      <c r="C6228" s="1081"/>
      <c r="D6228" s="1082"/>
      <c r="E6228" s="1082"/>
      <c r="F6228" s="1082"/>
      <c r="G6228" s="1082"/>
      <c r="H6228" s="1082"/>
      <c r="I6228" s="1082"/>
      <c r="J6228" s="1083"/>
      <c r="K6228" s="1058" t="s">
        <v>245</v>
      </c>
      <c r="L6228" s="1085"/>
      <c r="M6228" s="1086"/>
      <c r="N6228" s="1087"/>
    </row>
    <row r="6229" spans="2:14">
      <c r="B6229" s="1071"/>
      <c r="C6229" s="1062" t="s">
        <v>246</v>
      </c>
      <c r="D6229" s="1063"/>
      <c r="E6229" s="1063"/>
      <c r="F6229" s="1063"/>
      <c r="G6229" s="1063"/>
      <c r="H6229" s="1063"/>
      <c r="I6229" s="1063"/>
      <c r="J6229" s="1064"/>
      <c r="K6229" s="1084"/>
      <c r="L6229" s="1088"/>
      <c r="M6229" s="1089"/>
      <c r="N6229" s="1090"/>
    </row>
    <row r="6230" spans="2:14">
      <c r="B6230" s="1071"/>
      <c r="C6230" s="1091"/>
      <c r="D6230" s="1092"/>
      <c r="E6230" s="1092"/>
      <c r="F6230" s="1092"/>
      <c r="G6230" s="1092"/>
      <c r="H6230" s="1092"/>
      <c r="I6230" s="1092"/>
      <c r="J6230" s="1093"/>
      <c r="K6230" s="1058" t="s">
        <v>247</v>
      </c>
      <c r="L6230" s="1058">
        <v>71</v>
      </c>
      <c r="M6230" s="1058" t="s">
        <v>248</v>
      </c>
      <c r="N6230" s="1060">
        <v>80</v>
      </c>
    </row>
    <row r="6231" spans="2:14">
      <c r="B6231" s="1071"/>
      <c r="C6231" s="1091"/>
      <c r="D6231" s="1092"/>
      <c r="E6231" s="1092"/>
      <c r="F6231" s="1092"/>
      <c r="G6231" s="1092"/>
      <c r="H6231" s="1092"/>
      <c r="I6231" s="1092"/>
      <c r="J6231" s="1093"/>
      <c r="K6231" s="1059"/>
      <c r="L6231" s="1059"/>
      <c r="M6231" s="1059"/>
      <c r="N6231" s="1061"/>
    </row>
    <row r="6232" spans="2:14">
      <c r="B6232" s="1071"/>
      <c r="C6232" s="1062" t="s">
        <v>249</v>
      </c>
      <c r="D6232" s="1063"/>
      <c r="E6232" s="1063"/>
      <c r="F6232" s="1063"/>
      <c r="G6232" s="1063"/>
      <c r="H6232" s="1063"/>
      <c r="I6232" s="1063"/>
      <c r="J6232" s="1064"/>
      <c r="K6232" s="1059"/>
      <c r="L6232" s="1059"/>
      <c r="M6232" s="1059"/>
      <c r="N6232" s="1061"/>
    </row>
    <row r="6233" spans="2:14" ht="13.5" thickBot="1">
      <c r="B6233" s="259"/>
      <c r="C6233" s="260"/>
      <c r="D6233" s="260"/>
      <c r="E6233" s="260"/>
      <c r="F6233" s="260"/>
      <c r="G6233" s="260"/>
      <c r="H6233" s="260"/>
      <c r="I6233" s="260"/>
      <c r="J6233" s="260"/>
      <c r="K6233" s="260"/>
      <c r="L6233" s="261"/>
      <c r="M6233" s="261"/>
      <c r="N6233" s="262"/>
    </row>
    <row r="6234" spans="2:14">
      <c r="B6234" s="263"/>
      <c r="C6234" s="264"/>
      <c r="D6234" s="264"/>
      <c r="E6234" s="264"/>
      <c r="F6234" s="264"/>
      <c r="G6234" s="264"/>
      <c r="H6234" s="264"/>
      <c r="I6234" s="264"/>
      <c r="J6234" s="264"/>
      <c r="K6234" s="265" t="s">
        <v>250</v>
      </c>
      <c r="L6234" s="266" t="s">
        <v>251</v>
      </c>
      <c r="M6234" s="266" t="s">
        <v>252</v>
      </c>
      <c r="N6234" s="267" t="s">
        <v>253</v>
      </c>
    </row>
    <row r="6235" spans="2:14">
      <c r="B6235" s="268"/>
      <c r="C6235" s="269"/>
      <c r="D6235" s="269"/>
      <c r="E6235" s="269"/>
      <c r="F6235" s="269"/>
      <c r="G6235" s="269"/>
      <c r="H6235" s="269"/>
      <c r="I6235" s="269"/>
      <c r="J6235" s="269"/>
      <c r="K6235" s="270"/>
      <c r="L6235" s="271"/>
      <c r="M6235" s="271"/>
      <c r="N6235" s="272"/>
    </row>
    <row r="6236" spans="2:14">
      <c r="B6236" s="1065" t="s">
        <v>254</v>
      </c>
      <c r="C6236" s="1066"/>
      <c r="D6236" s="1066"/>
      <c r="E6236" s="1066"/>
      <c r="F6236" s="269"/>
      <c r="G6236" s="269"/>
      <c r="H6236" s="269" t="s">
        <v>255</v>
      </c>
      <c r="J6236" s="269"/>
      <c r="K6236" s="270"/>
      <c r="N6236" s="273"/>
    </row>
    <row r="6237" spans="2:14">
      <c r="B6237" s="274"/>
      <c r="C6237" s="275"/>
      <c r="D6237" s="275"/>
      <c r="E6237" s="275"/>
      <c r="F6237" s="275"/>
      <c r="G6237" s="275"/>
      <c r="H6237" s="275"/>
      <c r="I6237" s="275"/>
      <c r="J6237" s="275"/>
      <c r="K6237" s="275"/>
      <c r="L6237" s="275"/>
      <c r="M6237" s="275"/>
      <c r="N6237" s="276"/>
    </row>
    <row r="6238" spans="2:14" ht="13.5" thickBot="1">
      <c r="B6238" s="277"/>
      <c r="C6238" s="278"/>
      <c r="D6238" s="278"/>
      <c r="E6238" s="278"/>
      <c r="F6238" s="278"/>
      <c r="G6238" s="278"/>
      <c r="H6238" s="278"/>
      <c r="I6238" s="278"/>
      <c r="J6238" s="278"/>
      <c r="K6238" s="278"/>
      <c r="L6238" s="278"/>
      <c r="M6238" s="278"/>
      <c r="N6238" s="279"/>
    </row>
    <row r="6239" spans="2:14" ht="13.5" thickBot="1">
      <c r="B6239" s="280"/>
      <c r="C6239" s="281"/>
      <c r="D6239" s="281"/>
      <c r="E6239" s="281"/>
      <c r="F6239" s="281"/>
      <c r="G6239" s="281"/>
      <c r="J6239" s="281"/>
      <c r="K6239" s="281"/>
      <c r="L6239" s="281"/>
      <c r="M6239" s="281"/>
      <c r="N6239" s="282"/>
    </row>
    <row r="6240" spans="2:14">
      <c r="B6240" s="1067" t="s">
        <v>256</v>
      </c>
      <c r="C6240" s="1068"/>
      <c r="D6240" s="1068"/>
      <c r="E6240" s="1068"/>
      <c r="F6240" s="1068"/>
      <c r="G6240" s="1068"/>
      <c r="H6240" s="1068"/>
      <c r="I6240" s="1068"/>
      <c r="J6240" s="1068"/>
      <c r="K6240" s="1068"/>
      <c r="L6240" s="1068"/>
      <c r="M6240" s="1068"/>
      <c r="N6240" s="1069"/>
    </row>
    <row r="6241" spans="2:14" ht="13.5" thickBot="1">
      <c r="B6241" s="283"/>
      <c r="N6241" s="284"/>
    </row>
    <row r="6242" spans="2:14">
      <c r="B6242" s="285" t="s">
        <v>257</v>
      </c>
      <c r="C6242" s="1120" t="s">
        <v>258</v>
      </c>
      <c r="D6242" s="1121"/>
      <c r="E6242" s="1121"/>
      <c r="F6242" s="1121"/>
      <c r="G6242" s="1121"/>
      <c r="H6242" s="1121"/>
      <c r="I6242" s="1121"/>
      <c r="J6242" s="1121"/>
      <c r="K6242" s="1122"/>
      <c r="L6242" s="1123" t="s">
        <v>259</v>
      </c>
      <c r="M6242" s="1124"/>
      <c r="N6242" s="285" t="s">
        <v>133</v>
      </c>
    </row>
    <row r="6243" spans="2:14" ht="45" customHeight="1" thickBot="1">
      <c r="B6243" s="286">
        <v>71</v>
      </c>
      <c r="C6243" s="1125" t="s">
        <v>214</v>
      </c>
      <c r="D6243" s="1126"/>
      <c r="E6243" s="1126"/>
      <c r="F6243" s="1126"/>
      <c r="G6243" s="1126"/>
      <c r="H6243" s="1126"/>
      <c r="I6243" s="1126"/>
      <c r="J6243" s="1126"/>
      <c r="K6243" s="1127"/>
      <c r="L6243" s="1128" t="s">
        <v>143</v>
      </c>
      <c r="M6243" s="1129"/>
      <c r="N6243" s="366">
        <v>20</v>
      </c>
    </row>
    <row r="6244" spans="2:14">
      <c r="B6244" s="1103" t="s">
        <v>260</v>
      </c>
      <c r="C6244" s="1104"/>
      <c r="D6244" s="1104"/>
      <c r="E6244" s="1104"/>
      <c r="F6244" s="1104"/>
      <c r="G6244" s="1104"/>
      <c r="H6244" s="1104"/>
      <c r="I6244" s="1104"/>
      <c r="J6244" s="1104"/>
      <c r="K6244" s="1104"/>
      <c r="L6244" s="1104"/>
      <c r="M6244" s="1104"/>
      <c r="N6244" s="1105"/>
    </row>
    <row r="6245" spans="2:14">
      <c r="B6245" s="1106"/>
      <c r="C6245" s="1107"/>
      <c r="D6245" s="1107"/>
      <c r="E6245" s="1107"/>
      <c r="F6245" s="1107"/>
      <c r="G6245" s="1107"/>
      <c r="H6245" s="1107"/>
      <c r="I6245" s="1107"/>
      <c r="J6245" s="1107"/>
      <c r="K6245" s="1107"/>
      <c r="L6245" s="1107"/>
      <c r="M6245" s="1107"/>
      <c r="N6245" s="1108"/>
    </row>
    <row r="6246" spans="2:14" ht="13.5" thickBot="1">
      <c r="B6246" s="1109"/>
      <c r="C6246" s="1110"/>
      <c r="D6246" s="1110"/>
      <c r="E6246" s="1110"/>
      <c r="F6246" s="1110"/>
      <c r="G6246" s="1110"/>
      <c r="H6246" s="1110"/>
      <c r="I6246" s="1110"/>
      <c r="J6246" s="1110"/>
      <c r="K6246" s="1110"/>
      <c r="L6246" s="1110"/>
      <c r="M6246" s="1110"/>
      <c r="N6246" s="1111"/>
    </row>
    <row r="6247" spans="2:14">
      <c r="B6247" s="1130" t="s">
        <v>258</v>
      </c>
      <c r="C6247" s="1131"/>
      <c r="D6247" s="1131"/>
      <c r="E6247" s="1131"/>
      <c r="F6247" s="1132"/>
      <c r="G6247" s="1133" t="s">
        <v>261</v>
      </c>
      <c r="H6247" s="1131"/>
      <c r="I6247" s="1134" t="s">
        <v>262</v>
      </c>
      <c r="J6247" s="1135"/>
      <c r="K6247" s="288" t="s">
        <v>263</v>
      </c>
      <c r="L6247" s="1133" t="s">
        <v>264</v>
      </c>
      <c r="M6247" s="1136"/>
      <c r="N6247" s="289" t="s">
        <v>265</v>
      </c>
    </row>
    <row r="6248" spans="2:14" ht="13.5" thickBot="1">
      <c r="B6248" s="1179"/>
      <c r="C6248" s="1180"/>
      <c r="D6248" s="1180"/>
      <c r="E6248" s="1180"/>
      <c r="F6248" s="1181"/>
      <c r="G6248" s="295"/>
      <c r="H6248" s="294"/>
      <c r="I6248" s="1182"/>
      <c r="J6248" s="1183"/>
      <c r="K6248" s="290"/>
      <c r="L6248" s="1118"/>
      <c r="M6248" s="1119"/>
      <c r="N6248" s="290"/>
    </row>
    <row r="6249" spans="2:14" ht="13.5" thickBot="1">
      <c r="B6249" s="1100" t="s">
        <v>269</v>
      </c>
      <c r="C6249" s="1101"/>
      <c r="D6249" s="1101"/>
      <c r="E6249" s="1101"/>
      <c r="F6249" s="1101"/>
      <c r="G6249" s="1101"/>
      <c r="H6249" s="1101"/>
      <c r="I6249" s="1101"/>
      <c r="J6249" s="1101"/>
      <c r="K6249" s="1101"/>
      <c r="L6249" s="1101"/>
      <c r="M6249" s="1102"/>
      <c r="N6249" s="323">
        <f>+N6248</f>
        <v>0</v>
      </c>
    </row>
    <row r="6250" spans="2:14">
      <c r="B6250" s="1103" t="s">
        <v>270</v>
      </c>
      <c r="C6250" s="1104"/>
      <c r="D6250" s="1104"/>
      <c r="E6250" s="1104"/>
      <c r="F6250" s="1104"/>
      <c r="G6250" s="1104"/>
      <c r="H6250" s="1104"/>
      <c r="I6250" s="1104"/>
      <c r="J6250" s="1104"/>
      <c r="K6250" s="1104"/>
      <c r="L6250" s="1104"/>
      <c r="M6250" s="1104"/>
      <c r="N6250" s="1105"/>
    </row>
    <row r="6251" spans="2:14">
      <c r="B6251" s="1106"/>
      <c r="C6251" s="1107"/>
      <c r="D6251" s="1107"/>
      <c r="E6251" s="1107"/>
      <c r="F6251" s="1107"/>
      <c r="G6251" s="1107"/>
      <c r="H6251" s="1107"/>
      <c r="I6251" s="1107"/>
      <c r="J6251" s="1107"/>
      <c r="K6251" s="1107"/>
      <c r="L6251" s="1107"/>
      <c r="M6251" s="1107"/>
      <c r="N6251" s="1108"/>
    </row>
    <row r="6252" spans="2:14" ht="13.5" thickBot="1">
      <c r="B6252" s="1109"/>
      <c r="C6252" s="1110"/>
      <c r="D6252" s="1110"/>
      <c r="E6252" s="1110"/>
      <c r="F6252" s="1110"/>
      <c r="G6252" s="1110"/>
      <c r="H6252" s="1110"/>
      <c r="I6252" s="1110"/>
      <c r="J6252" s="1110"/>
      <c r="K6252" s="1110"/>
      <c r="L6252" s="1110"/>
      <c r="M6252" s="1110"/>
      <c r="N6252" s="1111"/>
    </row>
    <row r="6253" spans="2:14">
      <c r="B6253" s="1130" t="s">
        <v>258</v>
      </c>
      <c r="C6253" s="1139"/>
      <c r="D6253" s="1139"/>
      <c r="E6253" s="1139"/>
      <c r="F6253" s="1139"/>
      <c r="G6253" s="1139"/>
      <c r="H6253" s="1139"/>
      <c r="I6253" s="1136"/>
      <c r="J6253" s="299" t="s">
        <v>259</v>
      </c>
      <c r="K6253" s="288" t="s">
        <v>133</v>
      </c>
      <c r="L6253" s="1133" t="s">
        <v>271</v>
      </c>
      <c r="M6253" s="1136"/>
      <c r="N6253" s="289" t="s">
        <v>265</v>
      </c>
    </row>
    <row r="6254" spans="2:14">
      <c r="B6254" s="402" t="s">
        <v>348</v>
      </c>
      <c r="C6254" s="353"/>
      <c r="D6254" s="353"/>
      <c r="E6254" s="353"/>
      <c r="F6254" s="353"/>
      <c r="G6254" s="353"/>
      <c r="H6254" s="353"/>
      <c r="I6254" s="403"/>
      <c r="J6254" s="303" t="s">
        <v>147</v>
      </c>
      <c r="K6254" s="392">
        <v>0.1134</v>
      </c>
      <c r="L6254" s="1144">
        <v>369520</v>
      </c>
      <c r="M6254" s="1145"/>
      <c r="N6254" s="363">
        <f>+K6254*L6254</f>
        <v>41903.567999999999</v>
      </c>
    </row>
    <row r="6255" spans="2:14">
      <c r="B6255" s="402" t="s">
        <v>403</v>
      </c>
      <c r="C6255" s="353"/>
      <c r="D6255" s="353"/>
      <c r="E6255" s="353"/>
      <c r="F6255" s="353"/>
      <c r="G6255" s="353"/>
      <c r="H6255" s="353"/>
      <c r="I6255" s="403"/>
      <c r="J6255" s="303" t="s">
        <v>196</v>
      </c>
      <c r="K6255" s="392">
        <v>2.5</v>
      </c>
      <c r="L6255" s="1144">
        <v>91797</v>
      </c>
      <c r="M6255" s="1145"/>
      <c r="N6255" s="363">
        <f>+K6255*L6255</f>
        <v>229492.5</v>
      </c>
    </row>
    <row r="6256" spans="2:14" ht="13.5" thickBot="1">
      <c r="B6256" s="402" t="s">
        <v>332</v>
      </c>
      <c r="C6256" s="353"/>
      <c r="D6256" s="353"/>
      <c r="E6256" s="353"/>
      <c r="F6256" s="353"/>
      <c r="G6256" s="353"/>
      <c r="H6256" s="353"/>
      <c r="I6256" s="403"/>
      <c r="J6256" s="303" t="s">
        <v>196</v>
      </c>
      <c r="K6256" s="392">
        <v>1.25</v>
      </c>
      <c r="L6256" s="1144">
        <v>10710</v>
      </c>
      <c r="M6256" s="1145"/>
      <c r="N6256" s="363">
        <f>+K6256*L6256</f>
        <v>13387.5</v>
      </c>
    </row>
    <row r="6257" spans="2:14" ht="13.5" thickBot="1">
      <c r="B6257" s="1100" t="s">
        <v>269</v>
      </c>
      <c r="C6257" s="1101"/>
      <c r="D6257" s="1101"/>
      <c r="E6257" s="1101"/>
      <c r="F6257" s="1101"/>
      <c r="G6257" s="1101"/>
      <c r="H6257" s="1101"/>
      <c r="I6257" s="1101"/>
      <c r="J6257" s="1101"/>
      <c r="K6257" s="1101"/>
      <c r="L6257" s="1101"/>
      <c r="M6257" s="1102"/>
      <c r="N6257" s="323">
        <f>+N6254+N6255+N6256</f>
        <v>284783.56799999997</v>
      </c>
    </row>
    <row r="6258" spans="2:14">
      <c r="B6258" s="1103" t="s">
        <v>367</v>
      </c>
      <c r="C6258" s="1104"/>
      <c r="D6258" s="1104"/>
      <c r="E6258" s="1104"/>
      <c r="F6258" s="1104"/>
      <c r="G6258" s="1104"/>
      <c r="H6258" s="1104"/>
      <c r="I6258" s="1104"/>
      <c r="J6258" s="1104"/>
      <c r="K6258" s="1104"/>
      <c r="L6258" s="1104"/>
      <c r="M6258" s="1104"/>
      <c r="N6258" s="1105"/>
    </row>
    <row r="6259" spans="2:14">
      <c r="B6259" s="1106"/>
      <c r="C6259" s="1107"/>
      <c r="D6259" s="1107"/>
      <c r="E6259" s="1107"/>
      <c r="F6259" s="1107"/>
      <c r="G6259" s="1107"/>
      <c r="H6259" s="1107"/>
      <c r="I6259" s="1107"/>
      <c r="J6259" s="1107"/>
      <c r="K6259" s="1107"/>
      <c r="L6259" s="1107"/>
      <c r="M6259" s="1107"/>
      <c r="N6259" s="1108"/>
    </row>
    <row r="6260" spans="2:14" ht="13.5" thickBot="1">
      <c r="B6260" s="1109"/>
      <c r="C6260" s="1110"/>
      <c r="D6260" s="1110"/>
      <c r="E6260" s="1110"/>
      <c r="F6260" s="1110"/>
      <c r="G6260" s="1110"/>
      <c r="H6260" s="1110"/>
      <c r="I6260" s="1110"/>
      <c r="J6260" s="1110"/>
      <c r="K6260" s="1110"/>
      <c r="L6260" s="1110"/>
      <c r="M6260" s="1110"/>
      <c r="N6260" s="1111"/>
    </row>
    <row r="6261" spans="2:14">
      <c r="B6261" s="1130" t="s">
        <v>277</v>
      </c>
      <c r="C6261" s="1139"/>
      <c r="D6261" s="1139"/>
      <c r="E6261" s="1139"/>
      <c r="F6261" s="1139"/>
      <c r="G6261" s="1139"/>
      <c r="H6261" s="1139"/>
      <c r="I6261" s="288" t="s">
        <v>278</v>
      </c>
      <c r="J6261" s="306" t="s">
        <v>279</v>
      </c>
      <c r="K6261" s="307" t="s">
        <v>280</v>
      </c>
      <c r="L6261" s="1133" t="s">
        <v>281</v>
      </c>
      <c r="M6261" s="1136"/>
      <c r="N6261" s="289" t="s">
        <v>265</v>
      </c>
    </row>
    <row r="6262" spans="2:14" ht="13.5" thickBot="1">
      <c r="B6262" s="1112"/>
      <c r="C6262" s="1113"/>
      <c r="D6262" s="1113"/>
      <c r="E6262" s="1113"/>
      <c r="F6262" s="1113"/>
      <c r="G6262" s="1113"/>
      <c r="H6262" s="1113"/>
      <c r="I6262" s="393"/>
      <c r="J6262" s="309"/>
      <c r="K6262" s="308"/>
      <c r="L6262" s="1144"/>
      <c r="M6262" s="1145"/>
      <c r="N6262" s="363"/>
    </row>
    <row r="6263" spans="2:14" ht="13.5" thickBot="1">
      <c r="B6263" s="1100" t="s">
        <v>269</v>
      </c>
      <c r="C6263" s="1101"/>
      <c r="D6263" s="1101"/>
      <c r="E6263" s="1101"/>
      <c r="F6263" s="1101"/>
      <c r="G6263" s="1101"/>
      <c r="H6263" s="1101"/>
      <c r="I6263" s="1101"/>
      <c r="J6263" s="1101"/>
      <c r="K6263" s="1101"/>
      <c r="L6263" s="1101"/>
      <c r="M6263" s="1102"/>
      <c r="N6263" s="323">
        <f>+N6262</f>
        <v>0</v>
      </c>
    </row>
    <row r="6264" spans="2:14">
      <c r="B6264" s="1103" t="s">
        <v>282</v>
      </c>
      <c r="C6264" s="1104"/>
      <c r="D6264" s="1104"/>
      <c r="E6264" s="1104"/>
      <c r="F6264" s="1104"/>
      <c r="G6264" s="1104"/>
      <c r="H6264" s="1104"/>
      <c r="I6264" s="1104"/>
      <c r="J6264" s="1104"/>
      <c r="K6264" s="1104"/>
      <c r="L6264" s="1104"/>
      <c r="M6264" s="1104"/>
      <c r="N6264" s="1105"/>
    </row>
    <row r="6265" spans="2:14">
      <c r="B6265" s="1106"/>
      <c r="C6265" s="1107"/>
      <c r="D6265" s="1107"/>
      <c r="E6265" s="1107"/>
      <c r="F6265" s="1107"/>
      <c r="G6265" s="1107"/>
      <c r="H6265" s="1107"/>
      <c r="I6265" s="1107"/>
      <c r="J6265" s="1107"/>
      <c r="K6265" s="1107"/>
      <c r="L6265" s="1107"/>
      <c r="M6265" s="1107"/>
      <c r="N6265" s="1108"/>
    </row>
    <row r="6266" spans="2:14" ht="13.5" thickBot="1">
      <c r="B6266" s="1109"/>
      <c r="C6266" s="1110"/>
      <c r="D6266" s="1110"/>
      <c r="E6266" s="1110"/>
      <c r="F6266" s="1110"/>
      <c r="G6266" s="1110"/>
      <c r="H6266" s="1110"/>
      <c r="I6266" s="1110"/>
      <c r="J6266" s="1110"/>
      <c r="K6266" s="1110"/>
      <c r="L6266" s="1110"/>
      <c r="M6266" s="1110"/>
      <c r="N6266" s="1111"/>
    </row>
    <row r="6267" spans="2:14">
      <c r="B6267" s="1130" t="s">
        <v>283</v>
      </c>
      <c r="C6267" s="1139"/>
      <c r="D6267" s="1139"/>
      <c r="E6267" s="1139"/>
      <c r="F6267" s="1139"/>
      <c r="G6267" s="1139"/>
      <c r="H6267" s="1139"/>
      <c r="I6267" s="288" t="s">
        <v>284</v>
      </c>
      <c r="J6267" s="314" t="s">
        <v>285</v>
      </c>
      <c r="K6267" s="315" t="s">
        <v>286</v>
      </c>
      <c r="L6267" s="1140" t="s">
        <v>264</v>
      </c>
      <c r="M6267" s="1141"/>
      <c r="N6267" s="316" t="s">
        <v>265</v>
      </c>
    </row>
    <row r="6268" spans="2:14" ht="13.5" thickBot="1">
      <c r="B6268" s="317" t="s">
        <v>322</v>
      </c>
      <c r="C6268" s="318"/>
      <c r="D6268" s="318"/>
      <c r="E6268" s="318"/>
      <c r="F6268" s="318"/>
      <c r="G6268" s="318"/>
      <c r="H6268" s="318"/>
      <c r="I6268" s="319">
        <v>153482</v>
      </c>
      <c r="J6268" s="321">
        <v>0</v>
      </c>
      <c r="K6268" s="321">
        <f>+I6268+J6268</f>
        <v>153482</v>
      </c>
      <c r="L6268" s="1157">
        <v>4</v>
      </c>
      <c r="M6268" s="1158"/>
      <c r="N6268" s="322">
        <f>+K6268/L6268</f>
        <v>38370.5</v>
      </c>
    </row>
    <row r="6269" spans="2:14" ht="13.5" thickBot="1">
      <c r="B6269" s="1100" t="s">
        <v>269</v>
      </c>
      <c r="C6269" s="1101"/>
      <c r="D6269" s="1101"/>
      <c r="E6269" s="1101"/>
      <c r="F6269" s="1101"/>
      <c r="G6269" s="1101"/>
      <c r="H6269" s="1101"/>
      <c r="I6269" s="1101"/>
      <c r="J6269" s="1101"/>
      <c r="K6269" s="1101"/>
      <c r="L6269" s="1101"/>
      <c r="M6269" s="1102"/>
      <c r="N6269" s="322">
        <f>+N6268</f>
        <v>38370.5</v>
      </c>
    </row>
    <row r="6270" spans="2:14" ht="13.5" thickBot="1">
      <c r="B6270" s="324" t="s">
        <v>288</v>
      </c>
      <c r="C6270" s="325"/>
      <c r="D6270" s="325"/>
      <c r="E6270" s="325"/>
      <c r="F6270" s="325"/>
      <c r="G6270" s="325"/>
      <c r="H6270" s="325"/>
      <c r="I6270" s="326"/>
      <c r="J6270" s="327"/>
      <c r="K6270" s="328"/>
      <c r="L6270" s="329"/>
      <c r="M6270" s="329"/>
      <c r="N6270" s="330"/>
    </row>
    <row r="6271" spans="2:14">
      <c r="B6271" s="1130" t="s">
        <v>17</v>
      </c>
      <c r="C6271" s="1139"/>
      <c r="D6271" s="1139"/>
      <c r="E6271" s="1139"/>
      <c r="F6271" s="1139"/>
      <c r="G6271" s="1139"/>
      <c r="H6271" s="1139"/>
      <c r="I6271" s="1136"/>
      <c r="J6271" s="299" t="s">
        <v>259</v>
      </c>
      <c r="K6271" s="288" t="s">
        <v>133</v>
      </c>
      <c r="L6271" s="1133" t="s">
        <v>271</v>
      </c>
      <c r="M6271" s="1136"/>
      <c r="N6271" s="316" t="s">
        <v>265</v>
      </c>
    </row>
    <row r="6272" spans="2:14" ht="13.5" thickBot="1">
      <c r="B6272" s="331" t="s">
        <v>289</v>
      </c>
      <c r="C6272" s="332"/>
      <c r="D6272" s="332"/>
      <c r="E6272" s="332"/>
      <c r="F6272" s="332"/>
      <c r="G6272" s="332"/>
      <c r="H6272" s="332"/>
      <c r="I6272" s="333"/>
      <c r="J6272" s="334" t="s">
        <v>290</v>
      </c>
      <c r="K6272" s="335">
        <v>0.05</v>
      </c>
      <c r="L6272" s="1144">
        <f>+N6269</f>
        <v>38370.5</v>
      </c>
      <c r="M6272" s="1145"/>
      <c r="N6272" s="322">
        <f>+K6272*L6272</f>
        <v>1918.5250000000001</v>
      </c>
    </row>
    <row r="6273" spans="2:17" ht="13.5" thickBot="1">
      <c r="B6273" s="1100" t="s">
        <v>269</v>
      </c>
      <c r="C6273" s="1101"/>
      <c r="D6273" s="1101"/>
      <c r="E6273" s="1101"/>
      <c r="F6273" s="1101"/>
      <c r="G6273" s="1101"/>
      <c r="H6273" s="1101"/>
      <c r="I6273" s="1101"/>
      <c r="J6273" s="1101"/>
      <c r="K6273" s="1101"/>
      <c r="L6273" s="1101"/>
      <c r="M6273" s="1102"/>
      <c r="N6273" s="322">
        <f>+N6272</f>
        <v>1918.5250000000001</v>
      </c>
      <c r="P6273" s="408">
        <v>6501500</v>
      </c>
    </row>
    <row r="6274" spans="2:17" ht="13.5" thickBot="1">
      <c r="B6274" s="1100"/>
      <c r="C6274" s="1101"/>
      <c r="D6274" s="1101"/>
      <c r="E6274" s="1101"/>
      <c r="F6274" s="1101"/>
      <c r="G6274" s="1101"/>
      <c r="H6274" s="1101"/>
      <c r="I6274" s="1101"/>
      <c r="J6274" s="1101"/>
      <c r="K6274" s="1101"/>
      <c r="L6274" s="1101"/>
      <c r="M6274" s="1102"/>
      <c r="N6274" s="322"/>
    </row>
    <row r="6275" spans="2:17" ht="13.5" thickBot="1">
      <c r="B6275" s="1150" t="s">
        <v>291</v>
      </c>
      <c r="C6275" s="1151"/>
      <c r="D6275" s="1151"/>
      <c r="E6275" s="1151"/>
      <c r="F6275" s="1151"/>
      <c r="G6275" s="1151"/>
      <c r="H6275" s="1151"/>
      <c r="I6275" s="1151"/>
      <c r="J6275" s="1151"/>
      <c r="K6275" s="1151"/>
      <c r="L6275" s="1151"/>
      <c r="M6275" s="1152"/>
      <c r="N6275" s="336">
        <f>+N6249+N6257+N6263+N6269+N6273</f>
        <v>325072.59299999999</v>
      </c>
      <c r="P6275" s="258">
        <f>+N6275*N6243</f>
        <v>6501451.8599999994</v>
      </c>
      <c r="Q6275" s="413">
        <f>+P6275-P6273</f>
        <v>-48.140000000596046</v>
      </c>
    </row>
    <row r="6276" spans="2:17">
      <c r="B6276" s="1103" t="s">
        <v>292</v>
      </c>
      <c r="C6276" s="1104"/>
      <c r="D6276" s="1104"/>
      <c r="E6276" s="1104"/>
      <c r="F6276" s="1104"/>
      <c r="G6276" s="1104"/>
      <c r="H6276" s="1104"/>
      <c r="I6276" s="1104"/>
      <c r="J6276" s="1104"/>
      <c r="K6276" s="1104"/>
      <c r="L6276" s="1104"/>
      <c r="M6276" s="1104"/>
      <c r="N6276" s="1105"/>
    </row>
    <row r="6277" spans="2:17">
      <c r="B6277" s="1106"/>
      <c r="C6277" s="1107"/>
      <c r="D6277" s="1107"/>
      <c r="E6277" s="1107"/>
      <c r="F6277" s="1107"/>
      <c r="G6277" s="1107"/>
      <c r="H6277" s="1107"/>
      <c r="I6277" s="1107"/>
      <c r="J6277" s="1107"/>
      <c r="K6277" s="1107"/>
      <c r="L6277" s="1107"/>
      <c r="M6277" s="1107"/>
      <c r="N6277" s="1108"/>
    </row>
    <row r="6278" spans="2:17" ht="13.5" thickBot="1">
      <c r="B6278" s="1109"/>
      <c r="C6278" s="1110"/>
      <c r="D6278" s="1110"/>
      <c r="E6278" s="1110"/>
      <c r="F6278" s="1110"/>
      <c r="G6278" s="1110"/>
      <c r="H6278" s="1110"/>
      <c r="I6278" s="1110"/>
      <c r="J6278" s="1110"/>
      <c r="K6278" s="1110"/>
      <c r="L6278" s="1110"/>
      <c r="M6278" s="1110"/>
      <c r="N6278" s="1111"/>
    </row>
    <row r="6279" spans="2:17">
      <c r="B6279" s="1130" t="s">
        <v>17</v>
      </c>
      <c r="C6279" s="1139"/>
      <c r="D6279" s="1139"/>
      <c r="E6279" s="1139"/>
      <c r="F6279" s="1139"/>
      <c r="G6279" s="1139"/>
      <c r="H6279" s="1139"/>
      <c r="I6279" s="306"/>
      <c r="J6279" s="337"/>
      <c r="K6279" s="315" t="s">
        <v>79</v>
      </c>
      <c r="L6279" s="1140" t="s">
        <v>11</v>
      </c>
      <c r="M6279" s="1141"/>
      <c r="N6279" s="316"/>
    </row>
    <row r="6280" spans="2:17">
      <c r="B6280" s="1112" t="s">
        <v>232</v>
      </c>
      <c r="C6280" s="1113"/>
      <c r="D6280" s="1113"/>
      <c r="E6280" s="1113"/>
      <c r="F6280" s="1113"/>
      <c r="G6280" s="1113"/>
      <c r="H6280" s="1113"/>
      <c r="I6280" s="338"/>
      <c r="J6280" s="339"/>
      <c r="K6280" s="340">
        <f>'PRESUPUESTO OFICIAL'!$K$100</f>
        <v>0</v>
      </c>
      <c r="L6280" s="1146">
        <f>K6280*N6275</f>
        <v>0</v>
      </c>
      <c r="M6280" s="1147"/>
      <c r="N6280" s="341"/>
    </row>
    <row r="6281" spans="2:17">
      <c r="B6281" s="292" t="s">
        <v>293</v>
      </c>
      <c r="C6281" s="293"/>
      <c r="D6281" s="293"/>
      <c r="E6281" s="293"/>
      <c r="F6281" s="293"/>
      <c r="G6281" s="293"/>
      <c r="H6281" s="293"/>
      <c r="I6281" s="338"/>
      <c r="J6281" s="339"/>
      <c r="K6281" s="340">
        <f>'PRESUPUESTO OFICIAL'!$K$101</f>
        <v>0</v>
      </c>
      <c r="L6281" s="1146">
        <f>K6281*N6275</f>
        <v>0</v>
      </c>
      <c r="M6281" s="1147"/>
      <c r="N6281" s="341"/>
    </row>
    <row r="6282" spans="2:17" ht="13.5" thickBot="1">
      <c r="B6282" s="277" t="s">
        <v>294</v>
      </c>
      <c r="C6282" s="278"/>
      <c r="D6282" s="278"/>
      <c r="E6282" s="278"/>
      <c r="F6282" s="278"/>
      <c r="G6282" s="278"/>
      <c r="H6282" s="278"/>
      <c r="I6282" s="342"/>
      <c r="J6282" s="343"/>
      <c r="K6282" s="340">
        <f>'PRESUPUESTO OFICIAL'!$K$102</f>
        <v>0</v>
      </c>
      <c r="L6282" s="1148">
        <f>K6282*N6275</f>
        <v>0</v>
      </c>
      <c r="M6282" s="1149"/>
      <c r="N6282" s="341"/>
    </row>
    <row r="6283" spans="2:17" ht="13.5" thickBot="1">
      <c r="B6283" s="1100" t="s">
        <v>269</v>
      </c>
      <c r="C6283" s="1101"/>
      <c r="D6283" s="1101"/>
      <c r="E6283" s="1101"/>
      <c r="F6283" s="1101"/>
      <c r="G6283" s="1101"/>
      <c r="H6283" s="1101"/>
      <c r="I6283" s="1101"/>
      <c r="J6283" s="1101"/>
      <c r="K6283" s="1101"/>
      <c r="L6283" s="1101"/>
      <c r="M6283" s="1102"/>
      <c r="N6283" s="344">
        <f>SUM(L6280:M6282)</f>
        <v>0</v>
      </c>
    </row>
    <row r="6284" spans="2:17" ht="13.5" thickBot="1">
      <c r="B6284" s="283"/>
      <c r="N6284" s="284"/>
    </row>
    <row r="6285" spans="2:17" ht="13.5" thickBot="1">
      <c r="B6285" s="1150" t="s">
        <v>295</v>
      </c>
      <c r="C6285" s="1151"/>
      <c r="D6285" s="1151"/>
      <c r="E6285" s="1151"/>
      <c r="F6285" s="1151"/>
      <c r="G6285" s="1151"/>
      <c r="H6285" s="1151"/>
      <c r="I6285" s="1151"/>
      <c r="J6285" s="1151"/>
      <c r="K6285" s="1151"/>
      <c r="L6285" s="1151"/>
      <c r="M6285" s="1152"/>
      <c r="N6285" s="345">
        <f>ROUND(N6275+N6283,0)</f>
        <v>325073</v>
      </c>
    </row>
    <row r="6286" spans="2:17">
      <c r="B6286" s="280"/>
      <c r="C6286" s="281"/>
      <c r="D6286" s="281"/>
      <c r="E6286" s="281"/>
      <c r="F6286" s="281"/>
      <c r="G6286" s="281"/>
      <c r="H6286" s="281"/>
      <c r="I6286" s="281"/>
      <c r="J6286" s="281"/>
      <c r="K6286" s="281"/>
      <c r="L6286" s="281"/>
      <c r="M6286" s="281"/>
      <c r="N6286" s="282"/>
    </row>
    <row r="6287" spans="2:17">
      <c r="B6287" s="283"/>
      <c r="N6287" s="284"/>
    </row>
    <row r="6288" spans="2:17">
      <c r="B6288" s="283"/>
      <c r="N6288" s="284"/>
    </row>
    <row r="6289" spans="2:14">
      <c r="B6289" s="283"/>
      <c r="G6289" s="346" t="s">
        <v>296</v>
      </c>
      <c r="H6289" s="346"/>
      <c r="I6289" s="346"/>
      <c r="J6289" s="346"/>
      <c r="N6289" s="284"/>
    </row>
    <row r="6290" spans="2:14">
      <c r="B6290" s="347"/>
      <c r="C6290" s="348"/>
      <c r="D6290" s="348"/>
      <c r="E6290" s="348"/>
      <c r="F6290" s="348"/>
      <c r="G6290" s="346" t="s">
        <v>297</v>
      </c>
      <c r="H6290" s="348"/>
      <c r="I6290" s="348"/>
      <c r="J6290" s="348"/>
      <c r="K6290" s="348"/>
      <c r="L6290" s="348"/>
      <c r="M6290" s="348"/>
      <c r="N6290" s="349"/>
    </row>
    <row r="6291" spans="2:14">
      <c r="B6291" s="347"/>
      <c r="C6291" s="348"/>
      <c r="D6291" s="348"/>
      <c r="E6291" s="348"/>
      <c r="F6291" s="348"/>
      <c r="G6291" s="346" t="s">
        <v>298</v>
      </c>
      <c r="J6291" s="348"/>
      <c r="K6291" s="348"/>
      <c r="L6291" s="348"/>
      <c r="M6291" s="348"/>
      <c r="N6291" s="349"/>
    </row>
    <row r="6292" spans="2:14">
      <c r="B6292" s="268"/>
      <c r="C6292" s="350"/>
      <c r="D6292" s="350"/>
      <c r="E6292" s="350"/>
      <c r="F6292" s="350"/>
      <c r="G6292" s="346" t="s">
        <v>299</v>
      </c>
      <c r="H6292" s="350"/>
      <c r="I6292" s="350"/>
      <c r="J6292" s="350"/>
      <c r="K6292" s="350"/>
      <c r="L6292" s="350"/>
      <c r="M6292" s="350"/>
      <c r="N6292" s="351"/>
    </row>
    <row r="6293" spans="2:14">
      <c r="B6293" s="283"/>
      <c r="G6293" s="258" t="s">
        <v>300</v>
      </c>
      <c r="N6293" s="284"/>
    </row>
    <row r="6294" spans="2:14">
      <c r="B6294" s="352" t="s">
        <v>301</v>
      </c>
      <c r="C6294" s="353"/>
      <c r="D6294" s="353"/>
      <c r="E6294" s="353"/>
      <c r="F6294" s="353"/>
      <c r="G6294" s="353"/>
      <c r="H6294" s="353"/>
      <c r="I6294" s="353"/>
      <c r="J6294" s="353"/>
      <c r="K6294" s="353"/>
      <c r="L6294" s="353"/>
      <c r="M6294" s="353"/>
      <c r="N6294" s="354"/>
    </row>
    <row r="6295" spans="2:14">
      <c r="B6295" s="1153"/>
      <c r="C6295" s="1154"/>
      <c r="D6295" s="1154"/>
      <c r="E6295" s="1154"/>
      <c r="F6295" s="1154"/>
      <c r="G6295" s="1154"/>
      <c r="H6295" s="1154"/>
      <c r="I6295" s="1154"/>
      <c r="J6295" s="1154"/>
      <c r="K6295" s="1154"/>
      <c r="L6295" s="1154"/>
      <c r="M6295" s="1154"/>
      <c r="N6295" s="1155"/>
    </row>
    <row r="6296" spans="2:14">
      <c r="B6296" s="1153"/>
      <c r="C6296" s="1154"/>
      <c r="D6296" s="1154"/>
      <c r="E6296" s="1154"/>
      <c r="F6296" s="1154"/>
      <c r="G6296" s="1154"/>
      <c r="H6296" s="1154"/>
      <c r="I6296" s="1154"/>
      <c r="J6296" s="1154"/>
      <c r="K6296" s="1154"/>
      <c r="L6296" s="1154"/>
      <c r="M6296" s="1154"/>
      <c r="N6296" s="1155"/>
    </row>
    <row r="6297" spans="2:14">
      <c r="B6297" s="268"/>
      <c r="C6297" s="350"/>
      <c r="D6297" s="350"/>
      <c r="E6297" s="350"/>
      <c r="F6297" s="350"/>
      <c r="G6297" s="350"/>
      <c r="H6297" s="350"/>
      <c r="I6297" s="350"/>
      <c r="J6297" s="350"/>
      <c r="K6297" s="350"/>
      <c r="L6297" s="350"/>
      <c r="M6297" s="350"/>
      <c r="N6297" s="351"/>
    </row>
    <row r="6298" spans="2:14">
      <c r="B6298" s="355" t="s">
        <v>302</v>
      </c>
      <c r="C6298" s="350"/>
      <c r="D6298" s="350"/>
      <c r="E6298" s="350"/>
      <c r="F6298" s="350"/>
      <c r="G6298" s="350"/>
      <c r="H6298" s="350"/>
      <c r="I6298" s="350"/>
      <c r="J6298" s="350"/>
      <c r="K6298" s="350"/>
      <c r="L6298" s="350"/>
      <c r="M6298" s="350"/>
      <c r="N6298" s="351"/>
    </row>
    <row r="6299" spans="2:14">
      <c r="B6299" s="1159" t="s">
        <v>303</v>
      </c>
      <c r="C6299" s="1160"/>
      <c r="D6299" s="1160"/>
      <c r="E6299" s="1160"/>
      <c r="F6299" s="1160"/>
      <c r="G6299" s="1160"/>
      <c r="H6299" s="1160"/>
      <c r="I6299" s="1160"/>
      <c r="J6299" s="1160"/>
      <c r="K6299" s="1160"/>
      <c r="L6299" s="1160"/>
      <c r="M6299" s="1160"/>
      <c r="N6299" s="1161"/>
    </row>
    <row r="6300" spans="2:14">
      <c r="B6300" s="1159"/>
      <c r="C6300" s="1160"/>
      <c r="D6300" s="1160"/>
      <c r="E6300" s="1160"/>
      <c r="F6300" s="1160"/>
      <c r="G6300" s="1160"/>
      <c r="H6300" s="1160"/>
      <c r="I6300" s="1160"/>
      <c r="J6300" s="1160"/>
      <c r="K6300" s="1160"/>
      <c r="L6300" s="1160"/>
      <c r="M6300" s="1160"/>
      <c r="N6300" s="1161"/>
    </row>
    <row r="6301" spans="2:14">
      <c r="B6301" s="1159" t="s">
        <v>304</v>
      </c>
      <c r="C6301" s="1160"/>
      <c r="D6301" s="1160"/>
      <c r="E6301" s="1160"/>
      <c r="F6301" s="1160"/>
      <c r="G6301" s="1160"/>
      <c r="H6301" s="1160"/>
      <c r="I6301" s="1160"/>
      <c r="J6301" s="1160"/>
      <c r="K6301" s="1160"/>
      <c r="L6301" s="1160"/>
      <c r="M6301" s="1160"/>
      <c r="N6301" s="1161"/>
    </row>
    <row r="6302" spans="2:14">
      <c r="B6302" s="1159"/>
      <c r="C6302" s="1160"/>
      <c r="D6302" s="1160"/>
      <c r="E6302" s="1160"/>
      <c r="F6302" s="1160"/>
      <c r="G6302" s="1160"/>
      <c r="H6302" s="1160"/>
      <c r="I6302" s="1160"/>
      <c r="J6302" s="1160"/>
      <c r="K6302" s="1160"/>
      <c r="L6302" s="1160"/>
      <c r="M6302" s="1160"/>
      <c r="N6302" s="1161"/>
    </row>
    <row r="6303" spans="2:14">
      <c r="B6303" s="268"/>
      <c r="C6303" s="350"/>
      <c r="D6303" s="350"/>
      <c r="E6303" s="350"/>
      <c r="F6303" s="350"/>
      <c r="G6303" s="350"/>
      <c r="H6303" s="350"/>
      <c r="I6303" s="350"/>
      <c r="J6303" s="350"/>
      <c r="K6303" s="350"/>
      <c r="L6303" s="350"/>
      <c r="M6303" s="350"/>
      <c r="N6303" s="351"/>
    </row>
    <row r="6304" spans="2:14">
      <c r="B6304" s="283"/>
      <c r="G6304" s="346" t="s">
        <v>296</v>
      </c>
      <c r="N6304" s="284"/>
    </row>
    <row r="6305" spans="2:14">
      <c r="B6305" s="283"/>
      <c r="G6305" s="258" t="s">
        <v>305</v>
      </c>
      <c r="H6305" s="293"/>
      <c r="I6305" s="293"/>
      <c r="J6305" s="293"/>
      <c r="N6305" s="284"/>
    </row>
    <row r="6306" spans="2:14">
      <c r="B6306" s="283"/>
      <c r="G6306" s="258" t="s">
        <v>306</v>
      </c>
      <c r="H6306" s="325"/>
      <c r="I6306" s="325"/>
      <c r="J6306" s="325"/>
      <c r="N6306" s="284"/>
    </row>
    <row r="6307" spans="2:14">
      <c r="B6307" s="356"/>
      <c r="C6307" s="350"/>
      <c r="D6307" s="350"/>
      <c r="E6307" s="350"/>
      <c r="F6307" s="350"/>
      <c r="G6307" s="258" t="s">
        <v>299</v>
      </c>
      <c r="K6307" s="350"/>
      <c r="L6307" s="350"/>
      <c r="M6307" s="350"/>
      <c r="N6307" s="351"/>
    </row>
    <row r="6308" spans="2:14">
      <c r="B6308" s="357"/>
      <c r="C6308" s="358"/>
      <c r="D6308" s="358"/>
      <c r="J6308" s="1162"/>
      <c r="K6308" s="1162"/>
      <c r="L6308" s="1162"/>
      <c r="M6308" s="1162"/>
      <c r="N6308" s="1163"/>
    </row>
    <row r="6309" spans="2:14" ht="13.5" thickBot="1">
      <c r="B6309" s="1166"/>
      <c r="C6309" s="1167"/>
      <c r="D6309" s="1167"/>
      <c r="E6309" s="311"/>
      <c r="F6309" s="311"/>
      <c r="G6309" s="311"/>
      <c r="H6309" s="311"/>
      <c r="I6309" s="311"/>
      <c r="J6309" s="1164"/>
      <c r="K6309" s="1164"/>
      <c r="L6309" s="1164"/>
      <c r="M6309" s="1164"/>
      <c r="N6309" s="1165"/>
    </row>
    <row r="6310" spans="2:14" ht="13.5" thickBot="1"/>
    <row r="6311" spans="2:14">
      <c r="B6311" s="1070"/>
      <c r="C6311" s="1072"/>
      <c r="D6311" s="1073"/>
      <c r="E6311" s="1073"/>
      <c r="F6311" s="1073"/>
      <c r="G6311" s="1073"/>
      <c r="H6311" s="1073"/>
      <c r="I6311" s="1073"/>
      <c r="J6311" s="1074"/>
      <c r="K6311" s="1075"/>
      <c r="L6311" s="1076"/>
      <c r="M6311" s="1076"/>
      <c r="N6311" s="1077"/>
    </row>
    <row r="6312" spans="2:14">
      <c r="B6312" s="1071"/>
      <c r="C6312" s="1062" t="s">
        <v>244</v>
      </c>
      <c r="D6312" s="1063"/>
      <c r="E6312" s="1063"/>
      <c r="F6312" s="1063"/>
      <c r="G6312" s="1063"/>
      <c r="H6312" s="1063"/>
      <c r="I6312" s="1063"/>
      <c r="J6312" s="1064"/>
      <c r="K6312" s="1078"/>
      <c r="L6312" s="1079"/>
      <c r="M6312" s="1079"/>
      <c r="N6312" s="1080"/>
    </row>
    <row r="6313" spans="2:14">
      <c r="B6313" s="1071"/>
      <c r="C6313" s="1081"/>
      <c r="D6313" s="1082"/>
      <c r="E6313" s="1082"/>
      <c r="F6313" s="1082"/>
      <c r="G6313" s="1082"/>
      <c r="H6313" s="1082"/>
      <c r="I6313" s="1082"/>
      <c r="J6313" s="1083"/>
      <c r="K6313" s="1058" t="s">
        <v>245</v>
      </c>
      <c r="L6313" s="1085"/>
      <c r="M6313" s="1086"/>
      <c r="N6313" s="1087"/>
    </row>
    <row r="6314" spans="2:14">
      <c r="B6314" s="1071"/>
      <c r="C6314" s="1062" t="s">
        <v>246</v>
      </c>
      <c r="D6314" s="1063"/>
      <c r="E6314" s="1063"/>
      <c r="F6314" s="1063"/>
      <c r="G6314" s="1063"/>
      <c r="H6314" s="1063"/>
      <c r="I6314" s="1063"/>
      <c r="J6314" s="1064"/>
      <c r="K6314" s="1084"/>
      <c r="L6314" s="1088"/>
      <c r="M6314" s="1089"/>
      <c r="N6314" s="1090"/>
    </row>
    <row r="6315" spans="2:14">
      <c r="B6315" s="1071"/>
      <c r="C6315" s="1091"/>
      <c r="D6315" s="1092"/>
      <c r="E6315" s="1092"/>
      <c r="F6315" s="1092"/>
      <c r="G6315" s="1092"/>
      <c r="H6315" s="1092"/>
      <c r="I6315" s="1092"/>
      <c r="J6315" s="1093"/>
      <c r="K6315" s="1058" t="s">
        <v>247</v>
      </c>
      <c r="L6315" s="1058">
        <v>72</v>
      </c>
      <c r="M6315" s="1058" t="s">
        <v>248</v>
      </c>
      <c r="N6315" s="1060">
        <v>80</v>
      </c>
    </row>
    <row r="6316" spans="2:14">
      <c r="B6316" s="1071"/>
      <c r="C6316" s="1091"/>
      <c r="D6316" s="1092"/>
      <c r="E6316" s="1092"/>
      <c r="F6316" s="1092"/>
      <c r="G6316" s="1092"/>
      <c r="H6316" s="1092"/>
      <c r="I6316" s="1092"/>
      <c r="J6316" s="1093"/>
      <c r="K6316" s="1059"/>
      <c r="L6316" s="1059"/>
      <c r="M6316" s="1059"/>
      <c r="N6316" s="1061"/>
    </row>
    <row r="6317" spans="2:14">
      <c r="B6317" s="1071"/>
      <c r="C6317" s="1062" t="s">
        <v>249</v>
      </c>
      <c r="D6317" s="1063"/>
      <c r="E6317" s="1063"/>
      <c r="F6317" s="1063"/>
      <c r="G6317" s="1063"/>
      <c r="H6317" s="1063"/>
      <c r="I6317" s="1063"/>
      <c r="J6317" s="1064"/>
      <c r="K6317" s="1059"/>
      <c r="L6317" s="1059"/>
      <c r="M6317" s="1059"/>
      <c r="N6317" s="1061"/>
    </row>
    <row r="6318" spans="2:14" ht="13.5" thickBot="1">
      <c r="B6318" s="259"/>
      <c r="C6318" s="260"/>
      <c r="D6318" s="260"/>
      <c r="E6318" s="260"/>
      <c r="F6318" s="260"/>
      <c r="G6318" s="260"/>
      <c r="H6318" s="260"/>
      <c r="I6318" s="260"/>
      <c r="J6318" s="260"/>
      <c r="K6318" s="260"/>
      <c r="L6318" s="261"/>
      <c r="M6318" s="261"/>
      <c r="N6318" s="262"/>
    </row>
    <row r="6319" spans="2:14">
      <c r="B6319" s="263"/>
      <c r="C6319" s="264"/>
      <c r="D6319" s="264"/>
      <c r="E6319" s="264"/>
      <c r="F6319" s="264"/>
      <c r="G6319" s="264"/>
      <c r="H6319" s="264"/>
      <c r="I6319" s="264"/>
      <c r="J6319" s="264"/>
      <c r="K6319" s="265" t="s">
        <v>250</v>
      </c>
      <c r="L6319" s="266" t="s">
        <v>251</v>
      </c>
      <c r="M6319" s="266" t="s">
        <v>252</v>
      </c>
      <c r="N6319" s="267" t="s">
        <v>253</v>
      </c>
    </row>
    <row r="6320" spans="2:14">
      <c r="B6320" s="268"/>
      <c r="C6320" s="269"/>
      <c r="D6320" s="269"/>
      <c r="E6320" s="269"/>
      <c r="F6320" s="269"/>
      <c r="G6320" s="269"/>
      <c r="H6320" s="269"/>
      <c r="I6320" s="269"/>
      <c r="J6320" s="269"/>
      <c r="K6320" s="270"/>
      <c r="L6320" s="271"/>
      <c r="M6320" s="271"/>
      <c r="N6320" s="272"/>
    </row>
    <row r="6321" spans="2:14">
      <c r="B6321" s="1065" t="s">
        <v>254</v>
      </c>
      <c r="C6321" s="1066"/>
      <c r="D6321" s="1066"/>
      <c r="E6321" s="1066"/>
      <c r="F6321" s="269"/>
      <c r="G6321" s="269"/>
      <c r="H6321" s="269" t="s">
        <v>255</v>
      </c>
      <c r="J6321" s="269"/>
      <c r="K6321" s="270"/>
      <c r="N6321" s="273"/>
    </row>
    <row r="6322" spans="2:14">
      <c r="B6322" s="274"/>
      <c r="C6322" s="275"/>
      <c r="D6322" s="275"/>
      <c r="E6322" s="275"/>
      <c r="F6322" s="275"/>
      <c r="G6322" s="275"/>
      <c r="H6322" s="275"/>
      <c r="I6322" s="275"/>
      <c r="J6322" s="275"/>
      <c r="K6322" s="275"/>
      <c r="L6322" s="275"/>
      <c r="M6322" s="275"/>
      <c r="N6322" s="276"/>
    </row>
    <row r="6323" spans="2:14" ht="13.5" thickBot="1">
      <c r="B6323" s="277"/>
      <c r="C6323" s="278"/>
      <c r="D6323" s="278"/>
      <c r="E6323" s="278"/>
      <c r="F6323" s="278"/>
      <c r="G6323" s="278"/>
      <c r="H6323" s="278"/>
      <c r="I6323" s="278"/>
      <c r="J6323" s="278"/>
      <c r="K6323" s="278"/>
      <c r="L6323" s="278"/>
      <c r="M6323" s="278"/>
      <c r="N6323" s="279"/>
    </row>
    <row r="6324" spans="2:14" ht="13.5" thickBot="1">
      <c r="B6324" s="280"/>
      <c r="C6324" s="281"/>
      <c r="D6324" s="281"/>
      <c r="E6324" s="281"/>
      <c r="F6324" s="281"/>
      <c r="G6324" s="281"/>
      <c r="J6324" s="281"/>
      <c r="K6324" s="281"/>
      <c r="L6324" s="281"/>
      <c r="M6324" s="281"/>
      <c r="N6324" s="282"/>
    </row>
    <row r="6325" spans="2:14">
      <c r="B6325" s="1067" t="s">
        <v>256</v>
      </c>
      <c r="C6325" s="1068"/>
      <c r="D6325" s="1068"/>
      <c r="E6325" s="1068"/>
      <c r="F6325" s="1068"/>
      <c r="G6325" s="1068"/>
      <c r="H6325" s="1068"/>
      <c r="I6325" s="1068"/>
      <c r="J6325" s="1068"/>
      <c r="K6325" s="1068"/>
      <c r="L6325" s="1068"/>
      <c r="M6325" s="1068"/>
      <c r="N6325" s="1069"/>
    </row>
    <row r="6326" spans="2:14" ht="13.5" thickBot="1">
      <c r="B6326" s="283"/>
      <c r="N6326" s="284"/>
    </row>
    <row r="6327" spans="2:14">
      <c r="B6327" s="285" t="s">
        <v>257</v>
      </c>
      <c r="C6327" s="1120" t="s">
        <v>258</v>
      </c>
      <c r="D6327" s="1121"/>
      <c r="E6327" s="1121"/>
      <c r="F6327" s="1121"/>
      <c r="G6327" s="1121"/>
      <c r="H6327" s="1121"/>
      <c r="I6327" s="1121"/>
      <c r="J6327" s="1121"/>
      <c r="K6327" s="1122"/>
      <c r="L6327" s="1123" t="s">
        <v>259</v>
      </c>
      <c r="M6327" s="1124"/>
      <c r="N6327" s="285" t="s">
        <v>133</v>
      </c>
    </row>
    <row r="6328" spans="2:14" ht="27.75" customHeight="1" thickBot="1">
      <c r="B6328" s="286">
        <v>72</v>
      </c>
      <c r="C6328" s="1125" t="s">
        <v>215</v>
      </c>
      <c r="D6328" s="1126"/>
      <c r="E6328" s="1126"/>
      <c r="F6328" s="1126"/>
      <c r="G6328" s="1126"/>
      <c r="H6328" s="1126"/>
      <c r="I6328" s="1126"/>
      <c r="J6328" s="1126"/>
      <c r="K6328" s="1127"/>
      <c r="L6328" s="1128" t="s">
        <v>143</v>
      </c>
      <c r="M6328" s="1129"/>
      <c r="N6328" s="366">
        <v>30</v>
      </c>
    </row>
    <row r="6329" spans="2:14">
      <c r="B6329" s="1103" t="s">
        <v>260</v>
      </c>
      <c r="C6329" s="1104"/>
      <c r="D6329" s="1104"/>
      <c r="E6329" s="1104"/>
      <c r="F6329" s="1104"/>
      <c r="G6329" s="1104"/>
      <c r="H6329" s="1104"/>
      <c r="I6329" s="1104"/>
      <c r="J6329" s="1104"/>
      <c r="K6329" s="1104"/>
      <c r="L6329" s="1104"/>
      <c r="M6329" s="1104"/>
      <c r="N6329" s="1105"/>
    </row>
    <row r="6330" spans="2:14">
      <c r="B6330" s="1106"/>
      <c r="C6330" s="1107"/>
      <c r="D6330" s="1107"/>
      <c r="E6330" s="1107"/>
      <c r="F6330" s="1107"/>
      <c r="G6330" s="1107"/>
      <c r="H6330" s="1107"/>
      <c r="I6330" s="1107"/>
      <c r="J6330" s="1107"/>
      <c r="K6330" s="1107"/>
      <c r="L6330" s="1107"/>
      <c r="M6330" s="1107"/>
      <c r="N6330" s="1108"/>
    </row>
    <row r="6331" spans="2:14" ht="13.5" thickBot="1">
      <c r="B6331" s="1109"/>
      <c r="C6331" s="1110"/>
      <c r="D6331" s="1110"/>
      <c r="E6331" s="1110"/>
      <c r="F6331" s="1110"/>
      <c r="G6331" s="1110"/>
      <c r="H6331" s="1110"/>
      <c r="I6331" s="1110"/>
      <c r="J6331" s="1110"/>
      <c r="K6331" s="1110"/>
      <c r="L6331" s="1110"/>
      <c r="M6331" s="1110"/>
      <c r="N6331" s="1111"/>
    </row>
    <row r="6332" spans="2:14">
      <c r="B6332" s="1130" t="s">
        <v>258</v>
      </c>
      <c r="C6332" s="1131"/>
      <c r="D6332" s="1131"/>
      <c r="E6332" s="1131"/>
      <c r="F6332" s="1132"/>
      <c r="G6332" s="1133" t="s">
        <v>261</v>
      </c>
      <c r="H6332" s="1131"/>
      <c r="I6332" s="1134" t="s">
        <v>262</v>
      </c>
      <c r="J6332" s="1135"/>
      <c r="K6332" s="288" t="s">
        <v>263</v>
      </c>
      <c r="L6332" s="1133" t="s">
        <v>264</v>
      </c>
      <c r="M6332" s="1136"/>
      <c r="N6332" s="289" t="s">
        <v>265</v>
      </c>
    </row>
    <row r="6333" spans="2:14" ht="13.5" thickBot="1">
      <c r="B6333" s="1179"/>
      <c r="C6333" s="1180"/>
      <c r="D6333" s="1180"/>
      <c r="E6333" s="1180"/>
      <c r="F6333" s="1181"/>
      <c r="G6333" s="295"/>
      <c r="H6333" s="294"/>
      <c r="I6333" s="1182"/>
      <c r="J6333" s="1183"/>
      <c r="K6333" s="290"/>
      <c r="L6333" s="1118"/>
      <c r="M6333" s="1119"/>
      <c r="N6333" s="290"/>
    </row>
    <row r="6334" spans="2:14" ht="13.5" thickBot="1">
      <c r="B6334" s="1100" t="s">
        <v>269</v>
      </c>
      <c r="C6334" s="1101"/>
      <c r="D6334" s="1101"/>
      <c r="E6334" s="1101"/>
      <c r="F6334" s="1101"/>
      <c r="G6334" s="1101"/>
      <c r="H6334" s="1101"/>
      <c r="I6334" s="1101"/>
      <c r="J6334" s="1101"/>
      <c r="K6334" s="1101"/>
      <c r="L6334" s="1101"/>
      <c r="M6334" s="1102"/>
      <c r="N6334" s="323">
        <f>+N6333</f>
        <v>0</v>
      </c>
    </row>
    <row r="6335" spans="2:14">
      <c r="B6335" s="1103" t="s">
        <v>270</v>
      </c>
      <c r="C6335" s="1104"/>
      <c r="D6335" s="1104"/>
      <c r="E6335" s="1104"/>
      <c r="F6335" s="1104"/>
      <c r="G6335" s="1104"/>
      <c r="H6335" s="1104"/>
      <c r="I6335" s="1104"/>
      <c r="J6335" s="1104"/>
      <c r="K6335" s="1104"/>
      <c r="L6335" s="1104"/>
      <c r="M6335" s="1104"/>
      <c r="N6335" s="1105"/>
    </row>
    <row r="6336" spans="2:14">
      <c r="B6336" s="1106"/>
      <c r="C6336" s="1107"/>
      <c r="D6336" s="1107"/>
      <c r="E6336" s="1107"/>
      <c r="F6336" s="1107"/>
      <c r="G6336" s="1107"/>
      <c r="H6336" s="1107"/>
      <c r="I6336" s="1107"/>
      <c r="J6336" s="1107"/>
      <c r="K6336" s="1107"/>
      <c r="L6336" s="1107"/>
      <c r="M6336" s="1107"/>
      <c r="N6336" s="1108"/>
    </row>
    <row r="6337" spans="2:14" ht="13.5" thickBot="1">
      <c r="B6337" s="1109"/>
      <c r="C6337" s="1110"/>
      <c r="D6337" s="1110"/>
      <c r="E6337" s="1110"/>
      <c r="F6337" s="1110"/>
      <c r="G6337" s="1110"/>
      <c r="H6337" s="1110"/>
      <c r="I6337" s="1110"/>
      <c r="J6337" s="1110"/>
      <c r="K6337" s="1110"/>
      <c r="L6337" s="1110"/>
      <c r="M6337" s="1110"/>
      <c r="N6337" s="1111"/>
    </row>
    <row r="6338" spans="2:14">
      <c r="B6338" s="1130" t="s">
        <v>258</v>
      </c>
      <c r="C6338" s="1139"/>
      <c r="D6338" s="1139"/>
      <c r="E6338" s="1139"/>
      <c r="F6338" s="1139"/>
      <c r="G6338" s="1139"/>
      <c r="H6338" s="1139"/>
      <c r="I6338" s="1136"/>
      <c r="J6338" s="299" t="s">
        <v>259</v>
      </c>
      <c r="K6338" s="288" t="s">
        <v>133</v>
      </c>
      <c r="L6338" s="1133" t="s">
        <v>271</v>
      </c>
      <c r="M6338" s="1136"/>
      <c r="N6338" s="289" t="s">
        <v>265</v>
      </c>
    </row>
    <row r="6339" spans="2:14">
      <c r="B6339" s="402" t="s">
        <v>404</v>
      </c>
      <c r="C6339" s="353"/>
      <c r="D6339" s="353"/>
      <c r="E6339" s="353"/>
      <c r="F6339" s="353"/>
      <c r="G6339" s="353"/>
      <c r="H6339" s="353"/>
      <c r="I6339" s="403"/>
      <c r="J6339" s="303" t="s">
        <v>143</v>
      </c>
      <c r="K6339" s="392">
        <v>1.02</v>
      </c>
      <c r="L6339" s="1144">
        <v>105434</v>
      </c>
      <c r="M6339" s="1145"/>
      <c r="N6339" s="363">
        <f t="shared" ref="N6339:N6344" si="3">+K6339*L6339</f>
        <v>107542.68000000001</v>
      </c>
    </row>
    <row r="6340" spans="2:14">
      <c r="B6340" s="402" t="s">
        <v>405</v>
      </c>
      <c r="C6340" s="353"/>
      <c r="D6340" s="353"/>
      <c r="E6340" s="353"/>
      <c r="F6340" s="353"/>
      <c r="G6340" s="353"/>
      <c r="H6340" s="353"/>
      <c r="I6340" s="403"/>
      <c r="J6340" s="303" t="s">
        <v>196</v>
      </c>
      <c r="K6340" s="392">
        <v>0.1</v>
      </c>
      <c r="L6340" s="1144">
        <v>221920</v>
      </c>
      <c r="M6340" s="1145"/>
      <c r="N6340" s="363">
        <f t="shared" si="3"/>
        <v>22192</v>
      </c>
    </row>
    <row r="6341" spans="2:14">
      <c r="B6341" s="402" t="s">
        <v>406</v>
      </c>
      <c r="C6341" s="353"/>
      <c r="D6341" s="353"/>
      <c r="E6341" s="353"/>
      <c r="F6341" s="353"/>
      <c r="G6341" s="353"/>
      <c r="H6341" s="353"/>
      <c r="I6341" s="403"/>
      <c r="J6341" s="303" t="s">
        <v>196</v>
      </c>
      <c r="K6341" s="392">
        <v>0.16666700000000001</v>
      </c>
      <c r="L6341" s="1144">
        <v>107488</v>
      </c>
      <c r="M6341" s="1145"/>
      <c r="N6341" s="363">
        <f t="shared" si="3"/>
        <v>17914.702496000002</v>
      </c>
    </row>
    <row r="6342" spans="2:14">
      <c r="B6342" s="402" t="s">
        <v>407</v>
      </c>
      <c r="C6342" s="353"/>
      <c r="D6342" s="353"/>
      <c r="E6342" s="353"/>
      <c r="F6342" s="353"/>
      <c r="G6342" s="353"/>
      <c r="H6342" s="353"/>
      <c r="I6342" s="403"/>
      <c r="J6342" s="303" t="s">
        <v>196</v>
      </c>
      <c r="K6342" s="392">
        <v>0.05</v>
      </c>
      <c r="L6342" s="1144">
        <v>529343</v>
      </c>
      <c r="M6342" s="1145"/>
      <c r="N6342" s="363">
        <f t="shared" si="3"/>
        <v>26467.15</v>
      </c>
    </row>
    <row r="6343" spans="2:14">
      <c r="B6343" s="402" t="s">
        <v>408</v>
      </c>
      <c r="C6343" s="353"/>
      <c r="D6343" s="353"/>
      <c r="E6343" s="353"/>
      <c r="F6343" s="353"/>
      <c r="G6343" s="353"/>
      <c r="H6343" s="353"/>
      <c r="I6343" s="403"/>
      <c r="J6343" s="303" t="s">
        <v>409</v>
      </c>
      <c r="K6343" s="392">
        <v>5.5556000000000001E-2</v>
      </c>
      <c r="L6343" s="1144">
        <v>97724</v>
      </c>
      <c r="M6343" s="1145"/>
      <c r="N6343" s="363">
        <f t="shared" si="3"/>
        <v>5429.154544</v>
      </c>
    </row>
    <row r="6344" spans="2:14" ht="13.5" thickBot="1">
      <c r="B6344" s="402" t="s">
        <v>410</v>
      </c>
      <c r="C6344" s="353"/>
      <c r="D6344" s="353"/>
      <c r="E6344" s="353"/>
      <c r="F6344" s="353"/>
      <c r="G6344" s="353"/>
      <c r="H6344" s="353"/>
      <c r="I6344" s="403"/>
      <c r="J6344" s="303" t="s">
        <v>411</v>
      </c>
      <c r="K6344" s="392">
        <v>5.5556000000000001E-2</v>
      </c>
      <c r="L6344" s="1144">
        <v>53173</v>
      </c>
      <c r="M6344" s="1145"/>
      <c r="N6344" s="363">
        <f t="shared" si="3"/>
        <v>2954.0791880000002</v>
      </c>
    </row>
    <row r="6345" spans="2:14" ht="13.5" thickBot="1">
      <c r="B6345" s="1100" t="s">
        <v>269</v>
      </c>
      <c r="C6345" s="1101"/>
      <c r="D6345" s="1101"/>
      <c r="E6345" s="1101"/>
      <c r="F6345" s="1101"/>
      <c r="G6345" s="1101"/>
      <c r="H6345" s="1101"/>
      <c r="I6345" s="1101"/>
      <c r="J6345" s="1101"/>
      <c r="K6345" s="1101"/>
      <c r="L6345" s="1101"/>
      <c r="M6345" s="1102"/>
      <c r="N6345" s="323">
        <f>+N6339+N6340+N6341+N6342+N6343+N6344</f>
        <v>182499.76622799999</v>
      </c>
    </row>
    <row r="6346" spans="2:14">
      <c r="B6346" s="1103" t="s">
        <v>367</v>
      </c>
      <c r="C6346" s="1104"/>
      <c r="D6346" s="1104"/>
      <c r="E6346" s="1104"/>
      <c r="F6346" s="1104"/>
      <c r="G6346" s="1104"/>
      <c r="H6346" s="1104"/>
      <c r="I6346" s="1104"/>
      <c r="J6346" s="1104"/>
      <c r="K6346" s="1104"/>
      <c r="L6346" s="1104"/>
      <c r="M6346" s="1104"/>
      <c r="N6346" s="1105"/>
    </row>
    <row r="6347" spans="2:14">
      <c r="B6347" s="1106"/>
      <c r="C6347" s="1107"/>
      <c r="D6347" s="1107"/>
      <c r="E6347" s="1107"/>
      <c r="F6347" s="1107"/>
      <c r="G6347" s="1107"/>
      <c r="H6347" s="1107"/>
      <c r="I6347" s="1107"/>
      <c r="J6347" s="1107"/>
      <c r="K6347" s="1107"/>
      <c r="L6347" s="1107"/>
      <c r="M6347" s="1107"/>
      <c r="N6347" s="1108"/>
    </row>
    <row r="6348" spans="2:14" ht="13.5" thickBot="1">
      <c r="B6348" s="1109"/>
      <c r="C6348" s="1110"/>
      <c r="D6348" s="1110"/>
      <c r="E6348" s="1110"/>
      <c r="F6348" s="1110"/>
      <c r="G6348" s="1110"/>
      <c r="H6348" s="1110"/>
      <c r="I6348" s="1110"/>
      <c r="J6348" s="1110"/>
      <c r="K6348" s="1110"/>
      <c r="L6348" s="1110"/>
      <c r="M6348" s="1110"/>
      <c r="N6348" s="1111"/>
    </row>
    <row r="6349" spans="2:14">
      <c r="B6349" s="1130" t="s">
        <v>277</v>
      </c>
      <c r="C6349" s="1139"/>
      <c r="D6349" s="1139"/>
      <c r="E6349" s="1139"/>
      <c r="F6349" s="1139"/>
      <c r="G6349" s="1139"/>
      <c r="H6349" s="1139"/>
      <c r="I6349" s="288" t="s">
        <v>278</v>
      </c>
      <c r="J6349" s="306" t="s">
        <v>279</v>
      </c>
      <c r="K6349" s="307" t="s">
        <v>280</v>
      </c>
      <c r="L6349" s="1133" t="s">
        <v>281</v>
      </c>
      <c r="M6349" s="1136"/>
      <c r="N6349" s="289" t="s">
        <v>265</v>
      </c>
    </row>
    <row r="6350" spans="2:14" ht="13.5" thickBot="1">
      <c r="B6350" s="1112"/>
      <c r="C6350" s="1113"/>
      <c r="D6350" s="1113"/>
      <c r="E6350" s="1113"/>
      <c r="F6350" s="1113"/>
      <c r="G6350" s="1113"/>
      <c r="H6350" s="1113"/>
      <c r="I6350" s="393"/>
      <c r="J6350" s="309"/>
      <c r="K6350" s="308"/>
      <c r="L6350" s="1144"/>
      <c r="M6350" s="1145"/>
      <c r="N6350" s="363"/>
    </row>
    <row r="6351" spans="2:14" ht="13.5" thickBot="1">
      <c r="B6351" s="1100" t="s">
        <v>269</v>
      </c>
      <c r="C6351" s="1101"/>
      <c r="D6351" s="1101"/>
      <c r="E6351" s="1101"/>
      <c r="F6351" s="1101"/>
      <c r="G6351" s="1101"/>
      <c r="H6351" s="1101"/>
      <c r="I6351" s="1101"/>
      <c r="J6351" s="1101"/>
      <c r="K6351" s="1101"/>
      <c r="L6351" s="1101"/>
      <c r="M6351" s="1102"/>
      <c r="N6351" s="323">
        <f>+N6350</f>
        <v>0</v>
      </c>
    </row>
    <row r="6352" spans="2:14">
      <c r="B6352" s="1103" t="s">
        <v>282</v>
      </c>
      <c r="C6352" s="1104"/>
      <c r="D6352" s="1104"/>
      <c r="E6352" s="1104"/>
      <c r="F6352" s="1104"/>
      <c r="G6352" s="1104"/>
      <c r="H6352" s="1104"/>
      <c r="I6352" s="1104"/>
      <c r="J6352" s="1104"/>
      <c r="K6352" s="1104"/>
      <c r="L6352" s="1104"/>
      <c r="M6352" s="1104"/>
      <c r="N6352" s="1105"/>
    </row>
    <row r="6353" spans="2:17">
      <c r="B6353" s="1106"/>
      <c r="C6353" s="1107"/>
      <c r="D6353" s="1107"/>
      <c r="E6353" s="1107"/>
      <c r="F6353" s="1107"/>
      <c r="G6353" s="1107"/>
      <c r="H6353" s="1107"/>
      <c r="I6353" s="1107"/>
      <c r="J6353" s="1107"/>
      <c r="K6353" s="1107"/>
      <c r="L6353" s="1107"/>
      <c r="M6353" s="1107"/>
      <c r="N6353" s="1108"/>
    </row>
    <row r="6354" spans="2:17" ht="13.5" thickBot="1">
      <c r="B6354" s="1109"/>
      <c r="C6354" s="1110"/>
      <c r="D6354" s="1110"/>
      <c r="E6354" s="1110"/>
      <c r="F6354" s="1110"/>
      <c r="G6354" s="1110"/>
      <c r="H6354" s="1110"/>
      <c r="I6354" s="1110"/>
      <c r="J6354" s="1110"/>
      <c r="K6354" s="1110"/>
      <c r="L6354" s="1110"/>
      <c r="M6354" s="1110"/>
      <c r="N6354" s="1111"/>
    </row>
    <row r="6355" spans="2:17">
      <c r="B6355" s="1130" t="s">
        <v>283</v>
      </c>
      <c r="C6355" s="1139"/>
      <c r="D6355" s="1139"/>
      <c r="E6355" s="1139"/>
      <c r="F6355" s="1139"/>
      <c r="G6355" s="1139"/>
      <c r="H6355" s="1139"/>
      <c r="I6355" s="288" t="s">
        <v>284</v>
      </c>
      <c r="J6355" s="314" t="s">
        <v>285</v>
      </c>
      <c r="K6355" s="315" t="s">
        <v>286</v>
      </c>
      <c r="L6355" s="1140" t="s">
        <v>264</v>
      </c>
      <c r="M6355" s="1141"/>
      <c r="N6355" s="316" t="s">
        <v>265</v>
      </c>
    </row>
    <row r="6356" spans="2:17" ht="13.5" thickBot="1">
      <c r="B6356" s="317" t="s">
        <v>322</v>
      </c>
      <c r="C6356" s="318"/>
      <c r="D6356" s="318"/>
      <c r="E6356" s="318"/>
      <c r="F6356" s="318"/>
      <c r="G6356" s="318"/>
      <c r="H6356" s="318"/>
      <c r="I6356" s="319">
        <v>153482</v>
      </c>
      <c r="J6356" s="321">
        <v>0</v>
      </c>
      <c r="K6356" s="321">
        <f>+I6356+J6356</f>
        <v>153482</v>
      </c>
      <c r="L6356" s="1157">
        <v>28.000223999999999</v>
      </c>
      <c r="M6356" s="1158"/>
      <c r="N6356" s="322">
        <f>+K6356/L6356</f>
        <v>5481.4561483508132</v>
      </c>
    </row>
    <row r="6357" spans="2:17" ht="13.5" thickBot="1">
      <c r="B6357" s="1100" t="s">
        <v>269</v>
      </c>
      <c r="C6357" s="1101"/>
      <c r="D6357" s="1101"/>
      <c r="E6357" s="1101"/>
      <c r="F6357" s="1101"/>
      <c r="G6357" s="1101"/>
      <c r="H6357" s="1101"/>
      <c r="I6357" s="1101"/>
      <c r="J6357" s="1101"/>
      <c r="K6357" s="1101"/>
      <c r="L6357" s="1101"/>
      <c r="M6357" s="1102"/>
      <c r="N6357" s="322">
        <f>+N6356</f>
        <v>5481.4561483508132</v>
      </c>
    </row>
    <row r="6358" spans="2:17" ht="13.5" thickBot="1">
      <c r="B6358" s="324" t="s">
        <v>288</v>
      </c>
      <c r="C6358" s="325"/>
      <c r="D6358" s="325"/>
      <c r="E6358" s="325"/>
      <c r="F6358" s="325"/>
      <c r="G6358" s="325"/>
      <c r="H6358" s="325"/>
      <c r="I6358" s="326"/>
      <c r="J6358" s="327"/>
      <c r="K6358" s="328"/>
      <c r="L6358" s="329"/>
      <c r="M6358" s="329"/>
      <c r="N6358" s="330"/>
    </row>
    <row r="6359" spans="2:17">
      <c r="B6359" s="1130" t="s">
        <v>17</v>
      </c>
      <c r="C6359" s="1139"/>
      <c r="D6359" s="1139"/>
      <c r="E6359" s="1139"/>
      <c r="F6359" s="1139"/>
      <c r="G6359" s="1139"/>
      <c r="H6359" s="1139"/>
      <c r="I6359" s="1136"/>
      <c r="J6359" s="299" t="s">
        <v>259</v>
      </c>
      <c r="K6359" s="288" t="s">
        <v>133</v>
      </c>
      <c r="L6359" s="1133" t="s">
        <v>271</v>
      </c>
      <c r="M6359" s="1136"/>
      <c r="N6359" s="316" t="s">
        <v>265</v>
      </c>
    </row>
    <row r="6360" spans="2:17" ht="13.5" thickBot="1">
      <c r="B6360" s="331" t="s">
        <v>289</v>
      </c>
      <c r="C6360" s="332"/>
      <c r="D6360" s="332"/>
      <c r="E6360" s="332"/>
      <c r="F6360" s="332"/>
      <c r="G6360" s="332"/>
      <c r="H6360" s="332"/>
      <c r="I6360" s="333"/>
      <c r="J6360" s="334" t="s">
        <v>290</v>
      </c>
      <c r="K6360" s="335">
        <v>0.05</v>
      </c>
      <c r="L6360" s="1144">
        <f>+N6357</f>
        <v>5481.4561483508132</v>
      </c>
      <c r="M6360" s="1145"/>
      <c r="N6360" s="322">
        <f>+K6360*L6360</f>
        <v>274.07280741754067</v>
      </c>
    </row>
    <row r="6361" spans="2:17" ht="13.5" thickBot="1">
      <c r="B6361" s="1100" t="s">
        <v>269</v>
      </c>
      <c r="C6361" s="1101"/>
      <c r="D6361" s="1101"/>
      <c r="E6361" s="1101"/>
      <c r="F6361" s="1101"/>
      <c r="G6361" s="1101"/>
      <c r="H6361" s="1101"/>
      <c r="I6361" s="1101"/>
      <c r="J6361" s="1101"/>
      <c r="K6361" s="1101"/>
      <c r="L6361" s="1101"/>
      <c r="M6361" s="1102"/>
      <c r="N6361" s="322">
        <f>+N6360</f>
        <v>274.07280741754067</v>
      </c>
      <c r="P6361" s="408">
        <v>5647650</v>
      </c>
    </row>
    <row r="6362" spans="2:17" ht="13.5" thickBot="1">
      <c r="B6362" s="1100"/>
      <c r="C6362" s="1101"/>
      <c r="D6362" s="1101"/>
      <c r="E6362" s="1101"/>
      <c r="F6362" s="1101"/>
      <c r="G6362" s="1101"/>
      <c r="H6362" s="1101"/>
      <c r="I6362" s="1101"/>
      <c r="J6362" s="1101"/>
      <c r="K6362" s="1101"/>
      <c r="L6362" s="1101"/>
      <c r="M6362" s="1102"/>
      <c r="N6362" s="322"/>
    </row>
    <row r="6363" spans="2:17" ht="13.5" thickBot="1">
      <c r="B6363" s="1150" t="s">
        <v>291</v>
      </c>
      <c r="C6363" s="1151"/>
      <c r="D6363" s="1151"/>
      <c r="E6363" s="1151"/>
      <c r="F6363" s="1151"/>
      <c r="G6363" s="1151"/>
      <c r="H6363" s="1151"/>
      <c r="I6363" s="1151"/>
      <c r="J6363" s="1151"/>
      <c r="K6363" s="1151"/>
      <c r="L6363" s="1151"/>
      <c r="M6363" s="1152"/>
      <c r="N6363" s="336">
        <f>+N6334+N6345+N6351+N6357+N6361</f>
        <v>188255.29518376835</v>
      </c>
      <c r="P6363" s="409">
        <f>+N6363*N6328</f>
        <v>5647658.8555130502</v>
      </c>
      <c r="Q6363" s="413">
        <f>+P6363-P6361</f>
        <v>8.8555130502209067</v>
      </c>
    </row>
    <row r="6364" spans="2:17">
      <c r="B6364" s="1103" t="s">
        <v>292</v>
      </c>
      <c r="C6364" s="1104"/>
      <c r="D6364" s="1104"/>
      <c r="E6364" s="1104"/>
      <c r="F6364" s="1104"/>
      <c r="G6364" s="1104"/>
      <c r="H6364" s="1104"/>
      <c r="I6364" s="1104"/>
      <c r="J6364" s="1104"/>
      <c r="K6364" s="1104"/>
      <c r="L6364" s="1104"/>
      <c r="M6364" s="1104"/>
      <c r="N6364" s="1105"/>
    </row>
    <row r="6365" spans="2:17">
      <c r="B6365" s="1106"/>
      <c r="C6365" s="1107"/>
      <c r="D6365" s="1107"/>
      <c r="E6365" s="1107"/>
      <c r="F6365" s="1107"/>
      <c r="G6365" s="1107"/>
      <c r="H6365" s="1107"/>
      <c r="I6365" s="1107"/>
      <c r="J6365" s="1107"/>
      <c r="K6365" s="1107"/>
      <c r="L6365" s="1107"/>
      <c r="M6365" s="1107"/>
      <c r="N6365" s="1108"/>
    </row>
    <row r="6366" spans="2:17" ht="13.5" thickBot="1">
      <c r="B6366" s="1109"/>
      <c r="C6366" s="1110"/>
      <c r="D6366" s="1110"/>
      <c r="E6366" s="1110"/>
      <c r="F6366" s="1110"/>
      <c r="G6366" s="1110"/>
      <c r="H6366" s="1110"/>
      <c r="I6366" s="1110"/>
      <c r="J6366" s="1110"/>
      <c r="K6366" s="1110"/>
      <c r="L6366" s="1110"/>
      <c r="M6366" s="1110"/>
      <c r="N6366" s="1111"/>
    </row>
    <row r="6367" spans="2:17">
      <c r="B6367" s="1130" t="s">
        <v>17</v>
      </c>
      <c r="C6367" s="1139"/>
      <c r="D6367" s="1139"/>
      <c r="E6367" s="1139"/>
      <c r="F6367" s="1139"/>
      <c r="G6367" s="1139"/>
      <c r="H6367" s="1139"/>
      <c r="I6367" s="306"/>
      <c r="J6367" s="337"/>
      <c r="K6367" s="315" t="s">
        <v>79</v>
      </c>
      <c r="L6367" s="1140" t="s">
        <v>11</v>
      </c>
      <c r="M6367" s="1141"/>
      <c r="N6367" s="316"/>
    </row>
    <row r="6368" spans="2:17">
      <c r="B6368" s="1112" t="s">
        <v>232</v>
      </c>
      <c r="C6368" s="1113"/>
      <c r="D6368" s="1113"/>
      <c r="E6368" s="1113"/>
      <c r="F6368" s="1113"/>
      <c r="G6368" s="1113"/>
      <c r="H6368" s="1113"/>
      <c r="I6368" s="338"/>
      <c r="J6368" s="339"/>
      <c r="K6368" s="340">
        <f>'PRESUPUESTO OFICIAL'!$K$100</f>
        <v>0</v>
      </c>
      <c r="L6368" s="1146">
        <f>K6368*N6363</f>
        <v>0</v>
      </c>
      <c r="M6368" s="1147"/>
      <c r="N6368" s="341"/>
    </row>
    <row r="6369" spans="2:14">
      <c r="B6369" s="292" t="s">
        <v>293</v>
      </c>
      <c r="C6369" s="293"/>
      <c r="D6369" s="293"/>
      <c r="E6369" s="293"/>
      <c r="F6369" s="293"/>
      <c r="G6369" s="293"/>
      <c r="H6369" s="293"/>
      <c r="I6369" s="338"/>
      <c r="J6369" s="339"/>
      <c r="K6369" s="340">
        <f>'PRESUPUESTO OFICIAL'!$K$101</f>
        <v>0</v>
      </c>
      <c r="L6369" s="1146">
        <f>K6369*N6363</f>
        <v>0</v>
      </c>
      <c r="M6369" s="1147"/>
      <c r="N6369" s="341"/>
    </row>
    <row r="6370" spans="2:14" ht="13.5" thickBot="1">
      <c r="B6370" s="277" t="s">
        <v>294</v>
      </c>
      <c r="C6370" s="278"/>
      <c r="D6370" s="278"/>
      <c r="E6370" s="278"/>
      <c r="F6370" s="278"/>
      <c r="G6370" s="278"/>
      <c r="H6370" s="278"/>
      <c r="I6370" s="342"/>
      <c r="J6370" s="343"/>
      <c r="K6370" s="340">
        <f>'PRESUPUESTO OFICIAL'!$K$102</f>
        <v>0</v>
      </c>
      <c r="L6370" s="1148">
        <f>K6370*N6363</f>
        <v>0</v>
      </c>
      <c r="M6370" s="1149"/>
      <c r="N6370" s="341"/>
    </row>
    <row r="6371" spans="2:14" ht="13.5" thickBot="1">
      <c r="B6371" s="1100" t="s">
        <v>269</v>
      </c>
      <c r="C6371" s="1101"/>
      <c r="D6371" s="1101"/>
      <c r="E6371" s="1101"/>
      <c r="F6371" s="1101"/>
      <c r="G6371" s="1101"/>
      <c r="H6371" s="1101"/>
      <c r="I6371" s="1101"/>
      <c r="J6371" s="1101"/>
      <c r="K6371" s="1101"/>
      <c r="L6371" s="1101"/>
      <c r="M6371" s="1102"/>
      <c r="N6371" s="344">
        <f>SUM(L6368:M6370)</f>
        <v>0</v>
      </c>
    </row>
    <row r="6372" spans="2:14" ht="13.5" thickBot="1">
      <c r="B6372" s="283"/>
      <c r="N6372" s="284"/>
    </row>
    <row r="6373" spans="2:14" ht="13.5" thickBot="1">
      <c r="B6373" s="1150" t="s">
        <v>295</v>
      </c>
      <c r="C6373" s="1151"/>
      <c r="D6373" s="1151"/>
      <c r="E6373" s="1151"/>
      <c r="F6373" s="1151"/>
      <c r="G6373" s="1151"/>
      <c r="H6373" s="1151"/>
      <c r="I6373" s="1151"/>
      <c r="J6373" s="1151"/>
      <c r="K6373" s="1151"/>
      <c r="L6373" s="1151"/>
      <c r="M6373" s="1152"/>
      <c r="N6373" s="345">
        <f>ROUND(N6363+N6371,0)</f>
        <v>188255</v>
      </c>
    </row>
    <row r="6374" spans="2:14">
      <c r="B6374" s="280"/>
      <c r="C6374" s="281"/>
      <c r="D6374" s="281"/>
      <c r="E6374" s="281"/>
      <c r="F6374" s="281"/>
      <c r="G6374" s="281"/>
      <c r="H6374" s="281"/>
      <c r="I6374" s="281"/>
      <c r="J6374" s="281"/>
      <c r="K6374" s="281"/>
      <c r="L6374" s="281"/>
      <c r="M6374" s="281"/>
      <c r="N6374" s="282"/>
    </row>
    <row r="6375" spans="2:14">
      <c r="B6375" s="283"/>
      <c r="N6375" s="284"/>
    </row>
    <row r="6376" spans="2:14">
      <c r="B6376" s="283"/>
      <c r="N6376" s="284"/>
    </row>
    <row r="6377" spans="2:14">
      <c r="B6377" s="283"/>
      <c r="G6377" s="346" t="s">
        <v>296</v>
      </c>
      <c r="H6377" s="346"/>
      <c r="I6377" s="346"/>
      <c r="J6377" s="346"/>
      <c r="N6377" s="284"/>
    </row>
    <row r="6378" spans="2:14">
      <c r="B6378" s="347"/>
      <c r="C6378" s="348"/>
      <c r="D6378" s="348"/>
      <c r="E6378" s="348"/>
      <c r="F6378" s="348"/>
      <c r="G6378" s="346" t="s">
        <v>297</v>
      </c>
      <c r="H6378" s="348"/>
      <c r="I6378" s="348"/>
      <c r="J6378" s="348"/>
      <c r="K6378" s="348"/>
      <c r="L6378" s="348"/>
      <c r="M6378" s="348"/>
      <c r="N6378" s="349"/>
    </row>
    <row r="6379" spans="2:14">
      <c r="B6379" s="347"/>
      <c r="C6379" s="348"/>
      <c r="D6379" s="348"/>
      <c r="E6379" s="348"/>
      <c r="F6379" s="348"/>
      <c r="G6379" s="346" t="s">
        <v>298</v>
      </c>
      <c r="J6379" s="348"/>
      <c r="K6379" s="348"/>
      <c r="L6379" s="348"/>
      <c r="M6379" s="348"/>
      <c r="N6379" s="349"/>
    </row>
    <row r="6380" spans="2:14">
      <c r="B6380" s="268"/>
      <c r="C6380" s="350"/>
      <c r="D6380" s="350"/>
      <c r="E6380" s="350"/>
      <c r="F6380" s="350"/>
      <c r="G6380" s="346" t="s">
        <v>299</v>
      </c>
      <c r="H6380" s="350"/>
      <c r="I6380" s="350"/>
      <c r="J6380" s="350"/>
      <c r="K6380" s="350"/>
      <c r="L6380" s="350"/>
      <c r="M6380" s="350"/>
      <c r="N6380" s="351"/>
    </row>
    <row r="6381" spans="2:14">
      <c r="B6381" s="283"/>
      <c r="G6381" s="258" t="s">
        <v>300</v>
      </c>
      <c r="N6381" s="284"/>
    </row>
    <row r="6382" spans="2:14">
      <c r="B6382" s="352" t="s">
        <v>301</v>
      </c>
      <c r="C6382" s="353"/>
      <c r="D6382" s="353"/>
      <c r="E6382" s="353"/>
      <c r="F6382" s="353"/>
      <c r="G6382" s="353"/>
      <c r="H6382" s="353"/>
      <c r="I6382" s="353"/>
      <c r="J6382" s="353"/>
      <c r="K6382" s="353"/>
      <c r="L6382" s="353"/>
      <c r="M6382" s="353"/>
      <c r="N6382" s="354"/>
    </row>
    <row r="6383" spans="2:14">
      <c r="B6383" s="1153"/>
      <c r="C6383" s="1154"/>
      <c r="D6383" s="1154"/>
      <c r="E6383" s="1154"/>
      <c r="F6383" s="1154"/>
      <c r="G6383" s="1154"/>
      <c r="H6383" s="1154"/>
      <c r="I6383" s="1154"/>
      <c r="J6383" s="1154"/>
      <c r="K6383" s="1154"/>
      <c r="L6383" s="1154"/>
      <c r="M6383" s="1154"/>
      <c r="N6383" s="1155"/>
    </row>
    <row r="6384" spans="2:14">
      <c r="B6384" s="1153"/>
      <c r="C6384" s="1154"/>
      <c r="D6384" s="1154"/>
      <c r="E6384" s="1154"/>
      <c r="F6384" s="1154"/>
      <c r="G6384" s="1154"/>
      <c r="H6384" s="1154"/>
      <c r="I6384" s="1154"/>
      <c r="J6384" s="1154"/>
      <c r="K6384" s="1154"/>
      <c r="L6384" s="1154"/>
      <c r="M6384" s="1154"/>
      <c r="N6384" s="1155"/>
    </row>
    <row r="6385" spans="2:14">
      <c r="B6385" s="268"/>
      <c r="C6385" s="350"/>
      <c r="D6385" s="350"/>
      <c r="E6385" s="350"/>
      <c r="F6385" s="350"/>
      <c r="G6385" s="350"/>
      <c r="H6385" s="350"/>
      <c r="I6385" s="350"/>
      <c r="J6385" s="350"/>
      <c r="K6385" s="350"/>
      <c r="L6385" s="350"/>
      <c r="M6385" s="350"/>
      <c r="N6385" s="351"/>
    </row>
    <row r="6386" spans="2:14">
      <c r="B6386" s="355" t="s">
        <v>302</v>
      </c>
      <c r="C6386" s="350"/>
      <c r="D6386" s="350"/>
      <c r="E6386" s="350"/>
      <c r="F6386" s="350"/>
      <c r="G6386" s="350"/>
      <c r="H6386" s="350"/>
      <c r="I6386" s="350"/>
      <c r="J6386" s="350"/>
      <c r="K6386" s="350"/>
      <c r="L6386" s="350"/>
      <c r="M6386" s="350"/>
      <c r="N6386" s="351"/>
    </row>
    <row r="6387" spans="2:14">
      <c r="B6387" s="1159" t="s">
        <v>303</v>
      </c>
      <c r="C6387" s="1160"/>
      <c r="D6387" s="1160"/>
      <c r="E6387" s="1160"/>
      <c r="F6387" s="1160"/>
      <c r="G6387" s="1160"/>
      <c r="H6387" s="1160"/>
      <c r="I6387" s="1160"/>
      <c r="J6387" s="1160"/>
      <c r="K6387" s="1160"/>
      <c r="L6387" s="1160"/>
      <c r="M6387" s="1160"/>
      <c r="N6387" s="1161"/>
    </row>
    <row r="6388" spans="2:14">
      <c r="B6388" s="1159"/>
      <c r="C6388" s="1160"/>
      <c r="D6388" s="1160"/>
      <c r="E6388" s="1160"/>
      <c r="F6388" s="1160"/>
      <c r="G6388" s="1160"/>
      <c r="H6388" s="1160"/>
      <c r="I6388" s="1160"/>
      <c r="J6388" s="1160"/>
      <c r="K6388" s="1160"/>
      <c r="L6388" s="1160"/>
      <c r="M6388" s="1160"/>
      <c r="N6388" s="1161"/>
    </row>
    <row r="6389" spans="2:14">
      <c r="B6389" s="1159" t="s">
        <v>304</v>
      </c>
      <c r="C6389" s="1160"/>
      <c r="D6389" s="1160"/>
      <c r="E6389" s="1160"/>
      <c r="F6389" s="1160"/>
      <c r="G6389" s="1160"/>
      <c r="H6389" s="1160"/>
      <c r="I6389" s="1160"/>
      <c r="J6389" s="1160"/>
      <c r="K6389" s="1160"/>
      <c r="L6389" s="1160"/>
      <c r="M6389" s="1160"/>
      <c r="N6389" s="1161"/>
    </row>
    <row r="6390" spans="2:14">
      <c r="B6390" s="1159"/>
      <c r="C6390" s="1160"/>
      <c r="D6390" s="1160"/>
      <c r="E6390" s="1160"/>
      <c r="F6390" s="1160"/>
      <c r="G6390" s="1160"/>
      <c r="H6390" s="1160"/>
      <c r="I6390" s="1160"/>
      <c r="J6390" s="1160"/>
      <c r="K6390" s="1160"/>
      <c r="L6390" s="1160"/>
      <c r="M6390" s="1160"/>
      <c r="N6390" s="1161"/>
    </row>
    <row r="6391" spans="2:14">
      <c r="B6391" s="268"/>
      <c r="C6391" s="350"/>
      <c r="D6391" s="350"/>
      <c r="E6391" s="350"/>
      <c r="F6391" s="350"/>
      <c r="G6391" s="350"/>
      <c r="H6391" s="350"/>
      <c r="I6391" s="350"/>
      <c r="J6391" s="350"/>
      <c r="K6391" s="350"/>
      <c r="L6391" s="350"/>
      <c r="M6391" s="350"/>
      <c r="N6391" s="351"/>
    </row>
    <row r="6392" spans="2:14">
      <c r="B6392" s="283"/>
      <c r="G6392" s="346" t="s">
        <v>296</v>
      </c>
      <c r="N6392" s="284"/>
    </row>
    <row r="6393" spans="2:14">
      <c r="B6393" s="283"/>
      <c r="G6393" s="258" t="s">
        <v>305</v>
      </c>
      <c r="H6393" s="293"/>
      <c r="I6393" s="293"/>
      <c r="J6393" s="293"/>
      <c r="N6393" s="284"/>
    </row>
    <row r="6394" spans="2:14">
      <c r="B6394" s="283"/>
      <c r="G6394" s="258" t="s">
        <v>306</v>
      </c>
      <c r="H6394" s="325"/>
      <c r="I6394" s="325"/>
      <c r="J6394" s="325"/>
      <c r="N6394" s="284"/>
    </row>
    <row r="6395" spans="2:14">
      <c r="B6395" s="356"/>
      <c r="C6395" s="350"/>
      <c r="D6395" s="350"/>
      <c r="E6395" s="350"/>
      <c r="F6395" s="350"/>
      <c r="G6395" s="258" t="s">
        <v>299</v>
      </c>
      <c r="K6395" s="350"/>
      <c r="L6395" s="350"/>
      <c r="M6395" s="350"/>
      <c r="N6395" s="351"/>
    </row>
    <row r="6396" spans="2:14">
      <c r="B6396" s="357"/>
      <c r="C6396" s="358"/>
      <c r="D6396" s="358"/>
      <c r="J6396" s="1162"/>
      <c r="K6396" s="1162"/>
      <c r="L6396" s="1162"/>
      <c r="M6396" s="1162"/>
      <c r="N6396" s="1163"/>
    </row>
    <row r="6397" spans="2:14" ht="13.5" thickBot="1">
      <c r="B6397" s="1166"/>
      <c r="C6397" s="1167"/>
      <c r="D6397" s="1167"/>
      <c r="E6397" s="311"/>
      <c r="F6397" s="311"/>
      <c r="G6397" s="311"/>
      <c r="H6397" s="311"/>
      <c r="I6397" s="311"/>
      <c r="J6397" s="1164"/>
      <c r="K6397" s="1164"/>
      <c r="L6397" s="1164"/>
      <c r="M6397" s="1164"/>
      <c r="N6397" s="1165"/>
    </row>
    <row r="6398" spans="2:14" ht="13.5" thickBot="1"/>
    <row r="6399" spans="2:14">
      <c r="B6399" s="1070"/>
      <c r="C6399" s="1072"/>
      <c r="D6399" s="1073"/>
      <c r="E6399" s="1073"/>
      <c r="F6399" s="1073"/>
      <c r="G6399" s="1073"/>
      <c r="H6399" s="1073"/>
      <c r="I6399" s="1073"/>
      <c r="J6399" s="1074"/>
      <c r="K6399" s="1075"/>
      <c r="L6399" s="1076"/>
      <c r="M6399" s="1076"/>
      <c r="N6399" s="1077"/>
    </row>
    <row r="6400" spans="2:14">
      <c r="B6400" s="1071"/>
      <c r="C6400" s="1062" t="s">
        <v>244</v>
      </c>
      <c r="D6400" s="1063"/>
      <c r="E6400" s="1063"/>
      <c r="F6400" s="1063"/>
      <c r="G6400" s="1063"/>
      <c r="H6400" s="1063"/>
      <c r="I6400" s="1063"/>
      <c r="J6400" s="1064"/>
      <c r="K6400" s="1078"/>
      <c r="L6400" s="1079"/>
      <c r="M6400" s="1079"/>
      <c r="N6400" s="1080"/>
    </row>
    <row r="6401" spans="2:14">
      <c r="B6401" s="1071"/>
      <c r="C6401" s="1081"/>
      <c r="D6401" s="1082"/>
      <c r="E6401" s="1082"/>
      <c r="F6401" s="1082"/>
      <c r="G6401" s="1082"/>
      <c r="H6401" s="1082"/>
      <c r="I6401" s="1082"/>
      <c r="J6401" s="1083"/>
      <c r="K6401" s="1058" t="s">
        <v>245</v>
      </c>
      <c r="L6401" s="1085"/>
      <c r="M6401" s="1086"/>
      <c r="N6401" s="1087"/>
    </row>
    <row r="6402" spans="2:14">
      <c r="B6402" s="1071"/>
      <c r="C6402" s="1062" t="s">
        <v>246</v>
      </c>
      <c r="D6402" s="1063"/>
      <c r="E6402" s="1063"/>
      <c r="F6402" s="1063"/>
      <c r="G6402" s="1063"/>
      <c r="H6402" s="1063"/>
      <c r="I6402" s="1063"/>
      <c r="J6402" s="1064"/>
      <c r="K6402" s="1084"/>
      <c r="L6402" s="1088"/>
      <c r="M6402" s="1089"/>
      <c r="N6402" s="1090"/>
    </row>
    <row r="6403" spans="2:14">
      <c r="B6403" s="1071"/>
      <c r="C6403" s="1091"/>
      <c r="D6403" s="1092"/>
      <c r="E6403" s="1092"/>
      <c r="F6403" s="1092"/>
      <c r="G6403" s="1092"/>
      <c r="H6403" s="1092"/>
      <c r="I6403" s="1092"/>
      <c r="J6403" s="1093"/>
      <c r="K6403" s="1058" t="s">
        <v>247</v>
      </c>
      <c r="L6403" s="1058">
        <v>73</v>
      </c>
      <c r="M6403" s="1058" t="s">
        <v>248</v>
      </c>
      <c r="N6403" s="1060">
        <v>80</v>
      </c>
    </row>
    <row r="6404" spans="2:14">
      <c r="B6404" s="1071"/>
      <c r="C6404" s="1091"/>
      <c r="D6404" s="1092"/>
      <c r="E6404" s="1092"/>
      <c r="F6404" s="1092"/>
      <c r="G6404" s="1092"/>
      <c r="H6404" s="1092"/>
      <c r="I6404" s="1092"/>
      <c r="J6404" s="1093"/>
      <c r="K6404" s="1059"/>
      <c r="L6404" s="1059"/>
      <c r="M6404" s="1059"/>
      <c r="N6404" s="1061"/>
    </row>
    <row r="6405" spans="2:14">
      <c r="B6405" s="1071"/>
      <c r="C6405" s="1062" t="s">
        <v>249</v>
      </c>
      <c r="D6405" s="1063"/>
      <c r="E6405" s="1063"/>
      <c r="F6405" s="1063"/>
      <c r="G6405" s="1063"/>
      <c r="H6405" s="1063"/>
      <c r="I6405" s="1063"/>
      <c r="J6405" s="1064"/>
      <c r="K6405" s="1059"/>
      <c r="L6405" s="1059"/>
      <c r="M6405" s="1059"/>
      <c r="N6405" s="1061"/>
    </row>
    <row r="6406" spans="2:14" ht="13.5" thickBot="1">
      <c r="B6406" s="259"/>
      <c r="C6406" s="260"/>
      <c r="D6406" s="260"/>
      <c r="E6406" s="260"/>
      <c r="F6406" s="260"/>
      <c r="G6406" s="260"/>
      <c r="H6406" s="260"/>
      <c r="I6406" s="260"/>
      <c r="J6406" s="260"/>
      <c r="K6406" s="260"/>
      <c r="L6406" s="261"/>
      <c r="M6406" s="261"/>
      <c r="N6406" s="262"/>
    </row>
    <row r="6407" spans="2:14">
      <c r="B6407" s="263"/>
      <c r="C6407" s="264"/>
      <c r="D6407" s="264"/>
      <c r="E6407" s="264"/>
      <c r="F6407" s="264"/>
      <c r="G6407" s="264"/>
      <c r="H6407" s="264"/>
      <c r="I6407" s="264"/>
      <c r="J6407" s="264"/>
      <c r="K6407" s="265" t="s">
        <v>250</v>
      </c>
      <c r="L6407" s="266" t="s">
        <v>251</v>
      </c>
      <c r="M6407" s="266" t="s">
        <v>252</v>
      </c>
      <c r="N6407" s="267" t="s">
        <v>253</v>
      </c>
    </row>
    <row r="6408" spans="2:14">
      <c r="B6408" s="268"/>
      <c r="C6408" s="269"/>
      <c r="D6408" s="269"/>
      <c r="E6408" s="269"/>
      <c r="F6408" s="269"/>
      <c r="G6408" s="269"/>
      <c r="H6408" s="269"/>
      <c r="I6408" s="269"/>
      <c r="J6408" s="269"/>
      <c r="K6408" s="270"/>
      <c r="L6408" s="271"/>
      <c r="M6408" s="271"/>
      <c r="N6408" s="272"/>
    </row>
    <row r="6409" spans="2:14">
      <c r="B6409" s="1065" t="s">
        <v>254</v>
      </c>
      <c r="C6409" s="1066"/>
      <c r="D6409" s="1066"/>
      <c r="E6409" s="1066"/>
      <c r="F6409" s="269"/>
      <c r="G6409" s="269"/>
      <c r="H6409" s="269" t="s">
        <v>255</v>
      </c>
      <c r="J6409" s="269"/>
      <c r="K6409" s="270"/>
      <c r="N6409" s="273"/>
    </row>
    <row r="6410" spans="2:14">
      <c r="B6410" s="274"/>
      <c r="C6410" s="275"/>
      <c r="D6410" s="275"/>
      <c r="E6410" s="275"/>
      <c r="F6410" s="275"/>
      <c r="G6410" s="275"/>
      <c r="H6410" s="275"/>
      <c r="I6410" s="275"/>
      <c r="J6410" s="275"/>
      <c r="K6410" s="275"/>
      <c r="L6410" s="275"/>
      <c r="M6410" s="275"/>
      <c r="N6410" s="276"/>
    </row>
    <row r="6411" spans="2:14" ht="13.5" thickBot="1">
      <c r="B6411" s="277"/>
      <c r="C6411" s="278"/>
      <c r="D6411" s="278"/>
      <c r="E6411" s="278"/>
      <c r="F6411" s="278"/>
      <c r="G6411" s="278"/>
      <c r="H6411" s="278"/>
      <c r="I6411" s="278"/>
      <c r="J6411" s="278"/>
      <c r="K6411" s="278"/>
      <c r="L6411" s="278"/>
      <c r="M6411" s="278"/>
      <c r="N6411" s="279"/>
    </row>
    <row r="6412" spans="2:14" ht="13.5" thickBot="1">
      <c r="B6412" s="280"/>
      <c r="C6412" s="281"/>
      <c r="D6412" s="281"/>
      <c r="E6412" s="281"/>
      <c r="F6412" s="281"/>
      <c r="G6412" s="281"/>
      <c r="J6412" s="281"/>
      <c r="K6412" s="281"/>
      <c r="L6412" s="281"/>
      <c r="M6412" s="281"/>
      <c r="N6412" s="282"/>
    </row>
    <row r="6413" spans="2:14">
      <c r="B6413" s="1067" t="s">
        <v>256</v>
      </c>
      <c r="C6413" s="1068"/>
      <c r="D6413" s="1068"/>
      <c r="E6413" s="1068"/>
      <c r="F6413" s="1068"/>
      <c r="G6413" s="1068"/>
      <c r="H6413" s="1068"/>
      <c r="I6413" s="1068"/>
      <c r="J6413" s="1068"/>
      <c r="K6413" s="1068"/>
      <c r="L6413" s="1068"/>
      <c r="M6413" s="1068"/>
      <c r="N6413" s="1069"/>
    </row>
    <row r="6414" spans="2:14" ht="13.5" thickBot="1">
      <c r="B6414" s="283"/>
      <c r="N6414" s="284"/>
    </row>
    <row r="6415" spans="2:14">
      <c r="B6415" s="285" t="s">
        <v>257</v>
      </c>
      <c r="C6415" s="1120" t="s">
        <v>258</v>
      </c>
      <c r="D6415" s="1121"/>
      <c r="E6415" s="1121"/>
      <c r="F6415" s="1121"/>
      <c r="G6415" s="1121"/>
      <c r="H6415" s="1121"/>
      <c r="I6415" s="1121"/>
      <c r="J6415" s="1121"/>
      <c r="K6415" s="1122"/>
      <c r="L6415" s="1123" t="s">
        <v>259</v>
      </c>
      <c r="M6415" s="1124"/>
      <c r="N6415" s="285" t="s">
        <v>133</v>
      </c>
    </row>
    <row r="6416" spans="2:14" ht="33" customHeight="1" thickBot="1">
      <c r="B6416" s="286">
        <v>73</v>
      </c>
      <c r="C6416" s="1125" t="s">
        <v>216</v>
      </c>
      <c r="D6416" s="1126"/>
      <c r="E6416" s="1126"/>
      <c r="F6416" s="1126"/>
      <c r="G6416" s="1126"/>
      <c r="H6416" s="1126"/>
      <c r="I6416" s="1126"/>
      <c r="J6416" s="1126"/>
      <c r="K6416" s="1127"/>
      <c r="L6416" s="1128" t="s">
        <v>143</v>
      </c>
      <c r="M6416" s="1129"/>
      <c r="N6416" s="366">
        <v>20</v>
      </c>
    </row>
    <row r="6417" spans="2:14">
      <c r="B6417" s="1103" t="s">
        <v>260</v>
      </c>
      <c r="C6417" s="1104"/>
      <c r="D6417" s="1104"/>
      <c r="E6417" s="1104"/>
      <c r="F6417" s="1104"/>
      <c r="G6417" s="1104"/>
      <c r="H6417" s="1104"/>
      <c r="I6417" s="1104"/>
      <c r="J6417" s="1104"/>
      <c r="K6417" s="1104"/>
      <c r="L6417" s="1104"/>
      <c r="M6417" s="1104"/>
      <c r="N6417" s="1105"/>
    </row>
    <row r="6418" spans="2:14">
      <c r="B6418" s="1106"/>
      <c r="C6418" s="1107"/>
      <c r="D6418" s="1107"/>
      <c r="E6418" s="1107"/>
      <c r="F6418" s="1107"/>
      <c r="G6418" s="1107"/>
      <c r="H6418" s="1107"/>
      <c r="I6418" s="1107"/>
      <c r="J6418" s="1107"/>
      <c r="K6418" s="1107"/>
      <c r="L6418" s="1107"/>
      <c r="M6418" s="1107"/>
      <c r="N6418" s="1108"/>
    </row>
    <row r="6419" spans="2:14" ht="13.5" thickBot="1">
      <c r="B6419" s="1109"/>
      <c r="C6419" s="1110"/>
      <c r="D6419" s="1110"/>
      <c r="E6419" s="1110"/>
      <c r="F6419" s="1110"/>
      <c r="G6419" s="1110"/>
      <c r="H6419" s="1110"/>
      <c r="I6419" s="1110"/>
      <c r="J6419" s="1110"/>
      <c r="K6419" s="1110"/>
      <c r="L6419" s="1110"/>
      <c r="M6419" s="1110"/>
      <c r="N6419" s="1111"/>
    </row>
    <row r="6420" spans="2:14">
      <c r="B6420" s="1130" t="s">
        <v>258</v>
      </c>
      <c r="C6420" s="1131"/>
      <c r="D6420" s="1131"/>
      <c r="E6420" s="1131"/>
      <c r="F6420" s="1132"/>
      <c r="G6420" s="1133" t="s">
        <v>261</v>
      </c>
      <c r="H6420" s="1131"/>
      <c r="I6420" s="1134" t="s">
        <v>262</v>
      </c>
      <c r="J6420" s="1135"/>
      <c r="K6420" s="288" t="s">
        <v>263</v>
      </c>
      <c r="L6420" s="1133" t="s">
        <v>264</v>
      </c>
      <c r="M6420" s="1136"/>
      <c r="N6420" s="289" t="s">
        <v>265</v>
      </c>
    </row>
    <row r="6421" spans="2:14" ht="13.5" thickBot="1">
      <c r="B6421" s="1179"/>
      <c r="C6421" s="1180"/>
      <c r="D6421" s="1180"/>
      <c r="E6421" s="1180"/>
      <c r="F6421" s="1181"/>
      <c r="G6421" s="295"/>
      <c r="H6421" s="294"/>
      <c r="I6421" s="1182"/>
      <c r="J6421" s="1183"/>
      <c r="K6421" s="290"/>
      <c r="L6421" s="1118"/>
      <c r="M6421" s="1119"/>
      <c r="N6421" s="290"/>
    </row>
    <row r="6422" spans="2:14" ht="13.5" thickBot="1">
      <c r="B6422" s="1100" t="s">
        <v>269</v>
      </c>
      <c r="C6422" s="1101"/>
      <c r="D6422" s="1101"/>
      <c r="E6422" s="1101"/>
      <c r="F6422" s="1101"/>
      <c r="G6422" s="1101"/>
      <c r="H6422" s="1101"/>
      <c r="I6422" s="1101"/>
      <c r="J6422" s="1101"/>
      <c r="K6422" s="1101"/>
      <c r="L6422" s="1101"/>
      <c r="M6422" s="1102"/>
      <c r="N6422" s="323">
        <f>+N6421</f>
        <v>0</v>
      </c>
    </row>
    <row r="6423" spans="2:14">
      <c r="B6423" s="1103" t="s">
        <v>270</v>
      </c>
      <c r="C6423" s="1104"/>
      <c r="D6423" s="1104"/>
      <c r="E6423" s="1104"/>
      <c r="F6423" s="1104"/>
      <c r="G6423" s="1104"/>
      <c r="H6423" s="1104"/>
      <c r="I6423" s="1104"/>
      <c r="J6423" s="1104"/>
      <c r="K6423" s="1104"/>
      <c r="L6423" s="1104"/>
      <c r="M6423" s="1104"/>
      <c r="N6423" s="1105"/>
    </row>
    <row r="6424" spans="2:14">
      <c r="B6424" s="1106"/>
      <c r="C6424" s="1107"/>
      <c r="D6424" s="1107"/>
      <c r="E6424" s="1107"/>
      <c r="F6424" s="1107"/>
      <c r="G6424" s="1107"/>
      <c r="H6424" s="1107"/>
      <c r="I6424" s="1107"/>
      <c r="J6424" s="1107"/>
      <c r="K6424" s="1107"/>
      <c r="L6424" s="1107"/>
      <c r="M6424" s="1107"/>
      <c r="N6424" s="1108"/>
    </row>
    <row r="6425" spans="2:14" ht="13.5" thickBot="1">
      <c r="B6425" s="1109"/>
      <c r="C6425" s="1110"/>
      <c r="D6425" s="1110"/>
      <c r="E6425" s="1110"/>
      <c r="F6425" s="1110"/>
      <c r="G6425" s="1110"/>
      <c r="H6425" s="1110"/>
      <c r="I6425" s="1110"/>
      <c r="J6425" s="1110"/>
      <c r="K6425" s="1110"/>
      <c r="L6425" s="1110"/>
      <c r="M6425" s="1110"/>
      <c r="N6425" s="1111"/>
    </row>
    <row r="6426" spans="2:14">
      <c r="B6426" s="1130" t="s">
        <v>258</v>
      </c>
      <c r="C6426" s="1139"/>
      <c r="D6426" s="1139"/>
      <c r="E6426" s="1139"/>
      <c r="F6426" s="1139"/>
      <c r="G6426" s="1139"/>
      <c r="H6426" s="1139"/>
      <c r="I6426" s="1136"/>
      <c r="J6426" s="299" t="s">
        <v>259</v>
      </c>
      <c r="K6426" s="288" t="s">
        <v>133</v>
      </c>
      <c r="L6426" s="1133" t="s">
        <v>271</v>
      </c>
      <c r="M6426" s="1136"/>
      <c r="N6426" s="289" t="s">
        <v>265</v>
      </c>
    </row>
    <row r="6427" spans="2:14">
      <c r="B6427" s="402" t="s">
        <v>412</v>
      </c>
      <c r="C6427" s="353"/>
      <c r="D6427" s="353"/>
      <c r="E6427" s="353"/>
      <c r="F6427" s="353"/>
      <c r="G6427" s="353"/>
      <c r="H6427" s="353"/>
      <c r="I6427" s="403"/>
      <c r="J6427" s="303" t="s">
        <v>196</v>
      </c>
      <c r="K6427" s="392">
        <v>0.05</v>
      </c>
      <c r="L6427" s="1144">
        <v>173287</v>
      </c>
      <c r="M6427" s="1145"/>
      <c r="N6427" s="363">
        <f t="shared" ref="N6427:N6432" si="4">+K6427*L6427</f>
        <v>8664.35</v>
      </c>
    </row>
    <row r="6428" spans="2:14">
      <c r="B6428" s="402" t="s">
        <v>413</v>
      </c>
      <c r="C6428" s="353"/>
      <c r="D6428" s="353"/>
      <c r="E6428" s="353"/>
      <c r="F6428" s="353"/>
      <c r="G6428" s="353"/>
      <c r="H6428" s="353"/>
      <c r="I6428" s="403"/>
      <c r="J6428" s="303" t="s">
        <v>196</v>
      </c>
      <c r="K6428" s="392">
        <v>0.1</v>
      </c>
      <c r="L6428" s="1144">
        <v>121950</v>
      </c>
      <c r="M6428" s="1145"/>
      <c r="N6428" s="363">
        <f t="shared" si="4"/>
        <v>12195</v>
      </c>
    </row>
    <row r="6429" spans="2:14">
      <c r="B6429" s="402" t="s">
        <v>414</v>
      </c>
      <c r="C6429" s="353"/>
      <c r="D6429" s="353"/>
      <c r="E6429" s="353"/>
      <c r="F6429" s="353"/>
      <c r="G6429" s="353"/>
      <c r="H6429" s="353"/>
      <c r="I6429" s="403"/>
      <c r="J6429" s="303" t="s">
        <v>143</v>
      </c>
      <c r="K6429" s="392">
        <v>1.02</v>
      </c>
      <c r="L6429" s="1144">
        <v>58607</v>
      </c>
      <c r="M6429" s="1145"/>
      <c r="N6429" s="363">
        <f t="shared" si="4"/>
        <v>59779.14</v>
      </c>
    </row>
    <row r="6430" spans="2:14">
      <c r="B6430" s="402" t="s">
        <v>408</v>
      </c>
      <c r="C6430" s="353"/>
      <c r="D6430" s="353"/>
      <c r="E6430" s="353"/>
      <c r="F6430" s="353"/>
      <c r="G6430" s="353"/>
      <c r="H6430" s="353"/>
      <c r="I6430" s="403"/>
      <c r="J6430" s="303" t="s">
        <v>409</v>
      </c>
      <c r="K6430" s="392">
        <v>3.3333000000000002E-2</v>
      </c>
      <c r="L6430" s="1144">
        <v>97724</v>
      </c>
      <c r="M6430" s="1145"/>
      <c r="N6430" s="363">
        <f t="shared" si="4"/>
        <v>3257.434092</v>
      </c>
    </row>
    <row r="6431" spans="2:14">
      <c r="B6431" s="402" t="s">
        <v>415</v>
      </c>
      <c r="C6431" s="353"/>
      <c r="D6431" s="353"/>
      <c r="E6431" s="353"/>
      <c r="F6431" s="353"/>
      <c r="G6431" s="353"/>
      <c r="H6431" s="353"/>
      <c r="I6431" s="403"/>
      <c r="J6431" s="303" t="s">
        <v>196</v>
      </c>
      <c r="K6431" s="392">
        <v>0.16666700000000001</v>
      </c>
      <c r="L6431" s="1144">
        <v>36462</v>
      </c>
      <c r="M6431" s="1145"/>
      <c r="N6431" s="363">
        <f t="shared" si="4"/>
        <v>6077.012154</v>
      </c>
    </row>
    <row r="6432" spans="2:14" ht="13.5" thickBot="1">
      <c r="B6432" s="402" t="s">
        <v>410</v>
      </c>
      <c r="C6432" s="353"/>
      <c r="D6432" s="353"/>
      <c r="E6432" s="353"/>
      <c r="F6432" s="353"/>
      <c r="G6432" s="353"/>
      <c r="H6432" s="353"/>
      <c r="I6432" s="403"/>
      <c r="J6432" s="303" t="s">
        <v>411</v>
      </c>
      <c r="K6432" s="392">
        <v>3.3333000000000002E-2</v>
      </c>
      <c r="L6432" s="1144">
        <v>53173</v>
      </c>
      <c r="M6432" s="1145"/>
      <c r="N6432" s="363">
        <f t="shared" si="4"/>
        <v>1772.4156090000001</v>
      </c>
    </row>
    <row r="6433" spans="2:14" ht="13.5" thickBot="1">
      <c r="B6433" s="1100" t="s">
        <v>269</v>
      </c>
      <c r="C6433" s="1101"/>
      <c r="D6433" s="1101"/>
      <c r="E6433" s="1101"/>
      <c r="F6433" s="1101"/>
      <c r="G6433" s="1101"/>
      <c r="H6433" s="1101"/>
      <c r="I6433" s="1101"/>
      <c r="J6433" s="1101"/>
      <c r="K6433" s="1101"/>
      <c r="L6433" s="1101"/>
      <c r="M6433" s="1102"/>
      <c r="N6433" s="323">
        <f>+N6427+N6428+N6429+N6430+N6431+N6432</f>
        <v>91745.351854999986</v>
      </c>
    </row>
    <row r="6434" spans="2:14">
      <c r="B6434" s="1103" t="s">
        <v>367</v>
      </c>
      <c r="C6434" s="1104"/>
      <c r="D6434" s="1104"/>
      <c r="E6434" s="1104"/>
      <c r="F6434" s="1104"/>
      <c r="G6434" s="1104"/>
      <c r="H6434" s="1104"/>
      <c r="I6434" s="1104"/>
      <c r="J6434" s="1104"/>
      <c r="K6434" s="1104"/>
      <c r="L6434" s="1104"/>
      <c r="M6434" s="1104"/>
      <c r="N6434" s="1105"/>
    </row>
    <row r="6435" spans="2:14">
      <c r="B6435" s="1106"/>
      <c r="C6435" s="1107"/>
      <c r="D6435" s="1107"/>
      <c r="E6435" s="1107"/>
      <c r="F6435" s="1107"/>
      <c r="G6435" s="1107"/>
      <c r="H6435" s="1107"/>
      <c r="I6435" s="1107"/>
      <c r="J6435" s="1107"/>
      <c r="K6435" s="1107"/>
      <c r="L6435" s="1107"/>
      <c r="M6435" s="1107"/>
      <c r="N6435" s="1108"/>
    </row>
    <row r="6436" spans="2:14" ht="13.5" thickBot="1">
      <c r="B6436" s="1109"/>
      <c r="C6436" s="1110"/>
      <c r="D6436" s="1110"/>
      <c r="E6436" s="1110"/>
      <c r="F6436" s="1110"/>
      <c r="G6436" s="1110"/>
      <c r="H6436" s="1110"/>
      <c r="I6436" s="1110"/>
      <c r="J6436" s="1110"/>
      <c r="K6436" s="1110"/>
      <c r="L6436" s="1110"/>
      <c r="M6436" s="1110"/>
      <c r="N6436" s="1111"/>
    </row>
    <row r="6437" spans="2:14">
      <c r="B6437" s="1130" t="s">
        <v>277</v>
      </c>
      <c r="C6437" s="1139"/>
      <c r="D6437" s="1139"/>
      <c r="E6437" s="1139"/>
      <c r="F6437" s="1139"/>
      <c r="G6437" s="1139"/>
      <c r="H6437" s="1139"/>
      <c r="I6437" s="288" t="s">
        <v>278</v>
      </c>
      <c r="J6437" s="306" t="s">
        <v>279</v>
      </c>
      <c r="K6437" s="307" t="s">
        <v>280</v>
      </c>
      <c r="L6437" s="1133" t="s">
        <v>281</v>
      </c>
      <c r="M6437" s="1136"/>
      <c r="N6437" s="289" t="s">
        <v>265</v>
      </c>
    </row>
    <row r="6438" spans="2:14" ht="13.5" thickBot="1">
      <c r="B6438" s="1112"/>
      <c r="C6438" s="1113"/>
      <c r="D6438" s="1113"/>
      <c r="E6438" s="1113"/>
      <c r="F6438" s="1113"/>
      <c r="G6438" s="1113"/>
      <c r="H6438" s="1113"/>
      <c r="I6438" s="393"/>
      <c r="J6438" s="309"/>
      <c r="K6438" s="308"/>
      <c r="L6438" s="1144"/>
      <c r="M6438" s="1145"/>
      <c r="N6438" s="363"/>
    </row>
    <row r="6439" spans="2:14" ht="13.5" thickBot="1">
      <c r="B6439" s="1100" t="s">
        <v>269</v>
      </c>
      <c r="C6439" s="1101"/>
      <c r="D6439" s="1101"/>
      <c r="E6439" s="1101"/>
      <c r="F6439" s="1101"/>
      <c r="G6439" s="1101"/>
      <c r="H6439" s="1101"/>
      <c r="I6439" s="1101"/>
      <c r="J6439" s="1101"/>
      <c r="K6439" s="1101"/>
      <c r="L6439" s="1101"/>
      <c r="M6439" s="1102"/>
      <c r="N6439" s="323">
        <f>+N6438</f>
        <v>0</v>
      </c>
    </row>
    <row r="6440" spans="2:14">
      <c r="B6440" s="1103" t="s">
        <v>282</v>
      </c>
      <c r="C6440" s="1104"/>
      <c r="D6440" s="1104"/>
      <c r="E6440" s="1104"/>
      <c r="F6440" s="1104"/>
      <c r="G6440" s="1104"/>
      <c r="H6440" s="1104"/>
      <c r="I6440" s="1104"/>
      <c r="J6440" s="1104"/>
      <c r="K6440" s="1104"/>
      <c r="L6440" s="1104"/>
      <c r="M6440" s="1104"/>
      <c r="N6440" s="1105"/>
    </row>
    <row r="6441" spans="2:14">
      <c r="B6441" s="1106"/>
      <c r="C6441" s="1107"/>
      <c r="D6441" s="1107"/>
      <c r="E6441" s="1107"/>
      <c r="F6441" s="1107"/>
      <c r="G6441" s="1107"/>
      <c r="H6441" s="1107"/>
      <c r="I6441" s="1107"/>
      <c r="J6441" s="1107"/>
      <c r="K6441" s="1107"/>
      <c r="L6441" s="1107"/>
      <c r="M6441" s="1107"/>
      <c r="N6441" s="1108"/>
    </row>
    <row r="6442" spans="2:14" ht="13.5" thickBot="1">
      <c r="B6442" s="1109"/>
      <c r="C6442" s="1110"/>
      <c r="D6442" s="1110"/>
      <c r="E6442" s="1110"/>
      <c r="F6442" s="1110"/>
      <c r="G6442" s="1110"/>
      <c r="H6442" s="1110"/>
      <c r="I6442" s="1110"/>
      <c r="J6442" s="1110"/>
      <c r="K6442" s="1110"/>
      <c r="L6442" s="1110"/>
      <c r="M6442" s="1110"/>
      <c r="N6442" s="1111"/>
    </row>
    <row r="6443" spans="2:14">
      <c r="B6443" s="1130" t="s">
        <v>283</v>
      </c>
      <c r="C6443" s="1139"/>
      <c r="D6443" s="1139"/>
      <c r="E6443" s="1139"/>
      <c r="F6443" s="1139"/>
      <c r="G6443" s="1139"/>
      <c r="H6443" s="1139"/>
      <c r="I6443" s="288" t="s">
        <v>284</v>
      </c>
      <c r="J6443" s="314" t="s">
        <v>285</v>
      </c>
      <c r="K6443" s="315" t="s">
        <v>286</v>
      </c>
      <c r="L6443" s="1140" t="s">
        <v>264</v>
      </c>
      <c r="M6443" s="1141"/>
      <c r="N6443" s="316" t="s">
        <v>265</v>
      </c>
    </row>
    <row r="6444" spans="2:14" ht="13.5" thickBot="1">
      <c r="B6444" s="317" t="s">
        <v>322</v>
      </c>
      <c r="C6444" s="318"/>
      <c r="D6444" s="318"/>
      <c r="E6444" s="318"/>
      <c r="F6444" s="318"/>
      <c r="G6444" s="318"/>
      <c r="H6444" s="318"/>
      <c r="I6444" s="319">
        <v>153482</v>
      </c>
      <c r="J6444" s="321">
        <v>0</v>
      </c>
      <c r="K6444" s="321">
        <f>+I6444+J6444</f>
        <v>153482</v>
      </c>
      <c r="L6444" s="1157">
        <v>30.000299999999999</v>
      </c>
      <c r="M6444" s="1158"/>
      <c r="N6444" s="322">
        <f>+K6444/L6444</f>
        <v>5116.0155065116014</v>
      </c>
    </row>
    <row r="6445" spans="2:14" ht="13.5" thickBot="1">
      <c r="B6445" s="1100" t="s">
        <v>269</v>
      </c>
      <c r="C6445" s="1101"/>
      <c r="D6445" s="1101"/>
      <c r="E6445" s="1101"/>
      <c r="F6445" s="1101"/>
      <c r="G6445" s="1101"/>
      <c r="H6445" s="1101"/>
      <c r="I6445" s="1101"/>
      <c r="J6445" s="1101"/>
      <c r="K6445" s="1101"/>
      <c r="L6445" s="1101"/>
      <c r="M6445" s="1102"/>
      <c r="N6445" s="322">
        <f>+N6444</f>
        <v>5116.0155065116014</v>
      </c>
    </row>
    <row r="6446" spans="2:14" ht="13.5" thickBot="1">
      <c r="B6446" s="324" t="s">
        <v>288</v>
      </c>
      <c r="C6446" s="325"/>
      <c r="D6446" s="325"/>
      <c r="E6446" s="325"/>
      <c r="F6446" s="325"/>
      <c r="G6446" s="325"/>
      <c r="H6446" s="325"/>
      <c r="I6446" s="326"/>
      <c r="J6446" s="327"/>
      <c r="K6446" s="328"/>
      <c r="L6446" s="329"/>
      <c r="M6446" s="329"/>
      <c r="N6446" s="330"/>
    </row>
    <row r="6447" spans="2:14">
      <c r="B6447" s="1130" t="s">
        <v>17</v>
      </c>
      <c r="C6447" s="1139"/>
      <c r="D6447" s="1139"/>
      <c r="E6447" s="1139"/>
      <c r="F6447" s="1139"/>
      <c r="G6447" s="1139"/>
      <c r="H6447" s="1139"/>
      <c r="I6447" s="1136"/>
      <c r="J6447" s="299" t="s">
        <v>259</v>
      </c>
      <c r="K6447" s="288" t="s">
        <v>133</v>
      </c>
      <c r="L6447" s="1133" t="s">
        <v>271</v>
      </c>
      <c r="M6447" s="1136"/>
      <c r="N6447" s="316" t="s">
        <v>265</v>
      </c>
    </row>
    <row r="6448" spans="2:14" ht="13.5" thickBot="1">
      <c r="B6448" s="331" t="s">
        <v>289</v>
      </c>
      <c r="C6448" s="332"/>
      <c r="D6448" s="332"/>
      <c r="E6448" s="332"/>
      <c r="F6448" s="332"/>
      <c r="G6448" s="332"/>
      <c r="H6448" s="332"/>
      <c r="I6448" s="333"/>
      <c r="J6448" s="334" t="s">
        <v>290</v>
      </c>
      <c r="K6448" s="335">
        <v>0.05</v>
      </c>
      <c r="L6448" s="1144">
        <f>+N6445</f>
        <v>5116.0155065116014</v>
      </c>
      <c r="M6448" s="1145"/>
      <c r="N6448" s="322">
        <f>+K6448*L6448</f>
        <v>255.80077532558008</v>
      </c>
    </row>
    <row r="6449" spans="2:17" ht="13.5" thickBot="1">
      <c r="B6449" s="1100" t="s">
        <v>269</v>
      </c>
      <c r="C6449" s="1101"/>
      <c r="D6449" s="1101"/>
      <c r="E6449" s="1101"/>
      <c r="F6449" s="1101"/>
      <c r="G6449" s="1101"/>
      <c r="H6449" s="1101"/>
      <c r="I6449" s="1101"/>
      <c r="J6449" s="1101"/>
      <c r="K6449" s="1101"/>
      <c r="L6449" s="1101"/>
      <c r="M6449" s="1102"/>
      <c r="N6449" s="322">
        <f>+N6448</f>
        <v>255.80077532558008</v>
      </c>
      <c r="P6449" s="408">
        <v>1942320</v>
      </c>
    </row>
    <row r="6450" spans="2:17" ht="13.5" thickBot="1">
      <c r="B6450" s="1100"/>
      <c r="C6450" s="1101"/>
      <c r="D6450" s="1101"/>
      <c r="E6450" s="1101"/>
      <c r="F6450" s="1101"/>
      <c r="G6450" s="1101"/>
      <c r="H6450" s="1101"/>
      <c r="I6450" s="1101"/>
      <c r="J6450" s="1101"/>
      <c r="K6450" s="1101"/>
      <c r="L6450" s="1101"/>
      <c r="M6450" s="1102"/>
      <c r="N6450" s="322"/>
    </row>
    <row r="6451" spans="2:17" ht="13.5" thickBot="1">
      <c r="B6451" s="1150" t="s">
        <v>291</v>
      </c>
      <c r="C6451" s="1151"/>
      <c r="D6451" s="1151"/>
      <c r="E6451" s="1151"/>
      <c r="F6451" s="1151"/>
      <c r="G6451" s="1151"/>
      <c r="H6451" s="1151"/>
      <c r="I6451" s="1151"/>
      <c r="J6451" s="1151"/>
      <c r="K6451" s="1151"/>
      <c r="L6451" s="1151"/>
      <c r="M6451" s="1152"/>
      <c r="N6451" s="336">
        <f>+N6422+N6433+N6439+N6445+N6449</f>
        <v>97117.168136837165</v>
      </c>
      <c r="P6451" s="409">
        <f>+N6451*N6416</f>
        <v>1942343.3627367434</v>
      </c>
      <c r="Q6451" s="423">
        <f>+P6449-P6451</f>
        <v>-23.362736743409187</v>
      </c>
    </row>
    <row r="6452" spans="2:17">
      <c r="B6452" s="1103" t="s">
        <v>292</v>
      </c>
      <c r="C6452" s="1104"/>
      <c r="D6452" s="1104"/>
      <c r="E6452" s="1104"/>
      <c r="F6452" s="1104"/>
      <c r="G6452" s="1104"/>
      <c r="H6452" s="1104"/>
      <c r="I6452" s="1104"/>
      <c r="J6452" s="1104"/>
      <c r="K6452" s="1104"/>
      <c r="L6452" s="1104"/>
      <c r="M6452" s="1104"/>
      <c r="N6452" s="1105"/>
    </row>
    <row r="6453" spans="2:17">
      <c r="B6453" s="1106"/>
      <c r="C6453" s="1107"/>
      <c r="D6453" s="1107"/>
      <c r="E6453" s="1107"/>
      <c r="F6453" s="1107"/>
      <c r="G6453" s="1107"/>
      <c r="H6453" s="1107"/>
      <c r="I6453" s="1107"/>
      <c r="J6453" s="1107"/>
      <c r="K6453" s="1107"/>
      <c r="L6453" s="1107"/>
      <c r="M6453" s="1107"/>
      <c r="N6453" s="1108"/>
    </row>
    <row r="6454" spans="2:17" ht="13.5" thickBot="1">
      <c r="B6454" s="1109"/>
      <c r="C6454" s="1110"/>
      <c r="D6454" s="1110"/>
      <c r="E6454" s="1110"/>
      <c r="F6454" s="1110"/>
      <c r="G6454" s="1110"/>
      <c r="H6454" s="1110"/>
      <c r="I6454" s="1110"/>
      <c r="J6454" s="1110"/>
      <c r="K6454" s="1110"/>
      <c r="L6454" s="1110"/>
      <c r="M6454" s="1110"/>
      <c r="N6454" s="1111"/>
    </row>
    <row r="6455" spans="2:17">
      <c r="B6455" s="1130" t="s">
        <v>17</v>
      </c>
      <c r="C6455" s="1139"/>
      <c r="D6455" s="1139"/>
      <c r="E6455" s="1139"/>
      <c r="F6455" s="1139"/>
      <c r="G6455" s="1139"/>
      <c r="H6455" s="1139"/>
      <c r="I6455" s="306"/>
      <c r="J6455" s="337"/>
      <c r="K6455" s="315" t="s">
        <v>79</v>
      </c>
      <c r="L6455" s="1140" t="s">
        <v>11</v>
      </c>
      <c r="M6455" s="1141"/>
      <c r="N6455" s="316"/>
    </row>
    <row r="6456" spans="2:17">
      <c r="B6456" s="1112" t="s">
        <v>232</v>
      </c>
      <c r="C6456" s="1113"/>
      <c r="D6456" s="1113"/>
      <c r="E6456" s="1113"/>
      <c r="F6456" s="1113"/>
      <c r="G6456" s="1113"/>
      <c r="H6456" s="1113"/>
      <c r="I6456" s="338"/>
      <c r="J6456" s="339"/>
      <c r="K6456" s="340">
        <f>'PRESUPUESTO OFICIAL'!$K$100</f>
        <v>0</v>
      </c>
      <c r="L6456" s="1146">
        <f>K6456*N6451</f>
        <v>0</v>
      </c>
      <c r="M6456" s="1147"/>
      <c r="N6456" s="341"/>
    </row>
    <row r="6457" spans="2:17">
      <c r="B6457" s="292" t="s">
        <v>293</v>
      </c>
      <c r="C6457" s="293"/>
      <c r="D6457" s="293"/>
      <c r="E6457" s="293"/>
      <c r="F6457" s="293"/>
      <c r="G6457" s="293"/>
      <c r="H6457" s="293"/>
      <c r="I6457" s="338"/>
      <c r="J6457" s="339"/>
      <c r="K6457" s="340">
        <f>'PRESUPUESTO OFICIAL'!$K$101</f>
        <v>0</v>
      </c>
      <c r="L6457" s="1146">
        <f>K6457*N6451</f>
        <v>0</v>
      </c>
      <c r="M6457" s="1147"/>
      <c r="N6457" s="341"/>
    </row>
    <row r="6458" spans="2:17" ht="13.5" thickBot="1">
      <c r="B6458" s="277" t="s">
        <v>294</v>
      </c>
      <c r="C6458" s="278"/>
      <c r="D6458" s="278"/>
      <c r="E6458" s="278"/>
      <c r="F6458" s="278"/>
      <c r="G6458" s="278"/>
      <c r="H6458" s="278"/>
      <c r="I6458" s="342"/>
      <c r="J6458" s="343"/>
      <c r="K6458" s="340">
        <f>'PRESUPUESTO OFICIAL'!$K$102</f>
        <v>0</v>
      </c>
      <c r="L6458" s="1148">
        <f>K6458*N6451</f>
        <v>0</v>
      </c>
      <c r="M6458" s="1149"/>
      <c r="N6458" s="341"/>
    </row>
    <row r="6459" spans="2:17" ht="13.5" thickBot="1">
      <c r="B6459" s="1100" t="s">
        <v>269</v>
      </c>
      <c r="C6459" s="1101"/>
      <c r="D6459" s="1101"/>
      <c r="E6459" s="1101"/>
      <c r="F6459" s="1101"/>
      <c r="G6459" s="1101"/>
      <c r="H6459" s="1101"/>
      <c r="I6459" s="1101"/>
      <c r="J6459" s="1101"/>
      <c r="K6459" s="1101"/>
      <c r="L6459" s="1101"/>
      <c r="M6459" s="1102"/>
      <c r="N6459" s="344">
        <f>SUM(L6456:M6458)</f>
        <v>0</v>
      </c>
    </row>
    <row r="6460" spans="2:17" ht="13.5" thickBot="1">
      <c r="B6460" s="283"/>
      <c r="N6460" s="284"/>
    </row>
    <row r="6461" spans="2:17" ht="13.5" thickBot="1">
      <c r="B6461" s="1150" t="s">
        <v>295</v>
      </c>
      <c r="C6461" s="1151"/>
      <c r="D6461" s="1151"/>
      <c r="E6461" s="1151"/>
      <c r="F6461" s="1151"/>
      <c r="G6461" s="1151"/>
      <c r="H6461" s="1151"/>
      <c r="I6461" s="1151"/>
      <c r="J6461" s="1151"/>
      <c r="K6461" s="1151"/>
      <c r="L6461" s="1151"/>
      <c r="M6461" s="1152"/>
      <c r="N6461" s="345">
        <f>ROUND(N6451+N6459,0)</f>
        <v>97117</v>
      </c>
    </row>
    <row r="6462" spans="2:17">
      <c r="B6462" s="280"/>
      <c r="C6462" s="281"/>
      <c r="D6462" s="281"/>
      <c r="E6462" s="281"/>
      <c r="F6462" s="281"/>
      <c r="G6462" s="281"/>
      <c r="H6462" s="281"/>
      <c r="I6462" s="281"/>
      <c r="J6462" s="281"/>
      <c r="K6462" s="281"/>
      <c r="L6462" s="281"/>
      <c r="M6462" s="281"/>
      <c r="N6462" s="282"/>
    </row>
    <row r="6463" spans="2:17">
      <c r="B6463" s="283"/>
      <c r="N6463" s="284"/>
    </row>
    <row r="6464" spans="2:17">
      <c r="B6464" s="283"/>
      <c r="N6464" s="284"/>
    </row>
    <row r="6465" spans="2:14">
      <c r="B6465" s="283"/>
      <c r="G6465" s="346" t="s">
        <v>296</v>
      </c>
      <c r="H6465" s="346"/>
      <c r="I6465" s="346"/>
      <c r="J6465" s="346"/>
      <c r="N6465" s="284"/>
    </row>
    <row r="6466" spans="2:14">
      <c r="B6466" s="347"/>
      <c r="C6466" s="348"/>
      <c r="D6466" s="348"/>
      <c r="E6466" s="348"/>
      <c r="F6466" s="348"/>
      <c r="G6466" s="346" t="s">
        <v>297</v>
      </c>
      <c r="H6466" s="348"/>
      <c r="I6466" s="348"/>
      <c r="J6466" s="348"/>
      <c r="K6466" s="348"/>
      <c r="L6466" s="348"/>
      <c r="M6466" s="348"/>
      <c r="N6466" s="349"/>
    </row>
    <row r="6467" spans="2:14">
      <c r="B6467" s="347"/>
      <c r="C6467" s="348"/>
      <c r="D6467" s="348"/>
      <c r="E6467" s="348"/>
      <c r="F6467" s="348"/>
      <c r="G6467" s="346" t="s">
        <v>298</v>
      </c>
      <c r="J6467" s="348"/>
      <c r="K6467" s="348"/>
      <c r="L6467" s="348"/>
      <c r="M6467" s="348"/>
      <c r="N6467" s="349"/>
    </row>
    <row r="6468" spans="2:14">
      <c r="B6468" s="268"/>
      <c r="C6468" s="350"/>
      <c r="D6468" s="350"/>
      <c r="E6468" s="350"/>
      <c r="F6468" s="350"/>
      <c r="G6468" s="346" t="s">
        <v>299</v>
      </c>
      <c r="H6468" s="350"/>
      <c r="I6468" s="350"/>
      <c r="J6468" s="350"/>
      <c r="K6468" s="350"/>
      <c r="L6468" s="350"/>
      <c r="M6468" s="350"/>
      <c r="N6468" s="351"/>
    </row>
    <row r="6469" spans="2:14">
      <c r="B6469" s="283"/>
      <c r="G6469" s="258" t="s">
        <v>300</v>
      </c>
      <c r="N6469" s="284"/>
    </row>
    <row r="6470" spans="2:14">
      <c r="B6470" s="352" t="s">
        <v>301</v>
      </c>
      <c r="C6470" s="353"/>
      <c r="D6470" s="353"/>
      <c r="E6470" s="353"/>
      <c r="F6470" s="353"/>
      <c r="G6470" s="353"/>
      <c r="H6470" s="353"/>
      <c r="I6470" s="353"/>
      <c r="J6470" s="353"/>
      <c r="K6470" s="353"/>
      <c r="L6470" s="353"/>
      <c r="M6470" s="353"/>
      <c r="N6470" s="354"/>
    </row>
    <row r="6471" spans="2:14">
      <c r="B6471" s="1153"/>
      <c r="C6471" s="1154"/>
      <c r="D6471" s="1154"/>
      <c r="E6471" s="1154"/>
      <c r="F6471" s="1154"/>
      <c r="G6471" s="1154"/>
      <c r="H6471" s="1154"/>
      <c r="I6471" s="1154"/>
      <c r="J6471" s="1154"/>
      <c r="K6471" s="1154"/>
      <c r="L6471" s="1154"/>
      <c r="M6471" s="1154"/>
      <c r="N6471" s="1155"/>
    </row>
    <row r="6472" spans="2:14">
      <c r="B6472" s="1153"/>
      <c r="C6472" s="1154"/>
      <c r="D6472" s="1154"/>
      <c r="E6472" s="1154"/>
      <c r="F6472" s="1154"/>
      <c r="G6472" s="1154"/>
      <c r="H6472" s="1154"/>
      <c r="I6472" s="1154"/>
      <c r="J6472" s="1154"/>
      <c r="K6472" s="1154"/>
      <c r="L6472" s="1154"/>
      <c r="M6472" s="1154"/>
      <c r="N6472" s="1155"/>
    </row>
    <row r="6473" spans="2:14">
      <c r="B6473" s="268"/>
      <c r="C6473" s="350"/>
      <c r="D6473" s="350"/>
      <c r="E6473" s="350"/>
      <c r="F6473" s="350"/>
      <c r="G6473" s="350"/>
      <c r="H6473" s="350"/>
      <c r="I6473" s="350"/>
      <c r="J6473" s="350"/>
      <c r="K6473" s="350"/>
      <c r="L6473" s="350"/>
      <c r="M6473" s="350"/>
      <c r="N6473" s="351"/>
    </row>
    <row r="6474" spans="2:14">
      <c r="B6474" s="355" t="s">
        <v>302</v>
      </c>
      <c r="C6474" s="350"/>
      <c r="D6474" s="350"/>
      <c r="E6474" s="350"/>
      <c r="F6474" s="350"/>
      <c r="G6474" s="350"/>
      <c r="H6474" s="350"/>
      <c r="I6474" s="350"/>
      <c r="J6474" s="350"/>
      <c r="K6474" s="350"/>
      <c r="L6474" s="350"/>
      <c r="M6474" s="350"/>
      <c r="N6474" s="351"/>
    </row>
    <row r="6475" spans="2:14">
      <c r="B6475" s="1159" t="s">
        <v>303</v>
      </c>
      <c r="C6475" s="1160"/>
      <c r="D6475" s="1160"/>
      <c r="E6475" s="1160"/>
      <c r="F6475" s="1160"/>
      <c r="G6475" s="1160"/>
      <c r="H6475" s="1160"/>
      <c r="I6475" s="1160"/>
      <c r="J6475" s="1160"/>
      <c r="K6475" s="1160"/>
      <c r="L6475" s="1160"/>
      <c r="M6475" s="1160"/>
      <c r="N6475" s="1161"/>
    </row>
    <row r="6476" spans="2:14">
      <c r="B6476" s="1159"/>
      <c r="C6476" s="1160"/>
      <c r="D6476" s="1160"/>
      <c r="E6476" s="1160"/>
      <c r="F6476" s="1160"/>
      <c r="G6476" s="1160"/>
      <c r="H6476" s="1160"/>
      <c r="I6476" s="1160"/>
      <c r="J6476" s="1160"/>
      <c r="K6476" s="1160"/>
      <c r="L6476" s="1160"/>
      <c r="M6476" s="1160"/>
      <c r="N6476" s="1161"/>
    </row>
    <row r="6477" spans="2:14">
      <c r="B6477" s="1159" t="s">
        <v>304</v>
      </c>
      <c r="C6477" s="1160"/>
      <c r="D6477" s="1160"/>
      <c r="E6477" s="1160"/>
      <c r="F6477" s="1160"/>
      <c r="G6477" s="1160"/>
      <c r="H6477" s="1160"/>
      <c r="I6477" s="1160"/>
      <c r="J6477" s="1160"/>
      <c r="K6477" s="1160"/>
      <c r="L6477" s="1160"/>
      <c r="M6477" s="1160"/>
      <c r="N6477" s="1161"/>
    </row>
    <row r="6478" spans="2:14">
      <c r="B6478" s="1159"/>
      <c r="C6478" s="1160"/>
      <c r="D6478" s="1160"/>
      <c r="E6478" s="1160"/>
      <c r="F6478" s="1160"/>
      <c r="G6478" s="1160"/>
      <c r="H6478" s="1160"/>
      <c r="I6478" s="1160"/>
      <c r="J6478" s="1160"/>
      <c r="K6478" s="1160"/>
      <c r="L6478" s="1160"/>
      <c r="M6478" s="1160"/>
      <c r="N6478" s="1161"/>
    </row>
    <row r="6479" spans="2:14">
      <c r="B6479" s="268"/>
      <c r="C6479" s="350"/>
      <c r="D6479" s="350"/>
      <c r="E6479" s="350"/>
      <c r="F6479" s="350"/>
      <c r="G6479" s="350"/>
      <c r="H6479" s="350"/>
      <c r="I6479" s="350"/>
      <c r="J6479" s="350"/>
      <c r="K6479" s="350"/>
      <c r="L6479" s="350"/>
      <c r="M6479" s="350"/>
      <c r="N6479" s="351"/>
    </row>
    <row r="6480" spans="2:14">
      <c r="B6480" s="283"/>
      <c r="G6480" s="346" t="s">
        <v>296</v>
      </c>
      <c r="N6480" s="284"/>
    </row>
    <row r="6481" spans="2:14">
      <c r="B6481" s="283"/>
      <c r="G6481" s="258" t="s">
        <v>305</v>
      </c>
      <c r="H6481" s="293"/>
      <c r="I6481" s="293"/>
      <c r="J6481" s="293"/>
      <c r="N6481" s="284"/>
    </row>
    <row r="6482" spans="2:14">
      <c r="B6482" s="283"/>
      <c r="G6482" s="258" t="s">
        <v>306</v>
      </c>
      <c r="H6482" s="325"/>
      <c r="I6482" s="325"/>
      <c r="J6482" s="325"/>
      <c r="N6482" s="284"/>
    </row>
    <row r="6483" spans="2:14">
      <c r="B6483" s="356"/>
      <c r="C6483" s="350"/>
      <c r="D6483" s="350"/>
      <c r="E6483" s="350"/>
      <c r="F6483" s="350"/>
      <c r="G6483" s="258" t="s">
        <v>299</v>
      </c>
      <c r="K6483" s="350"/>
      <c r="L6483" s="350"/>
      <c r="M6483" s="350"/>
      <c r="N6483" s="351"/>
    </row>
    <row r="6484" spans="2:14">
      <c r="B6484" s="357"/>
      <c r="C6484" s="358"/>
      <c r="D6484" s="358"/>
      <c r="J6484" s="1162"/>
      <c r="K6484" s="1162"/>
      <c r="L6484" s="1162"/>
      <c r="M6484" s="1162"/>
      <c r="N6484" s="1163"/>
    </row>
    <row r="6485" spans="2:14" ht="13.5" thickBot="1">
      <c r="B6485" s="1166"/>
      <c r="C6485" s="1167"/>
      <c r="D6485" s="1167"/>
      <c r="E6485" s="311"/>
      <c r="F6485" s="311"/>
      <c r="G6485" s="311"/>
      <c r="H6485" s="311"/>
      <c r="I6485" s="311"/>
      <c r="J6485" s="1164"/>
      <c r="K6485" s="1164"/>
      <c r="L6485" s="1164"/>
      <c r="M6485" s="1164"/>
      <c r="N6485" s="1165"/>
    </row>
    <row r="6486" spans="2:14" ht="13.5" thickBot="1"/>
    <row r="6487" spans="2:14">
      <c r="B6487" s="1070"/>
      <c r="C6487" s="1072"/>
      <c r="D6487" s="1073"/>
      <c r="E6487" s="1073"/>
      <c r="F6487" s="1073"/>
      <c r="G6487" s="1073"/>
      <c r="H6487" s="1073"/>
      <c r="I6487" s="1073"/>
      <c r="J6487" s="1074"/>
      <c r="K6487" s="1075"/>
      <c r="L6487" s="1076"/>
      <c r="M6487" s="1076"/>
      <c r="N6487" s="1077"/>
    </row>
    <row r="6488" spans="2:14">
      <c r="B6488" s="1071"/>
      <c r="C6488" s="1062" t="s">
        <v>244</v>
      </c>
      <c r="D6488" s="1063"/>
      <c r="E6488" s="1063"/>
      <c r="F6488" s="1063"/>
      <c r="G6488" s="1063"/>
      <c r="H6488" s="1063"/>
      <c r="I6488" s="1063"/>
      <c r="J6488" s="1064"/>
      <c r="K6488" s="1078"/>
      <c r="L6488" s="1079"/>
      <c r="M6488" s="1079"/>
      <c r="N6488" s="1080"/>
    </row>
    <row r="6489" spans="2:14">
      <c r="B6489" s="1071"/>
      <c r="C6489" s="1081"/>
      <c r="D6489" s="1082"/>
      <c r="E6489" s="1082"/>
      <c r="F6489" s="1082"/>
      <c r="G6489" s="1082"/>
      <c r="H6489" s="1082"/>
      <c r="I6489" s="1082"/>
      <c r="J6489" s="1083"/>
      <c r="K6489" s="1058" t="s">
        <v>245</v>
      </c>
      <c r="L6489" s="1085"/>
      <c r="M6489" s="1086"/>
      <c r="N6489" s="1087"/>
    </row>
    <row r="6490" spans="2:14">
      <c r="B6490" s="1071"/>
      <c r="C6490" s="1062" t="s">
        <v>246</v>
      </c>
      <c r="D6490" s="1063"/>
      <c r="E6490" s="1063"/>
      <c r="F6490" s="1063"/>
      <c r="G6490" s="1063"/>
      <c r="H6490" s="1063"/>
      <c r="I6490" s="1063"/>
      <c r="J6490" s="1064"/>
      <c r="K6490" s="1084"/>
      <c r="L6490" s="1088"/>
      <c r="M6490" s="1089"/>
      <c r="N6490" s="1090"/>
    </row>
    <row r="6491" spans="2:14">
      <c r="B6491" s="1071"/>
      <c r="C6491" s="1091"/>
      <c r="D6491" s="1092"/>
      <c r="E6491" s="1092"/>
      <c r="F6491" s="1092"/>
      <c r="G6491" s="1092"/>
      <c r="H6491" s="1092"/>
      <c r="I6491" s="1092"/>
      <c r="J6491" s="1093"/>
      <c r="K6491" s="1058" t="s">
        <v>247</v>
      </c>
      <c r="L6491" s="1058">
        <v>74</v>
      </c>
      <c r="M6491" s="1058" t="s">
        <v>248</v>
      </c>
      <c r="N6491" s="1060">
        <v>80</v>
      </c>
    </row>
    <row r="6492" spans="2:14">
      <c r="B6492" s="1071"/>
      <c r="C6492" s="1091"/>
      <c r="D6492" s="1092"/>
      <c r="E6492" s="1092"/>
      <c r="F6492" s="1092"/>
      <c r="G6492" s="1092"/>
      <c r="H6492" s="1092"/>
      <c r="I6492" s="1092"/>
      <c r="J6492" s="1093"/>
      <c r="K6492" s="1059"/>
      <c r="L6492" s="1059"/>
      <c r="M6492" s="1059"/>
      <c r="N6492" s="1061"/>
    </row>
    <row r="6493" spans="2:14">
      <c r="B6493" s="1071"/>
      <c r="C6493" s="1062" t="s">
        <v>249</v>
      </c>
      <c r="D6493" s="1063"/>
      <c r="E6493" s="1063"/>
      <c r="F6493" s="1063"/>
      <c r="G6493" s="1063"/>
      <c r="H6493" s="1063"/>
      <c r="I6493" s="1063"/>
      <c r="J6493" s="1064"/>
      <c r="K6493" s="1059"/>
      <c r="L6493" s="1059"/>
      <c r="M6493" s="1059"/>
      <c r="N6493" s="1061"/>
    </row>
    <row r="6494" spans="2:14" ht="13.5" thickBot="1">
      <c r="B6494" s="259"/>
      <c r="C6494" s="260"/>
      <c r="D6494" s="260"/>
      <c r="E6494" s="260"/>
      <c r="F6494" s="260"/>
      <c r="G6494" s="260"/>
      <c r="H6494" s="260"/>
      <c r="I6494" s="260"/>
      <c r="J6494" s="260"/>
      <c r="K6494" s="260"/>
      <c r="L6494" s="261"/>
      <c r="M6494" s="261"/>
      <c r="N6494" s="262"/>
    </row>
    <row r="6495" spans="2:14">
      <c r="B6495" s="263"/>
      <c r="C6495" s="264"/>
      <c r="D6495" s="264"/>
      <c r="E6495" s="264"/>
      <c r="F6495" s="264"/>
      <c r="G6495" s="264"/>
      <c r="H6495" s="264"/>
      <c r="I6495" s="264"/>
      <c r="J6495" s="264"/>
      <c r="K6495" s="265" t="s">
        <v>250</v>
      </c>
      <c r="L6495" s="266" t="s">
        <v>251</v>
      </c>
      <c r="M6495" s="266" t="s">
        <v>252</v>
      </c>
      <c r="N6495" s="267" t="s">
        <v>253</v>
      </c>
    </row>
    <row r="6496" spans="2:14">
      <c r="B6496" s="268"/>
      <c r="C6496" s="269"/>
      <c r="D6496" s="269"/>
      <c r="E6496" s="269"/>
      <c r="F6496" s="269"/>
      <c r="G6496" s="269"/>
      <c r="H6496" s="269"/>
      <c r="I6496" s="269"/>
      <c r="J6496" s="269"/>
      <c r="K6496" s="270"/>
      <c r="L6496" s="271"/>
      <c r="M6496" s="271"/>
      <c r="N6496" s="272"/>
    </row>
    <row r="6497" spans="2:14">
      <c r="B6497" s="1065" t="s">
        <v>254</v>
      </c>
      <c r="C6497" s="1066"/>
      <c r="D6497" s="1066"/>
      <c r="E6497" s="1066"/>
      <c r="F6497" s="269"/>
      <c r="G6497" s="269"/>
      <c r="H6497" s="269" t="s">
        <v>255</v>
      </c>
      <c r="J6497" s="269"/>
      <c r="K6497" s="270"/>
      <c r="N6497" s="273"/>
    </row>
    <row r="6498" spans="2:14">
      <c r="B6498" s="274"/>
      <c r="C6498" s="275"/>
      <c r="D6498" s="275"/>
      <c r="E6498" s="275"/>
      <c r="F6498" s="275"/>
      <c r="G6498" s="275"/>
      <c r="H6498" s="275"/>
      <c r="I6498" s="275"/>
      <c r="J6498" s="275"/>
      <c r="K6498" s="275"/>
      <c r="L6498" s="275"/>
      <c r="M6498" s="275"/>
      <c r="N6498" s="276"/>
    </row>
    <row r="6499" spans="2:14" ht="13.5" thickBot="1">
      <c r="B6499" s="277"/>
      <c r="C6499" s="278"/>
      <c r="D6499" s="278"/>
      <c r="E6499" s="278"/>
      <c r="F6499" s="278"/>
      <c r="G6499" s="278"/>
      <c r="H6499" s="278"/>
      <c r="I6499" s="278"/>
      <c r="J6499" s="278"/>
      <c r="K6499" s="278"/>
      <c r="L6499" s="278"/>
      <c r="M6499" s="278"/>
      <c r="N6499" s="279"/>
    </row>
    <row r="6500" spans="2:14" ht="13.5" thickBot="1">
      <c r="B6500" s="280"/>
      <c r="C6500" s="281"/>
      <c r="D6500" s="281"/>
      <c r="E6500" s="281"/>
      <c r="F6500" s="281"/>
      <c r="G6500" s="281"/>
      <c r="J6500" s="281"/>
      <c r="K6500" s="281"/>
      <c r="L6500" s="281"/>
      <c r="M6500" s="281"/>
      <c r="N6500" s="282"/>
    </row>
    <row r="6501" spans="2:14">
      <c r="B6501" s="1067" t="s">
        <v>256</v>
      </c>
      <c r="C6501" s="1068"/>
      <c r="D6501" s="1068"/>
      <c r="E6501" s="1068"/>
      <c r="F6501" s="1068"/>
      <c r="G6501" s="1068"/>
      <c r="H6501" s="1068"/>
      <c r="I6501" s="1068"/>
      <c r="J6501" s="1068"/>
      <c r="K6501" s="1068"/>
      <c r="L6501" s="1068"/>
      <c r="M6501" s="1068"/>
      <c r="N6501" s="1069"/>
    </row>
    <row r="6502" spans="2:14" ht="13.5" thickBot="1">
      <c r="B6502" s="283"/>
      <c r="N6502" s="284"/>
    </row>
    <row r="6503" spans="2:14">
      <c r="B6503" s="285" t="s">
        <v>257</v>
      </c>
      <c r="C6503" s="1120" t="s">
        <v>258</v>
      </c>
      <c r="D6503" s="1121"/>
      <c r="E6503" s="1121"/>
      <c r="F6503" s="1121"/>
      <c r="G6503" s="1121"/>
      <c r="H6503" s="1121"/>
      <c r="I6503" s="1121"/>
      <c r="J6503" s="1121"/>
      <c r="K6503" s="1122"/>
      <c r="L6503" s="1123" t="s">
        <v>259</v>
      </c>
      <c r="M6503" s="1124"/>
      <c r="N6503" s="285" t="s">
        <v>133</v>
      </c>
    </row>
    <row r="6504" spans="2:14" ht="27" customHeight="1" thickBot="1">
      <c r="B6504" s="286">
        <v>74</v>
      </c>
      <c r="C6504" s="1125" t="s">
        <v>217</v>
      </c>
      <c r="D6504" s="1126"/>
      <c r="E6504" s="1126"/>
      <c r="F6504" s="1126"/>
      <c r="G6504" s="1126"/>
      <c r="H6504" s="1126"/>
      <c r="I6504" s="1126"/>
      <c r="J6504" s="1126"/>
      <c r="K6504" s="1127"/>
      <c r="L6504" s="1128" t="s">
        <v>143</v>
      </c>
      <c r="M6504" s="1129"/>
      <c r="N6504" s="366">
        <v>30</v>
      </c>
    </row>
    <row r="6505" spans="2:14">
      <c r="B6505" s="1103" t="s">
        <v>260</v>
      </c>
      <c r="C6505" s="1104"/>
      <c r="D6505" s="1104"/>
      <c r="E6505" s="1104"/>
      <c r="F6505" s="1104"/>
      <c r="G6505" s="1104"/>
      <c r="H6505" s="1104"/>
      <c r="I6505" s="1104"/>
      <c r="J6505" s="1104"/>
      <c r="K6505" s="1104"/>
      <c r="L6505" s="1104"/>
      <c r="M6505" s="1104"/>
      <c r="N6505" s="1105"/>
    </row>
    <row r="6506" spans="2:14">
      <c r="B6506" s="1106"/>
      <c r="C6506" s="1107"/>
      <c r="D6506" s="1107"/>
      <c r="E6506" s="1107"/>
      <c r="F6506" s="1107"/>
      <c r="G6506" s="1107"/>
      <c r="H6506" s="1107"/>
      <c r="I6506" s="1107"/>
      <c r="J6506" s="1107"/>
      <c r="K6506" s="1107"/>
      <c r="L6506" s="1107"/>
      <c r="M6506" s="1107"/>
      <c r="N6506" s="1108"/>
    </row>
    <row r="6507" spans="2:14" ht="13.5" thickBot="1">
      <c r="B6507" s="1109"/>
      <c r="C6507" s="1110"/>
      <c r="D6507" s="1110"/>
      <c r="E6507" s="1110"/>
      <c r="F6507" s="1110"/>
      <c r="G6507" s="1110"/>
      <c r="H6507" s="1110"/>
      <c r="I6507" s="1110"/>
      <c r="J6507" s="1110"/>
      <c r="K6507" s="1110"/>
      <c r="L6507" s="1110"/>
      <c r="M6507" s="1110"/>
      <c r="N6507" s="1111"/>
    </row>
    <row r="6508" spans="2:14">
      <c r="B6508" s="1130" t="s">
        <v>258</v>
      </c>
      <c r="C6508" s="1131"/>
      <c r="D6508" s="1131"/>
      <c r="E6508" s="1131"/>
      <c r="F6508" s="1132"/>
      <c r="G6508" s="1133" t="s">
        <v>261</v>
      </c>
      <c r="H6508" s="1131"/>
      <c r="I6508" s="1134" t="s">
        <v>262</v>
      </c>
      <c r="J6508" s="1135"/>
      <c r="K6508" s="288" t="s">
        <v>263</v>
      </c>
      <c r="L6508" s="1133" t="s">
        <v>264</v>
      </c>
      <c r="M6508" s="1136"/>
      <c r="N6508" s="289" t="s">
        <v>265</v>
      </c>
    </row>
    <row r="6509" spans="2:14" ht="13.5" thickBot="1">
      <c r="B6509" s="1179"/>
      <c r="C6509" s="1180"/>
      <c r="D6509" s="1180"/>
      <c r="E6509" s="1180"/>
      <c r="F6509" s="1181"/>
      <c r="G6509" s="295"/>
      <c r="H6509" s="294"/>
      <c r="I6509" s="1182"/>
      <c r="J6509" s="1183"/>
      <c r="K6509" s="290"/>
      <c r="L6509" s="1118"/>
      <c r="M6509" s="1119"/>
      <c r="N6509" s="290"/>
    </row>
    <row r="6510" spans="2:14" ht="13.5" thickBot="1">
      <c r="B6510" s="1100" t="s">
        <v>269</v>
      </c>
      <c r="C6510" s="1101"/>
      <c r="D6510" s="1101"/>
      <c r="E6510" s="1101"/>
      <c r="F6510" s="1101"/>
      <c r="G6510" s="1101"/>
      <c r="H6510" s="1101"/>
      <c r="I6510" s="1101"/>
      <c r="J6510" s="1101"/>
      <c r="K6510" s="1101"/>
      <c r="L6510" s="1101"/>
      <c r="M6510" s="1102"/>
      <c r="N6510" s="323">
        <f>+N6509</f>
        <v>0</v>
      </c>
    </row>
    <row r="6511" spans="2:14">
      <c r="B6511" s="1103" t="s">
        <v>270</v>
      </c>
      <c r="C6511" s="1104"/>
      <c r="D6511" s="1104"/>
      <c r="E6511" s="1104"/>
      <c r="F6511" s="1104"/>
      <c r="G6511" s="1104"/>
      <c r="H6511" s="1104"/>
      <c r="I6511" s="1104"/>
      <c r="J6511" s="1104"/>
      <c r="K6511" s="1104"/>
      <c r="L6511" s="1104"/>
      <c r="M6511" s="1104"/>
      <c r="N6511" s="1105"/>
    </row>
    <row r="6512" spans="2:14">
      <c r="B6512" s="1106"/>
      <c r="C6512" s="1107"/>
      <c r="D6512" s="1107"/>
      <c r="E6512" s="1107"/>
      <c r="F6512" s="1107"/>
      <c r="G6512" s="1107"/>
      <c r="H6512" s="1107"/>
      <c r="I6512" s="1107"/>
      <c r="J6512" s="1107"/>
      <c r="K6512" s="1107"/>
      <c r="L6512" s="1107"/>
      <c r="M6512" s="1107"/>
      <c r="N6512" s="1108"/>
    </row>
    <row r="6513" spans="2:14" ht="13.5" thickBot="1">
      <c r="B6513" s="1109"/>
      <c r="C6513" s="1110"/>
      <c r="D6513" s="1110"/>
      <c r="E6513" s="1110"/>
      <c r="F6513" s="1110"/>
      <c r="G6513" s="1110"/>
      <c r="H6513" s="1110"/>
      <c r="I6513" s="1110"/>
      <c r="J6513" s="1110"/>
      <c r="K6513" s="1110"/>
      <c r="L6513" s="1110"/>
      <c r="M6513" s="1110"/>
      <c r="N6513" s="1111"/>
    </row>
    <row r="6514" spans="2:14">
      <c r="B6514" s="1130" t="s">
        <v>258</v>
      </c>
      <c r="C6514" s="1139"/>
      <c r="D6514" s="1139"/>
      <c r="E6514" s="1139"/>
      <c r="F6514" s="1139"/>
      <c r="G6514" s="1139"/>
      <c r="H6514" s="1139"/>
      <c r="I6514" s="1136"/>
      <c r="J6514" s="299" t="s">
        <v>259</v>
      </c>
      <c r="K6514" s="288" t="s">
        <v>133</v>
      </c>
      <c r="L6514" s="1133" t="s">
        <v>271</v>
      </c>
      <c r="M6514" s="1136"/>
      <c r="N6514" s="289" t="s">
        <v>265</v>
      </c>
    </row>
    <row r="6515" spans="2:14">
      <c r="B6515" s="402" t="s">
        <v>410</v>
      </c>
      <c r="C6515" s="353"/>
      <c r="D6515" s="353"/>
      <c r="E6515" s="353"/>
      <c r="F6515" s="353"/>
      <c r="G6515" s="353"/>
      <c r="H6515" s="353"/>
      <c r="I6515" s="403"/>
      <c r="J6515" s="303" t="s">
        <v>411</v>
      </c>
      <c r="K6515" s="392">
        <v>1.6667000000000001E-2</v>
      </c>
      <c r="L6515" s="1144">
        <v>53173</v>
      </c>
      <c r="M6515" s="1145"/>
      <c r="N6515" s="363">
        <f t="shared" ref="N6515:N6520" si="5">+K6515*L6515</f>
        <v>886.23439100000007</v>
      </c>
    </row>
    <row r="6516" spans="2:14">
      <c r="B6516" s="402" t="s">
        <v>416</v>
      </c>
      <c r="C6516" s="353"/>
      <c r="D6516" s="353"/>
      <c r="E6516" s="353"/>
      <c r="F6516" s="353"/>
      <c r="G6516" s="353"/>
      <c r="H6516" s="353"/>
      <c r="I6516" s="403"/>
      <c r="J6516" s="303" t="s">
        <v>196</v>
      </c>
      <c r="K6516" s="392">
        <v>0.05</v>
      </c>
      <c r="L6516" s="1144">
        <v>18909</v>
      </c>
      <c r="M6516" s="1145"/>
      <c r="N6516" s="363">
        <f t="shared" si="5"/>
        <v>945.45</v>
      </c>
    </row>
    <row r="6517" spans="2:14">
      <c r="B6517" s="402" t="s">
        <v>417</v>
      </c>
      <c r="C6517" s="353"/>
      <c r="D6517" s="353"/>
      <c r="E6517" s="353"/>
      <c r="F6517" s="353"/>
      <c r="G6517" s="353"/>
      <c r="H6517" s="353"/>
      <c r="I6517" s="403"/>
      <c r="J6517" s="303" t="s">
        <v>196</v>
      </c>
      <c r="K6517" s="392">
        <v>0.16666700000000001</v>
      </c>
      <c r="L6517" s="1144">
        <v>8317</v>
      </c>
      <c r="M6517" s="1145"/>
      <c r="N6517" s="363">
        <f t="shared" si="5"/>
        <v>1386.169439</v>
      </c>
    </row>
    <row r="6518" spans="2:14">
      <c r="B6518" s="402" t="s">
        <v>418</v>
      </c>
      <c r="C6518" s="353"/>
      <c r="D6518" s="353"/>
      <c r="E6518" s="353"/>
      <c r="F6518" s="353"/>
      <c r="G6518" s="353"/>
      <c r="H6518" s="353"/>
      <c r="I6518" s="403"/>
      <c r="J6518" s="303" t="s">
        <v>196</v>
      </c>
      <c r="K6518" s="392">
        <v>0.1</v>
      </c>
      <c r="L6518" s="1144">
        <v>14278</v>
      </c>
      <c r="M6518" s="1145"/>
      <c r="N6518" s="363">
        <f t="shared" si="5"/>
        <v>1427.8000000000002</v>
      </c>
    </row>
    <row r="6519" spans="2:14">
      <c r="B6519" s="402" t="s">
        <v>419</v>
      </c>
      <c r="C6519" s="353"/>
      <c r="D6519" s="353"/>
      <c r="E6519" s="353"/>
      <c r="F6519" s="353"/>
      <c r="G6519" s="353"/>
      <c r="H6519" s="353"/>
      <c r="I6519" s="403"/>
      <c r="J6519" s="303" t="s">
        <v>143</v>
      </c>
      <c r="K6519" s="392">
        <v>1.02</v>
      </c>
      <c r="L6519" s="1144">
        <v>27676</v>
      </c>
      <c r="M6519" s="1145"/>
      <c r="N6519" s="363">
        <f t="shared" si="5"/>
        <v>28229.52</v>
      </c>
    </row>
    <row r="6520" spans="2:14" ht="13.5" thickBot="1">
      <c r="B6520" s="402" t="s">
        <v>408</v>
      </c>
      <c r="C6520" s="353"/>
      <c r="D6520" s="353"/>
      <c r="E6520" s="353"/>
      <c r="F6520" s="353"/>
      <c r="G6520" s="353"/>
      <c r="H6520" s="353"/>
      <c r="I6520" s="403"/>
      <c r="J6520" s="303" t="s">
        <v>420</v>
      </c>
      <c r="K6520" s="392">
        <v>1.6667000000000001E-2</v>
      </c>
      <c r="L6520" s="1144">
        <v>97724</v>
      </c>
      <c r="M6520" s="1145"/>
      <c r="N6520" s="363">
        <f t="shared" si="5"/>
        <v>1628.7659080000001</v>
      </c>
    </row>
    <row r="6521" spans="2:14" ht="13.5" thickBot="1">
      <c r="B6521" s="1100" t="s">
        <v>269</v>
      </c>
      <c r="C6521" s="1101"/>
      <c r="D6521" s="1101"/>
      <c r="E6521" s="1101"/>
      <c r="F6521" s="1101"/>
      <c r="G6521" s="1101"/>
      <c r="H6521" s="1101"/>
      <c r="I6521" s="1101"/>
      <c r="J6521" s="1101"/>
      <c r="K6521" s="1101"/>
      <c r="L6521" s="1101"/>
      <c r="M6521" s="1102"/>
      <c r="N6521" s="323">
        <f>+N6515+N6516+N6517+N6518+N6519+N6520</f>
        <v>34503.939738000001</v>
      </c>
    </row>
    <row r="6522" spans="2:14">
      <c r="B6522" s="1103" t="s">
        <v>367</v>
      </c>
      <c r="C6522" s="1104"/>
      <c r="D6522" s="1104"/>
      <c r="E6522" s="1104"/>
      <c r="F6522" s="1104"/>
      <c r="G6522" s="1104"/>
      <c r="H6522" s="1104"/>
      <c r="I6522" s="1104"/>
      <c r="J6522" s="1104"/>
      <c r="K6522" s="1104"/>
      <c r="L6522" s="1104"/>
      <c r="M6522" s="1104"/>
      <c r="N6522" s="1105"/>
    </row>
    <row r="6523" spans="2:14">
      <c r="B6523" s="1106"/>
      <c r="C6523" s="1107"/>
      <c r="D6523" s="1107"/>
      <c r="E6523" s="1107"/>
      <c r="F6523" s="1107"/>
      <c r="G6523" s="1107"/>
      <c r="H6523" s="1107"/>
      <c r="I6523" s="1107"/>
      <c r="J6523" s="1107"/>
      <c r="K6523" s="1107"/>
      <c r="L6523" s="1107"/>
      <c r="M6523" s="1107"/>
      <c r="N6523" s="1108"/>
    </row>
    <row r="6524" spans="2:14" ht="13.5" thickBot="1">
      <c r="B6524" s="1109"/>
      <c r="C6524" s="1110"/>
      <c r="D6524" s="1110"/>
      <c r="E6524" s="1110"/>
      <c r="F6524" s="1110"/>
      <c r="G6524" s="1110"/>
      <c r="H6524" s="1110"/>
      <c r="I6524" s="1110"/>
      <c r="J6524" s="1110"/>
      <c r="K6524" s="1110"/>
      <c r="L6524" s="1110"/>
      <c r="M6524" s="1110"/>
      <c r="N6524" s="1111"/>
    </row>
    <row r="6525" spans="2:14">
      <c r="B6525" s="1130" t="s">
        <v>277</v>
      </c>
      <c r="C6525" s="1139"/>
      <c r="D6525" s="1139"/>
      <c r="E6525" s="1139"/>
      <c r="F6525" s="1139"/>
      <c r="G6525" s="1139"/>
      <c r="H6525" s="1139"/>
      <c r="I6525" s="288" t="s">
        <v>278</v>
      </c>
      <c r="J6525" s="306" t="s">
        <v>279</v>
      </c>
      <c r="K6525" s="307" t="s">
        <v>280</v>
      </c>
      <c r="L6525" s="1133" t="s">
        <v>281</v>
      </c>
      <c r="M6525" s="1136"/>
      <c r="N6525" s="289" t="s">
        <v>265</v>
      </c>
    </row>
    <row r="6526" spans="2:14" ht="13.5" thickBot="1">
      <c r="B6526" s="1112"/>
      <c r="C6526" s="1113"/>
      <c r="D6526" s="1113"/>
      <c r="E6526" s="1113"/>
      <c r="F6526" s="1113"/>
      <c r="G6526" s="1113"/>
      <c r="H6526" s="1113"/>
      <c r="I6526" s="393"/>
      <c r="J6526" s="309"/>
      <c r="K6526" s="308"/>
      <c r="L6526" s="1144"/>
      <c r="M6526" s="1145"/>
      <c r="N6526" s="363"/>
    </row>
    <row r="6527" spans="2:14" ht="13.5" thickBot="1">
      <c r="B6527" s="1100" t="s">
        <v>269</v>
      </c>
      <c r="C6527" s="1101"/>
      <c r="D6527" s="1101"/>
      <c r="E6527" s="1101"/>
      <c r="F6527" s="1101"/>
      <c r="G6527" s="1101"/>
      <c r="H6527" s="1101"/>
      <c r="I6527" s="1101"/>
      <c r="J6527" s="1101"/>
      <c r="K6527" s="1101"/>
      <c r="L6527" s="1101"/>
      <c r="M6527" s="1102"/>
      <c r="N6527" s="323">
        <f>+N6526</f>
        <v>0</v>
      </c>
    </row>
    <row r="6528" spans="2:14">
      <c r="B6528" s="1103" t="s">
        <v>282</v>
      </c>
      <c r="C6528" s="1104"/>
      <c r="D6528" s="1104"/>
      <c r="E6528" s="1104"/>
      <c r="F6528" s="1104"/>
      <c r="G6528" s="1104"/>
      <c r="H6528" s="1104"/>
      <c r="I6528" s="1104"/>
      <c r="J6528" s="1104"/>
      <c r="K6528" s="1104"/>
      <c r="L6528" s="1104"/>
      <c r="M6528" s="1104"/>
      <c r="N6528" s="1105"/>
    </row>
    <row r="6529" spans="2:17">
      <c r="B6529" s="1106"/>
      <c r="C6529" s="1107"/>
      <c r="D6529" s="1107"/>
      <c r="E6529" s="1107"/>
      <c r="F6529" s="1107"/>
      <c r="G6529" s="1107"/>
      <c r="H6529" s="1107"/>
      <c r="I6529" s="1107"/>
      <c r="J6529" s="1107"/>
      <c r="K6529" s="1107"/>
      <c r="L6529" s="1107"/>
      <c r="M6529" s="1107"/>
      <c r="N6529" s="1108"/>
    </row>
    <row r="6530" spans="2:17" ht="13.5" thickBot="1">
      <c r="B6530" s="1109"/>
      <c r="C6530" s="1110"/>
      <c r="D6530" s="1110"/>
      <c r="E6530" s="1110"/>
      <c r="F6530" s="1110"/>
      <c r="G6530" s="1110"/>
      <c r="H6530" s="1110"/>
      <c r="I6530" s="1110"/>
      <c r="J6530" s="1110"/>
      <c r="K6530" s="1110"/>
      <c r="L6530" s="1110"/>
      <c r="M6530" s="1110"/>
      <c r="N6530" s="1111"/>
    </row>
    <row r="6531" spans="2:17">
      <c r="B6531" s="1130" t="s">
        <v>283</v>
      </c>
      <c r="C6531" s="1139"/>
      <c r="D6531" s="1139"/>
      <c r="E6531" s="1139"/>
      <c r="F6531" s="1139"/>
      <c r="G6531" s="1139"/>
      <c r="H6531" s="1139"/>
      <c r="I6531" s="288" t="s">
        <v>284</v>
      </c>
      <c r="J6531" s="314" t="s">
        <v>285</v>
      </c>
      <c r="K6531" s="315" t="s">
        <v>286</v>
      </c>
      <c r="L6531" s="1140" t="s">
        <v>264</v>
      </c>
      <c r="M6531" s="1141"/>
      <c r="N6531" s="316" t="s">
        <v>265</v>
      </c>
    </row>
    <row r="6532" spans="2:17" ht="13.5" thickBot="1">
      <c r="B6532" s="317" t="s">
        <v>322</v>
      </c>
      <c r="C6532" s="318"/>
      <c r="D6532" s="318"/>
      <c r="E6532" s="318"/>
      <c r="F6532" s="318"/>
      <c r="G6532" s="318"/>
      <c r="H6532" s="318"/>
      <c r="I6532" s="319">
        <v>153482</v>
      </c>
      <c r="J6532" s="321">
        <v>0</v>
      </c>
      <c r="K6532" s="321">
        <f>+I6532+J6532</f>
        <v>153482</v>
      </c>
      <c r="L6532" s="1157">
        <v>45.000450000000001</v>
      </c>
      <c r="M6532" s="1158"/>
      <c r="N6532" s="322">
        <f>+K6532/L6532</f>
        <v>3410.6770043410675</v>
      </c>
    </row>
    <row r="6533" spans="2:17" ht="13.5" thickBot="1">
      <c r="B6533" s="1100" t="s">
        <v>269</v>
      </c>
      <c r="C6533" s="1101"/>
      <c r="D6533" s="1101"/>
      <c r="E6533" s="1101"/>
      <c r="F6533" s="1101"/>
      <c r="G6533" s="1101"/>
      <c r="H6533" s="1101"/>
      <c r="I6533" s="1101"/>
      <c r="J6533" s="1101"/>
      <c r="K6533" s="1101"/>
      <c r="L6533" s="1101"/>
      <c r="M6533" s="1102"/>
      <c r="N6533" s="322">
        <f>+N6532</f>
        <v>3410.6770043410675</v>
      </c>
    </row>
    <row r="6534" spans="2:17" ht="13.5" thickBot="1">
      <c r="B6534" s="324" t="s">
        <v>288</v>
      </c>
      <c r="C6534" s="325"/>
      <c r="D6534" s="325"/>
      <c r="E6534" s="325"/>
      <c r="F6534" s="325"/>
      <c r="G6534" s="325"/>
      <c r="H6534" s="325"/>
      <c r="I6534" s="326"/>
      <c r="J6534" s="327"/>
      <c r="K6534" s="328"/>
      <c r="L6534" s="329"/>
      <c r="M6534" s="329"/>
      <c r="N6534" s="330"/>
    </row>
    <row r="6535" spans="2:17">
      <c r="B6535" s="1130" t="s">
        <v>17</v>
      </c>
      <c r="C6535" s="1139"/>
      <c r="D6535" s="1139"/>
      <c r="E6535" s="1139"/>
      <c r="F6535" s="1139"/>
      <c r="G6535" s="1139"/>
      <c r="H6535" s="1139"/>
      <c r="I6535" s="1136"/>
      <c r="J6535" s="299" t="s">
        <v>259</v>
      </c>
      <c r="K6535" s="288" t="s">
        <v>133</v>
      </c>
      <c r="L6535" s="1133" t="s">
        <v>271</v>
      </c>
      <c r="M6535" s="1136"/>
      <c r="N6535" s="316" t="s">
        <v>265</v>
      </c>
    </row>
    <row r="6536" spans="2:17" ht="13.5" thickBot="1">
      <c r="B6536" s="331" t="s">
        <v>289</v>
      </c>
      <c r="C6536" s="332"/>
      <c r="D6536" s="332"/>
      <c r="E6536" s="332"/>
      <c r="F6536" s="332"/>
      <c r="G6536" s="332"/>
      <c r="H6536" s="332"/>
      <c r="I6536" s="333"/>
      <c r="J6536" s="334" t="s">
        <v>290</v>
      </c>
      <c r="K6536" s="335">
        <v>5.2499999999999998E-2</v>
      </c>
      <c r="L6536" s="1144">
        <f>+N6533</f>
        <v>3410.6770043410675</v>
      </c>
      <c r="M6536" s="1145"/>
      <c r="N6536" s="322">
        <f>+K6536*L6536</f>
        <v>179.06054272790604</v>
      </c>
    </row>
    <row r="6537" spans="2:17" ht="13.5" thickBot="1">
      <c r="B6537" s="1100" t="s">
        <v>269</v>
      </c>
      <c r="C6537" s="1101"/>
      <c r="D6537" s="1101"/>
      <c r="E6537" s="1101"/>
      <c r="F6537" s="1101"/>
      <c r="G6537" s="1101"/>
      <c r="H6537" s="1101"/>
      <c r="I6537" s="1101"/>
      <c r="J6537" s="1101"/>
      <c r="K6537" s="1101"/>
      <c r="L6537" s="1101"/>
      <c r="M6537" s="1102"/>
      <c r="N6537" s="322">
        <f>+N6536</f>
        <v>179.06054272790604</v>
      </c>
      <c r="P6537" s="408">
        <v>1142580</v>
      </c>
    </row>
    <row r="6538" spans="2:17" ht="13.5" thickBot="1">
      <c r="B6538" s="1100"/>
      <c r="C6538" s="1101"/>
      <c r="D6538" s="1101"/>
      <c r="E6538" s="1101"/>
      <c r="F6538" s="1101"/>
      <c r="G6538" s="1101"/>
      <c r="H6538" s="1101"/>
      <c r="I6538" s="1101"/>
      <c r="J6538" s="1101"/>
      <c r="K6538" s="1101"/>
      <c r="L6538" s="1101"/>
      <c r="M6538" s="1102"/>
      <c r="N6538" s="322"/>
    </row>
    <row r="6539" spans="2:17" ht="13.5" thickBot="1">
      <c r="B6539" s="1150" t="s">
        <v>291</v>
      </c>
      <c r="C6539" s="1151"/>
      <c r="D6539" s="1151"/>
      <c r="E6539" s="1151"/>
      <c r="F6539" s="1151"/>
      <c r="G6539" s="1151"/>
      <c r="H6539" s="1151"/>
      <c r="I6539" s="1151"/>
      <c r="J6539" s="1151"/>
      <c r="K6539" s="1151"/>
      <c r="L6539" s="1151"/>
      <c r="M6539" s="1152"/>
      <c r="N6539" s="336">
        <f>+N6510+N6521+N6527+N6533+N6537</f>
        <v>38093.677285068974</v>
      </c>
      <c r="P6539" s="409">
        <f>+N6539*N6504</f>
        <v>1142810.3185520691</v>
      </c>
      <c r="Q6539" s="413">
        <f>+P6539-P6537</f>
        <v>230.31855206913315</v>
      </c>
    </row>
    <row r="6540" spans="2:17">
      <c r="B6540" s="1103" t="s">
        <v>292</v>
      </c>
      <c r="C6540" s="1104"/>
      <c r="D6540" s="1104"/>
      <c r="E6540" s="1104"/>
      <c r="F6540" s="1104"/>
      <c r="G6540" s="1104"/>
      <c r="H6540" s="1104"/>
      <c r="I6540" s="1104"/>
      <c r="J6540" s="1104"/>
      <c r="K6540" s="1104"/>
      <c r="L6540" s="1104"/>
      <c r="M6540" s="1104"/>
      <c r="N6540" s="1105"/>
    </row>
    <row r="6541" spans="2:17">
      <c r="B6541" s="1106"/>
      <c r="C6541" s="1107"/>
      <c r="D6541" s="1107"/>
      <c r="E6541" s="1107"/>
      <c r="F6541" s="1107"/>
      <c r="G6541" s="1107"/>
      <c r="H6541" s="1107"/>
      <c r="I6541" s="1107"/>
      <c r="J6541" s="1107"/>
      <c r="K6541" s="1107"/>
      <c r="L6541" s="1107"/>
      <c r="M6541" s="1107"/>
      <c r="N6541" s="1108"/>
    </row>
    <row r="6542" spans="2:17" ht="13.5" thickBot="1">
      <c r="B6542" s="1109"/>
      <c r="C6542" s="1110"/>
      <c r="D6542" s="1110"/>
      <c r="E6542" s="1110"/>
      <c r="F6542" s="1110"/>
      <c r="G6542" s="1110"/>
      <c r="H6542" s="1110"/>
      <c r="I6542" s="1110"/>
      <c r="J6542" s="1110"/>
      <c r="K6542" s="1110"/>
      <c r="L6542" s="1110"/>
      <c r="M6542" s="1110"/>
      <c r="N6542" s="1111"/>
    </row>
    <row r="6543" spans="2:17">
      <c r="B6543" s="1130" t="s">
        <v>17</v>
      </c>
      <c r="C6543" s="1139"/>
      <c r="D6543" s="1139"/>
      <c r="E6543" s="1139"/>
      <c r="F6543" s="1139"/>
      <c r="G6543" s="1139"/>
      <c r="H6543" s="1139"/>
      <c r="I6543" s="306"/>
      <c r="J6543" s="337"/>
      <c r="K6543" s="315" t="s">
        <v>79</v>
      </c>
      <c r="L6543" s="1140" t="s">
        <v>11</v>
      </c>
      <c r="M6543" s="1141"/>
      <c r="N6543" s="316"/>
    </row>
    <row r="6544" spans="2:17">
      <c r="B6544" s="1112" t="s">
        <v>232</v>
      </c>
      <c r="C6544" s="1113"/>
      <c r="D6544" s="1113"/>
      <c r="E6544" s="1113"/>
      <c r="F6544" s="1113"/>
      <c r="G6544" s="1113"/>
      <c r="H6544" s="1113"/>
      <c r="I6544" s="338"/>
      <c r="J6544" s="339"/>
      <c r="K6544" s="340">
        <f>'PRESUPUESTO OFICIAL'!$K$100</f>
        <v>0</v>
      </c>
      <c r="L6544" s="1146">
        <f>K6544*N6539</f>
        <v>0</v>
      </c>
      <c r="M6544" s="1147"/>
      <c r="N6544" s="341"/>
    </row>
    <row r="6545" spans="2:14">
      <c r="B6545" s="292" t="s">
        <v>293</v>
      </c>
      <c r="C6545" s="293"/>
      <c r="D6545" s="293"/>
      <c r="E6545" s="293"/>
      <c r="F6545" s="293"/>
      <c r="G6545" s="293"/>
      <c r="H6545" s="293"/>
      <c r="I6545" s="338"/>
      <c r="J6545" s="339"/>
      <c r="K6545" s="340">
        <f>'PRESUPUESTO OFICIAL'!$K$101</f>
        <v>0</v>
      </c>
      <c r="L6545" s="1146">
        <f>K6545*N6539</f>
        <v>0</v>
      </c>
      <c r="M6545" s="1147"/>
      <c r="N6545" s="341"/>
    </row>
    <row r="6546" spans="2:14" ht="13.5" thickBot="1">
      <c r="B6546" s="277" t="s">
        <v>294</v>
      </c>
      <c r="C6546" s="278"/>
      <c r="D6546" s="278"/>
      <c r="E6546" s="278"/>
      <c r="F6546" s="278"/>
      <c r="G6546" s="278"/>
      <c r="H6546" s="278"/>
      <c r="I6546" s="342"/>
      <c r="J6546" s="343"/>
      <c r="K6546" s="340">
        <f>'PRESUPUESTO OFICIAL'!$K$102</f>
        <v>0</v>
      </c>
      <c r="L6546" s="1148">
        <f>K6546*N6539</f>
        <v>0</v>
      </c>
      <c r="M6546" s="1149"/>
      <c r="N6546" s="341"/>
    </row>
    <row r="6547" spans="2:14" ht="13.5" thickBot="1">
      <c r="B6547" s="1100" t="s">
        <v>269</v>
      </c>
      <c r="C6547" s="1101"/>
      <c r="D6547" s="1101"/>
      <c r="E6547" s="1101"/>
      <c r="F6547" s="1101"/>
      <c r="G6547" s="1101"/>
      <c r="H6547" s="1101"/>
      <c r="I6547" s="1101"/>
      <c r="J6547" s="1101"/>
      <c r="K6547" s="1101"/>
      <c r="L6547" s="1101"/>
      <c r="M6547" s="1102"/>
      <c r="N6547" s="344">
        <f>SUM(L6544:M6546)</f>
        <v>0</v>
      </c>
    </row>
    <row r="6548" spans="2:14" ht="13.5" thickBot="1">
      <c r="B6548" s="283"/>
      <c r="N6548" s="284"/>
    </row>
    <row r="6549" spans="2:14" ht="13.5" thickBot="1">
      <c r="B6549" s="1150" t="s">
        <v>295</v>
      </c>
      <c r="C6549" s="1151"/>
      <c r="D6549" s="1151"/>
      <c r="E6549" s="1151"/>
      <c r="F6549" s="1151"/>
      <c r="G6549" s="1151"/>
      <c r="H6549" s="1151"/>
      <c r="I6549" s="1151"/>
      <c r="J6549" s="1151"/>
      <c r="K6549" s="1151"/>
      <c r="L6549" s="1151"/>
      <c r="M6549" s="1152"/>
      <c r="N6549" s="345">
        <f>ROUND(N6539+N6547,0)</f>
        <v>38094</v>
      </c>
    </row>
    <row r="6550" spans="2:14">
      <c r="B6550" s="280"/>
      <c r="C6550" s="281"/>
      <c r="D6550" s="281"/>
      <c r="E6550" s="281"/>
      <c r="F6550" s="281"/>
      <c r="G6550" s="281"/>
      <c r="H6550" s="281"/>
      <c r="I6550" s="281"/>
      <c r="J6550" s="281"/>
      <c r="K6550" s="281"/>
      <c r="L6550" s="281"/>
      <c r="M6550" s="281"/>
      <c r="N6550" s="282"/>
    </row>
    <row r="6551" spans="2:14">
      <c r="B6551" s="283"/>
      <c r="N6551" s="284"/>
    </row>
    <row r="6552" spans="2:14">
      <c r="B6552" s="283"/>
      <c r="N6552" s="284"/>
    </row>
    <row r="6553" spans="2:14">
      <c r="B6553" s="283"/>
      <c r="G6553" s="346" t="s">
        <v>296</v>
      </c>
      <c r="H6553" s="346"/>
      <c r="I6553" s="346"/>
      <c r="J6553" s="346"/>
      <c r="N6553" s="284"/>
    </row>
    <row r="6554" spans="2:14">
      <c r="B6554" s="347"/>
      <c r="C6554" s="348"/>
      <c r="D6554" s="348"/>
      <c r="E6554" s="348"/>
      <c r="F6554" s="348"/>
      <c r="G6554" s="346" t="s">
        <v>297</v>
      </c>
      <c r="H6554" s="348"/>
      <c r="I6554" s="348"/>
      <c r="J6554" s="348"/>
      <c r="K6554" s="348"/>
      <c r="L6554" s="348"/>
      <c r="M6554" s="348"/>
      <c r="N6554" s="349"/>
    </row>
    <row r="6555" spans="2:14">
      <c r="B6555" s="347"/>
      <c r="C6555" s="348"/>
      <c r="D6555" s="348"/>
      <c r="E6555" s="348"/>
      <c r="F6555" s="348"/>
      <c r="G6555" s="346" t="s">
        <v>298</v>
      </c>
      <c r="J6555" s="348"/>
      <c r="K6555" s="348"/>
      <c r="L6555" s="348"/>
      <c r="M6555" s="348"/>
      <c r="N6555" s="349"/>
    </row>
    <row r="6556" spans="2:14">
      <c r="B6556" s="268"/>
      <c r="C6556" s="350"/>
      <c r="D6556" s="350"/>
      <c r="E6556" s="350"/>
      <c r="F6556" s="350"/>
      <c r="G6556" s="346" t="s">
        <v>299</v>
      </c>
      <c r="H6556" s="350"/>
      <c r="I6556" s="350"/>
      <c r="J6556" s="350"/>
      <c r="K6556" s="350"/>
      <c r="L6556" s="350"/>
      <c r="M6556" s="350"/>
      <c r="N6556" s="351"/>
    </row>
    <row r="6557" spans="2:14">
      <c r="B6557" s="283"/>
      <c r="G6557" s="258" t="s">
        <v>300</v>
      </c>
      <c r="N6557" s="284"/>
    </row>
    <row r="6558" spans="2:14">
      <c r="B6558" s="352" t="s">
        <v>301</v>
      </c>
      <c r="C6558" s="353"/>
      <c r="D6558" s="353"/>
      <c r="E6558" s="353"/>
      <c r="F6558" s="353"/>
      <c r="G6558" s="353"/>
      <c r="H6558" s="353"/>
      <c r="I6558" s="353"/>
      <c r="J6558" s="353"/>
      <c r="K6558" s="353"/>
      <c r="L6558" s="353"/>
      <c r="M6558" s="353"/>
      <c r="N6558" s="354"/>
    </row>
    <row r="6559" spans="2:14">
      <c r="B6559" s="1153"/>
      <c r="C6559" s="1154"/>
      <c r="D6559" s="1154"/>
      <c r="E6559" s="1154"/>
      <c r="F6559" s="1154"/>
      <c r="G6559" s="1154"/>
      <c r="H6559" s="1154"/>
      <c r="I6559" s="1154"/>
      <c r="J6559" s="1154"/>
      <c r="K6559" s="1154"/>
      <c r="L6559" s="1154"/>
      <c r="M6559" s="1154"/>
      <c r="N6559" s="1155"/>
    </row>
    <row r="6560" spans="2:14">
      <c r="B6560" s="1153"/>
      <c r="C6560" s="1154"/>
      <c r="D6560" s="1154"/>
      <c r="E6560" s="1154"/>
      <c r="F6560" s="1154"/>
      <c r="G6560" s="1154"/>
      <c r="H6560" s="1154"/>
      <c r="I6560" s="1154"/>
      <c r="J6560" s="1154"/>
      <c r="K6560" s="1154"/>
      <c r="L6560" s="1154"/>
      <c r="M6560" s="1154"/>
      <c r="N6560" s="1155"/>
    </row>
    <row r="6561" spans="2:14">
      <c r="B6561" s="268"/>
      <c r="C6561" s="350"/>
      <c r="D6561" s="350"/>
      <c r="E6561" s="350"/>
      <c r="F6561" s="350"/>
      <c r="G6561" s="350"/>
      <c r="H6561" s="350"/>
      <c r="I6561" s="350"/>
      <c r="J6561" s="350"/>
      <c r="K6561" s="350"/>
      <c r="L6561" s="350"/>
      <c r="M6561" s="350"/>
      <c r="N6561" s="351"/>
    </row>
    <row r="6562" spans="2:14">
      <c r="B6562" s="355" t="s">
        <v>302</v>
      </c>
      <c r="C6562" s="350"/>
      <c r="D6562" s="350"/>
      <c r="E6562" s="350"/>
      <c r="F6562" s="350"/>
      <c r="G6562" s="350"/>
      <c r="H6562" s="350"/>
      <c r="I6562" s="350"/>
      <c r="J6562" s="350"/>
      <c r="K6562" s="350"/>
      <c r="L6562" s="350"/>
      <c r="M6562" s="350"/>
      <c r="N6562" s="351"/>
    </row>
    <row r="6563" spans="2:14">
      <c r="B6563" s="1159" t="s">
        <v>303</v>
      </c>
      <c r="C6563" s="1160"/>
      <c r="D6563" s="1160"/>
      <c r="E6563" s="1160"/>
      <c r="F6563" s="1160"/>
      <c r="G6563" s="1160"/>
      <c r="H6563" s="1160"/>
      <c r="I6563" s="1160"/>
      <c r="J6563" s="1160"/>
      <c r="K6563" s="1160"/>
      <c r="L6563" s="1160"/>
      <c r="M6563" s="1160"/>
      <c r="N6563" s="1161"/>
    </row>
    <row r="6564" spans="2:14">
      <c r="B6564" s="1159"/>
      <c r="C6564" s="1160"/>
      <c r="D6564" s="1160"/>
      <c r="E6564" s="1160"/>
      <c r="F6564" s="1160"/>
      <c r="G6564" s="1160"/>
      <c r="H6564" s="1160"/>
      <c r="I6564" s="1160"/>
      <c r="J6564" s="1160"/>
      <c r="K6564" s="1160"/>
      <c r="L6564" s="1160"/>
      <c r="M6564" s="1160"/>
      <c r="N6564" s="1161"/>
    </row>
    <row r="6565" spans="2:14">
      <c r="B6565" s="1159" t="s">
        <v>304</v>
      </c>
      <c r="C6565" s="1160"/>
      <c r="D6565" s="1160"/>
      <c r="E6565" s="1160"/>
      <c r="F6565" s="1160"/>
      <c r="G6565" s="1160"/>
      <c r="H6565" s="1160"/>
      <c r="I6565" s="1160"/>
      <c r="J6565" s="1160"/>
      <c r="K6565" s="1160"/>
      <c r="L6565" s="1160"/>
      <c r="M6565" s="1160"/>
      <c r="N6565" s="1161"/>
    </row>
    <row r="6566" spans="2:14">
      <c r="B6566" s="1159"/>
      <c r="C6566" s="1160"/>
      <c r="D6566" s="1160"/>
      <c r="E6566" s="1160"/>
      <c r="F6566" s="1160"/>
      <c r="G6566" s="1160"/>
      <c r="H6566" s="1160"/>
      <c r="I6566" s="1160"/>
      <c r="J6566" s="1160"/>
      <c r="K6566" s="1160"/>
      <c r="L6566" s="1160"/>
      <c r="M6566" s="1160"/>
      <c r="N6566" s="1161"/>
    </row>
    <row r="6567" spans="2:14">
      <c r="B6567" s="268"/>
      <c r="C6567" s="350"/>
      <c r="D6567" s="350"/>
      <c r="E6567" s="350"/>
      <c r="F6567" s="350"/>
      <c r="G6567" s="350"/>
      <c r="H6567" s="350"/>
      <c r="I6567" s="350"/>
      <c r="J6567" s="350"/>
      <c r="K6567" s="350"/>
      <c r="L6567" s="350"/>
      <c r="M6567" s="350"/>
      <c r="N6567" s="351"/>
    </row>
    <row r="6568" spans="2:14">
      <c r="B6568" s="283"/>
      <c r="G6568" s="346" t="s">
        <v>296</v>
      </c>
      <c r="N6568" s="284"/>
    </row>
    <row r="6569" spans="2:14">
      <c r="B6569" s="283"/>
      <c r="G6569" s="258" t="s">
        <v>305</v>
      </c>
      <c r="H6569" s="293"/>
      <c r="I6569" s="293"/>
      <c r="J6569" s="293"/>
      <c r="N6569" s="284"/>
    </row>
    <row r="6570" spans="2:14">
      <c r="B6570" s="283"/>
      <c r="G6570" s="258" t="s">
        <v>306</v>
      </c>
      <c r="H6570" s="325"/>
      <c r="I6570" s="325"/>
      <c r="J6570" s="325"/>
      <c r="N6570" s="284"/>
    </row>
    <row r="6571" spans="2:14">
      <c r="B6571" s="356"/>
      <c r="C6571" s="350"/>
      <c r="D6571" s="350"/>
      <c r="E6571" s="350"/>
      <c r="F6571" s="350"/>
      <c r="G6571" s="258" t="s">
        <v>299</v>
      </c>
      <c r="K6571" s="350"/>
      <c r="L6571" s="350"/>
      <c r="M6571" s="350"/>
      <c r="N6571" s="351"/>
    </row>
    <row r="6572" spans="2:14">
      <c r="B6572" s="357"/>
      <c r="C6572" s="358"/>
      <c r="D6572" s="358"/>
      <c r="J6572" s="1162"/>
      <c r="K6572" s="1162"/>
      <c r="L6572" s="1162"/>
      <c r="M6572" s="1162"/>
      <c r="N6572" s="1163"/>
    </row>
    <row r="6573" spans="2:14" ht="13.5" thickBot="1">
      <c r="B6573" s="1166"/>
      <c r="C6573" s="1167"/>
      <c r="D6573" s="1167"/>
      <c r="E6573" s="311"/>
      <c r="F6573" s="311"/>
      <c r="G6573" s="311"/>
      <c r="H6573" s="311"/>
      <c r="I6573" s="311"/>
      <c r="J6573" s="1164"/>
      <c r="K6573" s="1164"/>
      <c r="L6573" s="1164"/>
      <c r="M6573" s="1164"/>
      <c r="N6573" s="1165"/>
    </row>
    <row r="6574" spans="2:14" ht="13.5" thickBot="1"/>
    <row r="6575" spans="2:14">
      <c r="B6575" s="1070"/>
      <c r="C6575" s="1072"/>
      <c r="D6575" s="1073"/>
      <c r="E6575" s="1073"/>
      <c r="F6575" s="1073"/>
      <c r="G6575" s="1073"/>
      <c r="H6575" s="1073"/>
      <c r="I6575" s="1073"/>
      <c r="J6575" s="1074"/>
      <c r="K6575" s="1075"/>
      <c r="L6575" s="1076"/>
      <c r="M6575" s="1076"/>
      <c r="N6575" s="1077"/>
    </row>
    <row r="6576" spans="2:14">
      <c r="B6576" s="1071"/>
      <c r="C6576" s="1062" t="s">
        <v>244</v>
      </c>
      <c r="D6576" s="1063"/>
      <c r="E6576" s="1063"/>
      <c r="F6576" s="1063"/>
      <c r="G6576" s="1063"/>
      <c r="H6576" s="1063"/>
      <c r="I6576" s="1063"/>
      <c r="J6576" s="1064"/>
      <c r="K6576" s="1078"/>
      <c r="L6576" s="1079"/>
      <c r="M6576" s="1079"/>
      <c r="N6576" s="1080"/>
    </row>
    <row r="6577" spans="2:14">
      <c r="B6577" s="1071"/>
      <c r="C6577" s="1081"/>
      <c r="D6577" s="1082"/>
      <c r="E6577" s="1082"/>
      <c r="F6577" s="1082"/>
      <c r="G6577" s="1082"/>
      <c r="H6577" s="1082"/>
      <c r="I6577" s="1082"/>
      <c r="J6577" s="1083"/>
      <c r="K6577" s="1058" t="s">
        <v>245</v>
      </c>
      <c r="L6577" s="1085"/>
      <c r="M6577" s="1086"/>
      <c r="N6577" s="1087"/>
    </row>
    <row r="6578" spans="2:14">
      <c r="B6578" s="1071"/>
      <c r="C6578" s="1062" t="s">
        <v>246</v>
      </c>
      <c r="D6578" s="1063"/>
      <c r="E6578" s="1063"/>
      <c r="F6578" s="1063"/>
      <c r="G6578" s="1063"/>
      <c r="H6578" s="1063"/>
      <c r="I6578" s="1063"/>
      <c r="J6578" s="1064"/>
      <c r="K6578" s="1084"/>
      <c r="L6578" s="1088"/>
      <c r="M6578" s="1089"/>
      <c r="N6578" s="1090"/>
    </row>
    <row r="6579" spans="2:14">
      <c r="B6579" s="1071"/>
      <c r="C6579" s="1091"/>
      <c r="D6579" s="1092"/>
      <c r="E6579" s="1092"/>
      <c r="F6579" s="1092"/>
      <c r="G6579" s="1092"/>
      <c r="H6579" s="1092"/>
      <c r="I6579" s="1092"/>
      <c r="J6579" s="1093"/>
      <c r="K6579" s="1058" t="s">
        <v>247</v>
      </c>
      <c r="L6579" s="1058">
        <v>75</v>
      </c>
      <c r="M6579" s="1058" t="s">
        <v>248</v>
      </c>
      <c r="N6579" s="1060">
        <v>80</v>
      </c>
    </row>
    <row r="6580" spans="2:14">
      <c r="B6580" s="1071"/>
      <c r="C6580" s="1091"/>
      <c r="D6580" s="1092"/>
      <c r="E6580" s="1092"/>
      <c r="F6580" s="1092"/>
      <c r="G6580" s="1092"/>
      <c r="H6580" s="1092"/>
      <c r="I6580" s="1092"/>
      <c r="J6580" s="1093"/>
      <c r="K6580" s="1059"/>
      <c r="L6580" s="1059"/>
      <c r="M6580" s="1059"/>
      <c r="N6580" s="1061"/>
    </row>
    <row r="6581" spans="2:14">
      <c r="B6581" s="1071"/>
      <c r="C6581" s="1062" t="s">
        <v>249</v>
      </c>
      <c r="D6581" s="1063"/>
      <c r="E6581" s="1063"/>
      <c r="F6581" s="1063"/>
      <c r="G6581" s="1063"/>
      <c r="H6581" s="1063"/>
      <c r="I6581" s="1063"/>
      <c r="J6581" s="1064"/>
      <c r="K6581" s="1059"/>
      <c r="L6581" s="1059"/>
      <c r="M6581" s="1059"/>
      <c r="N6581" s="1061"/>
    </row>
    <row r="6582" spans="2:14" ht="13.5" thickBot="1">
      <c r="B6582" s="259"/>
      <c r="C6582" s="260"/>
      <c r="D6582" s="260"/>
      <c r="E6582" s="260"/>
      <c r="F6582" s="260"/>
      <c r="G6582" s="260"/>
      <c r="H6582" s="260"/>
      <c r="I6582" s="260"/>
      <c r="J6582" s="260"/>
      <c r="K6582" s="260"/>
      <c r="L6582" s="261"/>
      <c r="M6582" s="261"/>
      <c r="N6582" s="262"/>
    </row>
    <row r="6583" spans="2:14">
      <c r="B6583" s="263"/>
      <c r="C6583" s="264"/>
      <c r="D6583" s="264"/>
      <c r="E6583" s="264"/>
      <c r="F6583" s="264"/>
      <c r="G6583" s="264"/>
      <c r="H6583" s="264"/>
      <c r="I6583" s="264"/>
      <c r="J6583" s="264"/>
      <c r="K6583" s="265" t="s">
        <v>250</v>
      </c>
      <c r="L6583" s="266" t="s">
        <v>251</v>
      </c>
      <c r="M6583" s="266" t="s">
        <v>252</v>
      </c>
      <c r="N6583" s="267" t="s">
        <v>253</v>
      </c>
    </row>
    <row r="6584" spans="2:14">
      <c r="B6584" s="268"/>
      <c r="C6584" s="269"/>
      <c r="D6584" s="269"/>
      <c r="E6584" s="269"/>
      <c r="F6584" s="269"/>
      <c r="G6584" s="269"/>
      <c r="H6584" s="269"/>
      <c r="I6584" s="269"/>
      <c r="J6584" s="269"/>
      <c r="K6584" s="270"/>
      <c r="L6584" s="271"/>
      <c r="M6584" s="271"/>
      <c r="N6584" s="272"/>
    </row>
    <row r="6585" spans="2:14">
      <c r="B6585" s="1065" t="s">
        <v>254</v>
      </c>
      <c r="C6585" s="1066"/>
      <c r="D6585" s="1066"/>
      <c r="E6585" s="1066"/>
      <c r="F6585" s="269"/>
      <c r="G6585" s="269"/>
      <c r="H6585" s="269" t="s">
        <v>255</v>
      </c>
      <c r="J6585" s="269"/>
      <c r="K6585" s="270"/>
      <c r="N6585" s="273"/>
    </row>
    <row r="6586" spans="2:14">
      <c r="B6586" s="274"/>
      <c r="C6586" s="275"/>
      <c r="D6586" s="275"/>
      <c r="E6586" s="275"/>
      <c r="F6586" s="275"/>
      <c r="G6586" s="275"/>
      <c r="H6586" s="275"/>
      <c r="I6586" s="275"/>
      <c r="J6586" s="275"/>
      <c r="K6586" s="275"/>
      <c r="L6586" s="275"/>
      <c r="M6586" s="275"/>
      <c r="N6586" s="276"/>
    </row>
    <row r="6587" spans="2:14" ht="13.5" thickBot="1">
      <c r="B6587" s="277"/>
      <c r="C6587" s="278"/>
      <c r="D6587" s="278"/>
      <c r="E6587" s="278"/>
      <c r="F6587" s="278"/>
      <c r="G6587" s="278"/>
      <c r="H6587" s="278"/>
      <c r="I6587" s="278"/>
      <c r="J6587" s="278"/>
      <c r="K6587" s="278"/>
      <c r="L6587" s="278"/>
      <c r="M6587" s="278"/>
      <c r="N6587" s="279"/>
    </row>
    <row r="6588" spans="2:14" ht="13.5" thickBot="1">
      <c r="B6588" s="280"/>
      <c r="C6588" s="281"/>
      <c r="D6588" s="281"/>
      <c r="E6588" s="281"/>
      <c r="F6588" s="281"/>
      <c r="G6588" s="281"/>
      <c r="J6588" s="281"/>
      <c r="K6588" s="281"/>
      <c r="L6588" s="281"/>
      <c r="M6588" s="281"/>
      <c r="N6588" s="282"/>
    </row>
    <row r="6589" spans="2:14">
      <c r="B6589" s="1067" t="s">
        <v>256</v>
      </c>
      <c r="C6589" s="1068"/>
      <c r="D6589" s="1068"/>
      <c r="E6589" s="1068"/>
      <c r="F6589" s="1068"/>
      <c r="G6589" s="1068"/>
      <c r="H6589" s="1068"/>
      <c r="I6589" s="1068"/>
      <c r="J6589" s="1068"/>
      <c r="K6589" s="1068"/>
      <c r="L6589" s="1068"/>
      <c r="M6589" s="1068"/>
      <c r="N6589" s="1069"/>
    </row>
    <row r="6590" spans="2:14" ht="13.5" thickBot="1">
      <c r="B6590" s="283"/>
      <c r="N6590" s="284"/>
    </row>
    <row r="6591" spans="2:14">
      <c r="B6591" s="285" t="s">
        <v>257</v>
      </c>
      <c r="C6591" s="1120" t="s">
        <v>258</v>
      </c>
      <c r="D6591" s="1121"/>
      <c r="E6591" s="1121"/>
      <c r="F6591" s="1121"/>
      <c r="G6591" s="1121"/>
      <c r="H6591" s="1121"/>
      <c r="I6591" s="1121"/>
      <c r="J6591" s="1121"/>
      <c r="K6591" s="1122"/>
      <c r="L6591" s="1123" t="s">
        <v>259</v>
      </c>
      <c r="M6591" s="1124"/>
      <c r="N6591" s="285" t="s">
        <v>133</v>
      </c>
    </row>
    <row r="6592" spans="2:14" ht="33" customHeight="1" thickBot="1">
      <c r="B6592" s="286">
        <v>75</v>
      </c>
      <c r="C6592" s="1125" t="s">
        <v>421</v>
      </c>
      <c r="D6592" s="1126"/>
      <c r="E6592" s="1126"/>
      <c r="F6592" s="1126"/>
      <c r="G6592" s="1126"/>
      <c r="H6592" s="1126"/>
      <c r="I6592" s="1126"/>
      <c r="J6592" s="1126"/>
      <c r="K6592" s="1127"/>
      <c r="L6592" s="1128" t="s">
        <v>143</v>
      </c>
      <c r="M6592" s="1129"/>
      <c r="N6592" s="366">
        <v>200</v>
      </c>
    </row>
    <row r="6593" spans="2:14">
      <c r="B6593" s="1103" t="s">
        <v>260</v>
      </c>
      <c r="C6593" s="1104"/>
      <c r="D6593" s="1104"/>
      <c r="E6593" s="1104"/>
      <c r="F6593" s="1104"/>
      <c r="G6593" s="1104"/>
      <c r="H6593" s="1104"/>
      <c r="I6593" s="1104"/>
      <c r="J6593" s="1104"/>
      <c r="K6593" s="1104"/>
      <c r="L6593" s="1104"/>
      <c r="M6593" s="1104"/>
      <c r="N6593" s="1105"/>
    </row>
    <row r="6594" spans="2:14">
      <c r="B6594" s="1106"/>
      <c r="C6594" s="1107"/>
      <c r="D6594" s="1107"/>
      <c r="E6594" s="1107"/>
      <c r="F6594" s="1107"/>
      <c r="G6594" s="1107"/>
      <c r="H6594" s="1107"/>
      <c r="I6594" s="1107"/>
      <c r="J6594" s="1107"/>
      <c r="K6594" s="1107"/>
      <c r="L6594" s="1107"/>
      <c r="M6594" s="1107"/>
      <c r="N6594" s="1108"/>
    </row>
    <row r="6595" spans="2:14" ht="13.5" thickBot="1">
      <c r="B6595" s="1109"/>
      <c r="C6595" s="1110"/>
      <c r="D6595" s="1110"/>
      <c r="E6595" s="1110"/>
      <c r="F6595" s="1110"/>
      <c r="G6595" s="1110"/>
      <c r="H6595" s="1110"/>
      <c r="I6595" s="1110"/>
      <c r="J6595" s="1110"/>
      <c r="K6595" s="1110"/>
      <c r="L6595" s="1110"/>
      <c r="M6595" s="1110"/>
      <c r="N6595" s="1111"/>
    </row>
    <row r="6596" spans="2:14">
      <c r="B6596" s="1130" t="s">
        <v>258</v>
      </c>
      <c r="C6596" s="1131"/>
      <c r="D6596" s="1131"/>
      <c r="E6596" s="1131"/>
      <c r="F6596" s="1132"/>
      <c r="G6596" s="1133" t="s">
        <v>261</v>
      </c>
      <c r="H6596" s="1131"/>
      <c r="I6596" s="1134" t="s">
        <v>262</v>
      </c>
      <c r="J6596" s="1135"/>
      <c r="K6596" s="288" t="s">
        <v>263</v>
      </c>
      <c r="L6596" s="1133" t="s">
        <v>264</v>
      </c>
      <c r="M6596" s="1136"/>
      <c r="N6596" s="289" t="s">
        <v>265</v>
      </c>
    </row>
    <row r="6597" spans="2:14" ht="13.5" thickBot="1">
      <c r="B6597" s="1179"/>
      <c r="C6597" s="1180"/>
      <c r="D6597" s="1180"/>
      <c r="E6597" s="1180"/>
      <c r="F6597" s="1181"/>
      <c r="G6597" s="295"/>
      <c r="H6597" s="294"/>
      <c r="I6597" s="1182"/>
      <c r="J6597" s="1183"/>
      <c r="K6597" s="290"/>
      <c r="L6597" s="1118"/>
      <c r="M6597" s="1119"/>
      <c r="N6597" s="290"/>
    </row>
    <row r="6598" spans="2:14" ht="13.5" thickBot="1">
      <c r="B6598" s="1100" t="s">
        <v>269</v>
      </c>
      <c r="C6598" s="1101"/>
      <c r="D6598" s="1101"/>
      <c r="E6598" s="1101"/>
      <c r="F6598" s="1101"/>
      <c r="G6598" s="1101"/>
      <c r="H6598" s="1101"/>
      <c r="I6598" s="1101"/>
      <c r="J6598" s="1101"/>
      <c r="K6598" s="1101"/>
      <c r="L6598" s="1101"/>
      <c r="M6598" s="1102"/>
      <c r="N6598" s="323">
        <f>+N6597</f>
        <v>0</v>
      </c>
    </row>
    <row r="6599" spans="2:14">
      <c r="B6599" s="1103" t="s">
        <v>270</v>
      </c>
      <c r="C6599" s="1104"/>
      <c r="D6599" s="1104"/>
      <c r="E6599" s="1104"/>
      <c r="F6599" s="1104"/>
      <c r="G6599" s="1104"/>
      <c r="H6599" s="1104"/>
      <c r="I6599" s="1104"/>
      <c r="J6599" s="1104"/>
      <c r="K6599" s="1104"/>
      <c r="L6599" s="1104"/>
      <c r="M6599" s="1104"/>
      <c r="N6599" s="1105"/>
    </row>
    <row r="6600" spans="2:14">
      <c r="B6600" s="1106"/>
      <c r="C6600" s="1107"/>
      <c r="D6600" s="1107"/>
      <c r="E6600" s="1107"/>
      <c r="F6600" s="1107"/>
      <c r="G6600" s="1107"/>
      <c r="H6600" s="1107"/>
      <c r="I6600" s="1107"/>
      <c r="J6600" s="1107"/>
      <c r="K6600" s="1107"/>
      <c r="L6600" s="1107"/>
      <c r="M6600" s="1107"/>
      <c r="N6600" s="1108"/>
    </row>
    <row r="6601" spans="2:14" ht="13.5" thickBot="1">
      <c r="B6601" s="1109"/>
      <c r="C6601" s="1110"/>
      <c r="D6601" s="1110"/>
      <c r="E6601" s="1110"/>
      <c r="F6601" s="1110"/>
      <c r="G6601" s="1110"/>
      <c r="H6601" s="1110"/>
      <c r="I6601" s="1110"/>
      <c r="J6601" s="1110"/>
      <c r="K6601" s="1110"/>
      <c r="L6601" s="1110"/>
      <c r="M6601" s="1110"/>
      <c r="N6601" s="1111"/>
    </row>
    <row r="6602" spans="2:14">
      <c r="B6602" s="1130" t="s">
        <v>258</v>
      </c>
      <c r="C6602" s="1139"/>
      <c r="D6602" s="1139"/>
      <c r="E6602" s="1139"/>
      <c r="F6602" s="1139"/>
      <c r="G6602" s="1139"/>
      <c r="H6602" s="1139"/>
      <c r="I6602" s="1136"/>
      <c r="J6602" s="299" t="s">
        <v>259</v>
      </c>
      <c r="K6602" s="288" t="s">
        <v>133</v>
      </c>
      <c r="L6602" s="1133" t="s">
        <v>271</v>
      </c>
      <c r="M6602" s="1136"/>
      <c r="N6602" s="289" t="s">
        <v>265</v>
      </c>
    </row>
    <row r="6603" spans="2:14" ht="13.5" thickBot="1">
      <c r="B6603" s="402"/>
      <c r="C6603" s="353"/>
      <c r="D6603" s="353"/>
      <c r="E6603" s="353"/>
      <c r="F6603" s="353"/>
      <c r="G6603" s="353"/>
      <c r="H6603" s="353"/>
      <c r="I6603" s="403"/>
      <c r="J6603" s="303"/>
      <c r="K6603" s="392"/>
      <c r="L6603" s="1144"/>
      <c r="M6603" s="1145"/>
      <c r="N6603" s="363"/>
    </row>
    <row r="6604" spans="2:14" ht="13.5" thickBot="1">
      <c r="B6604" s="1100" t="s">
        <v>269</v>
      </c>
      <c r="C6604" s="1101"/>
      <c r="D6604" s="1101"/>
      <c r="E6604" s="1101"/>
      <c r="F6604" s="1101"/>
      <c r="G6604" s="1101"/>
      <c r="H6604" s="1101"/>
      <c r="I6604" s="1101"/>
      <c r="J6604" s="1101"/>
      <c r="K6604" s="1101"/>
      <c r="L6604" s="1101"/>
      <c r="M6604" s="1102"/>
      <c r="N6604" s="323">
        <v>0</v>
      </c>
    </row>
    <row r="6605" spans="2:14">
      <c r="B6605" s="1103" t="s">
        <v>367</v>
      </c>
      <c r="C6605" s="1104"/>
      <c r="D6605" s="1104"/>
      <c r="E6605" s="1104"/>
      <c r="F6605" s="1104"/>
      <c r="G6605" s="1104"/>
      <c r="H6605" s="1104"/>
      <c r="I6605" s="1104"/>
      <c r="J6605" s="1104"/>
      <c r="K6605" s="1104"/>
      <c r="L6605" s="1104"/>
      <c r="M6605" s="1104"/>
      <c r="N6605" s="1105"/>
    </row>
    <row r="6606" spans="2:14">
      <c r="B6606" s="1106"/>
      <c r="C6606" s="1107"/>
      <c r="D6606" s="1107"/>
      <c r="E6606" s="1107"/>
      <c r="F6606" s="1107"/>
      <c r="G6606" s="1107"/>
      <c r="H6606" s="1107"/>
      <c r="I6606" s="1107"/>
      <c r="J6606" s="1107"/>
      <c r="K6606" s="1107"/>
      <c r="L6606" s="1107"/>
      <c r="M6606" s="1107"/>
      <c r="N6606" s="1108"/>
    </row>
    <row r="6607" spans="2:14" ht="13.5" thickBot="1">
      <c r="B6607" s="1109"/>
      <c r="C6607" s="1110"/>
      <c r="D6607" s="1110"/>
      <c r="E6607" s="1110"/>
      <c r="F6607" s="1110"/>
      <c r="G6607" s="1110"/>
      <c r="H6607" s="1110"/>
      <c r="I6607" s="1110"/>
      <c r="J6607" s="1110"/>
      <c r="K6607" s="1110"/>
      <c r="L6607" s="1110"/>
      <c r="M6607" s="1110"/>
      <c r="N6607" s="1111"/>
    </row>
    <row r="6608" spans="2:14">
      <c r="B6608" s="1130" t="s">
        <v>277</v>
      </c>
      <c r="C6608" s="1139"/>
      <c r="D6608" s="1139"/>
      <c r="E6608" s="1139"/>
      <c r="F6608" s="1139"/>
      <c r="G6608" s="1139"/>
      <c r="H6608" s="1139"/>
      <c r="I6608" s="288" t="s">
        <v>278</v>
      </c>
      <c r="J6608" s="306" t="s">
        <v>279</v>
      </c>
      <c r="K6608" s="307" t="s">
        <v>280</v>
      </c>
      <c r="L6608" s="1133" t="s">
        <v>281</v>
      </c>
      <c r="M6608" s="1136"/>
      <c r="N6608" s="289" t="s">
        <v>265</v>
      </c>
    </row>
    <row r="6609" spans="2:14" ht="13.5" thickBot="1">
      <c r="B6609" s="1112"/>
      <c r="C6609" s="1113"/>
      <c r="D6609" s="1113"/>
      <c r="E6609" s="1113"/>
      <c r="F6609" s="1113"/>
      <c r="G6609" s="1113"/>
      <c r="H6609" s="1113"/>
      <c r="I6609" s="393"/>
      <c r="J6609" s="309"/>
      <c r="K6609" s="308"/>
      <c r="L6609" s="1144"/>
      <c r="M6609" s="1145"/>
      <c r="N6609" s="363"/>
    </row>
    <row r="6610" spans="2:14" ht="13.5" thickBot="1">
      <c r="B6610" s="1100" t="s">
        <v>269</v>
      </c>
      <c r="C6610" s="1101"/>
      <c r="D6610" s="1101"/>
      <c r="E6610" s="1101"/>
      <c r="F6610" s="1101"/>
      <c r="G6610" s="1101"/>
      <c r="H6610" s="1101"/>
      <c r="I6610" s="1101"/>
      <c r="J6610" s="1101"/>
      <c r="K6610" s="1101"/>
      <c r="L6610" s="1101"/>
      <c r="M6610" s="1102"/>
      <c r="N6610" s="323">
        <f>+N6609</f>
        <v>0</v>
      </c>
    </row>
    <row r="6611" spans="2:14">
      <c r="B6611" s="1103" t="s">
        <v>282</v>
      </c>
      <c r="C6611" s="1104"/>
      <c r="D6611" s="1104"/>
      <c r="E6611" s="1104"/>
      <c r="F6611" s="1104"/>
      <c r="G6611" s="1104"/>
      <c r="H6611" s="1104"/>
      <c r="I6611" s="1104"/>
      <c r="J6611" s="1104"/>
      <c r="K6611" s="1104"/>
      <c r="L6611" s="1104"/>
      <c r="M6611" s="1104"/>
      <c r="N6611" s="1105"/>
    </row>
    <row r="6612" spans="2:14">
      <c r="B6612" s="1106"/>
      <c r="C6612" s="1107"/>
      <c r="D6612" s="1107"/>
      <c r="E6612" s="1107"/>
      <c r="F6612" s="1107"/>
      <c r="G6612" s="1107"/>
      <c r="H6612" s="1107"/>
      <c r="I6612" s="1107"/>
      <c r="J6612" s="1107"/>
      <c r="K6612" s="1107"/>
      <c r="L6612" s="1107"/>
      <c r="M6612" s="1107"/>
      <c r="N6612" s="1108"/>
    </row>
    <row r="6613" spans="2:14" ht="13.5" thickBot="1">
      <c r="B6613" s="1109"/>
      <c r="C6613" s="1110"/>
      <c r="D6613" s="1110"/>
      <c r="E6613" s="1110"/>
      <c r="F6613" s="1110"/>
      <c r="G6613" s="1110"/>
      <c r="H6613" s="1110"/>
      <c r="I6613" s="1110"/>
      <c r="J6613" s="1110"/>
      <c r="K6613" s="1110"/>
      <c r="L6613" s="1110"/>
      <c r="M6613" s="1110"/>
      <c r="N6613" s="1111"/>
    </row>
    <row r="6614" spans="2:14">
      <c r="B6614" s="1130" t="s">
        <v>283</v>
      </c>
      <c r="C6614" s="1139"/>
      <c r="D6614" s="1139"/>
      <c r="E6614" s="1139"/>
      <c r="F6614" s="1139"/>
      <c r="G6614" s="1139"/>
      <c r="H6614" s="1139"/>
      <c r="I6614" s="288" t="s">
        <v>284</v>
      </c>
      <c r="J6614" s="314" t="s">
        <v>285</v>
      </c>
      <c r="K6614" s="315" t="s">
        <v>286</v>
      </c>
      <c r="L6614" s="1140" t="s">
        <v>264</v>
      </c>
      <c r="M6614" s="1141"/>
      <c r="N6614" s="316" t="s">
        <v>265</v>
      </c>
    </row>
    <row r="6615" spans="2:14" ht="13.5" thickBot="1">
      <c r="B6615" s="317" t="s">
        <v>400</v>
      </c>
      <c r="C6615" s="318"/>
      <c r="D6615" s="318"/>
      <c r="E6615" s="318"/>
      <c r="F6615" s="318"/>
      <c r="G6615" s="318"/>
      <c r="H6615" s="318"/>
      <c r="I6615" s="319">
        <v>111478</v>
      </c>
      <c r="J6615" s="321">
        <v>0</v>
      </c>
      <c r="K6615" s="321">
        <f>+I6615+J6615</f>
        <v>111478</v>
      </c>
      <c r="L6615" s="1157">
        <v>35.000525000000003</v>
      </c>
      <c r="M6615" s="1158"/>
      <c r="N6615" s="322">
        <f>+K6615/L6615</f>
        <v>3185.0379387166331</v>
      </c>
    </row>
    <row r="6616" spans="2:14" ht="13.5" thickBot="1">
      <c r="B6616" s="1100" t="s">
        <v>269</v>
      </c>
      <c r="C6616" s="1101"/>
      <c r="D6616" s="1101"/>
      <c r="E6616" s="1101"/>
      <c r="F6616" s="1101"/>
      <c r="G6616" s="1101"/>
      <c r="H6616" s="1101"/>
      <c r="I6616" s="1101"/>
      <c r="J6616" s="1101"/>
      <c r="K6616" s="1101"/>
      <c r="L6616" s="1101"/>
      <c r="M6616" s="1102"/>
      <c r="N6616" s="322">
        <f>+N6615</f>
        <v>3185.0379387166331</v>
      </c>
    </row>
    <row r="6617" spans="2:14" ht="13.5" thickBot="1">
      <c r="B6617" s="324" t="s">
        <v>288</v>
      </c>
      <c r="C6617" s="325"/>
      <c r="D6617" s="325"/>
      <c r="E6617" s="325"/>
      <c r="F6617" s="325"/>
      <c r="G6617" s="325"/>
      <c r="H6617" s="325"/>
      <c r="I6617" s="326"/>
      <c r="J6617" s="327"/>
      <c r="K6617" s="328"/>
      <c r="L6617" s="329"/>
      <c r="M6617" s="329"/>
      <c r="N6617" s="330"/>
    </row>
    <row r="6618" spans="2:14">
      <c r="B6618" s="1130" t="s">
        <v>17</v>
      </c>
      <c r="C6618" s="1139"/>
      <c r="D6618" s="1139"/>
      <c r="E6618" s="1139"/>
      <c r="F6618" s="1139"/>
      <c r="G6618" s="1139"/>
      <c r="H6618" s="1139"/>
      <c r="I6618" s="1136"/>
      <c r="J6618" s="299" t="s">
        <v>259</v>
      </c>
      <c r="K6618" s="288" t="s">
        <v>133</v>
      </c>
      <c r="L6618" s="1133" t="s">
        <v>271</v>
      </c>
      <c r="M6618" s="1136"/>
      <c r="N6618" s="316" t="s">
        <v>265</v>
      </c>
    </row>
    <row r="6619" spans="2:14" ht="13.5" thickBot="1">
      <c r="B6619" s="331" t="s">
        <v>289</v>
      </c>
      <c r="C6619" s="332"/>
      <c r="D6619" s="332"/>
      <c r="E6619" s="332"/>
      <c r="F6619" s="332"/>
      <c r="G6619" s="332"/>
      <c r="H6619" s="332"/>
      <c r="I6619" s="333"/>
      <c r="J6619" s="334" t="s">
        <v>290</v>
      </c>
      <c r="K6619" s="335">
        <v>0.05</v>
      </c>
      <c r="L6619" s="1144">
        <f>+N6616</f>
        <v>3185.0379387166331</v>
      </c>
      <c r="M6619" s="1145"/>
      <c r="N6619" s="322">
        <f>+K6619*L6619</f>
        <v>159.25189693583167</v>
      </c>
    </row>
    <row r="6620" spans="2:14" ht="13.5" thickBot="1">
      <c r="B6620" s="1100" t="s">
        <v>269</v>
      </c>
      <c r="C6620" s="1101"/>
      <c r="D6620" s="1101"/>
      <c r="E6620" s="1101"/>
      <c r="F6620" s="1101"/>
      <c r="G6620" s="1101"/>
      <c r="H6620" s="1101"/>
      <c r="I6620" s="1101"/>
      <c r="J6620" s="1101"/>
      <c r="K6620" s="1101"/>
      <c r="L6620" s="1101"/>
      <c r="M6620" s="1102"/>
      <c r="N6620" s="322">
        <f>+N6619</f>
        <v>159.25189693583167</v>
      </c>
    </row>
    <row r="6621" spans="2:14" ht="13.5" thickBot="1">
      <c r="B6621" s="424" t="s">
        <v>78</v>
      </c>
      <c r="C6621" s="425"/>
      <c r="D6621" s="425"/>
      <c r="E6621" s="425"/>
      <c r="F6621" s="425"/>
      <c r="G6621" s="425"/>
      <c r="H6621" s="425"/>
      <c r="I6621" s="425"/>
      <c r="J6621" s="425"/>
      <c r="K6621" s="425"/>
      <c r="L6621" s="425"/>
      <c r="M6621" s="426"/>
      <c r="N6621" s="322"/>
    </row>
    <row r="6622" spans="2:14">
      <c r="B6622" s="1130" t="s">
        <v>17</v>
      </c>
      <c r="C6622" s="1139"/>
      <c r="D6622" s="1139"/>
      <c r="E6622" s="1139"/>
      <c r="F6622" s="1139"/>
      <c r="G6622" s="1139"/>
      <c r="H6622" s="1139"/>
      <c r="I6622" s="1136"/>
      <c r="J6622" s="299" t="s">
        <v>259</v>
      </c>
      <c r="K6622" s="288" t="s">
        <v>133</v>
      </c>
      <c r="L6622" s="1133" t="s">
        <v>271</v>
      </c>
      <c r="M6622" s="1136"/>
      <c r="N6622" s="316" t="s">
        <v>265</v>
      </c>
    </row>
    <row r="6623" spans="2:14" ht="26.25" customHeight="1" thickBot="1">
      <c r="B6623" s="1194" t="s">
        <v>161</v>
      </c>
      <c r="C6623" s="1195"/>
      <c r="D6623" s="1195"/>
      <c r="E6623" s="1195"/>
      <c r="F6623" s="1195"/>
      <c r="G6623" s="1195"/>
      <c r="H6623" s="1195"/>
      <c r="I6623" s="1196"/>
      <c r="J6623" s="334" t="s">
        <v>147</v>
      </c>
      <c r="K6623" s="335">
        <v>0.03</v>
      </c>
      <c r="L6623" s="1144">
        <v>38446</v>
      </c>
      <c r="M6623" s="1145"/>
      <c r="N6623" s="322">
        <f>+K6623*L6623</f>
        <v>1153.3799999999999</v>
      </c>
    </row>
    <row r="6624" spans="2:14" ht="13.5" thickBot="1">
      <c r="B6624" s="1100" t="s">
        <v>269</v>
      </c>
      <c r="C6624" s="1101"/>
      <c r="D6624" s="1101"/>
      <c r="E6624" s="1101"/>
      <c r="F6624" s="1101"/>
      <c r="G6624" s="1101"/>
      <c r="H6624" s="1101"/>
      <c r="I6624" s="1101"/>
      <c r="J6624" s="1101"/>
      <c r="K6624" s="1101"/>
      <c r="L6624" s="1101"/>
      <c r="M6624" s="1102"/>
      <c r="N6624" s="322">
        <f>+N6623</f>
        <v>1153.3799999999999</v>
      </c>
    </row>
    <row r="6625" spans="2:17" ht="13.5" thickBot="1">
      <c r="B6625" s="356"/>
      <c r="C6625" s="325"/>
      <c r="D6625" s="427"/>
      <c r="E6625" s="325"/>
      <c r="F6625" s="325"/>
      <c r="G6625" s="325"/>
      <c r="H6625" s="325"/>
      <c r="I6625" s="326"/>
      <c r="J6625" s="327"/>
      <c r="K6625" s="328"/>
      <c r="L6625" s="428"/>
      <c r="M6625" s="428"/>
      <c r="N6625" s="322"/>
      <c r="P6625" s="408">
        <v>899400</v>
      </c>
    </row>
    <row r="6626" spans="2:17" ht="13.5" thickBot="1">
      <c r="B6626" s="1100"/>
      <c r="C6626" s="1101"/>
      <c r="D6626" s="1101"/>
      <c r="E6626" s="1101"/>
      <c r="F6626" s="1101"/>
      <c r="G6626" s="1101"/>
      <c r="H6626" s="1101"/>
      <c r="I6626" s="1101"/>
      <c r="J6626" s="1101"/>
      <c r="K6626" s="1101"/>
      <c r="L6626" s="1101"/>
      <c r="M6626" s="1102"/>
      <c r="N6626" s="322"/>
    </row>
    <row r="6627" spans="2:17" ht="13.5" thickBot="1">
      <c r="B6627" s="1150" t="s">
        <v>291</v>
      </c>
      <c r="C6627" s="1151"/>
      <c r="D6627" s="1151"/>
      <c r="E6627" s="1151"/>
      <c r="F6627" s="1151"/>
      <c r="G6627" s="1151"/>
      <c r="H6627" s="1151"/>
      <c r="I6627" s="1151"/>
      <c r="J6627" s="1151"/>
      <c r="K6627" s="1151"/>
      <c r="L6627" s="1151"/>
      <c r="M6627" s="1152"/>
      <c r="N6627" s="336">
        <f>+N6598+N6604+N6610+N6616+N6620+N6624</f>
        <v>4497.6698356524648</v>
      </c>
      <c r="P6627" s="409">
        <f>+N6627*N6592</f>
        <v>899533.96713049291</v>
      </c>
      <c r="Q6627" s="413">
        <f>+P6627-P6625</f>
        <v>133.96713049290702</v>
      </c>
    </row>
    <row r="6628" spans="2:17">
      <c r="B6628" s="1103" t="s">
        <v>292</v>
      </c>
      <c r="C6628" s="1104"/>
      <c r="D6628" s="1104"/>
      <c r="E6628" s="1104"/>
      <c r="F6628" s="1104"/>
      <c r="G6628" s="1104"/>
      <c r="H6628" s="1104"/>
      <c r="I6628" s="1104"/>
      <c r="J6628" s="1104"/>
      <c r="K6628" s="1104"/>
      <c r="L6628" s="1104"/>
      <c r="M6628" s="1104"/>
      <c r="N6628" s="1105"/>
    </row>
    <row r="6629" spans="2:17">
      <c r="B6629" s="1106"/>
      <c r="C6629" s="1107"/>
      <c r="D6629" s="1107"/>
      <c r="E6629" s="1107"/>
      <c r="F6629" s="1107"/>
      <c r="G6629" s="1107"/>
      <c r="H6629" s="1107"/>
      <c r="I6629" s="1107"/>
      <c r="J6629" s="1107"/>
      <c r="K6629" s="1107"/>
      <c r="L6629" s="1107"/>
      <c r="M6629" s="1107"/>
      <c r="N6629" s="1108"/>
    </row>
    <row r="6630" spans="2:17" ht="13.5" thickBot="1">
      <c r="B6630" s="1109"/>
      <c r="C6630" s="1110"/>
      <c r="D6630" s="1110"/>
      <c r="E6630" s="1110"/>
      <c r="F6630" s="1110"/>
      <c r="G6630" s="1110"/>
      <c r="H6630" s="1110"/>
      <c r="I6630" s="1110"/>
      <c r="J6630" s="1110"/>
      <c r="K6630" s="1110"/>
      <c r="L6630" s="1110"/>
      <c r="M6630" s="1110"/>
      <c r="N6630" s="1111"/>
    </row>
    <row r="6631" spans="2:17">
      <c r="B6631" s="1130" t="s">
        <v>17</v>
      </c>
      <c r="C6631" s="1139"/>
      <c r="D6631" s="1139"/>
      <c r="E6631" s="1139"/>
      <c r="F6631" s="1139"/>
      <c r="G6631" s="1139"/>
      <c r="H6631" s="1139"/>
      <c r="I6631" s="306"/>
      <c r="J6631" s="337"/>
      <c r="K6631" s="315" t="s">
        <v>79</v>
      </c>
      <c r="L6631" s="1140" t="s">
        <v>11</v>
      </c>
      <c r="M6631" s="1141"/>
      <c r="N6631" s="316"/>
    </row>
    <row r="6632" spans="2:17">
      <c r="B6632" s="1112" t="s">
        <v>232</v>
      </c>
      <c r="C6632" s="1113"/>
      <c r="D6632" s="1113"/>
      <c r="E6632" s="1113"/>
      <c r="F6632" s="1113"/>
      <c r="G6632" s="1113"/>
      <c r="H6632" s="1113"/>
      <c r="I6632" s="338"/>
      <c r="J6632" s="339"/>
      <c r="K6632" s="340">
        <f>'PRESUPUESTO OFICIAL'!$K$100</f>
        <v>0</v>
      </c>
      <c r="L6632" s="1146">
        <f>K6632*N6627</f>
        <v>0</v>
      </c>
      <c r="M6632" s="1147"/>
      <c r="N6632" s="341"/>
    </row>
    <row r="6633" spans="2:17">
      <c r="B6633" s="292" t="s">
        <v>293</v>
      </c>
      <c r="C6633" s="293"/>
      <c r="D6633" s="293"/>
      <c r="E6633" s="293"/>
      <c r="F6633" s="293"/>
      <c r="G6633" s="293"/>
      <c r="H6633" s="293"/>
      <c r="I6633" s="338"/>
      <c r="J6633" s="339"/>
      <c r="K6633" s="340">
        <f>'PRESUPUESTO OFICIAL'!$K$101</f>
        <v>0</v>
      </c>
      <c r="L6633" s="1146">
        <f>K6633*N6627</f>
        <v>0</v>
      </c>
      <c r="M6633" s="1147"/>
      <c r="N6633" s="341"/>
    </row>
    <row r="6634" spans="2:17" ht="13.5" thickBot="1">
      <c r="B6634" s="277" t="s">
        <v>294</v>
      </c>
      <c r="C6634" s="278"/>
      <c r="D6634" s="278"/>
      <c r="E6634" s="278"/>
      <c r="F6634" s="278"/>
      <c r="G6634" s="278"/>
      <c r="H6634" s="278"/>
      <c r="I6634" s="342"/>
      <c r="J6634" s="343"/>
      <c r="K6634" s="340">
        <f>'PRESUPUESTO OFICIAL'!$K$102</f>
        <v>0</v>
      </c>
      <c r="L6634" s="1148">
        <f>K6634*N6627</f>
        <v>0</v>
      </c>
      <c r="M6634" s="1149"/>
      <c r="N6634" s="341"/>
    </row>
    <row r="6635" spans="2:17" ht="13.5" thickBot="1">
      <c r="B6635" s="1100" t="s">
        <v>269</v>
      </c>
      <c r="C6635" s="1101"/>
      <c r="D6635" s="1101"/>
      <c r="E6635" s="1101"/>
      <c r="F6635" s="1101"/>
      <c r="G6635" s="1101"/>
      <c r="H6635" s="1101"/>
      <c r="I6635" s="1101"/>
      <c r="J6635" s="1101"/>
      <c r="K6635" s="1101"/>
      <c r="L6635" s="1101"/>
      <c r="M6635" s="1102"/>
      <c r="N6635" s="344">
        <f>SUM(L6632:M6634)</f>
        <v>0</v>
      </c>
    </row>
    <row r="6636" spans="2:17" ht="13.5" thickBot="1">
      <c r="B6636" s="283"/>
      <c r="N6636" s="284"/>
    </row>
    <row r="6637" spans="2:17" ht="13.5" thickBot="1">
      <c r="B6637" s="1150" t="s">
        <v>295</v>
      </c>
      <c r="C6637" s="1151"/>
      <c r="D6637" s="1151"/>
      <c r="E6637" s="1151"/>
      <c r="F6637" s="1151"/>
      <c r="G6637" s="1151"/>
      <c r="H6637" s="1151"/>
      <c r="I6637" s="1151"/>
      <c r="J6637" s="1151"/>
      <c r="K6637" s="1151"/>
      <c r="L6637" s="1151"/>
      <c r="M6637" s="1152"/>
      <c r="N6637" s="345">
        <f>ROUND(N6627+N6635,0)</f>
        <v>4498</v>
      </c>
    </row>
    <row r="6638" spans="2:17">
      <c r="B6638" s="280"/>
      <c r="C6638" s="281"/>
      <c r="D6638" s="281"/>
      <c r="E6638" s="281"/>
      <c r="F6638" s="281"/>
      <c r="G6638" s="281"/>
      <c r="H6638" s="281"/>
      <c r="I6638" s="281"/>
      <c r="J6638" s="281"/>
      <c r="K6638" s="281"/>
      <c r="L6638" s="281"/>
      <c r="M6638" s="281"/>
      <c r="N6638" s="282"/>
    </row>
    <row r="6639" spans="2:17">
      <c r="B6639" s="283"/>
      <c r="N6639" s="284"/>
    </row>
    <row r="6640" spans="2:17">
      <c r="B6640" s="283"/>
      <c r="N6640" s="284"/>
    </row>
    <row r="6641" spans="2:14">
      <c r="B6641" s="283"/>
      <c r="G6641" s="346" t="s">
        <v>296</v>
      </c>
      <c r="H6641" s="346"/>
      <c r="I6641" s="346"/>
      <c r="J6641" s="346"/>
      <c r="N6641" s="284"/>
    </row>
    <row r="6642" spans="2:14">
      <c r="B6642" s="347"/>
      <c r="C6642" s="348"/>
      <c r="D6642" s="348"/>
      <c r="E6642" s="348"/>
      <c r="F6642" s="348"/>
      <c r="G6642" s="346" t="s">
        <v>297</v>
      </c>
      <c r="H6642" s="348"/>
      <c r="I6642" s="348"/>
      <c r="J6642" s="348"/>
      <c r="K6642" s="348"/>
      <c r="L6642" s="348"/>
      <c r="M6642" s="348"/>
      <c r="N6642" s="349"/>
    </row>
    <row r="6643" spans="2:14">
      <c r="B6643" s="347"/>
      <c r="C6643" s="348"/>
      <c r="D6643" s="348"/>
      <c r="E6643" s="348"/>
      <c r="F6643" s="348"/>
      <c r="G6643" s="346" t="s">
        <v>298</v>
      </c>
      <c r="J6643" s="348"/>
      <c r="K6643" s="348"/>
      <c r="L6643" s="348"/>
      <c r="M6643" s="348"/>
      <c r="N6643" s="349"/>
    </row>
    <row r="6644" spans="2:14">
      <c r="B6644" s="268"/>
      <c r="C6644" s="350"/>
      <c r="D6644" s="350"/>
      <c r="E6644" s="350"/>
      <c r="F6644" s="350"/>
      <c r="G6644" s="346" t="s">
        <v>299</v>
      </c>
      <c r="H6644" s="350"/>
      <c r="I6644" s="350"/>
      <c r="J6644" s="350"/>
      <c r="K6644" s="350"/>
      <c r="L6644" s="350"/>
      <c r="M6644" s="350"/>
      <c r="N6644" s="351"/>
    </row>
    <row r="6645" spans="2:14">
      <c r="B6645" s="283"/>
      <c r="G6645" s="258" t="s">
        <v>300</v>
      </c>
      <c r="N6645" s="284"/>
    </row>
    <row r="6646" spans="2:14">
      <c r="B6646" s="352" t="s">
        <v>301</v>
      </c>
      <c r="C6646" s="353"/>
      <c r="D6646" s="353"/>
      <c r="E6646" s="353"/>
      <c r="F6646" s="353"/>
      <c r="G6646" s="353"/>
      <c r="H6646" s="353"/>
      <c r="I6646" s="353"/>
      <c r="J6646" s="353"/>
      <c r="K6646" s="353"/>
      <c r="L6646" s="353"/>
      <c r="M6646" s="353"/>
      <c r="N6646" s="354"/>
    </row>
    <row r="6647" spans="2:14">
      <c r="B6647" s="1153"/>
      <c r="C6647" s="1154"/>
      <c r="D6647" s="1154"/>
      <c r="E6647" s="1154"/>
      <c r="F6647" s="1154"/>
      <c r="G6647" s="1154"/>
      <c r="H6647" s="1154"/>
      <c r="I6647" s="1154"/>
      <c r="J6647" s="1154"/>
      <c r="K6647" s="1154"/>
      <c r="L6647" s="1154"/>
      <c r="M6647" s="1154"/>
      <c r="N6647" s="1155"/>
    </row>
    <row r="6648" spans="2:14">
      <c r="B6648" s="1153"/>
      <c r="C6648" s="1154"/>
      <c r="D6648" s="1154"/>
      <c r="E6648" s="1154"/>
      <c r="F6648" s="1154"/>
      <c r="G6648" s="1154"/>
      <c r="H6648" s="1154"/>
      <c r="I6648" s="1154"/>
      <c r="J6648" s="1154"/>
      <c r="K6648" s="1154"/>
      <c r="L6648" s="1154"/>
      <c r="M6648" s="1154"/>
      <c r="N6648" s="1155"/>
    </row>
    <row r="6649" spans="2:14">
      <c r="B6649" s="268"/>
      <c r="C6649" s="350"/>
      <c r="D6649" s="350"/>
      <c r="E6649" s="350"/>
      <c r="F6649" s="350"/>
      <c r="G6649" s="350"/>
      <c r="H6649" s="350"/>
      <c r="I6649" s="350"/>
      <c r="J6649" s="350"/>
      <c r="K6649" s="350"/>
      <c r="L6649" s="350"/>
      <c r="M6649" s="350"/>
      <c r="N6649" s="351"/>
    </row>
    <row r="6650" spans="2:14">
      <c r="B6650" s="355" t="s">
        <v>302</v>
      </c>
      <c r="C6650" s="350"/>
      <c r="D6650" s="350"/>
      <c r="E6650" s="350"/>
      <c r="F6650" s="350"/>
      <c r="G6650" s="350"/>
      <c r="H6650" s="350"/>
      <c r="I6650" s="350"/>
      <c r="J6650" s="350"/>
      <c r="K6650" s="350"/>
      <c r="L6650" s="350"/>
      <c r="M6650" s="350"/>
      <c r="N6650" s="351"/>
    </row>
    <row r="6651" spans="2:14">
      <c r="B6651" s="1159" t="s">
        <v>303</v>
      </c>
      <c r="C6651" s="1160"/>
      <c r="D6651" s="1160"/>
      <c r="E6651" s="1160"/>
      <c r="F6651" s="1160"/>
      <c r="G6651" s="1160"/>
      <c r="H6651" s="1160"/>
      <c r="I6651" s="1160"/>
      <c r="J6651" s="1160"/>
      <c r="K6651" s="1160"/>
      <c r="L6651" s="1160"/>
      <c r="M6651" s="1160"/>
      <c r="N6651" s="1161"/>
    </row>
    <row r="6652" spans="2:14">
      <c r="B6652" s="1159"/>
      <c r="C6652" s="1160"/>
      <c r="D6652" s="1160"/>
      <c r="E6652" s="1160"/>
      <c r="F6652" s="1160"/>
      <c r="G6652" s="1160"/>
      <c r="H6652" s="1160"/>
      <c r="I6652" s="1160"/>
      <c r="J6652" s="1160"/>
      <c r="K6652" s="1160"/>
      <c r="L6652" s="1160"/>
      <c r="M6652" s="1160"/>
      <c r="N6652" s="1161"/>
    </row>
    <row r="6653" spans="2:14">
      <c r="B6653" s="1159" t="s">
        <v>304</v>
      </c>
      <c r="C6653" s="1160"/>
      <c r="D6653" s="1160"/>
      <c r="E6653" s="1160"/>
      <c r="F6653" s="1160"/>
      <c r="G6653" s="1160"/>
      <c r="H6653" s="1160"/>
      <c r="I6653" s="1160"/>
      <c r="J6653" s="1160"/>
      <c r="K6653" s="1160"/>
      <c r="L6653" s="1160"/>
      <c r="M6653" s="1160"/>
      <c r="N6653" s="1161"/>
    </row>
    <row r="6654" spans="2:14">
      <c r="B6654" s="1159"/>
      <c r="C6654" s="1160"/>
      <c r="D6654" s="1160"/>
      <c r="E6654" s="1160"/>
      <c r="F6654" s="1160"/>
      <c r="G6654" s="1160"/>
      <c r="H6654" s="1160"/>
      <c r="I6654" s="1160"/>
      <c r="J6654" s="1160"/>
      <c r="K6654" s="1160"/>
      <c r="L6654" s="1160"/>
      <c r="M6654" s="1160"/>
      <c r="N6654" s="1161"/>
    </row>
    <row r="6655" spans="2:14">
      <c r="B6655" s="268"/>
      <c r="C6655" s="350"/>
      <c r="D6655" s="350"/>
      <c r="E6655" s="350"/>
      <c r="F6655" s="350"/>
      <c r="G6655" s="350"/>
      <c r="H6655" s="350"/>
      <c r="I6655" s="350"/>
      <c r="J6655" s="350"/>
      <c r="K6655" s="350"/>
      <c r="L6655" s="350"/>
      <c r="M6655" s="350"/>
      <c r="N6655" s="351"/>
    </row>
    <row r="6656" spans="2:14">
      <c r="B6656" s="283"/>
      <c r="G6656" s="346" t="s">
        <v>296</v>
      </c>
      <c r="N6656" s="284"/>
    </row>
    <row r="6657" spans="2:14">
      <c r="B6657" s="283"/>
      <c r="G6657" s="258" t="s">
        <v>305</v>
      </c>
      <c r="H6657" s="293"/>
      <c r="I6657" s="293"/>
      <c r="J6657" s="293"/>
      <c r="N6657" s="284"/>
    </row>
    <row r="6658" spans="2:14">
      <c r="B6658" s="283"/>
      <c r="G6658" s="258" t="s">
        <v>306</v>
      </c>
      <c r="H6658" s="325"/>
      <c r="I6658" s="325"/>
      <c r="J6658" s="325"/>
      <c r="N6658" s="284"/>
    </row>
    <row r="6659" spans="2:14">
      <c r="B6659" s="356"/>
      <c r="C6659" s="350"/>
      <c r="D6659" s="350"/>
      <c r="E6659" s="350"/>
      <c r="F6659" s="350"/>
      <c r="G6659" s="258" t="s">
        <v>299</v>
      </c>
      <c r="K6659" s="350"/>
      <c r="L6659" s="350"/>
      <c r="M6659" s="350"/>
      <c r="N6659" s="351"/>
    </row>
    <row r="6660" spans="2:14">
      <c r="B6660" s="357"/>
      <c r="C6660" s="358"/>
      <c r="D6660" s="358"/>
      <c r="J6660" s="1162"/>
      <c r="K6660" s="1162"/>
      <c r="L6660" s="1162"/>
      <c r="M6660" s="1162"/>
      <c r="N6660" s="1163"/>
    </row>
    <row r="6661" spans="2:14" ht="13.5" thickBot="1">
      <c r="B6661" s="1166"/>
      <c r="C6661" s="1167"/>
      <c r="D6661" s="1167"/>
      <c r="E6661" s="311"/>
      <c r="F6661" s="311"/>
      <c r="G6661" s="311"/>
      <c r="H6661" s="311"/>
      <c r="I6661" s="311"/>
      <c r="J6661" s="1164"/>
      <c r="K6661" s="1164"/>
      <c r="L6661" s="1164"/>
      <c r="M6661" s="1164"/>
      <c r="N6661" s="1165"/>
    </row>
    <row r="6662" spans="2:14" ht="13.5" thickBot="1"/>
    <row r="6663" spans="2:14">
      <c r="B6663" s="1070"/>
      <c r="C6663" s="1072"/>
      <c r="D6663" s="1073"/>
      <c r="E6663" s="1073"/>
      <c r="F6663" s="1073"/>
      <c r="G6663" s="1073"/>
      <c r="H6663" s="1073"/>
      <c r="I6663" s="1073"/>
      <c r="J6663" s="1074"/>
      <c r="K6663" s="1075"/>
      <c r="L6663" s="1076"/>
      <c r="M6663" s="1076"/>
      <c r="N6663" s="1077"/>
    </row>
    <row r="6664" spans="2:14">
      <c r="B6664" s="1071"/>
      <c r="C6664" s="1062" t="s">
        <v>244</v>
      </c>
      <c r="D6664" s="1063"/>
      <c r="E6664" s="1063"/>
      <c r="F6664" s="1063"/>
      <c r="G6664" s="1063"/>
      <c r="H6664" s="1063"/>
      <c r="I6664" s="1063"/>
      <c r="J6664" s="1064"/>
      <c r="K6664" s="1078"/>
      <c r="L6664" s="1079"/>
      <c r="M6664" s="1079"/>
      <c r="N6664" s="1080"/>
    </row>
    <row r="6665" spans="2:14">
      <c r="B6665" s="1071"/>
      <c r="C6665" s="1081"/>
      <c r="D6665" s="1082"/>
      <c r="E6665" s="1082"/>
      <c r="F6665" s="1082"/>
      <c r="G6665" s="1082"/>
      <c r="H6665" s="1082"/>
      <c r="I6665" s="1082"/>
      <c r="J6665" s="1083"/>
      <c r="K6665" s="1058" t="s">
        <v>245</v>
      </c>
      <c r="L6665" s="1085"/>
      <c r="M6665" s="1086"/>
      <c r="N6665" s="1087"/>
    </row>
    <row r="6666" spans="2:14">
      <c r="B6666" s="1071"/>
      <c r="C6666" s="1062" t="s">
        <v>246</v>
      </c>
      <c r="D6666" s="1063"/>
      <c r="E6666" s="1063"/>
      <c r="F6666" s="1063"/>
      <c r="G6666" s="1063"/>
      <c r="H6666" s="1063"/>
      <c r="I6666" s="1063"/>
      <c r="J6666" s="1064"/>
      <c r="K6666" s="1084"/>
      <c r="L6666" s="1088"/>
      <c r="M6666" s="1089"/>
      <c r="N6666" s="1090"/>
    </row>
    <row r="6667" spans="2:14">
      <c r="B6667" s="1071"/>
      <c r="C6667" s="1091"/>
      <c r="D6667" s="1092"/>
      <c r="E6667" s="1092"/>
      <c r="F6667" s="1092"/>
      <c r="G6667" s="1092"/>
      <c r="H6667" s="1092"/>
      <c r="I6667" s="1092"/>
      <c r="J6667" s="1093"/>
      <c r="K6667" s="1058" t="s">
        <v>247</v>
      </c>
      <c r="L6667" s="1058">
        <v>76</v>
      </c>
      <c r="M6667" s="1058" t="s">
        <v>248</v>
      </c>
      <c r="N6667" s="1060">
        <v>80</v>
      </c>
    </row>
    <row r="6668" spans="2:14">
      <c r="B6668" s="1071"/>
      <c r="C6668" s="1091"/>
      <c r="D6668" s="1092"/>
      <c r="E6668" s="1092"/>
      <c r="F6668" s="1092"/>
      <c r="G6668" s="1092"/>
      <c r="H6668" s="1092"/>
      <c r="I6668" s="1092"/>
      <c r="J6668" s="1093"/>
      <c r="K6668" s="1059"/>
      <c r="L6668" s="1059"/>
      <c r="M6668" s="1059"/>
      <c r="N6668" s="1061"/>
    </row>
    <row r="6669" spans="2:14">
      <c r="B6669" s="1071"/>
      <c r="C6669" s="1062" t="s">
        <v>249</v>
      </c>
      <c r="D6669" s="1063"/>
      <c r="E6669" s="1063"/>
      <c r="F6669" s="1063"/>
      <c r="G6669" s="1063"/>
      <c r="H6669" s="1063"/>
      <c r="I6669" s="1063"/>
      <c r="J6669" s="1064"/>
      <c r="K6669" s="1059"/>
      <c r="L6669" s="1059"/>
      <c r="M6669" s="1059"/>
      <c r="N6669" s="1061"/>
    </row>
    <row r="6670" spans="2:14" ht="13.5" thickBot="1">
      <c r="B6670" s="259"/>
      <c r="C6670" s="260"/>
      <c r="D6670" s="260"/>
      <c r="E6670" s="260"/>
      <c r="F6670" s="260"/>
      <c r="G6670" s="260"/>
      <c r="H6670" s="260"/>
      <c r="I6670" s="260"/>
      <c r="J6670" s="260"/>
      <c r="K6670" s="260"/>
      <c r="L6670" s="261"/>
      <c r="M6670" s="261"/>
      <c r="N6670" s="262"/>
    </row>
    <row r="6671" spans="2:14">
      <c r="B6671" s="263"/>
      <c r="C6671" s="264"/>
      <c r="D6671" s="264"/>
      <c r="E6671" s="264"/>
      <c r="F6671" s="264"/>
      <c r="G6671" s="264"/>
      <c r="H6671" s="264"/>
      <c r="I6671" s="264"/>
      <c r="J6671" s="264"/>
      <c r="K6671" s="265" t="s">
        <v>250</v>
      </c>
      <c r="L6671" s="266" t="s">
        <v>251</v>
      </c>
      <c r="M6671" s="266" t="s">
        <v>252</v>
      </c>
      <c r="N6671" s="267" t="s">
        <v>253</v>
      </c>
    </row>
    <row r="6672" spans="2:14">
      <c r="B6672" s="268"/>
      <c r="C6672" s="269"/>
      <c r="D6672" s="269"/>
      <c r="E6672" s="269"/>
      <c r="F6672" s="269"/>
      <c r="G6672" s="269"/>
      <c r="H6672" s="269"/>
      <c r="I6672" s="269"/>
      <c r="J6672" s="269"/>
      <c r="K6672" s="270"/>
      <c r="L6672" s="271"/>
      <c r="M6672" s="271"/>
      <c r="N6672" s="272"/>
    </row>
    <row r="6673" spans="2:14">
      <c r="B6673" s="1065" t="s">
        <v>254</v>
      </c>
      <c r="C6673" s="1066"/>
      <c r="D6673" s="1066"/>
      <c r="E6673" s="1066"/>
      <c r="F6673" s="269"/>
      <c r="G6673" s="269"/>
      <c r="H6673" s="269" t="s">
        <v>255</v>
      </c>
      <c r="J6673" s="269"/>
      <c r="K6673" s="270"/>
      <c r="N6673" s="273"/>
    </row>
    <row r="6674" spans="2:14">
      <c r="B6674" s="274"/>
      <c r="C6674" s="275"/>
      <c r="D6674" s="275"/>
      <c r="E6674" s="275"/>
      <c r="F6674" s="275"/>
      <c r="G6674" s="275"/>
      <c r="H6674" s="275"/>
      <c r="I6674" s="275"/>
      <c r="J6674" s="275"/>
      <c r="K6674" s="275"/>
      <c r="L6674" s="275"/>
      <c r="M6674" s="275"/>
      <c r="N6674" s="276"/>
    </row>
    <row r="6675" spans="2:14" ht="13.5" thickBot="1">
      <c r="B6675" s="277"/>
      <c r="C6675" s="278"/>
      <c r="D6675" s="278"/>
      <c r="E6675" s="278"/>
      <c r="F6675" s="278"/>
      <c r="G6675" s="278"/>
      <c r="H6675" s="278"/>
      <c r="I6675" s="278"/>
      <c r="J6675" s="278"/>
      <c r="K6675" s="278"/>
      <c r="L6675" s="278"/>
      <c r="M6675" s="278"/>
      <c r="N6675" s="279"/>
    </row>
    <row r="6676" spans="2:14" ht="13.5" thickBot="1">
      <c r="B6676" s="280"/>
      <c r="C6676" s="281"/>
      <c r="D6676" s="281"/>
      <c r="E6676" s="281"/>
      <c r="F6676" s="281"/>
      <c r="G6676" s="281"/>
      <c r="J6676" s="281"/>
      <c r="K6676" s="281"/>
      <c r="L6676" s="281"/>
      <c r="M6676" s="281"/>
      <c r="N6676" s="282"/>
    </row>
    <row r="6677" spans="2:14">
      <c r="B6677" s="1067" t="s">
        <v>256</v>
      </c>
      <c r="C6677" s="1068"/>
      <c r="D6677" s="1068"/>
      <c r="E6677" s="1068"/>
      <c r="F6677" s="1068"/>
      <c r="G6677" s="1068"/>
      <c r="H6677" s="1068"/>
      <c r="I6677" s="1068"/>
      <c r="J6677" s="1068"/>
      <c r="K6677" s="1068"/>
      <c r="L6677" s="1068"/>
      <c r="M6677" s="1068"/>
      <c r="N6677" s="1069"/>
    </row>
    <row r="6678" spans="2:14" ht="13.5" thickBot="1">
      <c r="B6678" s="283"/>
      <c r="N6678" s="284"/>
    </row>
    <row r="6679" spans="2:14">
      <c r="B6679" s="285" t="s">
        <v>257</v>
      </c>
      <c r="C6679" s="1120" t="s">
        <v>258</v>
      </c>
      <c r="D6679" s="1121"/>
      <c r="E6679" s="1121"/>
      <c r="F6679" s="1121"/>
      <c r="G6679" s="1121"/>
      <c r="H6679" s="1121"/>
      <c r="I6679" s="1121"/>
      <c r="J6679" s="1121"/>
      <c r="K6679" s="1122"/>
      <c r="L6679" s="1123" t="s">
        <v>259</v>
      </c>
      <c r="M6679" s="1124"/>
      <c r="N6679" s="285" t="s">
        <v>133</v>
      </c>
    </row>
    <row r="6680" spans="2:14" ht="41.25" customHeight="1" thickBot="1">
      <c r="B6680" s="286">
        <v>76</v>
      </c>
      <c r="C6680" s="1125" t="s">
        <v>422</v>
      </c>
      <c r="D6680" s="1126"/>
      <c r="E6680" s="1126"/>
      <c r="F6680" s="1126"/>
      <c r="G6680" s="1126"/>
      <c r="H6680" s="1126"/>
      <c r="I6680" s="1126"/>
      <c r="J6680" s="1126"/>
      <c r="K6680" s="1127"/>
      <c r="L6680" s="1128" t="s">
        <v>196</v>
      </c>
      <c r="M6680" s="1129"/>
      <c r="N6680" s="366">
        <v>4</v>
      </c>
    </row>
    <row r="6681" spans="2:14">
      <c r="B6681" s="1103" t="s">
        <v>260</v>
      </c>
      <c r="C6681" s="1104"/>
      <c r="D6681" s="1104"/>
      <c r="E6681" s="1104"/>
      <c r="F6681" s="1104"/>
      <c r="G6681" s="1104"/>
      <c r="H6681" s="1104"/>
      <c r="I6681" s="1104"/>
      <c r="J6681" s="1104"/>
      <c r="K6681" s="1104"/>
      <c r="L6681" s="1104"/>
      <c r="M6681" s="1104"/>
      <c r="N6681" s="1105"/>
    </row>
    <row r="6682" spans="2:14">
      <c r="B6682" s="1106"/>
      <c r="C6682" s="1107"/>
      <c r="D6682" s="1107"/>
      <c r="E6682" s="1107"/>
      <c r="F6682" s="1107"/>
      <c r="G6682" s="1107"/>
      <c r="H6682" s="1107"/>
      <c r="I6682" s="1107"/>
      <c r="J6682" s="1107"/>
      <c r="K6682" s="1107"/>
      <c r="L6682" s="1107"/>
      <c r="M6682" s="1107"/>
      <c r="N6682" s="1108"/>
    </row>
    <row r="6683" spans="2:14" ht="13.5" thickBot="1">
      <c r="B6683" s="1109"/>
      <c r="C6683" s="1110"/>
      <c r="D6683" s="1110"/>
      <c r="E6683" s="1110"/>
      <c r="F6683" s="1110"/>
      <c r="G6683" s="1110"/>
      <c r="H6683" s="1110"/>
      <c r="I6683" s="1110"/>
      <c r="J6683" s="1110"/>
      <c r="K6683" s="1110"/>
      <c r="L6683" s="1110"/>
      <c r="M6683" s="1110"/>
      <c r="N6683" s="1111"/>
    </row>
    <row r="6684" spans="2:14">
      <c r="B6684" s="1130" t="s">
        <v>258</v>
      </c>
      <c r="C6684" s="1131"/>
      <c r="D6684" s="1131"/>
      <c r="E6684" s="1131"/>
      <c r="F6684" s="1132"/>
      <c r="G6684" s="1133" t="s">
        <v>261</v>
      </c>
      <c r="H6684" s="1131"/>
      <c r="I6684" s="1134" t="s">
        <v>262</v>
      </c>
      <c r="J6684" s="1135"/>
      <c r="K6684" s="288" t="s">
        <v>263</v>
      </c>
      <c r="L6684" s="1133" t="s">
        <v>264</v>
      </c>
      <c r="M6684" s="1136"/>
      <c r="N6684" s="289" t="s">
        <v>265</v>
      </c>
    </row>
    <row r="6685" spans="2:14" ht="13.5" thickBot="1">
      <c r="B6685" s="1179"/>
      <c r="C6685" s="1180"/>
      <c r="D6685" s="1180"/>
      <c r="E6685" s="1180"/>
      <c r="F6685" s="1181"/>
      <c r="G6685" s="295"/>
      <c r="H6685" s="294"/>
      <c r="I6685" s="1182"/>
      <c r="J6685" s="1183"/>
      <c r="K6685" s="290"/>
      <c r="L6685" s="1118"/>
      <c r="M6685" s="1119"/>
      <c r="N6685" s="290"/>
    </row>
    <row r="6686" spans="2:14" ht="13.5" thickBot="1">
      <c r="B6686" s="1100" t="s">
        <v>269</v>
      </c>
      <c r="C6686" s="1101"/>
      <c r="D6686" s="1101"/>
      <c r="E6686" s="1101"/>
      <c r="F6686" s="1101"/>
      <c r="G6686" s="1101"/>
      <c r="H6686" s="1101"/>
      <c r="I6686" s="1101"/>
      <c r="J6686" s="1101"/>
      <c r="K6686" s="1101"/>
      <c r="L6686" s="1101"/>
      <c r="M6686" s="1102"/>
      <c r="N6686" s="323">
        <f>+N6685</f>
        <v>0</v>
      </c>
    </row>
    <row r="6687" spans="2:14">
      <c r="B6687" s="1103" t="s">
        <v>270</v>
      </c>
      <c r="C6687" s="1104"/>
      <c r="D6687" s="1104"/>
      <c r="E6687" s="1104"/>
      <c r="F6687" s="1104"/>
      <c r="G6687" s="1104"/>
      <c r="H6687" s="1104"/>
      <c r="I6687" s="1104"/>
      <c r="J6687" s="1104"/>
      <c r="K6687" s="1104"/>
      <c r="L6687" s="1104"/>
      <c r="M6687" s="1104"/>
      <c r="N6687" s="1105"/>
    </row>
    <row r="6688" spans="2:14">
      <c r="B6688" s="1106"/>
      <c r="C6688" s="1107"/>
      <c r="D6688" s="1107"/>
      <c r="E6688" s="1107"/>
      <c r="F6688" s="1107"/>
      <c r="G6688" s="1107"/>
      <c r="H6688" s="1107"/>
      <c r="I6688" s="1107"/>
      <c r="J6688" s="1107"/>
      <c r="K6688" s="1107"/>
      <c r="L6688" s="1107"/>
      <c r="M6688" s="1107"/>
      <c r="N6688" s="1108"/>
    </row>
    <row r="6689" spans="2:14" ht="13.5" thickBot="1">
      <c r="B6689" s="1109"/>
      <c r="C6689" s="1110"/>
      <c r="D6689" s="1110"/>
      <c r="E6689" s="1110"/>
      <c r="F6689" s="1110"/>
      <c r="G6689" s="1110"/>
      <c r="H6689" s="1110"/>
      <c r="I6689" s="1110"/>
      <c r="J6689" s="1110"/>
      <c r="K6689" s="1110"/>
      <c r="L6689" s="1110"/>
      <c r="M6689" s="1110"/>
      <c r="N6689" s="1111"/>
    </row>
    <row r="6690" spans="2:14">
      <c r="B6690" s="1130" t="s">
        <v>258</v>
      </c>
      <c r="C6690" s="1139"/>
      <c r="D6690" s="1139"/>
      <c r="E6690" s="1139"/>
      <c r="F6690" s="1139"/>
      <c r="G6690" s="1139"/>
      <c r="H6690" s="1139"/>
      <c r="I6690" s="1136"/>
      <c r="J6690" s="299" t="s">
        <v>259</v>
      </c>
      <c r="K6690" s="288" t="s">
        <v>133</v>
      </c>
      <c r="L6690" s="1133" t="s">
        <v>271</v>
      </c>
      <c r="M6690" s="1136"/>
      <c r="N6690" s="289" t="s">
        <v>265</v>
      </c>
    </row>
    <row r="6691" spans="2:14">
      <c r="B6691" s="402" t="s">
        <v>342</v>
      </c>
      <c r="C6691" s="353"/>
      <c r="D6691" s="353"/>
      <c r="E6691" s="353"/>
      <c r="F6691" s="353"/>
      <c r="G6691" s="353"/>
      <c r="H6691" s="353"/>
      <c r="I6691" s="403"/>
      <c r="J6691" s="303" t="s">
        <v>147</v>
      </c>
      <c r="K6691" s="392">
        <v>0.51</v>
      </c>
      <c r="L6691" s="1144">
        <v>337058</v>
      </c>
      <c r="M6691" s="1145"/>
      <c r="N6691" s="363">
        <f>+K6691*L6691</f>
        <v>171899.58000000002</v>
      </c>
    </row>
    <row r="6692" spans="2:14">
      <c r="B6692" s="402" t="s">
        <v>423</v>
      </c>
      <c r="C6692" s="353"/>
      <c r="D6692" s="353"/>
      <c r="E6692" s="353"/>
      <c r="F6692" s="353"/>
      <c r="G6692" s="353"/>
      <c r="H6692" s="353"/>
      <c r="I6692" s="403"/>
      <c r="J6692" s="303" t="s">
        <v>196</v>
      </c>
      <c r="K6692" s="392">
        <v>1</v>
      </c>
      <c r="L6692" s="1144">
        <v>110000</v>
      </c>
      <c r="M6692" s="1145"/>
      <c r="N6692" s="363">
        <f>+K6692*L6692</f>
        <v>110000</v>
      </c>
    </row>
    <row r="6693" spans="2:14" ht="13.5" thickBot="1">
      <c r="B6693" s="402" t="s">
        <v>332</v>
      </c>
      <c r="C6693" s="353"/>
      <c r="D6693" s="353"/>
      <c r="E6693" s="353"/>
      <c r="F6693" s="353"/>
      <c r="G6693" s="353"/>
      <c r="H6693" s="353"/>
      <c r="I6693" s="403"/>
      <c r="J6693" s="303" t="s">
        <v>196</v>
      </c>
      <c r="K6693" s="392">
        <v>2</v>
      </c>
      <c r="L6693" s="1144">
        <v>10710</v>
      </c>
      <c r="M6693" s="1145"/>
      <c r="N6693" s="363">
        <f>+K6693*L6693</f>
        <v>21420</v>
      </c>
    </row>
    <row r="6694" spans="2:14" ht="13.5" thickBot="1">
      <c r="B6694" s="1100" t="s">
        <v>269</v>
      </c>
      <c r="C6694" s="1101"/>
      <c r="D6694" s="1101"/>
      <c r="E6694" s="1101"/>
      <c r="F6694" s="1101"/>
      <c r="G6694" s="1101"/>
      <c r="H6694" s="1101"/>
      <c r="I6694" s="1101"/>
      <c r="J6694" s="1101"/>
      <c r="K6694" s="1101"/>
      <c r="L6694" s="1101"/>
      <c r="M6694" s="1102"/>
      <c r="N6694" s="323">
        <f>+N6691+N6692+N6693</f>
        <v>303319.58</v>
      </c>
    </row>
    <row r="6695" spans="2:14">
      <c r="B6695" s="1103" t="s">
        <v>367</v>
      </c>
      <c r="C6695" s="1104"/>
      <c r="D6695" s="1104"/>
      <c r="E6695" s="1104"/>
      <c r="F6695" s="1104"/>
      <c r="G6695" s="1104"/>
      <c r="H6695" s="1104"/>
      <c r="I6695" s="1104"/>
      <c r="J6695" s="1104"/>
      <c r="K6695" s="1104"/>
      <c r="L6695" s="1104"/>
      <c r="M6695" s="1104"/>
      <c r="N6695" s="1105"/>
    </row>
    <row r="6696" spans="2:14">
      <c r="B6696" s="1106"/>
      <c r="C6696" s="1107"/>
      <c r="D6696" s="1107"/>
      <c r="E6696" s="1107"/>
      <c r="F6696" s="1107"/>
      <c r="G6696" s="1107"/>
      <c r="H6696" s="1107"/>
      <c r="I6696" s="1107"/>
      <c r="J6696" s="1107"/>
      <c r="K6696" s="1107"/>
      <c r="L6696" s="1107"/>
      <c r="M6696" s="1107"/>
      <c r="N6696" s="1108"/>
    </row>
    <row r="6697" spans="2:14" ht="13.5" thickBot="1">
      <c r="B6697" s="1109"/>
      <c r="C6697" s="1110"/>
      <c r="D6697" s="1110"/>
      <c r="E6697" s="1110"/>
      <c r="F6697" s="1110"/>
      <c r="G6697" s="1110"/>
      <c r="H6697" s="1110"/>
      <c r="I6697" s="1110"/>
      <c r="J6697" s="1110"/>
      <c r="K6697" s="1110"/>
      <c r="L6697" s="1110"/>
      <c r="M6697" s="1110"/>
      <c r="N6697" s="1111"/>
    </row>
    <row r="6698" spans="2:14">
      <c r="B6698" s="1130" t="s">
        <v>277</v>
      </c>
      <c r="C6698" s="1139"/>
      <c r="D6698" s="1139"/>
      <c r="E6698" s="1139"/>
      <c r="F6698" s="1139"/>
      <c r="G6698" s="1139"/>
      <c r="H6698" s="1139"/>
      <c r="I6698" s="288" t="s">
        <v>278</v>
      </c>
      <c r="J6698" s="306" t="s">
        <v>279</v>
      </c>
      <c r="K6698" s="307" t="s">
        <v>280</v>
      </c>
      <c r="L6698" s="1133" t="s">
        <v>281</v>
      </c>
      <c r="M6698" s="1136"/>
      <c r="N6698" s="289" t="s">
        <v>265</v>
      </c>
    </row>
    <row r="6699" spans="2:14" ht="13.5" thickBot="1">
      <c r="B6699" s="1112"/>
      <c r="C6699" s="1113"/>
      <c r="D6699" s="1113"/>
      <c r="E6699" s="1113"/>
      <c r="F6699" s="1113"/>
      <c r="G6699" s="1113"/>
      <c r="H6699" s="1113"/>
      <c r="I6699" s="393"/>
      <c r="J6699" s="309"/>
      <c r="K6699" s="308"/>
      <c r="L6699" s="1144"/>
      <c r="M6699" s="1145"/>
      <c r="N6699" s="363"/>
    </row>
    <row r="6700" spans="2:14" ht="13.5" thickBot="1">
      <c r="B6700" s="1100" t="s">
        <v>269</v>
      </c>
      <c r="C6700" s="1101"/>
      <c r="D6700" s="1101"/>
      <c r="E6700" s="1101"/>
      <c r="F6700" s="1101"/>
      <c r="G6700" s="1101"/>
      <c r="H6700" s="1101"/>
      <c r="I6700" s="1101"/>
      <c r="J6700" s="1101"/>
      <c r="K6700" s="1101"/>
      <c r="L6700" s="1101"/>
      <c r="M6700" s="1102"/>
      <c r="N6700" s="323">
        <f>+N6699</f>
        <v>0</v>
      </c>
    </row>
    <row r="6701" spans="2:14">
      <c r="B6701" s="1103" t="s">
        <v>282</v>
      </c>
      <c r="C6701" s="1104"/>
      <c r="D6701" s="1104"/>
      <c r="E6701" s="1104"/>
      <c r="F6701" s="1104"/>
      <c r="G6701" s="1104"/>
      <c r="H6701" s="1104"/>
      <c r="I6701" s="1104"/>
      <c r="J6701" s="1104"/>
      <c r="K6701" s="1104"/>
      <c r="L6701" s="1104"/>
      <c r="M6701" s="1104"/>
      <c r="N6701" s="1105"/>
    </row>
    <row r="6702" spans="2:14">
      <c r="B6702" s="1106"/>
      <c r="C6702" s="1107"/>
      <c r="D6702" s="1107"/>
      <c r="E6702" s="1107"/>
      <c r="F6702" s="1107"/>
      <c r="G6702" s="1107"/>
      <c r="H6702" s="1107"/>
      <c r="I6702" s="1107"/>
      <c r="J6702" s="1107"/>
      <c r="K6702" s="1107"/>
      <c r="L6702" s="1107"/>
      <c r="M6702" s="1107"/>
      <c r="N6702" s="1108"/>
    </row>
    <row r="6703" spans="2:14" ht="13.5" thickBot="1">
      <c r="B6703" s="1109"/>
      <c r="C6703" s="1110"/>
      <c r="D6703" s="1110"/>
      <c r="E6703" s="1110"/>
      <c r="F6703" s="1110"/>
      <c r="G6703" s="1110"/>
      <c r="H6703" s="1110"/>
      <c r="I6703" s="1110"/>
      <c r="J6703" s="1110"/>
      <c r="K6703" s="1110"/>
      <c r="L6703" s="1110"/>
      <c r="M6703" s="1110"/>
      <c r="N6703" s="1111"/>
    </row>
    <row r="6704" spans="2:14">
      <c r="B6704" s="1130" t="s">
        <v>283</v>
      </c>
      <c r="C6704" s="1139"/>
      <c r="D6704" s="1139"/>
      <c r="E6704" s="1139"/>
      <c r="F6704" s="1139"/>
      <c r="G6704" s="1139"/>
      <c r="H6704" s="1139"/>
      <c r="I6704" s="288" t="s">
        <v>284</v>
      </c>
      <c r="J6704" s="314" t="s">
        <v>285</v>
      </c>
      <c r="K6704" s="315" t="s">
        <v>286</v>
      </c>
      <c r="L6704" s="1140" t="s">
        <v>264</v>
      </c>
      <c r="M6704" s="1141"/>
      <c r="N6704" s="316" t="s">
        <v>265</v>
      </c>
    </row>
    <row r="6705" spans="2:17" ht="13.5" thickBot="1">
      <c r="B6705" s="317" t="s">
        <v>322</v>
      </c>
      <c r="C6705" s="318"/>
      <c r="D6705" s="318"/>
      <c r="E6705" s="318"/>
      <c r="F6705" s="318"/>
      <c r="G6705" s="318"/>
      <c r="H6705" s="318"/>
      <c r="I6705" s="319">
        <v>153482</v>
      </c>
      <c r="J6705" s="321">
        <v>0</v>
      </c>
      <c r="K6705" s="321">
        <f>+I6705+J6705</f>
        <v>153482</v>
      </c>
      <c r="L6705" s="1157">
        <v>1.2987010000000001</v>
      </c>
      <c r="M6705" s="1158"/>
      <c r="N6705" s="322">
        <f>+K6705/L6705</f>
        <v>118181.16718166844</v>
      </c>
    </row>
    <row r="6706" spans="2:17" ht="13.5" thickBot="1">
      <c r="B6706" s="1100" t="s">
        <v>269</v>
      </c>
      <c r="C6706" s="1101"/>
      <c r="D6706" s="1101"/>
      <c r="E6706" s="1101"/>
      <c r="F6706" s="1101"/>
      <c r="G6706" s="1101"/>
      <c r="H6706" s="1101"/>
      <c r="I6706" s="1101"/>
      <c r="J6706" s="1101"/>
      <c r="K6706" s="1101"/>
      <c r="L6706" s="1101"/>
      <c r="M6706" s="1102"/>
      <c r="N6706" s="322">
        <f>+N6705</f>
        <v>118181.16718166844</v>
      </c>
    </row>
    <row r="6707" spans="2:17" ht="13.5" thickBot="1">
      <c r="B6707" s="324" t="s">
        <v>288</v>
      </c>
      <c r="C6707" s="325"/>
      <c r="D6707" s="325"/>
      <c r="E6707" s="325"/>
      <c r="F6707" s="325"/>
      <c r="G6707" s="325"/>
      <c r="H6707" s="325"/>
      <c r="I6707" s="326"/>
      <c r="J6707" s="327"/>
      <c r="K6707" s="328"/>
      <c r="L6707" s="329"/>
      <c r="M6707" s="329"/>
      <c r="N6707" s="330"/>
    </row>
    <row r="6708" spans="2:17">
      <c r="B6708" s="1130" t="s">
        <v>17</v>
      </c>
      <c r="C6708" s="1139"/>
      <c r="D6708" s="1139"/>
      <c r="E6708" s="1139"/>
      <c r="F6708" s="1139"/>
      <c r="G6708" s="1139"/>
      <c r="H6708" s="1139"/>
      <c r="I6708" s="1136"/>
      <c r="J6708" s="299" t="s">
        <v>259</v>
      </c>
      <c r="K6708" s="288" t="s">
        <v>133</v>
      </c>
      <c r="L6708" s="1133" t="s">
        <v>271</v>
      </c>
      <c r="M6708" s="1136"/>
      <c r="N6708" s="316" t="s">
        <v>265</v>
      </c>
    </row>
    <row r="6709" spans="2:17" ht="13.5" thickBot="1">
      <c r="B6709" s="331" t="s">
        <v>289</v>
      </c>
      <c r="C6709" s="332"/>
      <c r="D6709" s="332"/>
      <c r="E6709" s="332"/>
      <c r="F6709" s="332"/>
      <c r="G6709" s="332"/>
      <c r="H6709" s="332"/>
      <c r="I6709" s="333"/>
      <c r="J6709" s="334" t="s">
        <v>290</v>
      </c>
      <c r="K6709" s="335">
        <v>0.05</v>
      </c>
      <c r="L6709" s="1144">
        <f>+N6706</f>
        <v>118181.16718166844</v>
      </c>
      <c r="M6709" s="1145"/>
      <c r="N6709" s="322">
        <f>+K6709*L6709</f>
        <v>5909.0583590834221</v>
      </c>
    </row>
    <row r="6710" spans="2:17" ht="13.5" thickBot="1">
      <c r="B6710" s="1100" t="s">
        <v>269</v>
      </c>
      <c r="C6710" s="1101"/>
      <c r="D6710" s="1101"/>
      <c r="E6710" s="1101"/>
      <c r="F6710" s="1101"/>
      <c r="G6710" s="1101"/>
      <c r="H6710" s="1101"/>
      <c r="I6710" s="1101"/>
      <c r="J6710" s="1101"/>
      <c r="K6710" s="1101"/>
      <c r="L6710" s="1101"/>
      <c r="M6710" s="1102"/>
      <c r="N6710" s="322">
        <f>+N6709</f>
        <v>5909.0583590834221</v>
      </c>
      <c r="P6710" s="408">
        <v>1709640</v>
      </c>
    </row>
    <row r="6711" spans="2:17" ht="13.5" thickBot="1">
      <c r="B6711" s="1100"/>
      <c r="C6711" s="1101"/>
      <c r="D6711" s="1101"/>
      <c r="E6711" s="1101"/>
      <c r="F6711" s="1101"/>
      <c r="G6711" s="1101"/>
      <c r="H6711" s="1101"/>
      <c r="I6711" s="1101"/>
      <c r="J6711" s="1101"/>
      <c r="K6711" s="1101"/>
      <c r="L6711" s="1101"/>
      <c r="M6711" s="1102"/>
      <c r="N6711" s="322"/>
    </row>
    <row r="6712" spans="2:17" ht="13.5" thickBot="1">
      <c r="B6712" s="1150" t="s">
        <v>291</v>
      </c>
      <c r="C6712" s="1151"/>
      <c r="D6712" s="1151"/>
      <c r="E6712" s="1151"/>
      <c r="F6712" s="1151"/>
      <c r="G6712" s="1151"/>
      <c r="H6712" s="1151"/>
      <c r="I6712" s="1151"/>
      <c r="J6712" s="1151"/>
      <c r="K6712" s="1151"/>
      <c r="L6712" s="1151"/>
      <c r="M6712" s="1152"/>
      <c r="N6712" s="336">
        <f>+N6686+N6694+N6700+N6706+N6710</f>
        <v>427409.8055407519</v>
      </c>
      <c r="P6712" s="258">
        <f>+N6712*N6680</f>
        <v>1709639.2221630076</v>
      </c>
      <c r="Q6712" s="413">
        <f>+P6712-P6710</f>
        <v>-0.77783699240535498</v>
      </c>
    </row>
    <row r="6713" spans="2:17">
      <c r="B6713" s="1103" t="s">
        <v>292</v>
      </c>
      <c r="C6713" s="1104"/>
      <c r="D6713" s="1104"/>
      <c r="E6713" s="1104"/>
      <c r="F6713" s="1104"/>
      <c r="G6713" s="1104"/>
      <c r="H6713" s="1104"/>
      <c r="I6713" s="1104"/>
      <c r="J6713" s="1104"/>
      <c r="K6713" s="1104"/>
      <c r="L6713" s="1104"/>
      <c r="M6713" s="1104"/>
      <c r="N6713" s="1105"/>
    </row>
    <row r="6714" spans="2:17">
      <c r="B6714" s="1106"/>
      <c r="C6714" s="1107"/>
      <c r="D6714" s="1107"/>
      <c r="E6714" s="1107"/>
      <c r="F6714" s="1107"/>
      <c r="G6714" s="1107"/>
      <c r="H6714" s="1107"/>
      <c r="I6714" s="1107"/>
      <c r="J6714" s="1107"/>
      <c r="K6714" s="1107"/>
      <c r="L6714" s="1107"/>
      <c r="M6714" s="1107"/>
      <c r="N6714" s="1108"/>
    </row>
    <row r="6715" spans="2:17" ht="13.5" thickBot="1">
      <c r="B6715" s="1109"/>
      <c r="C6715" s="1110"/>
      <c r="D6715" s="1110"/>
      <c r="E6715" s="1110"/>
      <c r="F6715" s="1110"/>
      <c r="G6715" s="1110"/>
      <c r="H6715" s="1110"/>
      <c r="I6715" s="1110"/>
      <c r="J6715" s="1110"/>
      <c r="K6715" s="1110"/>
      <c r="L6715" s="1110"/>
      <c r="M6715" s="1110"/>
      <c r="N6715" s="1111"/>
    </row>
    <row r="6716" spans="2:17">
      <c r="B6716" s="1130" t="s">
        <v>17</v>
      </c>
      <c r="C6716" s="1139"/>
      <c r="D6716" s="1139"/>
      <c r="E6716" s="1139"/>
      <c r="F6716" s="1139"/>
      <c r="G6716" s="1139"/>
      <c r="H6716" s="1139"/>
      <c r="I6716" s="306"/>
      <c r="J6716" s="337"/>
      <c r="K6716" s="315" t="s">
        <v>79</v>
      </c>
      <c r="L6716" s="1140" t="s">
        <v>11</v>
      </c>
      <c r="M6716" s="1141"/>
      <c r="N6716" s="316"/>
    </row>
    <row r="6717" spans="2:17">
      <c r="B6717" s="1112" t="s">
        <v>232</v>
      </c>
      <c r="C6717" s="1113"/>
      <c r="D6717" s="1113"/>
      <c r="E6717" s="1113"/>
      <c r="F6717" s="1113"/>
      <c r="G6717" s="1113"/>
      <c r="H6717" s="1113"/>
      <c r="I6717" s="338"/>
      <c r="J6717" s="339"/>
      <c r="K6717" s="340">
        <f>'PRESUPUESTO OFICIAL'!$K$100</f>
        <v>0</v>
      </c>
      <c r="L6717" s="1146">
        <f>K6717*N6712</f>
        <v>0</v>
      </c>
      <c r="M6717" s="1147"/>
      <c r="N6717" s="341"/>
    </row>
    <row r="6718" spans="2:17">
      <c r="B6718" s="292" t="s">
        <v>293</v>
      </c>
      <c r="C6718" s="293"/>
      <c r="D6718" s="293"/>
      <c r="E6718" s="293"/>
      <c r="F6718" s="293"/>
      <c r="G6718" s="293"/>
      <c r="H6718" s="293"/>
      <c r="I6718" s="338"/>
      <c r="J6718" s="339"/>
      <c r="K6718" s="340">
        <f>'PRESUPUESTO OFICIAL'!$K$101</f>
        <v>0</v>
      </c>
      <c r="L6718" s="1146">
        <f>K6718*N6712</f>
        <v>0</v>
      </c>
      <c r="M6718" s="1147"/>
      <c r="N6718" s="341"/>
    </row>
    <row r="6719" spans="2:17" ht="13.5" thickBot="1">
      <c r="B6719" s="277" t="s">
        <v>294</v>
      </c>
      <c r="C6719" s="278"/>
      <c r="D6719" s="278"/>
      <c r="E6719" s="278"/>
      <c r="F6719" s="278"/>
      <c r="G6719" s="278"/>
      <c r="H6719" s="278"/>
      <c r="I6719" s="342"/>
      <c r="J6719" s="343"/>
      <c r="K6719" s="340">
        <f>'PRESUPUESTO OFICIAL'!$K$102</f>
        <v>0</v>
      </c>
      <c r="L6719" s="1148">
        <f>K6719*N6712</f>
        <v>0</v>
      </c>
      <c r="M6719" s="1149"/>
      <c r="N6719" s="341"/>
    </row>
    <row r="6720" spans="2:17" ht="13.5" thickBot="1">
      <c r="B6720" s="1100" t="s">
        <v>269</v>
      </c>
      <c r="C6720" s="1101"/>
      <c r="D6720" s="1101"/>
      <c r="E6720" s="1101"/>
      <c r="F6720" s="1101"/>
      <c r="G6720" s="1101"/>
      <c r="H6720" s="1101"/>
      <c r="I6720" s="1101"/>
      <c r="J6720" s="1101"/>
      <c r="K6720" s="1101"/>
      <c r="L6720" s="1101"/>
      <c r="M6720" s="1102"/>
      <c r="N6720" s="344">
        <f>SUM(L6717:M6719)</f>
        <v>0</v>
      </c>
    </row>
    <row r="6721" spans="2:14" ht="13.5" thickBot="1">
      <c r="B6721" s="283"/>
      <c r="N6721" s="284"/>
    </row>
    <row r="6722" spans="2:14" ht="13.5" thickBot="1">
      <c r="B6722" s="1150" t="s">
        <v>295</v>
      </c>
      <c r="C6722" s="1151"/>
      <c r="D6722" s="1151"/>
      <c r="E6722" s="1151"/>
      <c r="F6722" s="1151"/>
      <c r="G6722" s="1151"/>
      <c r="H6722" s="1151"/>
      <c r="I6722" s="1151"/>
      <c r="J6722" s="1151"/>
      <c r="K6722" s="1151"/>
      <c r="L6722" s="1151"/>
      <c r="M6722" s="1152"/>
      <c r="N6722" s="345">
        <f>ROUND(N6712+N6720,0)</f>
        <v>427410</v>
      </c>
    </row>
    <row r="6723" spans="2:14">
      <c r="B6723" s="280"/>
      <c r="C6723" s="281"/>
      <c r="D6723" s="281"/>
      <c r="E6723" s="281"/>
      <c r="F6723" s="281"/>
      <c r="G6723" s="281"/>
      <c r="H6723" s="281"/>
      <c r="I6723" s="281"/>
      <c r="J6723" s="281"/>
      <c r="K6723" s="281"/>
      <c r="L6723" s="281"/>
      <c r="M6723" s="281"/>
      <c r="N6723" s="282"/>
    </row>
    <row r="6724" spans="2:14">
      <c r="B6724" s="283"/>
      <c r="N6724" s="284"/>
    </row>
    <row r="6725" spans="2:14">
      <c r="B6725" s="283"/>
      <c r="N6725" s="284"/>
    </row>
    <row r="6726" spans="2:14">
      <c r="B6726" s="283"/>
      <c r="G6726" s="346" t="s">
        <v>296</v>
      </c>
      <c r="H6726" s="346"/>
      <c r="I6726" s="346"/>
      <c r="J6726" s="346"/>
      <c r="N6726" s="284"/>
    </row>
    <row r="6727" spans="2:14">
      <c r="B6727" s="347"/>
      <c r="C6727" s="348"/>
      <c r="D6727" s="348"/>
      <c r="E6727" s="348"/>
      <c r="F6727" s="348"/>
      <c r="G6727" s="346" t="s">
        <v>297</v>
      </c>
      <c r="H6727" s="348"/>
      <c r="I6727" s="348"/>
      <c r="J6727" s="348"/>
      <c r="K6727" s="348"/>
      <c r="L6727" s="348"/>
      <c r="M6727" s="348"/>
      <c r="N6727" s="349"/>
    </row>
    <row r="6728" spans="2:14">
      <c r="B6728" s="347"/>
      <c r="C6728" s="348"/>
      <c r="D6728" s="348"/>
      <c r="E6728" s="348"/>
      <c r="F6728" s="348"/>
      <c r="G6728" s="346" t="s">
        <v>298</v>
      </c>
      <c r="J6728" s="348"/>
      <c r="K6728" s="348"/>
      <c r="L6728" s="348"/>
      <c r="M6728" s="348"/>
      <c r="N6728" s="349"/>
    </row>
    <row r="6729" spans="2:14">
      <c r="B6729" s="268"/>
      <c r="C6729" s="350"/>
      <c r="D6729" s="350"/>
      <c r="E6729" s="350"/>
      <c r="F6729" s="350"/>
      <c r="G6729" s="346" t="s">
        <v>299</v>
      </c>
      <c r="H6729" s="350"/>
      <c r="I6729" s="350"/>
      <c r="J6729" s="350"/>
      <c r="K6729" s="350"/>
      <c r="L6729" s="350"/>
      <c r="M6729" s="350"/>
      <c r="N6729" s="351"/>
    </row>
    <row r="6730" spans="2:14">
      <c r="B6730" s="283"/>
      <c r="G6730" s="258" t="s">
        <v>300</v>
      </c>
      <c r="N6730" s="284"/>
    </row>
    <row r="6731" spans="2:14">
      <c r="B6731" s="352" t="s">
        <v>301</v>
      </c>
      <c r="C6731" s="353"/>
      <c r="D6731" s="353"/>
      <c r="E6731" s="353"/>
      <c r="F6731" s="353"/>
      <c r="G6731" s="353"/>
      <c r="H6731" s="353"/>
      <c r="I6731" s="353"/>
      <c r="J6731" s="353"/>
      <c r="K6731" s="353"/>
      <c r="L6731" s="353"/>
      <c r="M6731" s="353"/>
      <c r="N6731" s="354"/>
    </row>
    <row r="6732" spans="2:14">
      <c r="B6732" s="1153"/>
      <c r="C6732" s="1154"/>
      <c r="D6732" s="1154"/>
      <c r="E6732" s="1154"/>
      <c r="F6732" s="1154"/>
      <c r="G6732" s="1154"/>
      <c r="H6732" s="1154"/>
      <c r="I6732" s="1154"/>
      <c r="J6732" s="1154"/>
      <c r="K6732" s="1154"/>
      <c r="L6732" s="1154"/>
      <c r="M6732" s="1154"/>
      <c r="N6732" s="1155"/>
    </row>
    <row r="6733" spans="2:14">
      <c r="B6733" s="1153"/>
      <c r="C6733" s="1154"/>
      <c r="D6733" s="1154"/>
      <c r="E6733" s="1154"/>
      <c r="F6733" s="1154"/>
      <c r="G6733" s="1154"/>
      <c r="H6733" s="1154"/>
      <c r="I6733" s="1154"/>
      <c r="J6733" s="1154"/>
      <c r="K6733" s="1154"/>
      <c r="L6733" s="1154"/>
      <c r="M6733" s="1154"/>
      <c r="N6733" s="1155"/>
    </row>
    <row r="6734" spans="2:14">
      <c r="B6734" s="268"/>
      <c r="C6734" s="350"/>
      <c r="D6734" s="350"/>
      <c r="E6734" s="350"/>
      <c r="F6734" s="350"/>
      <c r="G6734" s="350"/>
      <c r="H6734" s="350"/>
      <c r="I6734" s="350"/>
      <c r="J6734" s="350"/>
      <c r="K6734" s="350"/>
      <c r="L6734" s="350"/>
      <c r="M6734" s="350"/>
      <c r="N6734" s="351"/>
    </row>
    <row r="6735" spans="2:14">
      <c r="B6735" s="355" t="s">
        <v>302</v>
      </c>
      <c r="C6735" s="350"/>
      <c r="D6735" s="350"/>
      <c r="E6735" s="350"/>
      <c r="F6735" s="350"/>
      <c r="G6735" s="350"/>
      <c r="H6735" s="350"/>
      <c r="I6735" s="350"/>
      <c r="J6735" s="350"/>
      <c r="K6735" s="350"/>
      <c r="L6735" s="350"/>
      <c r="M6735" s="350"/>
      <c r="N6735" s="351"/>
    </row>
    <row r="6736" spans="2:14">
      <c r="B6736" s="1159" t="s">
        <v>303</v>
      </c>
      <c r="C6736" s="1160"/>
      <c r="D6736" s="1160"/>
      <c r="E6736" s="1160"/>
      <c r="F6736" s="1160"/>
      <c r="G6736" s="1160"/>
      <c r="H6736" s="1160"/>
      <c r="I6736" s="1160"/>
      <c r="J6736" s="1160"/>
      <c r="K6736" s="1160"/>
      <c r="L6736" s="1160"/>
      <c r="M6736" s="1160"/>
      <c r="N6736" s="1161"/>
    </row>
    <row r="6737" spans="2:14">
      <c r="B6737" s="1159"/>
      <c r="C6737" s="1160"/>
      <c r="D6737" s="1160"/>
      <c r="E6737" s="1160"/>
      <c r="F6737" s="1160"/>
      <c r="G6737" s="1160"/>
      <c r="H6737" s="1160"/>
      <c r="I6737" s="1160"/>
      <c r="J6737" s="1160"/>
      <c r="K6737" s="1160"/>
      <c r="L6737" s="1160"/>
      <c r="M6737" s="1160"/>
      <c r="N6737" s="1161"/>
    </row>
    <row r="6738" spans="2:14">
      <c r="B6738" s="1159" t="s">
        <v>304</v>
      </c>
      <c r="C6738" s="1160"/>
      <c r="D6738" s="1160"/>
      <c r="E6738" s="1160"/>
      <c r="F6738" s="1160"/>
      <c r="G6738" s="1160"/>
      <c r="H6738" s="1160"/>
      <c r="I6738" s="1160"/>
      <c r="J6738" s="1160"/>
      <c r="K6738" s="1160"/>
      <c r="L6738" s="1160"/>
      <c r="M6738" s="1160"/>
      <c r="N6738" s="1161"/>
    </row>
    <row r="6739" spans="2:14">
      <c r="B6739" s="1159"/>
      <c r="C6739" s="1160"/>
      <c r="D6739" s="1160"/>
      <c r="E6739" s="1160"/>
      <c r="F6739" s="1160"/>
      <c r="G6739" s="1160"/>
      <c r="H6739" s="1160"/>
      <c r="I6739" s="1160"/>
      <c r="J6739" s="1160"/>
      <c r="K6739" s="1160"/>
      <c r="L6739" s="1160"/>
      <c r="M6739" s="1160"/>
      <c r="N6739" s="1161"/>
    </row>
    <row r="6740" spans="2:14">
      <c r="B6740" s="268"/>
      <c r="C6740" s="350"/>
      <c r="D6740" s="350"/>
      <c r="E6740" s="350"/>
      <c r="F6740" s="350"/>
      <c r="G6740" s="350"/>
      <c r="H6740" s="350"/>
      <c r="I6740" s="350"/>
      <c r="J6740" s="350"/>
      <c r="K6740" s="350"/>
      <c r="L6740" s="350"/>
      <c r="M6740" s="350"/>
      <c r="N6740" s="351"/>
    </row>
    <row r="6741" spans="2:14">
      <c r="B6741" s="283"/>
      <c r="G6741" s="346" t="s">
        <v>296</v>
      </c>
      <c r="N6741" s="284"/>
    </row>
    <row r="6742" spans="2:14">
      <c r="B6742" s="283"/>
      <c r="G6742" s="258" t="s">
        <v>305</v>
      </c>
      <c r="H6742" s="293"/>
      <c r="I6742" s="293"/>
      <c r="J6742" s="293"/>
      <c r="N6742" s="284"/>
    </row>
    <row r="6743" spans="2:14">
      <c r="B6743" s="283"/>
      <c r="G6743" s="258" t="s">
        <v>306</v>
      </c>
      <c r="H6743" s="325"/>
      <c r="I6743" s="325"/>
      <c r="J6743" s="325"/>
      <c r="N6743" s="284"/>
    </row>
    <row r="6744" spans="2:14">
      <c r="B6744" s="356"/>
      <c r="C6744" s="350"/>
      <c r="D6744" s="350"/>
      <c r="E6744" s="350"/>
      <c r="F6744" s="350"/>
      <c r="G6744" s="258" t="s">
        <v>299</v>
      </c>
      <c r="K6744" s="350"/>
      <c r="L6744" s="350"/>
      <c r="M6744" s="350"/>
      <c r="N6744" s="351"/>
    </row>
    <row r="6745" spans="2:14">
      <c r="B6745" s="357"/>
      <c r="C6745" s="358"/>
      <c r="D6745" s="358"/>
      <c r="J6745" s="1162"/>
      <c r="K6745" s="1162"/>
      <c r="L6745" s="1162"/>
      <c r="M6745" s="1162"/>
      <c r="N6745" s="1163"/>
    </row>
    <row r="6746" spans="2:14" ht="13.5" thickBot="1">
      <c r="B6746" s="1166"/>
      <c r="C6746" s="1167"/>
      <c r="D6746" s="1167"/>
      <c r="E6746" s="311"/>
      <c r="F6746" s="311"/>
      <c r="G6746" s="311"/>
      <c r="H6746" s="311"/>
      <c r="I6746" s="311"/>
      <c r="J6746" s="1164"/>
      <c r="K6746" s="1164"/>
      <c r="L6746" s="1164"/>
      <c r="M6746" s="1164"/>
      <c r="N6746" s="1165"/>
    </row>
    <row r="6747" spans="2:14" ht="13.5" thickBot="1"/>
    <row r="6748" spans="2:14">
      <c r="B6748" s="1070"/>
      <c r="C6748" s="1072"/>
      <c r="D6748" s="1073"/>
      <c r="E6748" s="1073"/>
      <c r="F6748" s="1073"/>
      <c r="G6748" s="1073"/>
      <c r="H6748" s="1073"/>
      <c r="I6748" s="1073"/>
      <c r="J6748" s="1074"/>
      <c r="K6748" s="1075"/>
      <c r="L6748" s="1076"/>
      <c r="M6748" s="1076"/>
      <c r="N6748" s="1077"/>
    </row>
    <row r="6749" spans="2:14">
      <c r="B6749" s="1071"/>
      <c r="C6749" s="1062" t="s">
        <v>244</v>
      </c>
      <c r="D6749" s="1063"/>
      <c r="E6749" s="1063"/>
      <c r="F6749" s="1063"/>
      <c r="G6749" s="1063"/>
      <c r="H6749" s="1063"/>
      <c r="I6749" s="1063"/>
      <c r="J6749" s="1064"/>
      <c r="K6749" s="1078"/>
      <c r="L6749" s="1079"/>
      <c r="M6749" s="1079"/>
      <c r="N6749" s="1080"/>
    </row>
    <row r="6750" spans="2:14">
      <c r="B6750" s="1071"/>
      <c r="C6750" s="1081"/>
      <c r="D6750" s="1082"/>
      <c r="E6750" s="1082"/>
      <c r="F6750" s="1082"/>
      <c r="G6750" s="1082"/>
      <c r="H6750" s="1082"/>
      <c r="I6750" s="1082"/>
      <c r="J6750" s="1083"/>
      <c r="K6750" s="1058" t="s">
        <v>245</v>
      </c>
      <c r="L6750" s="1085"/>
      <c r="M6750" s="1086"/>
      <c r="N6750" s="1087"/>
    </row>
    <row r="6751" spans="2:14">
      <c r="B6751" s="1071"/>
      <c r="C6751" s="1062" t="s">
        <v>246</v>
      </c>
      <c r="D6751" s="1063"/>
      <c r="E6751" s="1063"/>
      <c r="F6751" s="1063"/>
      <c r="G6751" s="1063"/>
      <c r="H6751" s="1063"/>
      <c r="I6751" s="1063"/>
      <c r="J6751" s="1064"/>
      <c r="K6751" s="1084"/>
      <c r="L6751" s="1088"/>
      <c r="M6751" s="1089"/>
      <c r="N6751" s="1090"/>
    </row>
    <row r="6752" spans="2:14">
      <c r="B6752" s="1071"/>
      <c r="C6752" s="1091"/>
      <c r="D6752" s="1092"/>
      <c r="E6752" s="1092"/>
      <c r="F6752" s="1092"/>
      <c r="G6752" s="1092"/>
      <c r="H6752" s="1092"/>
      <c r="I6752" s="1092"/>
      <c r="J6752" s="1093"/>
      <c r="K6752" s="1058" t="s">
        <v>247</v>
      </c>
      <c r="L6752" s="1058">
        <v>77</v>
      </c>
      <c r="M6752" s="1058" t="s">
        <v>248</v>
      </c>
      <c r="N6752" s="1060">
        <v>80</v>
      </c>
    </row>
    <row r="6753" spans="2:14">
      <c r="B6753" s="1071"/>
      <c r="C6753" s="1091"/>
      <c r="D6753" s="1092"/>
      <c r="E6753" s="1092"/>
      <c r="F6753" s="1092"/>
      <c r="G6753" s="1092"/>
      <c r="H6753" s="1092"/>
      <c r="I6753" s="1092"/>
      <c r="J6753" s="1093"/>
      <c r="K6753" s="1059"/>
      <c r="L6753" s="1059"/>
      <c r="M6753" s="1059"/>
      <c r="N6753" s="1061"/>
    </row>
    <row r="6754" spans="2:14">
      <c r="B6754" s="1071"/>
      <c r="C6754" s="1062" t="s">
        <v>249</v>
      </c>
      <c r="D6754" s="1063"/>
      <c r="E6754" s="1063"/>
      <c r="F6754" s="1063"/>
      <c r="G6754" s="1063"/>
      <c r="H6754" s="1063"/>
      <c r="I6754" s="1063"/>
      <c r="J6754" s="1064"/>
      <c r="K6754" s="1059"/>
      <c r="L6754" s="1059"/>
      <c r="M6754" s="1059"/>
      <c r="N6754" s="1061"/>
    </row>
    <row r="6755" spans="2:14" ht="13.5" thickBot="1">
      <c r="B6755" s="259"/>
      <c r="C6755" s="260"/>
      <c r="D6755" s="260"/>
      <c r="E6755" s="260"/>
      <c r="F6755" s="260"/>
      <c r="G6755" s="260"/>
      <c r="H6755" s="260"/>
      <c r="I6755" s="260"/>
      <c r="J6755" s="260"/>
      <c r="K6755" s="260"/>
      <c r="L6755" s="261"/>
      <c r="M6755" s="261"/>
      <c r="N6755" s="262"/>
    </row>
    <row r="6756" spans="2:14">
      <c r="B6756" s="263"/>
      <c r="C6756" s="264"/>
      <c r="D6756" s="264"/>
      <c r="E6756" s="264"/>
      <c r="F6756" s="264"/>
      <c r="G6756" s="264"/>
      <c r="H6756" s="264"/>
      <c r="I6756" s="264"/>
      <c r="J6756" s="264"/>
      <c r="K6756" s="265" t="s">
        <v>250</v>
      </c>
      <c r="L6756" s="266" t="s">
        <v>251</v>
      </c>
      <c r="M6756" s="266" t="s">
        <v>252</v>
      </c>
      <c r="N6756" s="267" t="s">
        <v>253</v>
      </c>
    </row>
    <row r="6757" spans="2:14">
      <c r="B6757" s="268"/>
      <c r="C6757" s="269"/>
      <c r="D6757" s="269"/>
      <c r="E6757" s="269"/>
      <c r="F6757" s="269"/>
      <c r="G6757" s="269"/>
      <c r="H6757" s="269"/>
      <c r="I6757" s="269"/>
      <c r="J6757" s="269"/>
      <c r="K6757" s="270"/>
      <c r="L6757" s="271"/>
      <c r="M6757" s="271"/>
      <c r="N6757" s="272"/>
    </row>
    <row r="6758" spans="2:14">
      <c r="B6758" s="1065" t="s">
        <v>254</v>
      </c>
      <c r="C6758" s="1066"/>
      <c r="D6758" s="1066"/>
      <c r="E6758" s="1066"/>
      <c r="F6758" s="269"/>
      <c r="G6758" s="269"/>
      <c r="H6758" s="269" t="s">
        <v>255</v>
      </c>
      <c r="J6758" s="269"/>
      <c r="K6758" s="270"/>
      <c r="N6758" s="273"/>
    </row>
    <row r="6759" spans="2:14">
      <c r="B6759" s="274"/>
      <c r="C6759" s="275"/>
      <c r="D6759" s="275"/>
      <c r="E6759" s="275"/>
      <c r="F6759" s="275"/>
      <c r="G6759" s="275"/>
      <c r="H6759" s="275"/>
      <c r="I6759" s="275"/>
      <c r="J6759" s="275"/>
      <c r="K6759" s="275"/>
      <c r="L6759" s="275"/>
      <c r="M6759" s="275"/>
      <c r="N6759" s="276"/>
    </row>
    <row r="6760" spans="2:14" ht="13.5" thickBot="1">
      <c r="B6760" s="277"/>
      <c r="C6760" s="278"/>
      <c r="D6760" s="278"/>
      <c r="E6760" s="278"/>
      <c r="F6760" s="278"/>
      <c r="G6760" s="278"/>
      <c r="H6760" s="278"/>
      <c r="I6760" s="278"/>
      <c r="J6760" s="278"/>
      <c r="K6760" s="278"/>
      <c r="L6760" s="278"/>
      <c r="M6760" s="278"/>
      <c r="N6760" s="279"/>
    </row>
    <row r="6761" spans="2:14" ht="13.5" thickBot="1">
      <c r="B6761" s="280"/>
      <c r="C6761" s="281"/>
      <c r="D6761" s="281"/>
      <c r="E6761" s="281"/>
      <c r="F6761" s="281"/>
      <c r="G6761" s="281"/>
      <c r="J6761" s="281"/>
      <c r="K6761" s="281"/>
      <c r="L6761" s="281"/>
      <c r="M6761" s="281"/>
      <c r="N6761" s="282"/>
    </row>
    <row r="6762" spans="2:14">
      <c r="B6762" s="1067" t="s">
        <v>256</v>
      </c>
      <c r="C6762" s="1068"/>
      <c r="D6762" s="1068"/>
      <c r="E6762" s="1068"/>
      <c r="F6762" s="1068"/>
      <c r="G6762" s="1068"/>
      <c r="H6762" s="1068"/>
      <c r="I6762" s="1068"/>
      <c r="J6762" s="1068"/>
      <c r="K6762" s="1068"/>
      <c r="L6762" s="1068"/>
      <c r="M6762" s="1068"/>
      <c r="N6762" s="1069"/>
    </row>
    <row r="6763" spans="2:14" ht="13.5" thickBot="1">
      <c r="B6763" s="283"/>
      <c r="N6763" s="284"/>
    </row>
    <row r="6764" spans="2:14">
      <c r="B6764" s="285" t="s">
        <v>257</v>
      </c>
      <c r="C6764" s="1120" t="s">
        <v>258</v>
      </c>
      <c r="D6764" s="1121"/>
      <c r="E6764" s="1121"/>
      <c r="F6764" s="1121"/>
      <c r="G6764" s="1121"/>
      <c r="H6764" s="1121"/>
      <c r="I6764" s="1121"/>
      <c r="J6764" s="1121"/>
      <c r="K6764" s="1122"/>
      <c r="L6764" s="1123" t="s">
        <v>259</v>
      </c>
      <c r="M6764" s="1124"/>
      <c r="N6764" s="285" t="s">
        <v>133</v>
      </c>
    </row>
    <row r="6765" spans="2:14" ht="62.25" customHeight="1" thickBot="1">
      <c r="B6765" s="286">
        <v>77</v>
      </c>
      <c r="C6765" s="1125" t="s">
        <v>424</v>
      </c>
      <c r="D6765" s="1126"/>
      <c r="E6765" s="1126"/>
      <c r="F6765" s="1126"/>
      <c r="G6765" s="1126"/>
      <c r="H6765" s="1126"/>
      <c r="I6765" s="1126"/>
      <c r="J6765" s="1126"/>
      <c r="K6765" s="1127"/>
      <c r="L6765" s="1128" t="s">
        <v>143</v>
      </c>
      <c r="M6765" s="1129"/>
      <c r="N6765" s="366">
        <v>100</v>
      </c>
    </row>
    <row r="6766" spans="2:14">
      <c r="B6766" s="1103" t="s">
        <v>260</v>
      </c>
      <c r="C6766" s="1104"/>
      <c r="D6766" s="1104"/>
      <c r="E6766" s="1104"/>
      <c r="F6766" s="1104"/>
      <c r="G6766" s="1104"/>
      <c r="H6766" s="1104"/>
      <c r="I6766" s="1104"/>
      <c r="J6766" s="1104"/>
      <c r="K6766" s="1104"/>
      <c r="L6766" s="1104"/>
      <c r="M6766" s="1104"/>
      <c r="N6766" s="1105"/>
    </row>
    <row r="6767" spans="2:14">
      <c r="B6767" s="1106"/>
      <c r="C6767" s="1107"/>
      <c r="D6767" s="1107"/>
      <c r="E6767" s="1107"/>
      <c r="F6767" s="1107"/>
      <c r="G6767" s="1107"/>
      <c r="H6767" s="1107"/>
      <c r="I6767" s="1107"/>
      <c r="J6767" s="1107"/>
      <c r="K6767" s="1107"/>
      <c r="L6767" s="1107"/>
      <c r="M6767" s="1107"/>
      <c r="N6767" s="1108"/>
    </row>
    <row r="6768" spans="2:14" ht="13.5" thickBot="1">
      <c r="B6768" s="1109"/>
      <c r="C6768" s="1110"/>
      <c r="D6768" s="1110"/>
      <c r="E6768" s="1110"/>
      <c r="F6768" s="1110"/>
      <c r="G6768" s="1110"/>
      <c r="H6768" s="1110"/>
      <c r="I6768" s="1110"/>
      <c r="J6768" s="1110"/>
      <c r="K6768" s="1110"/>
      <c r="L6768" s="1110"/>
      <c r="M6768" s="1110"/>
      <c r="N6768" s="1111"/>
    </row>
    <row r="6769" spans="2:14">
      <c r="B6769" s="1130" t="s">
        <v>258</v>
      </c>
      <c r="C6769" s="1131"/>
      <c r="D6769" s="1131"/>
      <c r="E6769" s="1131"/>
      <c r="F6769" s="1132"/>
      <c r="G6769" s="1133" t="s">
        <v>261</v>
      </c>
      <c r="H6769" s="1131"/>
      <c r="I6769" s="1134" t="s">
        <v>262</v>
      </c>
      <c r="J6769" s="1135"/>
      <c r="K6769" s="288" t="s">
        <v>263</v>
      </c>
      <c r="L6769" s="1133" t="s">
        <v>264</v>
      </c>
      <c r="M6769" s="1136"/>
      <c r="N6769" s="289" t="s">
        <v>265</v>
      </c>
    </row>
    <row r="6770" spans="2:14">
      <c r="B6770" s="1179" t="s">
        <v>425</v>
      </c>
      <c r="C6770" s="1180"/>
      <c r="D6770" s="1180"/>
      <c r="E6770" s="1180"/>
      <c r="F6770" s="1181"/>
      <c r="G6770" s="295"/>
      <c r="H6770" s="294"/>
      <c r="I6770" s="1182" t="s">
        <v>267</v>
      </c>
      <c r="J6770" s="1183"/>
      <c r="K6770" s="290">
        <v>17000</v>
      </c>
      <c r="L6770" s="1118">
        <v>4</v>
      </c>
      <c r="M6770" s="1119"/>
      <c r="N6770" s="290">
        <f>+K6770/L6770</f>
        <v>4250</v>
      </c>
    </row>
    <row r="6771" spans="2:14">
      <c r="B6771" s="1179" t="s">
        <v>426</v>
      </c>
      <c r="C6771" s="1180"/>
      <c r="D6771" s="1180"/>
      <c r="E6771" s="1180"/>
      <c r="F6771" s="1181"/>
      <c r="G6771" s="295"/>
      <c r="H6771" s="294"/>
      <c r="I6771" s="1182" t="s">
        <v>267</v>
      </c>
      <c r="J6771" s="1183"/>
      <c r="K6771" s="290">
        <v>36000</v>
      </c>
      <c r="L6771" s="1118">
        <v>5</v>
      </c>
      <c r="M6771" s="1119"/>
      <c r="N6771" s="290">
        <f>+K6771/L6771</f>
        <v>7200</v>
      </c>
    </row>
    <row r="6772" spans="2:14">
      <c r="B6772" s="1179" t="s">
        <v>427</v>
      </c>
      <c r="C6772" s="1180"/>
      <c r="D6772" s="1180"/>
      <c r="E6772" s="1180"/>
      <c r="F6772" s="1181"/>
      <c r="G6772" s="295"/>
      <c r="H6772" s="294"/>
      <c r="I6772" s="1182" t="s">
        <v>267</v>
      </c>
      <c r="J6772" s="1183"/>
      <c r="K6772" s="290">
        <v>178500</v>
      </c>
      <c r="L6772" s="1118">
        <v>18.552900000000001</v>
      </c>
      <c r="M6772" s="1119"/>
      <c r="N6772" s="290">
        <f>+K6772/L6772</f>
        <v>9621.1373963100104</v>
      </c>
    </row>
    <row r="6773" spans="2:14">
      <c r="B6773" s="1179" t="s">
        <v>428</v>
      </c>
      <c r="C6773" s="1180"/>
      <c r="D6773" s="1180"/>
      <c r="E6773" s="1180"/>
      <c r="F6773" s="1181"/>
      <c r="G6773" s="295"/>
      <c r="H6773" s="294"/>
      <c r="I6773" s="1182" t="s">
        <v>267</v>
      </c>
      <c r="J6773" s="1183"/>
      <c r="K6773" s="290">
        <v>11305</v>
      </c>
      <c r="L6773" s="1118">
        <v>5</v>
      </c>
      <c r="M6773" s="1119"/>
      <c r="N6773" s="290">
        <f>+K6773/L6773</f>
        <v>2261</v>
      </c>
    </row>
    <row r="6774" spans="2:14" ht="13.5" thickBot="1">
      <c r="B6774" s="1179" t="s">
        <v>429</v>
      </c>
      <c r="C6774" s="1180"/>
      <c r="D6774" s="1180"/>
      <c r="E6774" s="1180"/>
      <c r="F6774" s="1181"/>
      <c r="G6774" s="295"/>
      <c r="H6774" s="294"/>
      <c r="I6774" s="1182" t="s">
        <v>267</v>
      </c>
      <c r="J6774" s="1183"/>
      <c r="K6774" s="290">
        <v>28798</v>
      </c>
      <c r="L6774" s="1118">
        <v>20</v>
      </c>
      <c r="M6774" s="1119"/>
      <c r="N6774" s="290">
        <f>+K6774/L6774</f>
        <v>1439.9</v>
      </c>
    </row>
    <row r="6775" spans="2:14" ht="13.5" thickBot="1">
      <c r="B6775" s="1100" t="s">
        <v>269</v>
      </c>
      <c r="C6775" s="1101"/>
      <c r="D6775" s="1101"/>
      <c r="E6775" s="1101"/>
      <c r="F6775" s="1101"/>
      <c r="G6775" s="1101"/>
      <c r="H6775" s="1101"/>
      <c r="I6775" s="1101"/>
      <c r="J6775" s="1101"/>
      <c r="K6775" s="1101"/>
      <c r="L6775" s="1101"/>
      <c r="M6775" s="1102"/>
      <c r="N6775" s="323">
        <f>+N6770+N6771+N6772+N6773+N6774</f>
        <v>24772.037396310014</v>
      </c>
    </row>
    <row r="6776" spans="2:14">
      <c r="B6776" s="1103" t="s">
        <v>270</v>
      </c>
      <c r="C6776" s="1104"/>
      <c r="D6776" s="1104"/>
      <c r="E6776" s="1104"/>
      <c r="F6776" s="1104"/>
      <c r="G6776" s="1104"/>
      <c r="H6776" s="1104"/>
      <c r="I6776" s="1104"/>
      <c r="J6776" s="1104"/>
      <c r="K6776" s="1104"/>
      <c r="L6776" s="1104"/>
      <c r="M6776" s="1104"/>
      <c r="N6776" s="1105"/>
    </row>
    <row r="6777" spans="2:14">
      <c r="B6777" s="1106"/>
      <c r="C6777" s="1107"/>
      <c r="D6777" s="1107"/>
      <c r="E6777" s="1107"/>
      <c r="F6777" s="1107"/>
      <c r="G6777" s="1107"/>
      <c r="H6777" s="1107"/>
      <c r="I6777" s="1107"/>
      <c r="J6777" s="1107"/>
      <c r="K6777" s="1107"/>
      <c r="L6777" s="1107"/>
      <c r="M6777" s="1107"/>
      <c r="N6777" s="1108"/>
    </row>
    <row r="6778" spans="2:14" ht="13.5" thickBot="1">
      <c r="B6778" s="1109"/>
      <c r="C6778" s="1110"/>
      <c r="D6778" s="1110"/>
      <c r="E6778" s="1110"/>
      <c r="F6778" s="1110"/>
      <c r="G6778" s="1110"/>
      <c r="H6778" s="1110"/>
      <c r="I6778" s="1110"/>
      <c r="J6778" s="1110"/>
      <c r="K6778" s="1110"/>
      <c r="L6778" s="1110"/>
      <c r="M6778" s="1110"/>
      <c r="N6778" s="1111"/>
    </row>
    <row r="6779" spans="2:14">
      <c r="B6779" s="1130" t="s">
        <v>258</v>
      </c>
      <c r="C6779" s="1139"/>
      <c r="D6779" s="1139"/>
      <c r="E6779" s="1139"/>
      <c r="F6779" s="1139"/>
      <c r="G6779" s="1139"/>
      <c r="H6779" s="1139"/>
      <c r="I6779" s="1136"/>
      <c r="J6779" s="299" t="s">
        <v>259</v>
      </c>
      <c r="K6779" s="288" t="s">
        <v>133</v>
      </c>
      <c r="L6779" s="1133" t="s">
        <v>271</v>
      </c>
      <c r="M6779" s="1136"/>
      <c r="N6779" s="289" t="s">
        <v>265</v>
      </c>
    </row>
    <row r="6780" spans="2:14">
      <c r="B6780" s="402" t="s">
        <v>430</v>
      </c>
      <c r="C6780" s="353"/>
      <c r="D6780" s="353"/>
      <c r="E6780" s="353"/>
      <c r="F6780" s="353"/>
      <c r="G6780" s="353"/>
      <c r="H6780" s="353"/>
      <c r="I6780" s="403"/>
      <c r="J6780" s="303" t="s">
        <v>143</v>
      </c>
      <c r="K6780" s="392">
        <v>3.5</v>
      </c>
      <c r="L6780" s="1144">
        <v>4817</v>
      </c>
      <c r="M6780" s="1145"/>
      <c r="N6780" s="363">
        <f>+K6780*L6780</f>
        <v>16859.5</v>
      </c>
    </row>
    <row r="6781" spans="2:14">
      <c r="B6781" s="402" t="s">
        <v>431</v>
      </c>
      <c r="C6781" s="353"/>
      <c r="D6781" s="353"/>
      <c r="E6781" s="353"/>
      <c r="F6781" s="353"/>
      <c r="G6781" s="353"/>
      <c r="H6781" s="353"/>
      <c r="I6781" s="403"/>
      <c r="J6781" s="303" t="s">
        <v>432</v>
      </c>
      <c r="K6781" s="392">
        <v>1</v>
      </c>
      <c r="L6781" s="1144">
        <v>640</v>
      </c>
      <c r="M6781" s="1145"/>
      <c r="N6781" s="363">
        <f t="shared" ref="N6781:N6789" si="6">+K6781*L6781</f>
        <v>640</v>
      </c>
    </row>
    <row r="6782" spans="2:14">
      <c r="B6782" s="402" t="s">
        <v>348</v>
      </c>
      <c r="C6782" s="353"/>
      <c r="D6782" s="353"/>
      <c r="E6782" s="353"/>
      <c r="F6782" s="353"/>
      <c r="G6782" s="353"/>
      <c r="H6782" s="353"/>
      <c r="I6782" s="403"/>
      <c r="J6782" s="303" t="s">
        <v>147</v>
      </c>
      <c r="K6782" s="392">
        <v>0.03</v>
      </c>
      <c r="L6782" s="1144">
        <v>369520</v>
      </c>
      <c r="M6782" s="1145"/>
      <c r="N6782" s="363">
        <f t="shared" si="6"/>
        <v>11085.6</v>
      </c>
    </row>
    <row r="6783" spans="2:14">
      <c r="B6783" s="402" t="s">
        <v>433</v>
      </c>
      <c r="C6783" s="353"/>
      <c r="D6783" s="353"/>
      <c r="E6783" s="353"/>
      <c r="F6783" s="353"/>
      <c r="G6783" s="353"/>
      <c r="H6783" s="353"/>
      <c r="I6783" s="403"/>
      <c r="J6783" s="303" t="s">
        <v>196</v>
      </c>
      <c r="K6783" s="392">
        <v>1</v>
      </c>
      <c r="L6783" s="1144">
        <v>10115</v>
      </c>
      <c r="M6783" s="1145"/>
      <c r="N6783" s="363">
        <f t="shared" si="6"/>
        <v>10115</v>
      </c>
    </row>
    <row r="6784" spans="2:14">
      <c r="B6784" s="402" t="s">
        <v>434</v>
      </c>
      <c r="C6784" s="353"/>
      <c r="D6784" s="353"/>
      <c r="E6784" s="353"/>
      <c r="F6784" s="353"/>
      <c r="G6784" s="353"/>
      <c r="H6784" s="353"/>
      <c r="I6784" s="403"/>
      <c r="J6784" s="303" t="s">
        <v>190</v>
      </c>
      <c r="K6784" s="392">
        <v>0.45</v>
      </c>
      <c r="L6784" s="1144">
        <v>15000</v>
      </c>
      <c r="M6784" s="1145"/>
      <c r="N6784" s="363">
        <f t="shared" si="6"/>
        <v>6750</v>
      </c>
    </row>
    <row r="6785" spans="2:14">
      <c r="B6785" s="402" t="s">
        <v>435</v>
      </c>
      <c r="C6785" s="353"/>
      <c r="D6785" s="353"/>
      <c r="E6785" s="353"/>
      <c r="F6785" s="353"/>
      <c r="G6785" s="353"/>
      <c r="H6785" s="353"/>
      <c r="I6785" s="403"/>
      <c r="J6785" s="303" t="s">
        <v>196</v>
      </c>
      <c r="K6785" s="392">
        <v>4</v>
      </c>
      <c r="L6785" s="1144">
        <v>1200</v>
      </c>
      <c r="M6785" s="1145"/>
      <c r="N6785" s="363">
        <f t="shared" si="6"/>
        <v>4800</v>
      </c>
    </row>
    <row r="6786" spans="2:14">
      <c r="B6786" s="402" t="s">
        <v>436</v>
      </c>
      <c r="C6786" s="353"/>
      <c r="D6786" s="353"/>
      <c r="E6786" s="353"/>
      <c r="F6786" s="353"/>
      <c r="G6786" s="353"/>
      <c r="H6786" s="353"/>
      <c r="I6786" s="403"/>
      <c r="J6786" s="303" t="s">
        <v>392</v>
      </c>
      <c r="K6786" s="392">
        <v>0.06</v>
      </c>
      <c r="L6786" s="1144">
        <v>75900</v>
      </c>
      <c r="M6786" s="1145"/>
      <c r="N6786" s="363">
        <f t="shared" si="6"/>
        <v>4554</v>
      </c>
    </row>
    <row r="6787" spans="2:14">
      <c r="B6787" s="402" t="s">
        <v>437</v>
      </c>
      <c r="C6787" s="353"/>
      <c r="D6787" s="353"/>
      <c r="E6787" s="353"/>
      <c r="F6787" s="353"/>
      <c r="G6787" s="353"/>
      <c r="H6787" s="353"/>
      <c r="I6787" s="403"/>
      <c r="J6787" s="303" t="s">
        <v>143</v>
      </c>
      <c r="K6787" s="392">
        <v>1</v>
      </c>
      <c r="L6787" s="1144">
        <v>22937</v>
      </c>
      <c r="M6787" s="1145"/>
      <c r="N6787" s="363">
        <f t="shared" si="6"/>
        <v>22937</v>
      </c>
    </row>
    <row r="6788" spans="2:14">
      <c r="B6788" s="402" t="s">
        <v>438</v>
      </c>
      <c r="C6788" s="353"/>
      <c r="D6788" s="353"/>
      <c r="E6788" s="353"/>
      <c r="F6788" s="353"/>
      <c r="G6788" s="353"/>
      <c r="H6788" s="353"/>
      <c r="I6788" s="403"/>
      <c r="J6788" s="303" t="s">
        <v>439</v>
      </c>
      <c r="K6788" s="392">
        <v>0.06</v>
      </c>
      <c r="L6788" s="1144">
        <v>35000</v>
      </c>
      <c r="M6788" s="1145"/>
      <c r="N6788" s="363">
        <f t="shared" si="6"/>
        <v>2100</v>
      </c>
    </row>
    <row r="6789" spans="2:14" ht="13.5" thickBot="1">
      <c r="B6789" s="402" t="s">
        <v>440</v>
      </c>
      <c r="C6789" s="353"/>
      <c r="D6789" s="353"/>
      <c r="E6789" s="353"/>
      <c r="F6789" s="353"/>
      <c r="G6789" s="353"/>
      <c r="H6789" s="353"/>
      <c r="I6789" s="403"/>
      <c r="J6789" s="303" t="s">
        <v>392</v>
      </c>
      <c r="K6789" s="392">
        <v>0.15</v>
      </c>
      <c r="L6789" s="1144">
        <v>65900</v>
      </c>
      <c r="M6789" s="1145"/>
      <c r="N6789" s="363">
        <f t="shared" si="6"/>
        <v>9885</v>
      </c>
    </row>
    <row r="6790" spans="2:14" ht="13.5" thickBot="1">
      <c r="B6790" s="1100" t="s">
        <v>269</v>
      </c>
      <c r="C6790" s="1101"/>
      <c r="D6790" s="1101"/>
      <c r="E6790" s="1101"/>
      <c r="F6790" s="1101"/>
      <c r="G6790" s="1101"/>
      <c r="H6790" s="1101"/>
      <c r="I6790" s="1101"/>
      <c r="J6790" s="1101"/>
      <c r="K6790" s="1101"/>
      <c r="L6790" s="1101"/>
      <c r="M6790" s="1102"/>
      <c r="N6790" s="323">
        <f>+N6780+N6781+N6782+N6783+N6784+N6785+N6786+N6787+N6788+N6789</f>
        <v>89726.1</v>
      </c>
    </row>
    <row r="6791" spans="2:14">
      <c r="B6791" s="1103" t="s">
        <v>367</v>
      </c>
      <c r="C6791" s="1104"/>
      <c r="D6791" s="1104"/>
      <c r="E6791" s="1104"/>
      <c r="F6791" s="1104"/>
      <c r="G6791" s="1104"/>
      <c r="H6791" s="1104"/>
      <c r="I6791" s="1104"/>
      <c r="J6791" s="1104"/>
      <c r="K6791" s="1104"/>
      <c r="L6791" s="1104"/>
      <c r="M6791" s="1104"/>
      <c r="N6791" s="1105"/>
    </row>
    <row r="6792" spans="2:14">
      <c r="B6792" s="1106"/>
      <c r="C6792" s="1107"/>
      <c r="D6792" s="1107"/>
      <c r="E6792" s="1107"/>
      <c r="F6792" s="1107"/>
      <c r="G6792" s="1107"/>
      <c r="H6792" s="1107"/>
      <c r="I6792" s="1107"/>
      <c r="J6792" s="1107"/>
      <c r="K6792" s="1107"/>
      <c r="L6792" s="1107"/>
      <c r="M6792" s="1107"/>
      <c r="N6792" s="1108"/>
    </row>
    <row r="6793" spans="2:14" ht="13.5" thickBot="1">
      <c r="B6793" s="1109"/>
      <c r="C6793" s="1110"/>
      <c r="D6793" s="1110"/>
      <c r="E6793" s="1110"/>
      <c r="F6793" s="1110"/>
      <c r="G6793" s="1110"/>
      <c r="H6793" s="1110"/>
      <c r="I6793" s="1110"/>
      <c r="J6793" s="1110"/>
      <c r="K6793" s="1110"/>
      <c r="L6793" s="1110"/>
      <c r="M6793" s="1110"/>
      <c r="N6793" s="1111"/>
    </row>
    <row r="6794" spans="2:14">
      <c r="B6794" s="1130" t="s">
        <v>277</v>
      </c>
      <c r="C6794" s="1139"/>
      <c r="D6794" s="1139"/>
      <c r="E6794" s="1139"/>
      <c r="F6794" s="1139"/>
      <c r="G6794" s="1139"/>
      <c r="H6794" s="1139"/>
      <c r="I6794" s="288" t="s">
        <v>278</v>
      </c>
      <c r="J6794" s="306" t="s">
        <v>279</v>
      </c>
      <c r="K6794" s="307" t="s">
        <v>280</v>
      </c>
      <c r="L6794" s="1133" t="s">
        <v>281</v>
      </c>
      <c r="M6794" s="1136"/>
      <c r="N6794" s="289" t="s">
        <v>265</v>
      </c>
    </row>
    <row r="6795" spans="2:14">
      <c r="B6795" s="1112" t="s">
        <v>380</v>
      </c>
      <c r="C6795" s="1113"/>
      <c r="D6795" s="1113"/>
      <c r="E6795" s="1113"/>
      <c r="F6795" s="1113"/>
      <c r="G6795" s="1113"/>
      <c r="H6795" s="1113"/>
      <c r="I6795" s="393">
        <v>1.5</v>
      </c>
      <c r="J6795" s="309"/>
      <c r="K6795" s="308"/>
      <c r="L6795" s="1144">
        <v>1000</v>
      </c>
      <c r="M6795" s="1145"/>
      <c r="N6795" s="363">
        <f>+I6795*L6795</f>
        <v>1500</v>
      </c>
    </row>
    <row r="6796" spans="2:14" ht="13.5" thickBot="1">
      <c r="B6796" s="1112" t="s">
        <v>380</v>
      </c>
      <c r="C6796" s="1113"/>
      <c r="D6796" s="1113"/>
      <c r="E6796" s="1113"/>
      <c r="F6796" s="1113"/>
      <c r="G6796" s="1113"/>
      <c r="H6796" s="1113"/>
      <c r="I6796" s="393">
        <v>3</v>
      </c>
      <c r="J6796" s="309"/>
      <c r="K6796" s="308"/>
      <c r="L6796" s="1144">
        <v>1000</v>
      </c>
      <c r="M6796" s="1145"/>
      <c r="N6796" s="363">
        <f>+I6796*L6796</f>
        <v>3000</v>
      </c>
    </row>
    <row r="6797" spans="2:14" ht="13.5" thickBot="1">
      <c r="B6797" s="1100" t="s">
        <v>269</v>
      </c>
      <c r="C6797" s="1101"/>
      <c r="D6797" s="1101"/>
      <c r="E6797" s="1101"/>
      <c r="F6797" s="1101"/>
      <c r="G6797" s="1101"/>
      <c r="H6797" s="1101"/>
      <c r="I6797" s="1101"/>
      <c r="J6797" s="1101"/>
      <c r="K6797" s="1101"/>
      <c r="L6797" s="1101"/>
      <c r="M6797" s="1102"/>
      <c r="N6797" s="323">
        <f>+N6795+N6796</f>
        <v>4500</v>
      </c>
    </row>
    <row r="6798" spans="2:14">
      <c r="B6798" s="1103" t="s">
        <v>282</v>
      </c>
      <c r="C6798" s="1104"/>
      <c r="D6798" s="1104"/>
      <c r="E6798" s="1104"/>
      <c r="F6798" s="1104"/>
      <c r="G6798" s="1104"/>
      <c r="H6798" s="1104"/>
      <c r="I6798" s="1104"/>
      <c r="J6798" s="1104"/>
      <c r="K6798" s="1104"/>
      <c r="L6798" s="1104"/>
      <c r="M6798" s="1104"/>
      <c r="N6798" s="1105"/>
    </row>
    <row r="6799" spans="2:14">
      <c r="B6799" s="1106"/>
      <c r="C6799" s="1107"/>
      <c r="D6799" s="1107"/>
      <c r="E6799" s="1107"/>
      <c r="F6799" s="1107"/>
      <c r="G6799" s="1107"/>
      <c r="H6799" s="1107"/>
      <c r="I6799" s="1107"/>
      <c r="J6799" s="1107"/>
      <c r="K6799" s="1107"/>
      <c r="L6799" s="1107"/>
      <c r="M6799" s="1107"/>
      <c r="N6799" s="1108"/>
    </row>
    <row r="6800" spans="2:14" ht="13.5" thickBot="1">
      <c r="B6800" s="1109"/>
      <c r="C6800" s="1110"/>
      <c r="D6800" s="1110"/>
      <c r="E6800" s="1110"/>
      <c r="F6800" s="1110"/>
      <c r="G6800" s="1110"/>
      <c r="H6800" s="1110"/>
      <c r="I6800" s="1110"/>
      <c r="J6800" s="1110"/>
      <c r="K6800" s="1110"/>
      <c r="L6800" s="1110"/>
      <c r="M6800" s="1110"/>
      <c r="N6800" s="1111"/>
    </row>
    <row r="6801" spans="2:17">
      <c r="B6801" s="1130" t="s">
        <v>283</v>
      </c>
      <c r="C6801" s="1139"/>
      <c r="D6801" s="1139"/>
      <c r="E6801" s="1139"/>
      <c r="F6801" s="1139"/>
      <c r="G6801" s="1139"/>
      <c r="H6801" s="1139"/>
      <c r="I6801" s="288" t="s">
        <v>284</v>
      </c>
      <c r="J6801" s="314" t="s">
        <v>285</v>
      </c>
      <c r="K6801" s="315" t="s">
        <v>286</v>
      </c>
      <c r="L6801" s="1140" t="s">
        <v>264</v>
      </c>
      <c r="M6801" s="1141"/>
      <c r="N6801" s="316" t="s">
        <v>265</v>
      </c>
    </row>
    <row r="6802" spans="2:17">
      <c r="B6802" s="317" t="s">
        <v>441</v>
      </c>
      <c r="C6802" s="318"/>
      <c r="D6802" s="318"/>
      <c r="E6802" s="318"/>
      <c r="F6802" s="318"/>
      <c r="G6802" s="318"/>
      <c r="H6802" s="318"/>
      <c r="I6802" s="319">
        <v>178144</v>
      </c>
      <c r="J6802" s="321">
        <v>0</v>
      </c>
      <c r="K6802" s="321">
        <f>+I6802+J6802</f>
        <v>178144</v>
      </c>
      <c r="L6802" s="1157">
        <v>20</v>
      </c>
      <c r="M6802" s="1158"/>
      <c r="N6802" s="322">
        <f>+K6802/L6802</f>
        <v>8907.2000000000007</v>
      </c>
    </row>
    <row r="6803" spans="2:17" ht="13.5" thickBot="1">
      <c r="B6803" s="317" t="s">
        <v>442</v>
      </c>
      <c r="C6803" s="318"/>
      <c r="D6803" s="318"/>
      <c r="E6803" s="318"/>
      <c r="F6803" s="318"/>
      <c r="G6803" s="318"/>
      <c r="H6803" s="318"/>
      <c r="I6803" s="319">
        <v>150504</v>
      </c>
      <c r="J6803" s="321">
        <v>0</v>
      </c>
      <c r="K6803" s="321">
        <f>+I6803+J6803</f>
        <v>150504</v>
      </c>
      <c r="L6803" s="1157">
        <v>1.3332999999999999</v>
      </c>
      <c r="M6803" s="1158"/>
      <c r="N6803" s="322">
        <f>+K6803/L6803</f>
        <v>112880.82202055052</v>
      </c>
    </row>
    <row r="6804" spans="2:17" ht="13.5" thickBot="1">
      <c r="B6804" s="1100" t="s">
        <v>269</v>
      </c>
      <c r="C6804" s="1101"/>
      <c r="D6804" s="1101"/>
      <c r="E6804" s="1101"/>
      <c r="F6804" s="1101"/>
      <c r="G6804" s="1101"/>
      <c r="H6804" s="1101"/>
      <c r="I6804" s="1101"/>
      <c r="J6804" s="1101"/>
      <c r="K6804" s="1101"/>
      <c r="L6804" s="1101"/>
      <c r="M6804" s="1102"/>
      <c r="N6804" s="322">
        <f>+N6802+N6803</f>
        <v>121788.02202055052</v>
      </c>
    </row>
    <row r="6805" spans="2:17" ht="13.5" thickBot="1">
      <c r="B6805" s="324" t="s">
        <v>288</v>
      </c>
      <c r="C6805" s="325"/>
      <c r="D6805" s="325"/>
      <c r="E6805" s="325"/>
      <c r="F6805" s="325"/>
      <c r="G6805" s="325"/>
      <c r="H6805" s="325"/>
      <c r="I6805" s="326"/>
      <c r="J6805" s="327"/>
      <c r="K6805" s="328"/>
      <c r="L6805" s="329"/>
      <c r="M6805" s="329"/>
      <c r="N6805" s="330"/>
    </row>
    <row r="6806" spans="2:17">
      <c r="B6806" s="1130" t="s">
        <v>17</v>
      </c>
      <c r="C6806" s="1139"/>
      <c r="D6806" s="1139"/>
      <c r="E6806" s="1139"/>
      <c r="F6806" s="1139"/>
      <c r="G6806" s="1139"/>
      <c r="H6806" s="1139"/>
      <c r="I6806" s="1136"/>
      <c r="J6806" s="299" t="s">
        <v>259</v>
      </c>
      <c r="K6806" s="288" t="s">
        <v>133</v>
      </c>
      <c r="L6806" s="1133" t="s">
        <v>271</v>
      </c>
      <c r="M6806" s="1136"/>
      <c r="N6806" s="316" t="s">
        <v>265</v>
      </c>
    </row>
    <row r="6807" spans="2:17" ht="13.5" thickBot="1">
      <c r="B6807" s="331" t="s">
        <v>289</v>
      </c>
      <c r="C6807" s="332"/>
      <c r="D6807" s="332"/>
      <c r="E6807" s="332"/>
      <c r="F6807" s="332"/>
      <c r="G6807" s="332"/>
      <c r="H6807" s="332"/>
      <c r="I6807" s="333"/>
      <c r="J6807" s="334" t="s">
        <v>290</v>
      </c>
      <c r="K6807" s="335">
        <v>0.05</v>
      </c>
      <c r="L6807" s="1144">
        <f>+N6804</f>
        <v>121788.02202055052</v>
      </c>
      <c r="M6807" s="1145"/>
      <c r="N6807" s="322">
        <f>+K6807*L6807</f>
        <v>6089.4011010275262</v>
      </c>
    </row>
    <row r="6808" spans="2:17" ht="13.5" thickBot="1">
      <c r="B6808" s="1100" t="s">
        <v>269</v>
      </c>
      <c r="C6808" s="1101"/>
      <c r="D6808" s="1101"/>
      <c r="E6808" s="1101"/>
      <c r="F6808" s="1101"/>
      <c r="G6808" s="1101"/>
      <c r="H6808" s="1101"/>
      <c r="I6808" s="1101"/>
      <c r="J6808" s="1101"/>
      <c r="K6808" s="1101"/>
      <c r="L6808" s="1101"/>
      <c r="M6808" s="1102"/>
      <c r="N6808" s="322">
        <f>+N6807</f>
        <v>6089.4011010275262</v>
      </c>
      <c r="P6808" s="408">
        <v>24687300</v>
      </c>
    </row>
    <row r="6809" spans="2:17" ht="13.5" thickBot="1">
      <c r="B6809" s="1100"/>
      <c r="C6809" s="1101"/>
      <c r="D6809" s="1101"/>
      <c r="E6809" s="1101"/>
      <c r="F6809" s="1101"/>
      <c r="G6809" s="1101"/>
      <c r="H6809" s="1101"/>
      <c r="I6809" s="1101"/>
      <c r="J6809" s="1101"/>
      <c r="K6809" s="1101"/>
      <c r="L6809" s="1101"/>
      <c r="M6809" s="1102"/>
      <c r="N6809" s="322"/>
    </row>
    <row r="6810" spans="2:17" ht="13.5" thickBot="1">
      <c r="B6810" s="1150" t="s">
        <v>291</v>
      </c>
      <c r="C6810" s="1151"/>
      <c r="D6810" s="1151"/>
      <c r="E6810" s="1151"/>
      <c r="F6810" s="1151"/>
      <c r="G6810" s="1151"/>
      <c r="H6810" s="1151"/>
      <c r="I6810" s="1151"/>
      <c r="J6810" s="1151"/>
      <c r="K6810" s="1151"/>
      <c r="L6810" s="1151"/>
      <c r="M6810" s="1152"/>
      <c r="N6810" s="336">
        <f>+N6775+N6790+N6797+N6804+N6808</f>
        <v>246875.56051788808</v>
      </c>
      <c r="P6810" s="409">
        <f>+N6810*N6765</f>
        <v>24687556.051788807</v>
      </c>
      <c r="Q6810" s="413">
        <f>+P6810-P6808</f>
        <v>256.05178880691528</v>
      </c>
    </row>
    <row r="6811" spans="2:17">
      <c r="B6811" s="1103" t="s">
        <v>292</v>
      </c>
      <c r="C6811" s="1104"/>
      <c r="D6811" s="1104"/>
      <c r="E6811" s="1104"/>
      <c r="F6811" s="1104"/>
      <c r="G6811" s="1104"/>
      <c r="H6811" s="1104"/>
      <c r="I6811" s="1104"/>
      <c r="J6811" s="1104"/>
      <c r="K6811" s="1104"/>
      <c r="L6811" s="1104"/>
      <c r="M6811" s="1104"/>
      <c r="N6811" s="1105"/>
    </row>
    <row r="6812" spans="2:17">
      <c r="B6812" s="1106"/>
      <c r="C6812" s="1107"/>
      <c r="D6812" s="1107"/>
      <c r="E6812" s="1107"/>
      <c r="F6812" s="1107"/>
      <c r="G6812" s="1107"/>
      <c r="H6812" s="1107"/>
      <c r="I6812" s="1107"/>
      <c r="J6812" s="1107"/>
      <c r="K6812" s="1107"/>
      <c r="L6812" s="1107"/>
      <c r="M6812" s="1107"/>
      <c r="N6812" s="1108"/>
    </row>
    <row r="6813" spans="2:17" ht="13.5" thickBot="1">
      <c r="B6813" s="1109"/>
      <c r="C6813" s="1110"/>
      <c r="D6813" s="1110"/>
      <c r="E6813" s="1110"/>
      <c r="F6813" s="1110"/>
      <c r="G6813" s="1110"/>
      <c r="H6813" s="1110"/>
      <c r="I6813" s="1110"/>
      <c r="J6813" s="1110"/>
      <c r="K6813" s="1110"/>
      <c r="L6813" s="1110"/>
      <c r="M6813" s="1110"/>
      <c r="N6813" s="1111"/>
    </row>
    <row r="6814" spans="2:17">
      <c r="B6814" s="1130" t="s">
        <v>17</v>
      </c>
      <c r="C6814" s="1139"/>
      <c r="D6814" s="1139"/>
      <c r="E6814" s="1139"/>
      <c r="F6814" s="1139"/>
      <c r="G6814" s="1139"/>
      <c r="H6814" s="1139"/>
      <c r="I6814" s="306"/>
      <c r="J6814" s="337"/>
      <c r="K6814" s="315" t="s">
        <v>79</v>
      </c>
      <c r="L6814" s="1140" t="s">
        <v>11</v>
      </c>
      <c r="M6814" s="1141"/>
      <c r="N6814" s="316"/>
    </row>
    <row r="6815" spans="2:17">
      <c r="B6815" s="1112" t="s">
        <v>232</v>
      </c>
      <c r="C6815" s="1113"/>
      <c r="D6815" s="1113"/>
      <c r="E6815" s="1113"/>
      <c r="F6815" s="1113"/>
      <c r="G6815" s="1113"/>
      <c r="H6815" s="1113"/>
      <c r="I6815" s="338"/>
      <c r="J6815" s="339"/>
      <c r="K6815" s="340">
        <f>'PRESUPUESTO OFICIAL'!$K$100</f>
        <v>0</v>
      </c>
      <c r="L6815" s="1146">
        <f>K6815*N6810</f>
        <v>0</v>
      </c>
      <c r="M6815" s="1147"/>
      <c r="N6815" s="341"/>
    </row>
    <row r="6816" spans="2:17">
      <c r="B6816" s="292" t="s">
        <v>293</v>
      </c>
      <c r="C6816" s="293"/>
      <c r="D6816" s="293"/>
      <c r="E6816" s="293"/>
      <c r="F6816" s="293"/>
      <c r="G6816" s="293"/>
      <c r="H6816" s="293"/>
      <c r="I6816" s="338"/>
      <c r="J6816" s="339"/>
      <c r="K6816" s="340">
        <f>'PRESUPUESTO OFICIAL'!$K$101</f>
        <v>0</v>
      </c>
      <c r="L6816" s="1146">
        <f>K6816*N6810</f>
        <v>0</v>
      </c>
      <c r="M6816" s="1147"/>
      <c r="N6816" s="341"/>
    </row>
    <row r="6817" spans="2:14" ht="13.5" thickBot="1">
      <c r="B6817" s="277" t="s">
        <v>294</v>
      </c>
      <c r="C6817" s="278"/>
      <c r="D6817" s="278"/>
      <c r="E6817" s="278"/>
      <c r="F6817" s="278"/>
      <c r="G6817" s="278"/>
      <c r="H6817" s="278"/>
      <c r="I6817" s="342"/>
      <c r="J6817" s="343"/>
      <c r="K6817" s="340">
        <f>'PRESUPUESTO OFICIAL'!$K$102</f>
        <v>0</v>
      </c>
      <c r="L6817" s="1148">
        <f>K6817*N6810</f>
        <v>0</v>
      </c>
      <c r="M6817" s="1149"/>
      <c r="N6817" s="341"/>
    </row>
    <row r="6818" spans="2:14" ht="13.5" thickBot="1">
      <c r="B6818" s="1100" t="s">
        <v>269</v>
      </c>
      <c r="C6818" s="1101"/>
      <c r="D6818" s="1101"/>
      <c r="E6818" s="1101"/>
      <c r="F6818" s="1101"/>
      <c r="G6818" s="1101"/>
      <c r="H6818" s="1101"/>
      <c r="I6818" s="1101"/>
      <c r="J6818" s="1101"/>
      <c r="K6818" s="1101"/>
      <c r="L6818" s="1101"/>
      <c r="M6818" s="1102"/>
      <c r="N6818" s="344">
        <f>SUM(L6815:M6817)</f>
        <v>0</v>
      </c>
    </row>
    <row r="6819" spans="2:14" ht="13.5" thickBot="1">
      <c r="B6819" s="283"/>
      <c r="N6819" s="284"/>
    </row>
    <row r="6820" spans="2:14" ht="13.5" thickBot="1">
      <c r="B6820" s="1150" t="s">
        <v>295</v>
      </c>
      <c r="C6820" s="1151"/>
      <c r="D6820" s="1151"/>
      <c r="E6820" s="1151"/>
      <c r="F6820" s="1151"/>
      <c r="G6820" s="1151"/>
      <c r="H6820" s="1151"/>
      <c r="I6820" s="1151"/>
      <c r="J6820" s="1151"/>
      <c r="K6820" s="1151"/>
      <c r="L6820" s="1151"/>
      <c r="M6820" s="1152"/>
      <c r="N6820" s="345">
        <f>ROUND(N6810+N6818,0)</f>
        <v>246876</v>
      </c>
    </row>
    <row r="6821" spans="2:14">
      <c r="B6821" s="280"/>
      <c r="C6821" s="281"/>
      <c r="D6821" s="281"/>
      <c r="E6821" s="281"/>
      <c r="F6821" s="281"/>
      <c r="G6821" s="281"/>
      <c r="H6821" s="281"/>
      <c r="I6821" s="281"/>
      <c r="J6821" s="281"/>
      <c r="K6821" s="281"/>
      <c r="L6821" s="281"/>
      <c r="M6821" s="281"/>
      <c r="N6821" s="282"/>
    </row>
    <row r="6822" spans="2:14">
      <c r="B6822" s="283"/>
      <c r="N6822" s="284"/>
    </row>
    <row r="6823" spans="2:14">
      <c r="B6823" s="283"/>
      <c r="N6823" s="284"/>
    </row>
    <row r="6824" spans="2:14">
      <c r="B6824" s="283"/>
      <c r="G6824" s="346" t="s">
        <v>296</v>
      </c>
      <c r="H6824" s="346"/>
      <c r="I6824" s="346"/>
      <c r="J6824" s="346"/>
      <c r="N6824" s="284"/>
    </row>
    <row r="6825" spans="2:14">
      <c r="B6825" s="347"/>
      <c r="C6825" s="348"/>
      <c r="D6825" s="348"/>
      <c r="E6825" s="348"/>
      <c r="F6825" s="348"/>
      <c r="G6825" s="346" t="s">
        <v>297</v>
      </c>
      <c r="H6825" s="348"/>
      <c r="I6825" s="348"/>
      <c r="J6825" s="348"/>
      <c r="K6825" s="348"/>
      <c r="L6825" s="348"/>
      <c r="M6825" s="348"/>
      <c r="N6825" s="349"/>
    </row>
    <row r="6826" spans="2:14">
      <c r="B6826" s="347"/>
      <c r="C6826" s="348"/>
      <c r="D6826" s="348"/>
      <c r="E6826" s="348"/>
      <c r="F6826" s="348"/>
      <c r="G6826" s="346" t="s">
        <v>298</v>
      </c>
      <c r="J6826" s="348"/>
      <c r="K6826" s="348"/>
      <c r="L6826" s="348"/>
      <c r="M6826" s="348"/>
      <c r="N6826" s="349"/>
    </row>
    <row r="6827" spans="2:14">
      <c r="B6827" s="268"/>
      <c r="C6827" s="350"/>
      <c r="D6827" s="350"/>
      <c r="E6827" s="350"/>
      <c r="F6827" s="350"/>
      <c r="G6827" s="346" t="s">
        <v>299</v>
      </c>
      <c r="H6827" s="350"/>
      <c r="I6827" s="350"/>
      <c r="J6827" s="350"/>
      <c r="K6827" s="350"/>
      <c r="L6827" s="350"/>
      <c r="M6827" s="350"/>
      <c r="N6827" s="351"/>
    </row>
    <row r="6828" spans="2:14">
      <c r="B6828" s="283"/>
      <c r="G6828" s="258" t="s">
        <v>300</v>
      </c>
      <c r="N6828" s="284"/>
    </row>
    <row r="6829" spans="2:14">
      <c r="B6829" s="352" t="s">
        <v>301</v>
      </c>
      <c r="C6829" s="353"/>
      <c r="D6829" s="353"/>
      <c r="E6829" s="353"/>
      <c r="F6829" s="353"/>
      <c r="G6829" s="353"/>
      <c r="H6829" s="353"/>
      <c r="I6829" s="353"/>
      <c r="J6829" s="353"/>
      <c r="K6829" s="353"/>
      <c r="L6829" s="353"/>
      <c r="M6829" s="353"/>
      <c r="N6829" s="354"/>
    </row>
    <row r="6830" spans="2:14">
      <c r="B6830" s="1153"/>
      <c r="C6830" s="1154"/>
      <c r="D6830" s="1154"/>
      <c r="E6830" s="1154"/>
      <c r="F6830" s="1154"/>
      <c r="G6830" s="1154"/>
      <c r="H6830" s="1154"/>
      <c r="I6830" s="1154"/>
      <c r="J6830" s="1154"/>
      <c r="K6830" s="1154"/>
      <c r="L6830" s="1154"/>
      <c r="M6830" s="1154"/>
      <c r="N6830" s="1155"/>
    </row>
    <row r="6831" spans="2:14">
      <c r="B6831" s="1153"/>
      <c r="C6831" s="1154"/>
      <c r="D6831" s="1154"/>
      <c r="E6831" s="1154"/>
      <c r="F6831" s="1154"/>
      <c r="G6831" s="1154"/>
      <c r="H6831" s="1154"/>
      <c r="I6831" s="1154"/>
      <c r="J6831" s="1154"/>
      <c r="K6831" s="1154"/>
      <c r="L6831" s="1154"/>
      <c r="M6831" s="1154"/>
      <c r="N6831" s="1155"/>
    </row>
    <row r="6832" spans="2:14">
      <c r="B6832" s="268"/>
      <c r="C6832" s="350"/>
      <c r="D6832" s="350"/>
      <c r="E6832" s="350"/>
      <c r="F6832" s="350"/>
      <c r="G6832" s="350"/>
      <c r="H6832" s="350"/>
      <c r="I6832" s="350"/>
      <c r="J6832" s="350"/>
      <c r="K6832" s="350"/>
      <c r="L6832" s="350"/>
      <c r="M6832" s="350"/>
      <c r="N6832" s="351"/>
    </row>
    <row r="6833" spans="2:14">
      <c r="B6833" s="355" t="s">
        <v>302</v>
      </c>
      <c r="C6833" s="350"/>
      <c r="D6833" s="350"/>
      <c r="E6833" s="350"/>
      <c r="F6833" s="350"/>
      <c r="G6833" s="350"/>
      <c r="H6833" s="350"/>
      <c r="I6833" s="350"/>
      <c r="J6833" s="350"/>
      <c r="K6833" s="350"/>
      <c r="L6833" s="350"/>
      <c r="M6833" s="350"/>
      <c r="N6833" s="351"/>
    </row>
    <row r="6834" spans="2:14">
      <c r="B6834" s="1159" t="s">
        <v>303</v>
      </c>
      <c r="C6834" s="1160"/>
      <c r="D6834" s="1160"/>
      <c r="E6834" s="1160"/>
      <c r="F6834" s="1160"/>
      <c r="G6834" s="1160"/>
      <c r="H6834" s="1160"/>
      <c r="I6834" s="1160"/>
      <c r="J6834" s="1160"/>
      <c r="K6834" s="1160"/>
      <c r="L6834" s="1160"/>
      <c r="M6834" s="1160"/>
      <c r="N6834" s="1161"/>
    </row>
    <row r="6835" spans="2:14">
      <c r="B6835" s="1159"/>
      <c r="C6835" s="1160"/>
      <c r="D6835" s="1160"/>
      <c r="E6835" s="1160"/>
      <c r="F6835" s="1160"/>
      <c r="G6835" s="1160"/>
      <c r="H6835" s="1160"/>
      <c r="I6835" s="1160"/>
      <c r="J6835" s="1160"/>
      <c r="K6835" s="1160"/>
      <c r="L6835" s="1160"/>
      <c r="M6835" s="1160"/>
      <c r="N6835" s="1161"/>
    </row>
    <row r="6836" spans="2:14">
      <c r="B6836" s="1159" t="s">
        <v>304</v>
      </c>
      <c r="C6836" s="1160"/>
      <c r="D6836" s="1160"/>
      <c r="E6836" s="1160"/>
      <c r="F6836" s="1160"/>
      <c r="G6836" s="1160"/>
      <c r="H6836" s="1160"/>
      <c r="I6836" s="1160"/>
      <c r="J6836" s="1160"/>
      <c r="K6836" s="1160"/>
      <c r="L6836" s="1160"/>
      <c r="M6836" s="1160"/>
      <c r="N6836" s="1161"/>
    </row>
    <row r="6837" spans="2:14">
      <c r="B6837" s="1159"/>
      <c r="C6837" s="1160"/>
      <c r="D6837" s="1160"/>
      <c r="E6837" s="1160"/>
      <c r="F6837" s="1160"/>
      <c r="G6837" s="1160"/>
      <c r="H6837" s="1160"/>
      <c r="I6837" s="1160"/>
      <c r="J6837" s="1160"/>
      <c r="K6837" s="1160"/>
      <c r="L6837" s="1160"/>
      <c r="M6837" s="1160"/>
      <c r="N6837" s="1161"/>
    </row>
    <row r="6838" spans="2:14">
      <c r="B6838" s="268"/>
      <c r="C6838" s="350"/>
      <c r="D6838" s="350"/>
      <c r="E6838" s="350"/>
      <c r="F6838" s="350"/>
      <c r="G6838" s="350"/>
      <c r="H6838" s="350"/>
      <c r="I6838" s="350"/>
      <c r="J6838" s="350"/>
      <c r="K6838" s="350"/>
      <c r="L6838" s="350"/>
      <c r="M6838" s="350"/>
      <c r="N6838" s="351"/>
    </row>
    <row r="6839" spans="2:14">
      <c r="B6839" s="283"/>
      <c r="G6839" s="346" t="s">
        <v>296</v>
      </c>
      <c r="N6839" s="284"/>
    </row>
    <row r="6840" spans="2:14">
      <c r="B6840" s="283"/>
      <c r="G6840" s="258" t="s">
        <v>305</v>
      </c>
      <c r="H6840" s="293"/>
      <c r="I6840" s="293"/>
      <c r="J6840" s="293"/>
      <c r="N6840" s="284"/>
    </row>
    <row r="6841" spans="2:14">
      <c r="B6841" s="283"/>
      <c r="G6841" s="258" t="s">
        <v>306</v>
      </c>
      <c r="H6841" s="325"/>
      <c r="I6841" s="325"/>
      <c r="J6841" s="325"/>
      <c r="N6841" s="284"/>
    </row>
    <row r="6842" spans="2:14">
      <c r="B6842" s="356"/>
      <c r="C6842" s="350"/>
      <c r="D6842" s="350"/>
      <c r="E6842" s="350"/>
      <c r="F6842" s="350"/>
      <c r="G6842" s="258" t="s">
        <v>299</v>
      </c>
      <c r="K6842" s="350"/>
      <c r="L6842" s="350"/>
      <c r="M6842" s="350"/>
      <c r="N6842" s="351"/>
    </row>
    <row r="6843" spans="2:14">
      <c r="B6843" s="357"/>
      <c r="C6843" s="358"/>
      <c r="D6843" s="358"/>
      <c r="J6843" s="1162"/>
      <c r="K6843" s="1162"/>
      <c r="L6843" s="1162"/>
      <c r="M6843" s="1162"/>
      <c r="N6843" s="1163"/>
    </row>
    <row r="6844" spans="2:14" ht="13.5" thickBot="1">
      <c r="B6844" s="1166"/>
      <c r="C6844" s="1167"/>
      <c r="D6844" s="1167"/>
      <c r="E6844" s="311"/>
      <c r="F6844" s="311"/>
      <c r="G6844" s="311"/>
      <c r="H6844" s="311"/>
      <c r="I6844" s="311"/>
      <c r="J6844" s="1164"/>
      <c r="K6844" s="1164"/>
      <c r="L6844" s="1164"/>
      <c r="M6844" s="1164"/>
      <c r="N6844" s="1165"/>
    </row>
    <row r="6845" spans="2:14" ht="13.5" thickBot="1"/>
    <row r="6846" spans="2:14">
      <c r="B6846" s="1070"/>
      <c r="C6846" s="1072"/>
      <c r="D6846" s="1073"/>
      <c r="E6846" s="1073"/>
      <c r="F6846" s="1073"/>
      <c r="G6846" s="1073"/>
      <c r="H6846" s="1073"/>
      <c r="I6846" s="1073"/>
      <c r="J6846" s="1074"/>
      <c r="K6846" s="1075"/>
      <c r="L6846" s="1076"/>
      <c r="M6846" s="1076"/>
      <c r="N6846" s="1077"/>
    </row>
    <row r="6847" spans="2:14">
      <c r="B6847" s="1071"/>
      <c r="C6847" s="1062" t="s">
        <v>244</v>
      </c>
      <c r="D6847" s="1063"/>
      <c r="E6847" s="1063"/>
      <c r="F6847" s="1063"/>
      <c r="G6847" s="1063"/>
      <c r="H6847" s="1063"/>
      <c r="I6847" s="1063"/>
      <c r="J6847" s="1064"/>
      <c r="K6847" s="1078"/>
      <c r="L6847" s="1079"/>
      <c r="M6847" s="1079"/>
      <c r="N6847" s="1080"/>
    </row>
    <row r="6848" spans="2:14">
      <c r="B6848" s="1071"/>
      <c r="C6848" s="1081"/>
      <c r="D6848" s="1082"/>
      <c r="E6848" s="1082"/>
      <c r="F6848" s="1082"/>
      <c r="G6848" s="1082"/>
      <c r="H6848" s="1082"/>
      <c r="I6848" s="1082"/>
      <c r="J6848" s="1083"/>
      <c r="K6848" s="1058" t="s">
        <v>245</v>
      </c>
      <c r="L6848" s="1085"/>
      <c r="M6848" s="1086"/>
      <c r="N6848" s="1087"/>
    </row>
    <row r="6849" spans="2:14">
      <c r="B6849" s="1071"/>
      <c r="C6849" s="1062" t="s">
        <v>246</v>
      </c>
      <c r="D6849" s="1063"/>
      <c r="E6849" s="1063"/>
      <c r="F6849" s="1063"/>
      <c r="G6849" s="1063"/>
      <c r="H6849" s="1063"/>
      <c r="I6849" s="1063"/>
      <c r="J6849" s="1064"/>
      <c r="K6849" s="1084"/>
      <c r="L6849" s="1088"/>
      <c r="M6849" s="1089"/>
      <c r="N6849" s="1090"/>
    </row>
    <row r="6850" spans="2:14">
      <c r="B6850" s="1071"/>
      <c r="C6850" s="1091"/>
      <c r="D6850" s="1092"/>
      <c r="E6850" s="1092"/>
      <c r="F6850" s="1092"/>
      <c r="G6850" s="1092"/>
      <c r="H6850" s="1092"/>
      <c r="I6850" s="1092"/>
      <c r="J6850" s="1093"/>
      <c r="K6850" s="1058" t="s">
        <v>247</v>
      </c>
      <c r="L6850" s="1058">
        <v>78</v>
      </c>
      <c r="M6850" s="1058" t="s">
        <v>248</v>
      </c>
      <c r="N6850" s="1060">
        <v>80</v>
      </c>
    </row>
    <row r="6851" spans="2:14">
      <c r="B6851" s="1071"/>
      <c r="C6851" s="1091"/>
      <c r="D6851" s="1092"/>
      <c r="E6851" s="1092"/>
      <c r="F6851" s="1092"/>
      <c r="G6851" s="1092"/>
      <c r="H6851" s="1092"/>
      <c r="I6851" s="1092"/>
      <c r="J6851" s="1093"/>
      <c r="K6851" s="1059"/>
      <c r="L6851" s="1059"/>
      <c r="M6851" s="1059"/>
      <c r="N6851" s="1061"/>
    </row>
    <row r="6852" spans="2:14">
      <c r="B6852" s="1071"/>
      <c r="C6852" s="1062" t="s">
        <v>249</v>
      </c>
      <c r="D6852" s="1063"/>
      <c r="E6852" s="1063"/>
      <c r="F6852" s="1063"/>
      <c r="G6852" s="1063"/>
      <c r="H6852" s="1063"/>
      <c r="I6852" s="1063"/>
      <c r="J6852" s="1064"/>
      <c r="K6852" s="1059"/>
      <c r="L6852" s="1059"/>
      <c r="M6852" s="1059"/>
      <c r="N6852" s="1061"/>
    </row>
    <row r="6853" spans="2:14" ht="13.5" thickBot="1">
      <c r="B6853" s="259"/>
      <c r="C6853" s="260"/>
      <c r="D6853" s="260"/>
      <c r="E6853" s="260"/>
      <c r="F6853" s="260"/>
      <c r="G6853" s="260"/>
      <c r="H6853" s="260"/>
      <c r="I6853" s="260"/>
      <c r="J6853" s="260"/>
      <c r="K6853" s="260"/>
      <c r="L6853" s="261"/>
      <c r="M6853" s="261"/>
      <c r="N6853" s="262"/>
    </row>
    <row r="6854" spans="2:14">
      <c r="B6854" s="263"/>
      <c r="C6854" s="264"/>
      <c r="D6854" s="264"/>
      <c r="E6854" s="264"/>
      <c r="F6854" s="264"/>
      <c r="G6854" s="264"/>
      <c r="H6854" s="264"/>
      <c r="I6854" s="264"/>
      <c r="J6854" s="264"/>
      <c r="K6854" s="265" t="s">
        <v>250</v>
      </c>
      <c r="L6854" s="266" t="s">
        <v>251</v>
      </c>
      <c r="M6854" s="266" t="s">
        <v>252</v>
      </c>
      <c r="N6854" s="267" t="s">
        <v>253</v>
      </c>
    </row>
    <row r="6855" spans="2:14">
      <c r="B6855" s="268"/>
      <c r="C6855" s="269"/>
      <c r="D6855" s="269"/>
      <c r="E6855" s="269"/>
      <c r="F6855" s="269"/>
      <c r="G6855" s="269"/>
      <c r="H6855" s="269"/>
      <c r="I6855" s="269"/>
      <c r="J6855" s="269"/>
      <c r="K6855" s="270"/>
      <c r="L6855" s="271"/>
      <c r="M6855" s="271"/>
      <c r="N6855" s="272"/>
    </row>
    <row r="6856" spans="2:14">
      <c r="B6856" s="1065" t="s">
        <v>254</v>
      </c>
      <c r="C6856" s="1066"/>
      <c r="D6856" s="1066"/>
      <c r="E6856" s="1066"/>
      <c r="F6856" s="269"/>
      <c r="G6856" s="269"/>
      <c r="H6856" s="269" t="s">
        <v>255</v>
      </c>
      <c r="J6856" s="269"/>
      <c r="K6856" s="270"/>
      <c r="N6856" s="273"/>
    </row>
    <row r="6857" spans="2:14">
      <c r="B6857" s="274"/>
      <c r="C6857" s="275"/>
      <c r="D6857" s="275"/>
      <c r="E6857" s="275"/>
      <c r="F6857" s="275"/>
      <c r="G6857" s="275"/>
      <c r="H6857" s="275"/>
      <c r="I6857" s="275"/>
      <c r="J6857" s="275"/>
      <c r="K6857" s="275"/>
      <c r="L6857" s="275"/>
      <c r="M6857" s="275"/>
      <c r="N6857" s="276"/>
    </row>
    <row r="6858" spans="2:14" ht="13.5" thickBot="1">
      <c r="B6858" s="277"/>
      <c r="C6858" s="278"/>
      <c r="D6858" s="278"/>
      <c r="E6858" s="278"/>
      <c r="F6858" s="278"/>
      <c r="G6858" s="278"/>
      <c r="H6858" s="278"/>
      <c r="I6858" s="278"/>
      <c r="J6858" s="278"/>
      <c r="K6858" s="278"/>
      <c r="L6858" s="278"/>
      <c r="M6858" s="278"/>
      <c r="N6858" s="279"/>
    </row>
    <row r="6859" spans="2:14" ht="13.5" thickBot="1">
      <c r="B6859" s="280"/>
      <c r="C6859" s="281"/>
      <c r="D6859" s="281"/>
      <c r="E6859" s="281"/>
      <c r="F6859" s="281"/>
      <c r="G6859" s="281"/>
      <c r="J6859" s="281"/>
      <c r="K6859" s="281"/>
      <c r="L6859" s="281"/>
      <c r="M6859" s="281"/>
      <c r="N6859" s="282"/>
    </row>
    <row r="6860" spans="2:14">
      <c r="B6860" s="1067" t="s">
        <v>256</v>
      </c>
      <c r="C6860" s="1068"/>
      <c r="D6860" s="1068"/>
      <c r="E6860" s="1068"/>
      <c r="F6860" s="1068"/>
      <c r="G6860" s="1068"/>
      <c r="H6860" s="1068"/>
      <c r="I6860" s="1068"/>
      <c r="J6860" s="1068"/>
      <c r="K6860" s="1068"/>
      <c r="L6860" s="1068"/>
      <c r="M6860" s="1068"/>
      <c r="N6860" s="1069"/>
    </row>
    <row r="6861" spans="2:14" ht="13.5" thickBot="1">
      <c r="B6861" s="283"/>
      <c r="N6861" s="284"/>
    </row>
    <row r="6862" spans="2:14">
      <c r="B6862" s="285" t="s">
        <v>257</v>
      </c>
      <c r="C6862" s="1120" t="s">
        <v>258</v>
      </c>
      <c r="D6862" s="1121"/>
      <c r="E6862" s="1121"/>
      <c r="F6862" s="1121"/>
      <c r="G6862" s="1121"/>
      <c r="H6862" s="1121"/>
      <c r="I6862" s="1121"/>
      <c r="J6862" s="1121"/>
      <c r="K6862" s="1122"/>
      <c r="L6862" s="1123" t="s">
        <v>259</v>
      </c>
      <c r="M6862" s="1124"/>
      <c r="N6862" s="285" t="s">
        <v>133</v>
      </c>
    </row>
    <row r="6863" spans="2:14" ht="66" customHeight="1" thickBot="1">
      <c r="B6863" s="286">
        <v>78</v>
      </c>
      <c r="C6863" s="1125" t="s">
        <v>443</v>
      </c>
      <c r="D6863" s="1126"/>
      <c r="E6863" s="1126"/>
      <c r="F6863" s="1126"/>
      <c r="G6863" s="1126"/>
      <c r="H6863" s="1126"/>
      <c r="I6863" s="1126"/>
      <c r="J6863" s="1126"/>
      <c r="K6863" s="1127"/>
      <c r="L6863" s="1128" t="s">
        <v>143</v>
      </c>
      <c r="M6863" s="1129"/>
      <c r="N6863" s="366">
        <f>'PRESUPUESTO OFICIAL'!I89</f>
        <v>370</v>
      </c>
    </row>
    <row r="6864" spans="2:14">
      <c r="B6864" s="1103" t="s">
        <v>260</v>
      </c>
      <c r="C6864" s="1104"/>
      <c r="D6864" s="1104"/>
      <c r="E6864" s="1104"/>
      <c r="F6864" s="1104"/>
      <c r="G6864" s="1104"/>
      <c r="H6864" s="1104"/>
      <c r="I6864" s="1104"/>
      <c r="J6864" s="1104"/>
      <c r="K6864" s="1104"/>
      <c r="L6864" s="1104"/>
      <c r="M6864" s="1104"/>
      <c r="N6864" s="1105"/>
    </row>
    <row r="6865" spans="2:14">
      <c r="B6865" s="1106"/>
      <c r="C6865" s="1107"/>
      <c r="D6865" s="1107"/>
      <c r="E6865" s="1107"/>
      <c r="F6865" s="1107"/>
      <c r="G6865" s="1107"/>
      <c r="H6865" s="1107"/>
      <c r="I6865" s="1107"/>
      <c r="J6865" s="1107"/>
      <c r="K6865" s="1107"/>
      <c r="L6865" s="1107"/>
      <c r="M6865" s="1107"/>
      <c r="N6865" s="1108"/>
    </row>
    <row r="6866" spans="2:14" ht="13.5" thickBot="1">
      <c r="B6866" s="1109"/>
      <c r="C6866" s="1110"/>
      <c r="D6866" s="1110"/>
      <c r="E6866" s="1110"/>
      <c r="F6866" s="1110"/>
      <c r="G6866" s="1110"/>
      <c r="H6866" s="1110"/>
      <c r="I6866" s="1110"/>
      <c r="J6866" s="1110"/>
      <c r="K6866" s="1110"/>
      <c r="L6866" s="1110"/>
      <c r="M6866" s="1110"/>
      <c r="N6866" s="1111"/>
    </row>
    <row r="6867" spans="2:14">
      <c r="B6867" s="1130" t="s">
        <v>258</v>
      </c>
      <c r="C6867" s="1131"/>
      <c r="D6867" s="1131"/>
      <c r="E6867" s="1131"/>
      <c r="F6867" s="1132"/>
      <c r="G6867" s="1133" t="s">
        <v>261</v>
      </c>
      <c r="H6867" s="1131"/>
      <c r="I6867" s="1134" t="s">
        <v>262</v>
      </c>
      <c r="J6867" s="1135"/>
      <c r="K6867" s="288" t="s">
        <v>263</v>
      </c>
      <c r="L6867" s="1133" t="s">
        <v>264</v>
      </c>
      <c r="M6867" s="1136"/>
      <c r="N6867" s="289" t="s">
        <v>265</v>
      </c>
    </row>
    <row r="6868" spans="2:14">
      <c r="B6868" s="1179" t="s">
        <v>428</v>
      </c>
      <c r="C6868" s="1180"/>
      <c r="D6868" s="1180"/>
      <c r="E6868" s="1180"/>
      <c r="F6868" s="1181"/>
      <c r="G6868" s="295"/>
      <c r="H6868" s="294"/>
      <c r="I6868" s="1182" t="s">
        <v>267</v>
      </c>
      <c r="J6868" s="1183"/>
      <c r="K6868" s="290">
        <v>11305</v>
      </c>
      <c r="L6868" s="1118">
        <v>5</v>
      </c>
      <c r="M6868" s="1119"/>
      <c r="N6868" s="290">
        <f>+K6868/L6868</f>
        <v>2261</v>
      </c>
    </row>
    <row r="6869" spans="2:14">
      <c r="B6869" s="1179" t="s">
        <v>429</v>
      </c>
      <c r="C6869" s="1180"/>
      <c r="D6869" s="1180"/>
      <c r="E6869" s="1180"/>
      <c r="F6869" s="1181"/>
      <c r="G6869" s="295"/>
      <c r="H6869" s="294"/>
      <c r="I6869" s="1182" t="s">
        <v>267</v>
      </c>
      <c r="J6869" s="1183"/>
      <c r="K6869" s="290">
        <v>28798</v>
      </c>
      <c r="L6869" s="1118">
        <v>5</v>
      </c>
      <c r="M6869" s="1119"/>
      <c r="N6869" s="290">
        <f>+K6869/L6869</f>
        <v>5759.6</v>
      </c>
    </row>
    <row r="6870" spans="2:14">
      <c r="B6870" s="1179" t="s">
        <v>427</v>
      </c>
      <c r="C6870" s="1180"/>
      <c r="D6870" s="1180"/>
      <c r="E6870" s="1180"/>
      <c r="F6870" s="1181"/>
      <c r="G6870" s="295"/>
      <c r="H6870" s="294"/>
      <c r="I6870" s="1182" t="s">
        <v>267</v>
      </c>
      <c r="J6870" s="1183"/>
      <c r="K6870" s="290">
        <v>178500</v>
      </c>
      <c r="L6870" s="1118">
        <v>18.552900000000001</v>
      </c>
      <c r="M6870" s="1119"/>
      <c r="N6870" s="290">
        <f>+K6870/L6870</f>
        <v>9621.1373963100104</v>
      </c>
    </row>
    <row r="6871" spans="2:14">
      <c r="B6871" s="1179" t="s">
        <v>426</v>
      </c>
      <c r="C6871" s="1180"/>
      <c r="D6871" s="1180"/>
      <c r="E6871" s="1180"/>
      <c r="F6871" s="1181"/>
      <c r="G6871" s="295"/>
      <c r="H6871" s="294"/>
      <c r="I6871" s="1182" t="s">
        <v>267</v>
      </c>
      <c r="J6871" s="1183"/>
      <c r="K6871" s="290">
        <v>36000</v>
      </c>
      <c r="L6871" s="1118">
        <v>5</v>
      </c>
      <c r="M6871" s="1119"/>
      <c r="N6871" s="290">
        <f>+K6871/L6871</f>
        <v>7200</v>
      </c>
    </row>
    <row r="6872" spans="2:14" ht="13.5" thickBot="1">
      <c r="B6872" s="1179" t="s">
        <v>425</v>
      </c>
      <c r="C6872" s="1180"/>
      <c r="D6872" s="1180"/>
      <c r="E6872" s="1180"/>
      <c r="F6872" s="1181"/>
      <c r="G6872" s="295"/>
      <c r="H6872" s="294"/>
      <c r="I6872" s="1182" t="s">
        <v>267</v>
      </c>
      <c r="J6872" s="1183"/>
      <c r="K6872" s="290">
        <v>17000</v>
      </c>
      <c r="L6872" s="1118">
        <v>4</v>
      </c>
      <c r="M6872" s="1119"/>
      <c r="N6872" s="290">
        <f>+K6872/L6872</f>
        <v>4250</v>
      </c>
    </row>
    <row r="6873" spans="2:14" ht="13.5" thickBot="1">
      <c r="B6873" s="1100" t="s">
        <v>269</v>
      </c>
      <c r="C6873" s="1101"/>
      <c r="D6873" s="1101"/>
      <c r="E6873" s="1101"/>
      <c r="F6873" s="1101"/>
      <c r="G6873" s="1101"/>
      <c r="H6873" s="1101"/>
      <c r="I6873" s="1101"/>
      <c r="J6873" s="1101"/>
      <c r="K6873" s="1101"/>
      <c r="L6873" s="1101"/>
      <c r="M6873" s="1102"/>
      <c r="N6873" s="323">
        <f>+N6868+N6869+N6870+N6871+N6872</f>
        <v>29091.737396310011</v>
      </c>
    </row>
    <row r="6874" spans="2:14">
      <c r="B6874" s="1103" t="s">
        <v>270</v>
      </c>
      <c r="C6874" s="1104"/>
      <c r="D6874" s="1104"/>
      <c r="E6874" s="1104"/>
      <c r="F6874" s="1104"/>
      <c r="G6874" s="1104"/>
      <c r="H6874" s="1104"/>
      <c r="I6874" s="1104"/>
      <c r="J6874" s="1104"/>
      <c r="K6874" s="1104"/>
      <c r="L6874" s="1104"/>
      <c r="M6874" s="1104"/>
      <c r="N6874" s="1105"/>
    </row>
    <row r="6875" spans="2:14">
      <c r="B6875" s="1106"/>
      <c r="C6875" s="1107"/>
      <c r="D6875" s="1107"/>
      <c r="E6875" s="1107"/>
      <c r="F6875" s="1107"/>
      <c r="G6875" s="1107"/>
      <c r="H6875" s="1107"/>
      <c r="I6875" s="1107"/>
      <c r="J6875" s="1107"/>
      <c r="K6875" s="1107"/>
      <c r="L6875" s="1107"/>
      <c r="M6875" s="1107"/>
      <c r="N6875" s="1108"/>
    </row>
    <row r="6876" spans="2:14" ht="13.5" thickBot="1">
      <c r="B6876" s="1109"/>
      <c r="C6876" s="1110"/>
      <c r="D6876" s="1110"/>
      <c r="E6876" s="1110"/>
      <c r="F6876" s="1110"/>
      <c r="G6876" s="1110"/>
      <c r="H6876" s="1110"/>
      <c r="I6876" s="1110"/>
      <c r="J6876" s="1110"/>
      <c r="K6876" s="1110"/>
      <c r="L6876" s="1110"/>
      <c r="M6876" s="1110"/>
      <c r="N6876" s="1111"/>
    </row>
    <row r="6877" spans="2:14">
      <c r="B6877" s="1130" t="s">
        <v>258</v>
      </c>
      <c r="C6877" s="1139"/>
      <c r="D6877" s="1139"/>
      <c r="E6877" s="1139"/>
      <c r="F6877" s="1139"/>
      <c r="G6877" s="1139"/>
      <c r="H6877" s="1139"/>
      <c r="I6877" s="1136"/>
      <c r="J6877" s="299" t="s">
        <v>259</v>
      </c>
      <c r="K6877" s="288" t="s">
        <v>133</v>
      </c>
      <c r="L6877" s="1133" t="s">
        <v>271</v>
      </c>
      <c r="M6877" s="1136"/>
      <c r="N6877" s="289" t="s">
        <v>265</v>
      </c>
    </row>
    <row r="6878" spans="2:14">
      <c r="B6878" s="402" t="s">
        <v>433</v>
      </c>
      <c r="C6878" s="353"/>
      <c r="D6878" s="353"/>
      <c r="E6878" s="353"/>
      <c r="F6878" s="353"/>
      <c r="G6878" s="353"/>
      <c r="H6878" s="353"/>
      <c r="I6878" s="403"/>
      <c r="J6878" s="303" t="s">
        <v>196</v>
      </c>
      <c r="K6878" s="392">
        <v>0.6</v>
      </c>
      <c r="L6878" s="1144">
        <v>10115</v>
      </c>
      <c r="M6878" s="1145"/>
      <c r="N6878" s="363">
        <f>+K6878*L6878</f>
        <v>6069</v>
      </c>
    </row>
    <row r="6879" spans="2:14">
      <c r="B6879" s="402" t="s">
        <v>431</v>
      </c>
      <c r="C6879" s="353"/>
      <c r="D6879" s="353"/>
      <c r="E6879" s="353"/>
      <c r="F6879" s="353"/>
      <c r="G6879" s="353"/>
      <c r="H6879" s="353"/>
      <c r="I6879" s="403"/>
      <c r="J6879" s="303" t="s">
        <v>432</v>
      </c>
      <c r="K6879" s="392">
        <v>1</v>
      </c>
      <c r="L6879" s="1144">
        <v>640</v>
      </c>
      <c r="M6879" s="1145"/>
      <c r="N6879" s="363">
        <f t="shared" ref="N6879:N6887" si="7">+K6879*L6879</f>
        <v>640</v>
      </c>
    </row>
    <row r="6880" spans="2:14">
      <c r="B6880" s="402" t="s">
        <v>348</v>
      </c>
      <c r="C6880" s="353"/>
      <c r="D6880" s="353"/>
      <c r="E6880" s="353"/>
      <c r="F6880" s="353"/>
      <c r="G6880" s="353"/>
      <c r="H6880" s="353"/>
      <c r="I6880" s="403"/>
      <c r="J6880" s="303" t="s">
        <v>147</v>
      </c>
      <c r="K6880" s="392">
        <v>0.03</v>
      </c>
      <c r="L6880" s="1144">
        <v>369520</v>
      </c>
      <c r="M6880" s="1145"/>
      <c r="N6880" s="363">
        <f t="shared" si="7"/>
        <v>11085.6</v>
      </c>
    </row>
    <row r="6881" spans="2:14">
      <c r="B6881" s="402" t="s">
        <v>434</v>
      </c>
      <c r="C6881" s="353"/>
      <c r="D6881" s="353"/>
      <c r="E6881" s="353"/>
      <c r="F6881" s="353"/>
      <c r="G6881" s="353"/>
      <c r="H6881" s="353"/>
      <c r="I6881" s="403"/>
      <c r="J6881" s="303" t="s">
        <v>190</v>
      </c>
      <c r="K6881" s="392">
        <v>0.45</v>
      </c>
      <c r="L6881" s="1144">
        <v>15000</v>
      </c>
      <c r="M6881" s="1145"/>
      <c r="N6881" s="363">
        <f t="shared" si="7"/>
        <v>6750</v>
      </c>
    </row>
    <row r="6882" spans="2:14">
      <c r="B6882" s="402" t="s">
        <v>435</v>
      </c>
      <c r="C6882" s="353"/>
      <c r="D6882" s="353"/>
      <c r="E6882" s="353"/>
      <c r="F6882" s="353"/>
      <c r="G6882" s="353"/>
      <c r="H6882" s="353"/>
      <c r="I6882" s="403"/>
      <c r="J6882" s="303" t="s">
        <v>196</v>
      </c>
      <c r="K6882" s="392">
        <v>4</v>
      </c>
      <c r="L6882" s="1144">
        <v>1200</v>
      </c>
      <c r="M6882" s="1145"/>
      <c r="N6882" s="363">
        <f t="shared" si="7"/>
        <v>4800</v>
      </c>
    </row>
    <row r="6883" spans="2:14">
      <c r="B6883" s="402" t="s">
        <v>430</v>
      </c>
      <c r="C6883" s="353"/>
      <c r="D6883" s="353"/>
      <c r="E6883" s="353"/>
      <c r="F6883" s="353"/>
      <c r="G6883" s="353"/>
      <c r="H6883" s="353"/>
      <c r="I6883" s="403"/>
      <c r="J6883" s="303" t="s">
        <v>143</v>
      </c>
      <c r="K6883" s="392">
        <v>7</v>
      </c>
      <c r="L6883" s="1144">
        <v>4817</v>
      </c>
      <c r="M6883" s="1145"/>
      <c r="N6883" s="363">
        <f t="shared" si="7"/>
        <v>33719</v>
      </c>
    </row>
    <row r="6884" spans="2:14">
      <c r="B6884" s="402" t="s">
        <v>438</v>
      </c>
      <c r="C6884" s="353"/>
      <c r="D6884" s="353"/>
      <c r="E6884" s="353"/>
      <c r="F6884" s="353"/>
      <c r="G6884" s="353"/>
      <c r="H6884" s="353"/>
      <c r="I6884" s="403"/>
      <c r="J6884" s="303" t="s">
        <v>439</v>
      </c>
      <c r="K6884" s="392">
        <v>0.15</v>
      </c>
      <c r="L6884" s="1144">
        <v>35000</v>
      </c>
      <c r="M6884" s="1145"/>
      <c r="N6884" s="363">
        <f t="shared" si="7"/>
        <v>5250</v>
      </c>
    </row>
    <row r="6885" spans="2:14">
      <c r="B6885" s="402" t="s">
        <v>436</v>
      </c>
      <c r="C6885" s="353"/>
      <c r="D6885" s="353"/>
      <c r="E6885" s="353"/>
      <c r="F6885" s="353"/>
      <c r="G6885" s="353"/>
      <c r="H6885" s="353"/>
      <c r="I6885" s="403"/>
      <c r="J6885" s="303" t="s">
        <v>392</v>
      </c>
      <c r="K6885" s="392">
        <v>7.0000000000000007E-2</v>
      </c>
      <c r="L6885" s="1144">
        <v>75900</v>
      </c>
      <c r="M6885" s="1145"/>
      <c r="N6885" s="363">
        <f t="shared" si="7"/>
        <v>5313.0000000000009</v>
      </c>
    </row>
    <row r="6886" spans="2:14">
      <c r="B6886" s="402" t="s">
        <v>440</v>
      </c>
      <c r="C6886" s="353"/>
      <c r="D6886" s="353"/>
      <c r="E6886" s="353"/>
      <c r="F6886" s="353"/>
      <c r="G6886" s="353"/>
      <c r="H6886" s="353"/>
      <c r="I6886" s="403"/>
      <c r="J6886" s="303" t="s">
        <v>392</v>
      </c>
      <c r="K6886" s="392">
        <v>0.11</v>
      </c>
      <c r="L6886" s="1144">
        <v>65900</v>
      </c>
      <c r="M6886" s="1145"/>
      <c r="N6886" s="363">
        <f t="shared" si="7"/>
        <v>7249</v>
      </c>
    </row>
    <row r="6887" spans="2:14">
      <c r="B6887" s="402" t="s">
        <v>440</v>
      </c>
      <c r="C6887" s="353"/>
      <c r="D6887" s="353"/>
      <c r="E6887" s="353"/>
      <c r="F6887" s="353"/>
      <c r="G6887" s="353"/>
      <c r="H6887" s="353"/>
      <c r="I6887" s="403"/>
      <c r="J6887" s="303" t="s">
        <v>143</v>
      </c>
      <c r="K6887" s="392">
        <v>3.1</v>
      </c>
      <c r="L6887" s="1144">
        <v>22937</v>
      </c>
      <c r="M6887" s="1145"/>
      <c r="N6887" s="363">
        <f t="shared" si="7"/>
        <v>71104.7</v>
      </c>
    </row>
    <row r="6888" spans="2:14" ht="13.5" thickBot="1">
      <c r="B6888" s="402" t="s">
        <v>437</v>
      </c>
      <c r="C6888" s="353"/>
      <c r="D6888" s="353"/>
      <c r="E6888" s="353"/>
      <c r="F6888" s="353"/>
      <c r="G6888" s="353"/>
      <c r="H6888" s="353"/>
      <c r="I6888" s="403"/>
      <c r="J6888" s="303"/>
      <c r="K6888" s="392"/>
      <c r="L6888" s="1144"/>
      <c r="M6888" s="1145"/>
      <c r="N6888" s="363"/>
    </row>
    <row r="6889" spans="2:14" ht="13.5" thickBot="1">
      <c r="B6889" s="1100" t="s">
        <v>269</v>
      </c>
      <c r="C6889" s="1101"/>
      <c r="D6889" s="1101"/>
      <c r="E6889" s="1101"/>
      <c r="F6889" s="1101"/>
      <c r="G6889" s="1101"/>
      <c r="H6889" s="1101"/>
      <c r="I6889" s="1101"/>
      <c r="J6889" s="1101"/>
      <c r="K6889" s="1101"/>
      <c r="L6889" s="1101"/>
      <c r="M6889" s="1102"/>
      <c r="N6889" s="323">
        <f>+N6878+N6879+N6880+N6881+N6882+N6883+N6884+N6885+N6886+N6887</f>
        <v>151980.29999999999</v>
      </c>
    </row>
    <row r="6890" spans="2:14">
      <c r="B6890" s="1103" t="s">
        <v>367</v>
      </c>
      <c r="C6890" s="1104"/>
      <c r="D6890" s="1104"/>
      <c r="E6890" s="1104"/>
      <c r="F6890" s="1104"/>
      <c r="G6890" s="1104"/>
      <c r="H6890" s="1104"/>
      <c r="I6890" s="1104"/>
      <c r="J6890" s="1104"/>
      <c r="K6890" s="1104"/>
      <c r="L6890" s="1104"/>
      <c r="M6890" s="1104"/>
      <c r="N6890" s="1105"/>
    </row>
    <row r="6891" spans="2:14">
      <c r="B6891" s="1106"/>
      <c r="C6891" s="1107"/>
      <c r="D6891" s="1107"/>
      <c r="E6891" s="1107"/>
      <c r="F6891" s="1107"/>
      <c r="G6891" s="1107"/>
      <c r="H6891" s="1107"/>
      <c r="I6891" s="1107"/>
      <c r="J6891" s="1107"/>
      <c r="K6891" s="1107"/>
      <c r="L6891" s="1107"/>
      <c r="M6891" s="1107"/>
      <c r="N6891" s="1108"/>
    </row>
    <row r="6892" spans="2:14" ht="13.5" thickBot="1">
      <c r="B6892" s="1109"/>
      <c r="C6892" s="1110"/>
      <c r="D6892" s="1110"/>
      <c r="E6892" s="1110"/>
      <c r="F6892" s="1110"/>
      <c r="G6892" s="1110"/>
      <c r="H6892" s="1110"/>
      <c r="I6892" s="1110"/>
      <c r="J6892" s="1110"/>
      <c r="K6892" s="1110"/>
      <c r="L6892" s="1110"/>
      <c r="M6892" s="1110"/>
      <c r="N6892" s="1111"/>
    </row>
    <row r="6893" spans="2:14">
      <c r="B6893" s="1130" t="s">
        <v>277</v>
      </c>
      <c r="C6893" s="1139"/>
      <c r="D6893" s="1139"/>
      <c r="E6893" s="1139"/>
      <c r="F6893" s="1139"/>
      <c r="G6893" s="1139"/>
      <c r="H6893" s="1139"/>
      <c r="I6893" s="288" t="s">
        <v>278</v>
      </c>
      <c r="J6893" s="306" t="s">
        <v>279</v>
      </c>
      <c r="K6893" s="307" t="s">
        <v>280</v>
      </c>
      <c r="L6893" s="1133" t="s">
        <v>281</v>
      </c>
      <c r="M6893" s="1136"/>
      <c r="N6893" s="289" t="s">
        <v>265</v>
      </c>
    </row>
    <row r="6894" spans="2:14" ht="13.5" thickBot="1">
      <c r="B6894" s="1112" t="s">
        <v>380</v>
      </c>
      <c r="C6894" s="1113"/>
      <c r="D6894" s="1113"/>
      <c r="E6894" s="1113"/>
      <c r="F6894" s="1113"/>
      <c r="G6894" s="1113"/>
      <c r="H6894" s="1113"/>
      <c r="I6894" s="393">
        <v>3</v>
      </c>
      <c r="J6894" s="309"/>
      <c r="K6894" s="308"/>
      <c r="L6894" s="1144">
        <v>1000</v>
      </c>
      <c r="M6894" s="1145"/>
      <c r="N6894" s="363">
        <f>+I6894*L6894</f>
        <v>3000</v>
      </c>
    </row>
    <row r="6895" spans="2:14" ht="13.5" thickBot="1">
      <c r="B6895" s="1100" t="s">
        <v>269</v>
      </c>
      <c r="C6895" s="1101"/>
      <c r="D6895" s="1101"/>
      <c r="E6895" s="1101"/>
      <c r="F6895" s="1101"/>
      <c r="G6895" s="1101"/>
      <c r="H6895" s="1101"/>
      <c r="I6895" s="1101"/>
      <c r="J6895" s="1101"/>
      <c r="K6895" s="1101"/>
      <c r="L6895" s="1101"/>
      <c r="M6895" s="1102"/>
      <c r="N6895" s="323">
        <f>+N6894</f>
        <v>3000</v>
      </c>
    </row>
    <row r="6896" spans="2:14">
      <c r="B6896" s="1103" t="s">
        <v>282</v>
      </c>
      <c r="C6896" s="1104"/>
      <c r="D6896" s="1104"/>
      <c r="E6896" s="1104"/>
      <c r="F6896" s="1104"/>
      <c r="G6896" s="1104"/>
      <c r="H6896" s="1104"/>
      <c r="I6896" s="1104"/>
      <c r="J6896" s="1104"/>
      <c r="K6896" s="1104"/>
      <c r="L6896" s="1104"/>
      <c r="M6896" s="1104"/>
      <c r="N6896" s="1105"/>
    </row>
    <row r="6897" spans="2:17">
      <c r="B6897" s="1106"/>
      <c r="C6897" s="1107"/>
      <c r="D6897" s="1107"/>
      <c r="E6897" s="1107"/>
      <c r="F6897" s="1107"/>
      <c r="G6897" s="1107"/>
      <c r="H6897" s="1107"/>
      <c r="I6897" s="1107"/>
      <c r="J6897" s="1107"/>
      <c r="K6897" s="1107"/>
      <c r="L6897" s="1107"/>
      <c r="M6897" s="1107"/>
      <c r="N6897" s="1108"/>
    </row>
    <row r="6898" spans="2:17" ht="13.5" thickBot="1">
      <c r="B6898" s="1109"/>
      <c r="C6898" s="1110"/>
      <c r="D6898" s="1110"/>
      <c r="E6898" s="1110"/>
      <c r="F6898" s="1110"/>
      <c r="G6898" s="1110"/>
      <c r="H6898" s="1110"/>
      <c r="I6898" s="1110"/>
      <c r="J6898" s="1110"/>
      <c r="K6898" s="1110"/>
      <c r="L6898" s="1110"/>
      <c r="M6898" s="1110"/>
      <c r="N6898" s="1111"/>
    </row>
    <row r="6899" spans="2:17">
      <c r="B6899" s="1130" t="s">
        <v>283</v>
      </c>
      <c r="C6899" s="1139"/>
      <c r="D6899" s="1139"/>
      <c r="E6899" s="1139"/>
      <c r="F6899" s="1139"/>
      <c r="G6899" s="1139"/>
      <c r="H6899" s="1139"/>
      <c r="I6899" s="288" t="s">
        <v>284</v>
      </c>
      <c r="J6899" s="314" t="s">
        <v>285</v>
      </c>
      <c r="K6899" s="315" t="s">
        <v>286</v>
      </c>
      <c r="L6899" s="1140" t="s">
        <v>264</v>
      </c>
      <c r="M6899" s="1141"/>
      <c r="N6899" s="316" t="s">
        <v>265</v>
      </c>
    </row>
    <row r="6900" spans="2:17">
      <c r="B6900" s="317" t="s">
        <v>441</v>
      </c>
      <c r="C6900" s="318"/>
      <c r="D6900" s="318"/>
      <c r="E6900" s="318"/>
      <c r="F6900" s="318"/>
      <c r="G6900" s="318"/>
      <c r="H6900" s="318"/>
      <c r="I6900" s="319">
        <v>178144</v>
      </c>
      <c r="J6900" s="321">
        <v>0</v>
      </c>
      <c r="K6900" s="321">
        <f>+I6900+J6900</f>
        <v>178144</v>
      </c>
      <c r="L6900" s="1157">
        <v>20</v>
      </c>
      <c r="M6900" s="1158"/>
      <c r="N6900" s="322">
        <f>+K6900/L6900</f>
        <v>8907.2000000000007</v>
      </c>
    </row>
    <row r="6901" spans="2:17" ht="13.5" thickBot="1">
      <c r="B6901" s="317" t="s">
        <v>442</v>
      </c>
      <c r="C6901" s="318"/>
      <c r="D6901" s="318"/>
      <c r="E6901" s="318"/>
      <c r="F6901" s="318"/>
      <c r="G6901" s="318"/>
      <c r="H6901" s="318"/>
      <c r="I6901" s="319">
        <v>150504</v>
      </c>
      <c r="J6901" s="321">
        <v>0</v>
      </c>
      <c r="K6901" s="321">
        <f>+I6901+J6901</f>
        <v>150504</v>
      </c>
      <c r="L6901" s="1157">
        <v>1.3332999999999999</v>
      </c>
      <c r="M6901" s="1158"/>
      <c r="N6901" s="322">
        <f>+K6901/L6901</f>
        <v>112880.82202055052</v>
      </c>
    </row>
    <row r="6902" spans="2:17" ht="13.5" thickBot="1">
      <c r="B6902" s="1100" t="s">
        <v>269</v>
      </c>
      <c r="C6902" s="1101"/>
      <c r="D6902" s="1101"/>
      <c r="E6902" s="1101"/>
      <c r="F6902" s="1101"/>
      <c r="G6902" s="1101"/>
      <c r="H6902" s="1101"/>
      <c r="I6902" s="1101"/>
      <c r="J6902" s="1101"/>
      <c r="K6902" s="1101"/>
      <c r="L6902" s="1101"/>
      <c r="M6902" s="1102"/>
      <c r="N6902" s="322">
        <f>+N6900+N6901</f>
        <v>121788.02202055052</v>
      </c>
    </row>
    <row r="6903" spans="2:17" ht="13.5" thickBot="1">
      <c r="B6903" s="324" t="s">
        <v>288</v>
      </c>
      <c r="C6903" s="325"/>
      <c r="D6903" s="325"/>
      <c r="E6903" s="325"/>
      <c r="F6903" s="325"/>
      <c r="G6903" s="325"/>
      <c r="H6903" s="325"/>
      <c r="I6903" s="326"/>
      <c r="J6903" s="327"/>
      <c r="K6903" s="328"/>
      <c r="L6903" s="329"/>
      <c r="M6903" s="329"/>
      <c r="N6903" s="330"/>
    </row>
    <row r="6904" spans="2:17">
      <c r="B6904" s="1130" t="s">
        <v>17</v>
      </c>
      <c r="C6904" s="1139"/>
      <c r="D6904" s="1139"/>
      <c r="E6904" s="1139"/>
      <c r="F6904" s="1139"/>
      <c r="G6904" s="1139"/>
      <c r="H6904" s="1139"/>
      <c r="I6904" s="1136"/>
      <c r="J6904" s="299" t="s">
        <v>259</v>
      </c>
      <c r="K6904" s="288" t="s">
        <v>133</v>
      </c>
      <c r="L6904" s="1133" t="s">
        <v>271</v>
      </c>
      <c r="M6904" s="1136"/>
      <c r="N6904" s="316" t="s">
        <v>265</v>
      </c>
    </row>
    <row r="6905" spans="2:17" ht="13.5" thickBot="1">
      <c r="B6905" s="331" t="s">
        <v>289</v>
      </c>
      <c r="C6905" s="332"/>
      <c r="D6905" s="332"/>
      <c r="E6905" s="332"/>
      <c r="F6905" s="332"/>
      <c r="G6905" s="332"/>
      <c r="H6905" s="332"/>
      <c r="I6905" s="333"/>
      <c r="J6905" s="334" t="s">
        <v>290</v>
      </c>
      <c r="K6905" s="335">
        <v>0.05</v>
      </c>
      <c r="L6905" s="1144">
        <f>+N6902</f>
        <v>121788.02202055052</v>
      </c>
      <c r="M6905" s="1145"/>
      <c r="N6905" s="322">
        <f>+K6905*L6905</f>
        <v>6089.4011010275262</v>
      </c>
    </row>
    <row r="6906" spans="2:17" ht="13.5" thickBot="1">
      <c r="B6906" s="1100" t="s">
        <v>269</v>
      </c>
      <c r="C6906" s="1101"/>
      <c r="D6906" s="1101"/>
      <c r="E6906" s="1101"/>
      <c r="F6906" s="1101"/>
      <c r="G6906" s="1101"/>
      <c r="H6906" s="1101"/>
      <c r="I6906" s="1101"/>
      <c r="J6906" s="1101"/>
      <c r="K6906" s="1101"/>
      <c r="L6906" s="1101"/>
      <c r="M6906" s="1102"/>
      <c r="N6906" s="322">
        <f>+N6905</f>
        <v>6089.4011010275262</v>
      </c>
      <c r="P6906" s="408">
        <v>124778800</v>
      </c>
    </row>
    <row r="6907" spans="2:17" ht="13.5" thickBot="1">
      <c r="B6907" s="1100"/>
      <c r="C6907" s="1101"/>
      <c r="D6907" s="1101"/>
      <c r="E6907" s="1101"/>
      <c r="F6907" s="1101"/>
      <c r="G6907" s="1101"/>
      <c r="H6907" s="1101"/>
      <c r="I6907" s="1101"/>
      <c r="J6907" s="1101"/>
      <c r="K6907" s="1101"/>
      <c r="L6907" s="1101"/>
      <c r="M6907" s="1102"/>
      <c r="N6907" s="322"/>
    </row>
    <row r="6908" spans="2:17" ht="13.5" thickBot="1">
      <c r="B6908" s="1150" t="s">
        <v>291</v>
      </c>
      <c r="C6908" s="1151"/>
      <c r="D6908" s="1151"/>
      <c r="E6908" s="1151"/>
      <c r="F6908" s="1151"/>
      <c r="G6908" s="1151"/>
      <c r="H6908" s="1151"/>
      <c r="I6908" s="1151"/>
      <c r="J6908" s="1151"/>
      <c r="K6908" s="1151"/>
      <c r="L6908" s="1151"/>
      <c r="M6908" s="1152"/>
      <c r="N6908" s="336">
        <f>+N6873+N6889+N6895+N6902+N6906</f>
        <v>311949.46051788802</v>
      </c>
      <c r="P6908" s="409">
        <f>+N6908*N6863</f>
        <v>115421300.39161856</v>
      </c>
      <c r="Q6908" s="413">
        <f>+P6908-P6906</f>
        <v>-9357499.6083814353</v>
      </c>
    </row>
    <row r="6909" spans="2:17">
      <c r="B6909" s="1103" t="s">
        <v>292</v>
      </c>
      <c r="C6909" s="1104"/>
      <c r="D6909" s="1104"/>
      <c r="E6909" s="1104"/>
      <c r="F6909" s="1104"/>
      <c r="G6909" s="1104"/>
      <c r="H6909" s="1104"/>
      <c r="I6909" s="1104"/>
      <c r="J6909" s="1104"/>
      <c r="K6909" s="1104"/>
      <c r="L6909" s="1104"/>
      <c r="M6909" s="1104"/>
      <c r="N6909" s="1105"/>
    </row>
    <row r="6910" spans="2:17">
      <c r="B6910" s="1106"/>
      <c r="C6910" s="1107"/>
      <c r="D6910" s="1107"/>
      <c r="E6910" s="1107"/>
      <c r="F6910" s="1107"/>
      <c r="G6910" s="1107"/>
      <c r="H6910" s="1107"/>
      <c r="I6910" s="1107"/>
      <c r="J6910" s="1107"/>
      <c r="K6910" s="1107"/>
      <c r="L6910" s="1107"/>
      <c r="M6910" s="1107"/>
      <c r="N6910" s="1108"/>
    </row>
    <row r="6911" spans="2:17" ht="13.5" thickBot="1">
      <c r="B6911" s="1109"/>
      <c r="C6911" s="1110"/>
      <c r="D6911" s="1110"/>
      <c r="E6911" s="1110"/>
      <c r="F6911" s="1110"/>
      <c r="G6911" s="1110"/>
      <c r="H6911" s="1110"/>
      <c r="I6911" s="1110"/>
      <c r="J6911" s="1110"/>
      <c r="K6911" s="1110"/>
      <c r="L6911" s="1110"/>
      <c r="M6911" s="1110"/>
      <c r="N6911" s="1111"/>
    </row>
    <row r="6912" spans="2:17">
      <c r="B6912" s="1130" t="s">
        <v>17</v>
      </c>
      <c r="C6912" s="1139"/>
      <c r="D6912" s="1139"/>
      <c r="E6912" s="1139"/>
      <c r="F6912" s="1139"/>
      <c r="G6912" s="1139"/>
      <c r="H6912" s="1139"/>
      <c r="I6912" s="306"/>
      <c r="J6912" s="337"/>
      <c r="K6912" s="315" t="s">
        <v>79</v>
      </c>
      <c r="L6912" s="1140" t="s">
        <v>11</v>
      </c>
      <c r="M6912" s="1141"/>
      <c r="N6912" s="316"/>
    </row>
    <row r="6913" spans="2:14">
      <c r="B6913" s="1112" t="s">
        <v>232</v>
      </c>
      <c r="C6913" s="1113"/>
      <c r="D6913" s="1113"/>
      <c r="E6913" s="1113"/>
      <c r="F6913" s="1113"/>
      <c r="G6913" s="1113"/>
      <c r="H6913" s="1113"/>
      <c r="I6913" s="338"/>
      <c r="J6913" s="339"/>
      <c r="K6913" s="340">
        <f>'PRESUPUESTO OFICIAL'!$K$100</f>
        <v>0</v>
      </c>
      <c r="L6913" s="1146">
        <f>K6913*N6908</f>
        <v>0</v>
      </c>
      <c r="M6913" s="1147"/>
      <c r="N6913" s="341"/>
    </row>
    <row r="6914" spans="2:14">
      <c r="B6914" s="292" t="s">
        <v>293</v>
      </c>
      <c r="C6914" s="293"/>
      <c r="D6914" s="293"/>
      <c r="E6914" s="293"/>
      <c r="F6914" s="293"/>
      <c r="G6914" s="293"/>
      <c r="H6914" s="293"/>
      <c r="I6914" s="338"/>
      <c r="J6914" s="339"/>
      <c r="K6914" s="340">
        <f>'PRESUPUESTO OFICIAL'!$K$101</f>
        <v>0</v>
      </c>
      <c r="L6914" s="1146">
        <f>K6914*N6908</f>
        <v>0</v>
      </c>
      <c r="M6914" s="1147"/>
      <c r="N6914" s="341"/>
    </row>
    <row r="6915" spans="2:14" ht="13.5" thickBot="1">
      <c r="B6915" s="277" t="s">
        <v>294</v>
      </c>
      <c r="C6915" s="278"/>
      <c r="D6915" s="278"/>
      <c r="E6915" s="278"/>
      <c r="F6915" s="278"/>
      <c r="G6915" s="278"/>
      <c r="H6915" s="278"/>
      <c r="I6915" s="342"/>
      <c r="J6915" s="343"/>
      <c r="K6915" s="340">
        <f>'PRESUPUESTO OFICIAL'!$K$102</f>
        <v>0</v>
      </c>
      <c r="L6915" s="1148">
        <f>K6915*N6908</f>
        <v>0</v>
      </c>
      <c r="M6915" s="1149"/>
      <c r="N6915" s="341"/>
    </row>
    <row r="6916" spans="2:14" ht="13.5" thickBot="1">
      <c r="B6916" s="1100" t="s">
        <v>269</v>
      </c>
      <c r="C6916" s="1101"/>
      <c r="D6916" s="1101"/>
      <c r="E6916" s="1101"/>
      <c r="F6916" s="1101"/>
      <c r="G6916" s="1101"/>
      <c r="H6916" s="1101"/>
      <c r="I6916" s="1101"/>
      <c r="J6916" s="1101"/>
      <c r="K6916" s="1101"/>
      <c r="L6916" s="1101"/>
      <c r="M6916" s="1102"/>
      <c r="N6916" s="344">
        <f>SUM(L6913:M6915)</f>
        <v>0</v>
      </c>
    </row>
    <row r="6917" spans="2:14" ht="13.5" thickBot="1">
      <c r="B6917" s="283"/>
      <c r="N6917" s="284"/>
    </row>
    <row r="6918" spans="2:14" ht="13.5" thickBot="1">
      <c r="B6918" s="1150" t="s">
        <v>295</v>
      </c>
      <c r="C6918" s="1151"/>
      <c r="D6918" s="1151"/>
      <c r="E6918" s="1151"/>
      <c r="F6918" s="1151"/>
      <c r="G6918" s="1151"/>
      <c r="H6918" s="1151"/>
      <c r="I6918" s="1151"/>
      <c r="J6918" s="1151"/>
      <c r="K6918" s="1151"/>
      <c r="L6918" s="1151"/>
      <c r="M6918" s="1152"/>
      <c r="N6918" s="345">
        <f>ROUND(N6908+N6916,0)</f>
        <v>311949</v>
      </c>
    </row>
    <row r="6919" spans="2:14">
      <c r="B6919" s="280"/>
      <c r="C6919" s="281"/>
      <c r="D6919" s="281"/>
      <c r="E6919" s="281"/>
      <c r="F6919" s="281"/>
      <c r="G6919" s="281"/>
      <c r="H6919" s="281"/>
      <c r="I6919" s="281"/>
      <c r="J6919" s="281"/>
      <c r="K6919" s="281"/>
      <c r="L6919" s="281"/>
      <c r="M6919" s="281"/>
      <c r="N6919" s="282"/>
    </row>
    <row r="6920" spans="2:14">
      <c r="B6920" s="283"/>
      <c r="N6920" s="284"/>
    </row>
    <row r="6921" spans="2:14">
      <c r="B6921" s="283"/>
      <c r="N6921" s="284"/>
    </row>
    <row r="6922" spans="2:14">
      <c r="B6922" s="283"/>
      <c r="G6922" s="346" t="s">
        <v>296</v>
      </c>
      <c r="H6922" s="346"/>
      <c r="I6922" s="346"/>
      <c r="J6922" s="346"/>
      <c r="N6922" s="284"/>
    </row>
    <row r="6923" spans="2:14">
      <c r="B6923" s="347"/>
      <c r="C6923" s="348"/>
      <c r="D6923" s="348"/>
      <c r="E6923" s="348"/>
      <c r="F6923" s="348"/>
      <c r="G6923" s="346" t="s">
        <v>297</v>
      </c>
      <c r="H6923" s="348"/>
      <c r="I6923" s="348"/>
      <c r="J6923" s="348"/>
      <c r="K6923" s="348"/>
      <c r="L6923" s="348"/>
      <c r="M6923" s="348"/>
      <c r="N6923" s="349"/>
    </row>
    <row r="6924" spans="2:14">
      <c r="B6924" s="347"/>
      <c r="C6924" s="348"/>
      <c r="D6924" s="348"/>
      <c r="E6924" s="348"/>
      <c r="F6924" s="348"/>
      <c r="G6924" s="346" t="s">
        <v>298</v>
      </c>
      <c r="J6924" s="348"/>
      <c r="K6924" s="348"/>
      <c r="L6924" s="348"/>
      <c r="M6924" s="348"/>
      <c r="N6924" s="349"/>
    </row>
    <row r="6925" spans="2:14">
      <c r="B6925" s="268"/>
      <c r="C6925" s="350"/>
      <c r="D6925" s="350"/>
      <c r="E6925" s="350"/>
      <c r="F6925" s="350"/>
      <c r="G6925" s="346" t="s">
        <v>299</v>
      </c>
      <c r="H6925" s="350"/>
      <c r="I6925" s="350"/>
      <c r="J6925" s="350"/>
      <c r="K6925" s="350"/>
      <c r="L6925" s="350"/>
      <c r="M6925" s="350"/>
      <c r="N6925" s="351"/>
    </row>
    <row r="6926" spans="2:14">
      <c r="B6926" s="283"/>
      <c r="G6926" s="258" t="s">
        <v>300</v>
      </c>
      <c r="N6926" s="284"/>
    </row>
    <row r="6927" spans="2:14">
      <c r="B6927" s="352" t="s">
        <v>301</v>
      </c>
      <c r="C6927" s="353"/>
      <c r="D6927" s="353"/>
      <c r="E6927" s="353"/>
      <c r="F6927" s="353"/>
      <c r="G6927" s="353"/>
      <c r="H6927" s="353"/>
      <c r="I6927" s="353"/>
      <c r="J6927" s="353"/>
      <c r="K6927" s="353"/>
      <c r="L6927" s="353"/>
      <c r="M6927" s="353"/>
      <c r="N6927" s="354"/>
    </row>
    <row r="6928" spans="2:14">
      <c r="B6928" s="1153"/>
      <c r="C6928" s="1154"/>
      <c r="D6928" s="1154"/>
      <c r="E6928" s="1154"/>
      <c r="F6928" s="1154"/>
      <c r="G6928" s="1154"/>
      <c r="H6928" s="1154"/>
      <c r="I6928" s="1154"/>
      <c r="J6928" s="1154"/>
      <c r="K6928" s="1154"/>
      <c r="L6928" s="1154"/>
      <c r="M6928" s="1154"/>
      <c r="N6928" s="1155"/>
    </row>
    <row r="6929" spans="2:14">
      <c r="B6929" s="1153"/>
      <c r="C6929" s="1154"/>
      <c r="D6929" s="1154"/>
      <c r="E6929" s="1154"/>
      <c r="F6929" s="1154"/>
      <c r="G6929" s="1154"/>
      <c r="H6929" s="1154"/>
      <c r="I6929" s="1154"/>
      <c r="J6929" s="1154"/>
      <c r="K6929" s="1154"/>
      <c r="L6929" s="1154"/>
      <c r="M6929" s="1154"/>
      <c r="N6929" s="1155"/>
    </row>
    <row r="6930" spans="2:14">
      <c r="B6930" s="268"/>
      <c r="C6930" s="350"/>
      <c r="D6930" s="350"/>
      <c r="E6930" s="350"/>
      <c r="F6930" s="350"/>
      <c r="G6930" s="350"/>
      <c r="H6930" s="350"/>
      <c r="I6930" s="350"/>
      <c r="J6930" s="350"/>
      <c r="K6930" s="350"/>
      <c r="L6930" s="350"/>
      <c r="M6930" s="350"/>
      <c r="N6930" s="351"/>
    </row>
    <row r="6931" spans="2:14">
      <c r="B6931" s="355" t="s">
        <v>302</v>
      </c>
      <c r="C6931" s="350"/>
      <c r="D6931" s="350"/>
      <c r="E6931" s="350"/>
      <c r="F6931" s="350"/>
      <c r="G6931" s="350"/>
      <c r="H6931" s="350"/>
      <c r="I6931" s="350"/>
      <c r="J6931" s="350"/>
      <c r="K6931" s="350"/>
      <c r="L6931" s="350"/>
      <c r="M6931" s="350"/>
      <c r="N6931" s="351"/>
    </row>
    <row r="6932" spans="2:14">
      <c r="B6932" s="1159" t="s">
        <v>303</v>
      </c>
      <c r="C6932" s="1160"/>
      <c r="D6932" s="1160"/>
      <c r="E6932" s="1160"/>
      <c r="F6932" s="1160"/>
      <c r="G6932" s="1160"/>
      <c r="H6932" s="1160"/>
      <c r="I6932" s="1160"/>
      <c r="J6932" s="1160"/>
      <c r="K6932" s="1160"/>
      <c r="L6932" s="1160"/>
      <c r="M6932" s="1160"/>
      <c r="N6932" s="1161"/>
    </row>
    <row r="6933" spans="2:14">
      <c r="B6933" s="1159"/>
      <c r="C6933" s="1160"/>
      <c r="D6933" s="1160"/>
      <c r="E6933" s="1160"/>
      <c r="F6933" s="1160"/>
      <c r="G6933" s="1160"/>
      <c r="H6933" s="1160"/>
      <c r="I6933" s="1160"/>
      <c r="J6933" s="1160"/>
      <c r="K6933" s="1160"/>
      <c r="L6933" s="1160"/>
      <c r="M6933" s="1160"/>
      <c r="N6933" s="1161"/>
    </row>
    <row r="6934" spans="2:14">
      <c r="B6934" s="1159" t="s">
        <v>304</v>
      </c>
      <c r="C6934" s="1160"/>
      <c r="D6934" s="1160"/>
      <c r="E6934" s="1160"/>
      <c r="F6934" s="1160"/>
      <c r="G6934" s="1160"/>
      <c r="H6934" s="1160"/>
      <c r="I6934" s="1160"/>
      <c r="J6934" s="1160"/>
      <c r="K6934" s="1160"/>
      <c r="L6934" s="1160"/>
      <c r="M6934" s="1160"/>
      <c r="N6934" s="1161"/>
    </row>
    <row r="6935" spans="2:14">
      <c r="B6935" s="1159"/>
      <c r="C6935" s="1160"/>
      <c r="D6935" s="1160"/>
      <c r="E6935" s="1160"/>
      <c r="F6935" s="1160"/>
      <c r="G6935" s="1160"/>
      <c r="H6935" s="1160"/>
      <c r="I6935" s="1160"/>
      <c r="J6935" s="1160"/>
      <c r="K6935" s="1160"/>
      <c r="L6935" s="1160"/>
      <c r="M6935" s="1160"/>
      <c r="N6935" s="1161"/>
    </row>
    <row r="6936" spans="2:14">
      <c r="B6936" s="268"/>
      <c r="C6936" s="350"/>
      <c r="D6936" s="350"/>
      <c r="E6936" s="350"/>
      <c r="F6936" s="350"/>
      <c r="G6936" s="350"/>
      <c r="H6936" s="350"/>
      <c r="I6936" s="350"/>
      <c r="J6936" s="350"/>
      <c r="K6936" s="350"/>
      <c r="L6936" s="350"/>
      <c r="M6936" s="350"/>
      <c r="N6936" s="351"/>
    </row>
    <row r="6937" spans="2:14">
      <c r="B6937" s="283"/>
      <c r="G6937" s="346" t="s">
        <v>296</v>
      </c>
      <c r="N6937" s="284"/>
    </row>
    <row r="6938" spans="2:14">
      <c r="B6938" s="283"/>
      <c r="G6938" s="258" t="s">
        <v>305</v>
      </c>
      <c r="H6938" s="293"/>
      <c r="I6938" s="293"/>
      <c r="J6938" s="293"/>
      <c r="N6938" s="284"/>
    </row>
    <row r="6939" spans="2:14">
      <c r="B6939" s="283"/>
      <c r="G6939" s="258" t="s">
        <v>306</v>
      </c>
      <c r="H6939" s="325"/>
      <c r="I6939" s="325"/>
      <c r="J6939" s="325"/>
      <c r="N6939" s="284"/>
    </row>
    <row r="6940" spans="2:14">
      <c r="B6940" s="356"/>
      <c r="C6940" s="350"/>
      <c r="D6940" s="350"/>
      <c r="E6940" s="350"/>
      <c r="F6940" s="350"/>
      <c r="G6940" s="258" t="s">
        <v>299</v>
      </c>
      <c r="K6940" s="350"/>
      <c r="L6940" s="350"/>
      <c r="M6940" s="350"/>
      <c r="N6940" s="351"/>
    </row>
    <row r="6941" spans="2:14">
      <c r="B6941" s="357"/>
      <c r="C6941" s="358"/>
      <c r="D6941" s="358"/>
      <c r="J6941" s="1162"/>
      <c r="K6941" s="1162"/>
      <c r="L6941" s="1162"/>
      <c r="M6941" s="1162"/>
      <c r="N6941" s="1163"/>
    </row>
    <row r="6942" spans="2:14" ht="13.5" thickBot="1">
      <c r="B6942" s="1166"/>
      <c r="C6942" s="1167"/>
      <c r="D6942" s="1167"/>
      <c r="E6942" s="311"/>
      <c r="F6942" s="311"/>
      <c r="G6942" s="311"/>
      <c r="H6942" s="311"/>
      <c r="I6942" s="311"/>
      <c r="J6942" s="1164"/>
      <c r="K6942" s="1164"/>
      <c r="L6942" s="1164"/>
      <c r="M6942" s="1164"/>
      <c r="N6942" s="1165"/>
    </row>
    <row r="6943" spans="2:14" ht="13.5" thickBot="1"/>
    <row r="6944" spans="2:14">
      <c r="B6944" s="1070"/>
      <c r="C6944" s="1072"/>
      <c r="D6944" s="1073"/>
      <c r="E6944" s="1073"/>
      <c r="F6944" s="1073"/>
      <c r="G6944" s="1073"/>
      <c r="H6944" s="1073"/>
      <c r="I6944" s="1073"/>
      <c r="J6944" s="1074"/>
      <c r="K6944" s="1075"/>
      <c r="L6944" s="1076"/>
      <c r="M6944" s="1076"/>
      <c r="N6944" s="1077"/>
    </row>
    <row r="6945" spans="2:14">
      <c r="B6945" s="1071"/>
      <c r="C6945" s="1062" t="s">
        <v>244</v>
      </c>
      <c r="D6945" s="1063"/>
      <c r="E6945" s="1063"/>
      <c r="F6945" s="1063"/>
      <c r="G6945" s="1063"/>
      <c r="H6945" s="1063"/>
      <c r="I6945" s="1063"/>
      <c r="J6945" s="1064"/>
      <c r="K6945" s="1078"/>
      <c r="L6945" s="1079"/>
      <c r="M6945" s="1079"/>
      <c r="N6945" s="1080"/>
    </row>
    <row r="6946" spans="2:14">
      <c r="B6946" s="1071"/>
      <c r="C6946" s="1081"/>
      <c r="D6946" s="1082"/>
      <c r="E6946" s="1082"/>
      <c r="F6946" s="1082"/>
      <c r="G6946" s="1082"/>
      <c r="H6946" s="1082"/>
      <c r="I6946" s="1082"/>
      <c r="J6946" s="1083"/>
      <c r="K6946" s="1058" t="s">
        <v>245</v>
      </c>
      <c r="L6946" s="1085"/>
      <c r="M6946" s="1086"/>
      <c r="N6946" s="1087"/>
    </row>
    <row r="6947" spans="2:14">
      <c r="B6947" s="1071"/>
      <c r="C6947" s="1062" t="s">
        <v>246</v>
      </c>
      <c r="D6947" s="1063"/>
      <c r="E6947" s="1063"/>
      <c r="F6947" s="1063"/>
      <c r="G6947" s="1063"/>
      <c r="H6947" s="1063"/>
      <c r="I6947" s="1063"/>
      <c r="J6947" s="1064"/>
      <c r="K6947" s="1084"/>
      <c r="L6947" s="1088"/>
      <c r="M6947" s="1089"/>
      <c r="N6947" s="1090"/>
    </row>
    <row r="6948" spans="2:14">
      <c r="B6948" s="1071"/>
      <c r="C6948" s="1091"/>
      <c r="D6948" s="1092"/>
      <c r="E6948" s="1092"/>
      <c r="F6948" s="1092"/>
      <c r="G6948" s="1092"/>
      <c r="H6948" s="1092"/>
      <c r="I6948" s="1092"/>
      <c r="J6948" s="1093"/>
      <c r="K6948" s="1058" t="s">
        <v>247</v>
      </c>
      <c r="L6948" s="1058">
        <v>79</v>
      </c>
      <c r="M6948" s="1058" t="s">
        <v>248</v>
      </c>
      <c r="N6948" s="1060">
        <v>80</v>
      </c>
    </row>
    <row r="6949" spans="2:14">
      <c r="B6949" s="1071"/>
      <c r="C6949" s="1091"/>
      <c r="D6949" s="1092"/>
      <c r="E6949" s="1092"/>
      <c r="F6949" s="1092"/>
      <c r="G6949" s="1092"/>
      <c r="H6949" s="1092"/>
      <c r="I6949" s="1092"/>
      <c r="J6949" s="1093"/>
      <c r="K6949" s="1059"/>
      <c r="L6949" s="1059"/>
      <c r="M6949" s="1059"/>
      <c r="N6949" s="1061"/>
    </row>
    <row r="6950" spans="2:14">
      <c r="B6950" s="1071"/>
      <c r="C6950" s="1062" t="s">
        <v>249</v>
      </c>
      <c r="D6950" s="1063"/>
      <c r="E6950" s="1063"/>
      <c r="F6950" s="1063"/>
      <c r="G6950" s="1063"/>
      <c r="H6950" s="1063"/>
      <c r="I6950" s="1063"/>
      <c r="J6950" s="1064"/>
      <c r="K6950" s="1059"/>
      <c r="L6950" s="1059"/>
      <c r="M6950" s="1059"/>
      <c r="N6950" s="1061"/>
    </row>
    <row r="6951" spans="2:14" ht="13.5" thickBot="1">
      <c r="B6951" s="259"/>
      <c r="C6951" s="260"/>
      <c r="D6951" s="260"/>
      <c r="E6951" s="260"/>
      <c r="F6951" s="260"/>
      <c r="G6951" s="260"/>
      <c r="H6951" s="260"/>
      <c r="I6951" s="260"/>
      <c r="J6951" s="260"/>
      <c r="K6951" s="260"/>
      <c r="L6951" s="261"/>
      <c r="M6951" s="261"/>
      <c r="N6951" s="262"/>
    </row>
    <row r="6952" spans="2:14">
      <c r="B6952" s="263"/>
      <c r="C6952" s="264"/>
      <c r="D6952" s="264"/>
      <c r="E6952" s="264"/>
      <c r="F6952" s="264"/>
      <c r="G6952" s="264"/>
      <c r="H6952" s="264"/>
      <c r="I6952" s="264"/>
      <c r="J6952" s="264"/>
      <c r="K6952" s="265" t="s">
        <v>250</v>
      </c>
      <c r="L6952" s="266" t="s">
        <v>251</v>
      </c>
      <c r="M6952" s="266" t="s">
        <v>252</v>
      </c>
      <c r="N6952" s="267" t="s">
        <v>253</v>
      </c>
    </row>
    <row r="6953" spans="2:14">
      <c r="B6953" s="268"/>
      <c r="C6953" s="269"/>
      <c r="D6953" s="269"/>
      <c r="E6953" s="269"/>
      <c r="F6953" s="269"/>
      <c r="G6953" s="269"/>
      <c r="H6953" s="269"/>
      <c r="I6953" s="269"/>
      <c r="J6953" s="269"/>
      <c r="K6953" s="270"/>
      <c r="L6953" s="271"/>
      <c r="M6953" s="271"/>
      <c r="N6953" s="272"/>
    </row>
    <row r="6954" spans="2:14">
      <c r="B6954" s="1065" t="s">
        <v>254</v>
      </c>
      <c r="C6954" s="1066"/>
      <c r="D6954" s="1066"/>
      <c r="E6954" s="1066"/>
      <c r="F6954" s="269"/>
      <c r="G6954" s="269"/>
      <c r="H6954" s="269" t="s">
        <v>255</v>
      </c>
      <c r="J6954" s="269"/>
      <c r="K6954" s="270"/>
      <c r="N6954" s="273"/>
    </row>
    <row r="6955" spans="2:14">
      <c r="B6955" s="274"/>
      <c r="C6955" s="275"/>
      <c r="D6955" s="275"/>
      <c r="E6955" s="275"/>
      <c r="F6955" s="275"/>
      <c r="G6955" s="275"/>
      <c r="H6955" s="275"/>
      <c r="I6955" s="275"/>
      <c r="J6955" s="275"/>
      <c r="K6955" s="275"/>
      <c r="L6955" s="275"/>
      <c r="M6955" s="275"/>
      <c r="N6955" s="276"/>
    </row>
    <row r="6956" spans="2:14" ht="13.5" thickBot="1">
      <c r="B6956" s="277"/>
      <c r="C6956" s="278"/>
      <c r="D6956" s="278"/>
      <c r="E6956" s="278"/>
      <c r="F6956" s="278"/>
      <c r="G6956" s="278"/>
      <c r="H6956" s="278"/>
      <c r="I6956" s="278"/>
      <c r="J6956" s="278"/>
      <c r="K6956" s="278"/>
      <c r="L6956" s="278"/>
      <c r="M6956" s="278"/>
      <c r="N6956" s="279"/>
    </row>
    <row r="6957" spans="2:14" ht="13.5" thickBot="1">
      <c r="B6957" s="280"/>
      <c r="C6957" s="281"/>
      <c r="D6957" s="281"/>
      <c r="E6957" s="281"/>
      <c r="F6957" s="281"/>
      <c r="G6957" s="281"/>
      <c r="J6957" s="281"/>
      <c r="K6957" s="281"/>
      <c r="L6957" s="281"/>
      <c r="M6957" s="281"/>
      <c r="N6957" s="282"/>
    </row>
    <row r="6958" spans="2:14">
      <c r="B6958" s="1067" t="s">
        <v>256</v>
      </c>
      <c r="C6958" s="1068"/>
      <c r="D6958" s="1068"/>
      <c r="E6958" s="1068"/>
      <c r="F6958" s="1068"/>
      <c r="G6958" s="1068"/>
      <c r="H6958" s="1068"/>
      <c r="I6958" s="1068"/>
      <c r="J6958" s="1068"/>
      <c r="K6958" s="1068"/>
      <c r="L6958" s="1068"/>
      <c r="M6958" s="1068"/>
      <c r="N6958" s="1069"/>
    </row>
    <row r="6959" spans="2:14" ht="13.5" thickBot="1">
      <c r="B6959" s="283"/>
      <c r="N6959" s="284"/>
    </row>
    <row r="6960" spans="2:14">
      <c r="B6960" s="285" t="s">
        <v>257</v>
      </c>
      <c r="C6960" s="1120" t="s">
        <v>258</v>
      </c>
      <c r="D6960" s="1121"/>
      <c r="E6960" s="1121"/>
      <c r="F6960" s="1121"/>
      <c r="G6960" s="1121"/>
      <c r="H6960" s="1121"/>
      <c r="I6960" s="1121"/>
      <c r="J6960" s="1121"/>
      <c r="K6960" s="1122"/>
      <c r="L6960" s="1123" t="s">
        <v>259</v>
      </c>
      <c r="M6960" s="1124"/>
      <c r="N6960" s="285" t="s">
        <v>133</v>
      </c>
    </row>
    <row r="6961" spans="2:14" ht="35.25" customHeight="1" thickBot="1">
      <c r="B6961" s="286">
        <v>79</v>
      </c>
      <c r="C6961" s="1125" t="s">
        <v>222</v>
      </c>
      <c r="D6961" s="1126"/>
      <c r="E6961" s="1126"/>
      <c r="F6961" s="1126"/>
      <c r="G6961" s="1126"/>
      <c r="H6961" s="1126"/>
      <c r="I6961" s="1126"/>
      <c r="J6961" s="1126"/>
      <c r="K6961" s="1127"/>
      <c r="L6961" s="1128" t="s">
        <v>143</v>
      </c>
      <c r="M6961" s="1129"/>
      <c r="N6961" s="366">
        <v>20</v>
      </c>
    </row>
    <row r="6962" spans="2:14">
      <c r="B6962" s="1103" t="s">
        <v>260</v>
      </c>
      <c r="C6962" s="1104"/>
      <c r="D6962" s="1104"/>
      <c r="E6962" s="1104"/>
      <c r="F6962" s="1104"/>
      <c r="G6962" s="1104"/>
      <c r="H6962" s="1104"/>
      <c r="I6962" s="1104"/>
      <c r="J6962" s="1104"/>
      <c r="K6962" s="1104"/>
      <c r="L6962" s="1104"/>
      <c r="M6962" s="1104"/>
      <c r="N6962" s="1105"/>
    </row>
    <row r="6963" spans="2:14">
      <c r="B6963" s="1106"/>
      <c r="C6963" s="1107"/>
      <c r="D6963" s="1107"/>
      <c r="E6963" s="1107"/>
      <c r="F6963" s="1107"/>
      <c r="G6963" s="1107"/>
      <c r="H6963" s="1107"/>
      <c r="I6963" s="1107"/>
      <c r="J6963" s="1107"/>
      <c r="K6963" s="1107"/>
      <c r="L6963" s="1107"/>
      <c r="M6963" s="1107"/>
      <c r="N6963" s="1108"/>
    </row>
    <row r="6964" spans="2:14" ht="13.5" thickBot="1">
      <c r="B6964" s="1109"/>
      <c r="C6964" s="1110"/>
      <c r="D6964" s="1110"/>
      <c r="E6964" s="1110"/>
      <c r="F6964" s="1110"/>
      <c r="G6964" s="1110"/>
      <c r="H6964" s="1110"/>
      <c r="I6964" s="1110"/>
      <c r="J6964" s="1110"/>
      <c r="K6964" s="1110"/>
      <c r="L6964" s="1110"/>
      <c r="M6964" s="1110"/>
      <c r="N6964" s="1111"/>
    </row>
    <row r="6965" spans="2:14">
      <c r="B6965" s="1130" t="s">
        <v>258</v>
      </c>
      <c r="C6965" s="1131"/>
      <c r="D6965" s="1131"/>
      <c r="E6965" s="1131"/>
      <c r="F6965" s="1132"/>
      <c r="G6965" s="1133" t="s">
        <v>261</v>
      </c>
      <c r="H6965" s="1131"/>
      <c r="I6965" s="1134" t="s">
        <v>262</v>
      </c>
      <c r="J6965" s="1135"/>
      <c r="K6965" s="288" t="s">
        <v>263</v>
      </c>
      <c r="L6965" s="1133" t="s">
        <v>264</v>
      </c>
      <c r="M6965" s="1136"/>
      <c r="N6965" s="289" t="s">
        <v>265</v>
      </c>
    </row>
    <row r="6966" spans="2:14" ht="13.5" thickBot="1">
      <c r="B6966" s="1179" t="s">
        <v>340</v>
      </c>
      <c r="C6966" s="1180"/>
      <c r="D6966" s="1180"/>
      <c r="E6966" s="1180"/>
      <c r="F6966" s="1181"/>
      <c r="G6966" s="295"/>
      <c r="H6966" s="294"/>
      <c r="I6966" s="1182" t="s">
        <v>267</v>
      </c>
      <c r="J6966" s="1183"/>
      <c r="K6966" s="290">
        <v>45220</v>
      </c>
      <c r="L6966" s="1118">
        <v>10</v>
      </c>
      <c r="M6966" s="1119"/>
      <c r="N6966" s="290">
        <f>+K6966/L6966</f>
        <v>4522</v>
      </c>
    </row>
    <row r="6967" spans="2:14" ht="13.5" thickBot="1">
      <c r="B6967" s="1100" t="s">
        <v>269</v>
      </c>
      <c r="C6967" s="1101"/>
      <c r="D6967" s="1101"/>
      <c r="E6967" s="1101"/>
      <c r="F6967" s="1101"/>
      <c r="G6967" s="1101"/>
      <c r="H6967" s="1101"/>
      <c r="I6967" s="1101"/>
      <c r="J6967" s="1101"/>
      <c r="K6967" s="1101"/>
      <c r="L6967" s="1101"/>
      <c r="M6967" s="1102"/>
      <c r="N6967" s="323">
        <f>+N6966</f>
        <v>4522</v>
      </c>
    </row>
    <row r="6968" spans="2:14">
      <c r="B6968" s="1103" t="s">
        <v>270</v>
      </c>
      <c r="C6968" s="1104"/>
      <c r="D6968" s="1104"/>
      <c r="E6968" s="1104"/>
      <c r="F6968" s="1104"/>
      <c r="G6968" s="1104"/>
      <c r="H6968" s="1104"/>
      <c r="I6968" s="1104"/>
      <c r="J6968" s="1104"/>
      <c r="K6968" s="1104"/>
      <c r="L6968" s="1104"/>
      <c r="M6968" s="1104"/>
      <c r="N6968" s="1105"/>
    </row>
    <row r="6969" spans="2:14">
      <c r="B6969" s="1106"/>
      <c r="C6969" s="1107"/>
      <c r="D6969" s="1107"/>
      <c r="E6969" s="1107"/>
      <c r="F6969" s="1107"/>
      <c r="G6969" s="1107"/>
      <c r="H6969" s="1107"/>
      <c r="I6969" s="1107"/>
      <c r="J6969" s="1107"/>
      <c r="K6969" s="1107"/>
      <c r="L6969" s="1107"/>
      <c r="M6969" s="1107"/>
      <c r="N6969" s="1108"/>
    </row>
    <row r="6970" spans="2:14" ht="13.5" thickBot="1">
      <c r="B6970" s="1109"/>
      <c r="C6970" s="1110"/>
      <c r="D6970" s="1110"/>
      <c r="E6970" s="1110"/>
      <c r="F6970" s="1110"/>
      <c r="G6970" s="1110"/>
      <c r="H6970" s="1110"/>
      <c r="I6970" s="1110"/>
      <c r="J6970" s="1110"/>
      <c r="K6970" s="1110"/>
      <c r="L6970" s="1110"/>
      <c r="M6970" s="1110"/>
      <c r="N6970" s="1111"/>
    </row>
    <row r="6971" spans="2:14">
      <c r="B6971" s="1130" t="s">
        <v>258</v>
      </c>
      <c r="C6971" s="1139"/>
      <c r="D6971" s="1139"/>
      <c r="E6971" s="1139"/>
      <c r="F6971" s="1139"/>
      <c r="G6971" s="1139"/>
      <c r="H6971" s="1139"/>
      <c r="I6971" s="1136"/>
      <c r="J6971" s="299" t="s">
        <v>259</v>
      </c>
      <c r="K6971" s="288" t="s">
        <v>133</v>
      </c>
      <c r="L6971" s="1133" t="s">
        <v>271</v>
      </c>
      <c r="M6971" s="1136"/>
      <c r="N6971" s="289" t="s">
        <v>265</v>
      </c>
    </row>
    <row r="6972" spans="2:14">
      <c r="B6972" s="402" t="s">
        <v>444</v>
      </c>
      <c r="C6972" s="353"/>
      <c r="D6972" s="353"/>
      <c r="E6972" s="353"/>
      <c r="F6972" s="353"/>
      <c r="G6972" s="353"/>
      <c r="H6972" s="353"/>
      <c r="I6972" s="403"/>
      <c r="J6972" s="303" t="s">
        <v>196</v>
      </c>
      <c r="K6972" s="392">
        <v>13.125</v>
      </c>
      <c r="L6972" s="1144">
        <v>3285</v>
      </c>
      <c r="M6972" s="1145"/>
      <c r="N6972" s="363">
        <f>+K6972*L6972</f>
        <v>43115.625</v>
      </c>
    </row>
    <row r="6973" spans="2:14">
      <c r="B6973" s="402" t="s">
        <v>332</v>
      </c>
      <c r="C6973" s="353"/>
      <c r="D6973" s="353"/>
      <c r="E6973" s="353"/>
      <c r="F6973" s="353"/>
      <c r="G6973" s="353"/>
      <c r="H6973" s="353"/>
      <c r="I6973" s="403"/>
      <c r="J6973" s="303" t="s">
        <v>196</v>
      </c>
      <c r="K6973" s="392">
        <v>1</v>
      </c>
      <c r="L6973" s="1144">
        <v>10710</v>
      </c>
      <c r="M6973" s="1145"/>
      <c r="N6973" s="363">
        <f>+K6973*L6973</f>
        <v>10710</v>
      </c>
    </row>
    <row r="6974" spans="2:14">
      <c r="B6974" s="402" t="s">
        <v>445</v>
      </c>
      <c r="C6974" s="353"/>
      <c r="D6974" s="353"/>
      <c r="E6974" s="353"/>
      <c r="F6974" s="353"/>
      <c r="G6974" s="353"/>
      <c r="H6974" s="353"/>
      <c r="I6974" s="403"/>
      <c r="J6974" s="303" t="s">
        <v>147</v>
      </c>
      <c r="K6974" s="392">
        <v>6.5000000000000002E-2</v>
      </c>
      <c r="L6974" s="1144">
        <v>307301</v>
      </c>
      <c r="M6974" s="1145"/>
      <c r="N6974" s="363">
        <f>+K6974*L6974</f>
        <v>19974.565000000002</v>
      </c>
    </row>
    <row r="6975" spans="2:14" ht="13.5" thickBot="1">
      <c r="B6975" s="402" t="s">
        <v>342</v>
      </c>
      <c r="C6975" s="353"/>
      <c r="D6975" s="353"/>
      <c r="E6975" s="353"/>
      <c r="F6975" s="353"/>
      <c r="G6975" s="353"/>
      <c r="H6975" s="353"/>
      <c r="I6975" s="403"/>
      <c r="J6975" s="303" t="s">
        <v>147</v>
      </c>
      <c r="K6975" s="392">
        <v>4.2000000000000003E-2</v>
      </c>
      <c r="L6975" s="1144">
        <v>337058</v>
      </c>
      <c r="M6975" s="1145"/>
      <c r="N6975" s="363">
        <f>+K6975*L6975</f>
        <v>14156.436000000002</v>
      </c>
    </row>
    <row r="6976" spans="2:14" ht="13.5" thickBot="1">
      <c r="B6976" s="1100" t="s">
        <v>269</v>
      </c>
      <c r="C6976" s="1101"/>
      <c r="D6976" s="1101"/>
      <c r="E6976" s="1101"/>
      <c r="F6976" s="1101"/>
      <c r="G6976" s="1101"/>
      <c r="H6976" s="1101"/>
      <c r="I6976" s="1101"/>
      <c r="J6976" s="1101"/>
      <c r="K6976" s="1101"/>
      <c r="L6976" s="1101"/>
      <c r="M6976" s="1102"/>
      <c r="N6976" s="323">
        <f>+N6972+N6973+N6974+N6975</f>
        <v>87956.626000000004</v>
      </c>
    </row>
    <row r="6977" spans="2:16">
      <c r="B6977" s="1103" t="s">
        <v>367</v>
      </c>
      <c r="C6977" s="1104"/>
      <c r="D6977" s="1104"/>
      <c r="E6977" s="1104"/>
      <c r="F6977" s="1104"/>
      <c r="G6977" s="1104"/>
      <c r="H6977" s="1104"/>
      <c r="I6977" s="1104"/>
      <c r="J6977" s="1104"/>
      <c r="K6977" s="1104"/>
      <c r="L6977" s="1104"/>
      <c r="M6977" s="1104"/>
      <c r="N6977" s="1105"/>
    </row>
    <row r="6978" spans="2:16">
      <c r="B6978" s="1106"/>
      <c r="C6978" s="1107"/>
      <c r="D6978" s="1107"/>
      <c r="E6978" s="1107"/>
      <c r="F6978" s="1107"/>
      <c r="G6978" s="1107"/>
      <c r="H6978" s="1107"/>
      <c r="I6978" s="1107"/>
      <c r="J6978" s="1107"/>
      <c r="K6978" s="1107"/>
      <c r="L6978" s="1107"/>
      <c r="M6978" s="1107"/>
      <c r="N6978" s="1108"/>
    </row>
    <row r="6979" spans="2:16" ht="13.5" thickBot="1">
      <c r="B6979" s="1109"/>
      <c r="C6979" s="1110"/>
      <c r="D6979" s="1110"/>
      <c r="E6979" s="1110"/>
      <c r="F6979" s="1110"/>
      <c r="G6979" s="1110"/>
      <c r="H6979" s="1110"/>
      <c r="I6979" s="1110"/>
      <c r="J6979" s="1110"/>
      <c r="K6979" s="1110"/>
      <c r="L6979" s="1110"/>
      <c r="M6979" s="1110"/>
      <c r="N6979" s="1111"/>
    </row>
    <row r="6980" spans="2:16">
      <c r="B6980" s="1130" t="s">
        <v>277</v>
      </c>
      <c r="C6980" s="1139"/>
      <c r="D6980" s="1139"/>
      <c r="E6980" s="1139"/>
      <c r="F6980" s="1139"/>
      <c r="G6980" s="1139"/>
      <c r="H6980" s="1139"/>
      <c r="I6980" s="288" t="s">
        <v>278</v>
      </c>
      <c r="J6980" s="306" t="s">
        <v>279</v>
      </c>
      <c r="K6980" s="307" t="s">
        <v>280</v>
      </c>
      <c r="L6980" s="1133" t="s">
        <v>281</v>
      </c>
      <c r="M6980" s="1136"/>
      <c r="N6980" s="289" t="s">
        <v>265</v>
      </c>
    </row>
    <row r="6981" spans="2:16" ht="13.5" thickBot="1">
      <c r="B6981" s="1112" t="s">
        <v>446</v>
      </c>
      <c r="C6981" s="1113"/>
      <c r="D6981" s="1113"/>
      <c r="E6981" s="1113"/>
      <c r="F6981" s="1113"/>
      <c r="G6981" s="1113"/>
      <c r="H6981" s="1113"/>
      <c r="I6981" s="393">
        <v>13.125</v>
      </c>
      <c r="J6981" s="309"/>
      <c r="K6981" s="308"/>
      <c r="L6981" s="1144">
        <v>455</v>
      </c>
      <c r="M6981" s="1145"/>
      <c r="N6981" s="363">
        <f>+I6981*L6981</f>
        <v>5971.875</v>
      </c>
    </row>
    <row r="6982" spans="2:16" ht="13.5" thickBot="1">
      <c r="B6982" s="1100" t="s">
        <v>269</v>
      </c>
      <c r="C6982" s="1101"/>
      <c r="D6982" s="1101"/>
      <c r="E6982" s="1101"/>
      <c r="F6982" s="1101"/>
      <c r="G6982" s="1101"/>
      <c r="H6982" s="1101"/>
      <c r="I6982" s="1101"/>
      <c r="J6982" s="1101"/>
      <c r="K6982" s="1101"/>
      <c r="L6982" s="1101"/>
      <c r="M6982" s="1102"/>
      <c r="N6982" s="323">
        <f>+N6981</f>
        <v>5971.875</v>
      </c>
    </row>
    <row r="6983" spans="2:16">
      <c r="B6983" s="1103" t="s">
        <v>282</v>
      </c>
      <c r="C6983" s="1104"/>
      <c r="D6983" s="1104"/>
      <c r="E6983" s="1104"/>
      <c r="F6983" s="1104"/>
      <c r="G6983" s="1104"/>
      <c r="H6983" s="1104"/>
      <c r="I6983" s="1104"/>
      <c r="J6983" s="1104"/>
      <c r="K6983" s="1104"/>
      <c r="L6983" s="1104"/>
      <c r="M6983" s="1104"/>
      <c r="N6983" s="1105"/>
    </row>
    <row r="6984" spans="2:16">
      <c r="B6984" s="1106"/>
      <c r="C6984" s="1107"/>
      <c r="D6984" s="1107"/>
      <c r="E6984" s="1107"/>
      <c r="F6984" s="1107"/>
      <c r="G6984" s="1107"/>
      <c r="H6984" s="1107"/>
      <c r="I6984" s="1107"/>
      <c r="J6984" s="1107"/>
      <c r="K6984" s="1107"/>
      <c r="L6984" s="1107"/>
      <c r="M6984" s="1107"/>
      <c r="N6984" s="1108"/>
    </row>
    <row r="6985" spans="2:16" ht="13.5" thickBot="1">
      <c r="B6985" s="1109"/>
      <c r="C6985" s="1110"/>
      <c r="D6985" s="1110"/>
      <c r="E6985" s="1110"/>
      <c r="F6985" s="1110"/>
      <c r="G6985" s="1110"/>
      <c r="H6985" s="1110"/>
      <c r="I6985" s="1110"/>
      <c r="J6985" s="1110"/>
      <c r="K6985" s="1110"/>
      <c r="L6985" s="1110"/>
      <c r="M6985" s="1110"/>
      <c r="N6985" s="1111"/>
    </row>
    <row r="6986" spans="2:16">
      <c r="B6986" s="1130" t="s">
        <v>283</v>
      </c>
      <c r="C6986" s="1139"/>
      <c r="D6986" s="1139"/>
      <c r="E6986" s="1139"/>
      <c r="F6986" s="1139"/>
      <c r="G6986" s="1139"/>
      <c r="H6986" s="1139"/>
      <c r="I6986" s="288" t="s">
        <v>284</v>
      </c>
      <c r="J6986" s="314" t="s">
        <v>285</v>
      </c>
      <c r="K6986" s="315" t="s">
        <v>286</v>
      </c>
      <c r="L6986" s="1140" t="s">
        <v>264</v>
      </c>
      <c r="M6986" s="1141"/>
      <c r="N6986" s="316" t="s">
        <v>265</v>
      </c>
    </row>
    <row r="6987" spans="2:16" ht="13.5" thickBot="1">
      <c r="B6987" s="317" t="s">
        <v>322</v>
      </c>
      <c r="C6987" s="318"/>
      <c r="D6987" s="318"/>
      <c r="E6987" s="318"/>
      <c r="F6987" s="318"/>
      <c r="G6987" s="318"/>
      <c r="H6987" s="318"/>
      <c r="I6987" s="319">
        <v>153482</v>
      </c>
      <c r="J6987" s="321">
        <v>0</v>
      </c>
      <c r="K6987" s="321">
        <f>+I6987+J6987</f>
        <v>153482</v>
      </c>
      <c r="L6987" s="1157">
        <v>3.5000040000000001</v>
      </c>
      <c r="M6987" s="1158"/>
      <c r="N6987" s="322">
        <f>+K6987/L6987</f>
        <v>43851.949883485846</v>
      </c>
    </row>
    <row r="6988" spans="2:16" ht="13.5" thickBot="1">
      <c r="B6988" s="1100" t="s">
        <v>269</v>
      </c>
      <c r="C6988" s="1101"/>
      <c r="D6988" s="1101"/>
      <c r="E6988" s="1101"/>
      <c r="F6988" s="1101"/>
      <c r="G6988" s="1101"/>
      <c r="H6988" s="1101"/>
      <c r="I6988" s="1101"/>
      <c r="J6988" s="1101"/>
      <c r="K6988" s="1101"/>
      <c r="L6988" s="1101"/>
      <c r="M6988" s="1102"/>
      <c r="N6988" s="322">
        <f>+N6987</f>
        <v>43851.949883485846</v>
      </c>
    </row>
    <row r="6989" spans="2:16" ht="13.5" thickBot="1">
      <c r="B6989" s="324" t="s">
        <v>288</v>
      </c>
      <c r="C6989" s="325"/>
      <c r="D6989" s="325"/>
      <c r="E6989" s="325"/>
      <c r="F6989" s="325"/>
      <c r="G6989" s="325"/>
      <c r="H6989" s="325"/>
      <c r="I6989" s="326"/>
      <c r="J6989" s="327"/>
      <c r="K6989" s="328"/>
      <c r="L6989" s="329"/>
      <c r="M6989" s="329"/>
      <c r="N6989" s="330"/>
    </row>
    <row r="6990" spans="2:16">
      <c r="B6990" s="1130" t="s">
        <v>17</v>
      </c>
      <c r="C6990" s="1139"/>
      <c r="D6990" s="1139"/>
      <c r="E6990" s="1139"/>
      <c r="F6990" s="1139"/>
      <c r="G6990" s="1139"/>
      <c r="H6990" s="1139"/>
      <c r="I6990" s="1136"/>
      <c r="J6990" s="299" t="s">
        <v>259</v>
      </c>
      <c r="K6990" s="288" t="s">
        <v>133</v>
      </c>
      <c r="L6990" s="1133" t="s">
        <v>271</v>
      </c>
      <c r="M6990" s="1136"/>
      <c r="N6990" s="316" t="s">
        <v>265</v>
      </c>
    </row>
    <row r="6991" spans="2:16" ht="13.5" thickBot="1">
      <c r="B6991" s="331" t="s">
        <v>289</v>
      </c>
      <c r="C6991" s="332"/>
      <c r="D6991" s="332"/>
      <c r="E6991" s="332"/>
      <c r="F6991" s="332"/>
      <c r="G6991" s="332"/>
      <c r="H6991" s="332"/>
      <c r="I6991" s="333"/>
      <c r="J6991" s="334" t="s">
        <v>290</v>
      </c>
      <c r="K6991" s="335">
        <v>0.05</v>
      </c>
      <c r="L6991" s="1144">
        <f>+N6988</f>
        <v>43851.949883485846</v>
      </c>
      <c r="M6991" s="1145"/>
      <c r="N6991" s="322">
        <f>+K6991*L6991</f>
        <v>2192.5974941742925</v>
      </c>
    </row>
    <row r="6992" spans="2:16" ht="13.5" thickBot="1">
      <c r="B6992" s="1100" t="s">
        <v>269</v>
      </c>
      <c r="C6992" s="1101"/>
      <c r="D6992" s="1101"/>
      <c r="E6992" s="1101"/>
      <c r="F6992" s="1101"/>
      <c r="G6992" s="1101"/>
      <c r="H6992" s="1101"/>
      <c r="I6992" s="1101"/>
      <c r="J6992" s="1101"/>
      <c r="K6992" s="1101"/>
      <c r="L6992" s="1101"/>
      <c r="M6992" s="1102"/>
      <c r="N6992" s="322">
        <f>+N6991</f>
        <v>2192.5974941742925</v>
      </c>
      <c r="P6992" s="408">
        <v>2889920</v>
      </c>
    </row>
    <row r="6993" spans="2:17" ht="13.5" thickBot="1">
      <c r="B6993" s="1100"/>
      <c r="C6993" s="1101"/>
      <c r="D6993" s="1101"/>
      <c r="E6993" s="1101"/>
      <c r="F6993" s="1101"/>
      <c r="G6993" s="1101"/>
      <c r="H6993" s="1101"/>
      <c r="I6993" s="1101"/>
      <c r="J6993" s="1101"/>
      <c r="K6993" s="1101"/>
      <c r="L6993" s="1101"/>
      <c r="M6993" s="1102"/>
      <c r="N6993" s="322"/>
    </row>
    <row r="6994" spans="2:17" ht="13.5" thickBot="1">
      <c r="B6994" s="1150" t="s">
        <v>291</v>
      </c>
      <c r="C6994" s="1151"/>
      <c r="D6994" s="1151"/>
      <c r="E6994" s="1151"/>
      <c r="F6994" s="1151"/>
      <c r="G6994" s="1151"/>
      <c r="H6994" s="1151"/>
      <c r="I6994" s="1151"/>
      <c r="J6994" s="1151"/>
      <c r="K6994" s="1151"/>
      <c r="L6994" s="1151"/>
      <c r="M6994" s="1152"/>
      <c r="N6994" s="336">
        <f>+N6967+N6976+N6982+N6988+N6992</f>
        <v>144495.04837766013</v>
      </c>
      <c r="P6994" s="409">
        <f>+N6994*N6961</f>
        <v>2889900.9675532025</v>
      </c>
      <c r="Q6994" s="413">
        <f>+P6994-P6992</f>
        <v>-19.032446797471493</v>
      </c>
    </row>
    <row r="6995" spans="2:17">
      <c r="B6995" s="1103" t="s">
        <v>292</v>
      </c>
      <c r="C6995" s="1104"/>
      <c r="D6995" s="1104"/>
      <c r="E6995" s="1104"/>
      <c r="F6995" s="1104"/>
      <c r="G6995" s="1104"/>
      <c r="H6995" s="1104"/>
      <c r="I6995" s="1104"/>
      <c r="J6995" s="1104"/>
      <c r="K6995" s="1104"/>
      <c r="L6995" s="1104"/>
      <c r="M6995" s="1104"/>
      <c r="N6995" s="1105"/>
    </row>
    <row r="6996" spans="2:17">
      <c r="B6996" s="1106"/>
      <c r="C6996" s="1107"/>
      <c r="D6996" s="1107"/>
      <c r="E6996" s="1107"/>
      <c r="F6996" s="1107"/>
      <c r="G6996" s="1107"/>
      <c r="H6996" s="1107"/>
      <c r="I6996" s="1107"/>
      <c r="J6996" s="1107"/>
      <c r="K6996" s="1107"/>
      <c r="L6996" s="1107"/>
      <c r="M6996" s="1107"/>
      <c r="N6996" s="1108"/>
    </row>
    <row r="6997" spans="2:17" ht="13.5" thickBot="1">
      <c r="B6997" s="1109"/>
      <c r="C6997" s="1110"/>
      <c r="D6997" s="1110"/>
      <c r="E6997" s="1110"/>
      <c r="F6997" s="1110"/>
      <c r="G6997" s="1110"/>
      <c r="H6997" s="1110"/>
      <c r="I6997" s="1110"/>
      <c r="J6997" s="1110"/>
      <c r="K6997" s="1110"/>
      <c r="L6997" s="1110"/>
      <c r="M6997" s="1110"/>
      <c r="N6997" s="1111"/>
    </row>
    <row r="6998" spans="2:17">
      <c r="B6998" s="1130" t="s">
        <v>17</v>
      </c>
      <c r="C6998" s="1139"/>
      <c r="D6998" s="1139"/>
      <c r="E6998" s="1139"/>
      <c r="F6998" s="1139"/>
      <c r="G6998" s="1139"/>
      <c r="H6998" s="1139"/>
      <c r="I6998" s="306"/>
      <c r="J6998" s="337"/>
      <c r="K6998" s="315" t="s">
        <v>79</v>
      </c>
      <c r="L6998" s="1140" t="s">
        <v>11</v>
      </c>
      <c r="M6998" s="1141"/>
      <c r="N6998" s="316"/>
    </row>
    <row r="6999" spans="2:17">
      <c r="B6999" s="1112" t="s">
        <v>232</v>
      </c>
      <c r="C6999" s="1113"/>
      <c r="D6999" s="1113"/>
      <c r="E6999" s="1113"/>
      <c r="F6999" s="1113"/>
      <c r="G6999" s="1113"/>
      <c r="H6999" s="1113"/>
      <c r="I6999" s="338"/>
      <c r="J6999" s="339"/>
      <c r="K6999" s="340">
        <f>'PRESUPUESTO OFICIAL'!$K$100</f>
        <v>0</v>
      </c>
      <c r="L6999" s="1146">
        <f>K6999*N6994</f>
        <v>0</v>
      </c>
      <c r="M6999" s="1147"/>
      <c r="N6999" s="341"/>
    </row>
    <row r="7000" spans="2:17">
      <c r="B7000" s="292" t="s">
        <v>293</v>
      </c>
      <c r="C7000" s="293"/>
      <c r="D7000" s="293"/>
      <c r="E7000" s="293"/>
      <c r="F7000" s="293"/>
      <c r="G7000" s="293"/>
      <c r="H7000" s="293"/>
      <c r="I7000" s="338"/>
      <c r="J7000" s="339"/>
      <c r="K7000" s="340">
        <f>'PRESUPUESTO OFICIAL'!$K$101</f>
        <v>0</v>
      </c>
      <c r="L7000" s="1146">
        <f>K7000*N6994</f>
        <v>0</v>
      </c>
      <c r="M7000" s="1147"/>
      <c r="N7000" s="341"/>
    </row>
    <row r="7001" spans="2:17" ht="13.5" thickBot="1">
      <c r="B7001" s="277" t="s">
        <v>294</v>
      </c>
      <c r="C7001" s="278"/>
      <c r="D7001" s="278"/>
      <c r="E7001" s="278"/>
      <c r="F7001" s="278"/>
      <c r="G7001" s="278"/>
      <c r="H7001" s="278"/>
      <c r="I7001" s="342"/>
      <c r="J7001" s="343"/>
      <c r="K7001" s="340">
        <f>'PRESUPUESTO OFICIAL'!$K$102</f>
        <v>0</v>
      </c>
      <c r="L7001" s="1148">
        <f>K7001*N6994</f>
        <v>0</v>
      </c>
      <c r="M7001" s="1149"/>
      <c r="N7001" s="341"/>
    </row>
    <row r="7002" spans="2:17" ht="13.5" thickBot="1">
      <c r="B7002" s="1100" t="s">
        <v>269</v>
      </c>
      <c r="C7002" s="1101"/>
      <c r="D7002" s="1101"/>
      <c r="E7002" s="1101"/>
      <c r="F7002" s="1101"/>
      <c r="G7002" s="1101"/>
      <c r="H7002" s="1101"/>
      <c r="I7002" s="1101"/>
      <c r="J7002" s="1101"/>
      <c r="K7002" s="1101"/>
      <c r="L7002" s="1101"/>
      <c r="M7002" s="1102"/>
      <c r="N7002" s="344">
        <f>SUM(L6999:M7001)</f>
        <v>0</v>
      </c>
    </row>
    <row r="7003" spans="2:17" ht="13.5" thickBot="1">
      <c r="B7003" s="283"/>
      <c r="N7003" s="284"/>
    </row>
    <row r="7004" spans="2:17" ht="13.5" thickBot="1">
      <c r="B7004" s="1150" t="s">
        <v>295</v>
      </c>
      <c r="C7004" s="1151"/>
      <c r="D7004" s="1151"/>
      <c r="E7004" s="1151"/>
      <c r="F7004" s="1151"/>
      <c r="G7004" s="1151"/>
      <c r="H7004" s="1151"/>
      <c r="I7004" s="1151"/>
      <c r="J7004" s="1151"/>
      <c r="K7004" s="1151"/>
      <c r="L7004" s="1151"/>
      <c r="M7004" s="1152"/>
      <c r="N7004" s="345">
        <f>ROUND(N6994+N7002,0)</f>
        <v>144495</v>
      </c>
    </row>
    <row r="7005" spans="2:17">
      <c r="B7005" s="280"/>
      <c r="C7005" s="281"/>
      <c r="D7005" s="281"/>
      <c r="E7005" s="281"/>
      <c r="F7005" s="281"/>
      <c r="G7005" s="281"/>
      <c r="H7005" s="281"/>
      <c r="I7005" s="281"/>
      <c r="J7005" s="281"/>
      <c r="K7005" s="281"/>
      <c r="L7005" s="281"/>
      <c r="M7005" s="281"/>
      <c r="N7005" s="282"/>
    </row>
    <row r="7006" spans="2:17">
      <c r="B7006" s="283"/>
      <c r="N7006" s="284"/>
    </row>
    <row r="7007" spans="2:17">
      <c r="B7007" s="283"/>
      <c r="N7007" s="284"/>
    </row>
    <row r="7008" spans="2:17">
      <c r="B7008" s="283"/>
      <c r="G7008" s="346" t="s">
        <v>296</v>
      </c>
      <c r="H7008" s="346"/>
      <c r="I7008" s="346"/>
      <c r="J7008" s="346"/>
      <c r="N7008" s="284"/>
    </row>
    <row r="7009" spans="2:14">
      <c r="B7009" s="347"/>
      <c r="C7009" s="348"/>
      <c r="D7009" s="348"/>
      <c r="E7009" s="348"/>
      <c r="F7009" s="348"/>
      <c r="G7009" s="346" t="s">
        <v>297</v>
      </c>
      <c r="H7009" s="348"/>
      <c r="I7009" s="348"/>
      <c r="J7009" s="348"/>
      <c r="K7009" s="348"/>
      <c r="L7009" s="348"/>
      <c r="M7009" s="348"/>
      <c r="N7009" s="349"/>
    </row>
    <row r="7010" spans="2:14">
      <c r="B7010" s="347"/>
      <c r="C7010" s="348"/>
      <c r="D7010" s="348"/>
      <c r="E7010" s="348"/>
      <c r="F7010" s="348"/>
      <c r="G7010" s="346" t="s">
        <v>298</v>
      </c>
      <c r="J7010" s="348"/>
      <c r="K7010" s="348"/>
      <c r="L7010" s="348"/>
      <c r="M7010" s="348"/>
      <c r="N7010" s="349"/>
    </row>
    <row r="7011" spans="2:14">
      <c r="B7011" s="268"/>
      <c r="C7011" s="350"/>
      <c r="D7011" s="350"/>
      <c r="E7011" s="350"/>
      <c r="F7011" s="350"/>
      <c r="G7011" s="346" t="s">
        <v>299</v>
      </c>
      <c r="H7011" s="350"/>
      <c r="I7011" s="350"/>
      <c r="J7011" s="350"/>
      <c r="K7011" s="350"/>
      <c r="L7011" s="350"/>
      <c r="M7011" s="350"/>
      <c r="N7011" s="351"/>
    </row>
    <row r="7012" spans="2:14">
      <c r="B7012" s="283"/>
      <c r="G7012" s="258" t="s">
        <v>300</v>
      </c>
      <c r="N7012" s="284"/>
    </row>
    <row r="7013" spans="2:14">
      <c r="B7013" s="352" t="s">
        <v>301</v>
      </c>
      <c r="C7013" s="353"/>
      <c r="D7013" s="353"/>
      <c r="E7013" s="353"/>
      <c r="F7013" s="353"/>
      <c r="G7013" s="353"/>
      <c r="H7013" s="353"/>
      <c r="I7013" s="353"/>
      <c r="J7013" s="353"/>
      <c r="K7013" s="353"/>
      <c r="L7013" s="353"/>
      <c r="M7013" s="353"/>
      <c r="N7013" s="354"/>
    </row>
    <row r="7014" spans="2:14">
      <c r="B7014" s="1153"/>
      <c r="C7014" s="1154"/>
      <c r="D7014" s="1154"/>
      <c r="E7014" s="1154"/>
      <c r="F7014" s="1154"/>
      <c r="G7014" s="1154"/>
      <c r="H7014" s="1154"/>
      <c r="I7014" s="1154"/>
      <c r="J7014" s="1154"/>
      <c r="K7014" s="1154"/>
      <c r="L7014" s="1154"/>
      <c r="M7014" s="1154"/>
      <c r="N7014" s="1155"/>
    </row>
    <row r="7015" spans="2:14">
      <c r="B7015" s="1153"/>
      <c r="C7015" s="1154"/>
      <c r="D7015" s="1154"/>
      <c r="E7015" s="1154"/>
      <c r="F7015" s="1154"/>
      <c r="G7015" s="1154"/>
      <c r="H7015" s="1154"/>
      <c r="I7015" s="1154"/>
      <c r="J7015" s="1154"/>
      <c r="K7015" s="1154"/>
      <c r="L7015" s="1154"/>
      <c r="M7015" s="1154"/>
      <c r="N7015" s="1155"/>
    </row>
    <row r="7016" spans="2:14">
      <c r="B7016" s="268"/>
      <c r="C7016" s="350"/>
      <c r="D7016" s="350"/>
      <c r="E7016" s="350"/>
      <c r="F7016" s="350"/>
      <c r="G7016" s="350"/>
      <c r="H7016" s="350"/>
      <c r="I7016" s="350"/>
      <c r="J7016" s="350"/>
      <c r="K7016" s="350"/>
      <c r="L7016" s="350"/>
      <c r="M7016" s="350"/>
      <c r="N7016" s="351"/>
    </row>
    <row r="7017" spans="2:14">
      <c r="B7017" s="355" t="s">
        <v>302</v>
      </c>
      <c r="C7017" s="350"/>
      <c r="D7017" s="350"/>
      <c r="E7017" s="350"/>
      <c r="F7017" s="350"/>
      <c r="G7017" s="350"/>
      <c r="H7017" s="350"/>
      <c r="I7017" s="350"/>
      <c r="J7017" s="350"/>
      <c r="K7017" s="350"/>
      <c r="L7017" s="350"/>
      <c r="M7017" s="350"/>
      <c r="N7017" s="351"/>
    </row>
    <row r="7018" spans="2:14">
      <c r="B7018" s="1159" t="s">
        <v>303</v>
      </c>
      <c r="C7018" s="1160"/>
      <c r="D7018" s="1160"/>
      <c r="E7018" s="1160"/>
      <c r="F7018" s="1160"/>
      <c r="G7018" s="1160"/>
      <c r="H7018" s="1160"/>
      <c r="I7018" s="1160"/>
      <c r="J7018" s="1160"/>
      <c r="K7018" s="1160"/>
      <c r="L7018" s="1160"/>
      <c r="M7018" s="1160"/>
      <c r="N7018" s="1161"/>
    </row>
    <row r="7019" spans="2:14">
      <c r="B7019" s="1159"/>
      <c r="C7019" s="1160"/>
      <c r="D7019" s="1160"/>
      <c r="E7019" s="1160"/>
      <c r="F7019" s="1160"/>
      <c r="G7019" s="1160"/>
      <c r="H7019" s="1160"/>
      <c r="I7019" s="1160"/>
      <c r="J7019" s="1160"/>
      <c r="K7019" s="1160"/>
      <c r="L7019" s="1160"/>
      <c r="M7019" s="1160"/>
      <c r="N7019" s="1161"/>
    </row>
    <row r="7020" spans="2:14">
      <c r="B7020" s="1159" t="s">
        <v>304</v>
      </c>
      <c r="C7020" s="1160"/>
      <c r="D7020" s="1160"/>
      <c r="E7020" s="1160"/>
      <c r="F7020" s="1160"/>
      <c r="G7020" s="1160"/>
      <c r="H7020" s="1160"/>
      <c r="I7020" s="1160"/>
      <c r="J7020" s="1160"/>
      <c r="K7020" s="1160"/>
      <c r="L7020" s="1160"/>
      <c r="M7020" s="1160"/>
      <c r="N7020" s="1161"/>
    </row>
    <row r="7021" spans="2:14">
      <c r="B7021" s="1159"/>
      <c r="C7021" s="1160"/>
      <c r="D7021" s="1160"/>
      <c r="E7021" s="1160"/>
      <c r="F7021" s="1160"/>
      <c r="G7021" s="1160"/>
      <c r="H7021" s="1160"/>
      <c r="I7021" s="1160"/>
      <c r="J7021" s="1160"/>
      <c r="K7021" s="1160"/>
      <c r="L7021" s="1160"/>
      <c r="M7021" s="1160"/>
      <c r="N7021" s="1161"/>
    </row>
    <row r="7022" spans="2:14">
      <c r="B7022" s="268"/>
      <c r="C7022" s="350"/>
      <c r="D7022" s="350"/>
      <c r="E7022" s="350"/>
      <c r="F7022" s="350"/>
      <c r="G7022" s="350"/>
      <c r="H7022" s="350"/>
      <c r="I7022" s="350"/>
      <c r="J7022" s="350"/>
      <c r="K7022" s="350"/>
      <c r="L7022" s="350"/>
      <c r="M7022" s="350"/>
      <c r="N7022" s="351"/>
    </row>
    <row r="7023" spans="2:14">
      <c r="B7023" s="283"/>
      <c r="G7023" s="346" t="s">
        <v>296</v>
      </c>
      <c r="N7023" s="284"/>
    </row>
    <row r="7024" spans="2:14">
      <c r="B7024" s="283"/>
      <c r="G7024" s="258" t="s">
        <v>305</v>
      </c>
      <c r="H7024" s="293"/>
      <c r="I7024" s="293"/>
      <c r="J7024" s="293"/>
      <c r="N7024" s="284"/>
    </row>
    <row r="7025" spans="2:14">
      <c r="B7025" s="283"/>
      <c r="G7025" s="258" t="s">
        <v>306</v>
      </c>
      <c r="H7025" s="325"/>
      <c r="I7025" s="325"/>
      <c r="J7025" s="325"/>
      <c r="N7025" s="284"/>
    </row>
    <row r="7026" spans="2:14">
      <c r="B7026" s="356"/>
      <c r="C7026" s="350"/>
      <c r="D7026" s="350"/>
      <c r="E7026" s="350"/>
      <c r="F7026" s="350"/>
      <c r="G7026" s="258" t="s">
        <v>299</v>
      </c>
      <c r="K7026" s="350"/>
      <c r="L7026" s="350"/>
      <c r="M7026" s="350"/>
      <c r="N7026" s="351"/>
    </row>
    <row r="7027" spans="2:14">
      <c r="B7027" s="357"/>
      <c r="C7027" s="358"/>
      <c r="D7027" s="358"/>
      <c r="J7027" s="1162"/>
      <c r="K7027" s="1162"/>
      <c r="L7027" s="1162"/>
      <c r="M7027" s="1162"/>
      <c r="N7027" s="1163"/>
    </row>
    <row r="7028" spans="2:14" ht="13.5" thickBot="1">
      <c r="B7028" s="1166"/>
      <c r="C7028" s="1167"/>
      <c r="D7028" s="1167"/>
      <c r="E7028" s="311"/>
      <c r="F7028" s="311"/>
      <c r="G7028" s="311"/>
      <c r="H7028" s="311"/>
      <c r="I7028" s="311"/>
      <c r="J7028" s="1164"/>
      <c r="K7028" s="1164"/>
      <c r="L7028" s="1164"/>
      <c r="M7028" s="1164"/>
      <c r="N7028" s="1165"/>
    </row>
    <row r="7029" spans="2:14" ht="13.5" thickBot="1"/>
    <row r="7030" spans="2:14">
      <c r="B7030" s="1070"/>
      <c r="C7030" s="1072"/>
      <c r="D7030" s="1073"/>
      <c r="E7030" s="1073"/>
      <c r="F7030" s="1073"/>
      <c r="G7030" s="1073"/>
      <c r="H7030" s="1073"/>
      <c r="I7030" s="1073"/>
      <c r="J7030" s="1074"/>
      <c r="K7030" s="1075"/>
      <c r="L7030" s="1076"/>
      <c r="M7030" s="1076"/>
      <c r="N7030" s="1077"/>
    </row>
    <row r="7031" spans="2:14">
      <c r="B7031" s="1071"/>
      <c r="C7031" s="1062" t="s">
        <v>244</v>
      </c>
      <c r="D7031" s="1063"/>
      <c r="E7031" s="1063"/>
      <c r="F7031" s="1063"/>
      <c r="G7031" s="1063"/>
      <c r="H7031" s="1063"/>
      <c r="I7031" s="1063"/>
      <c r="J7031" s="1064"/>
      <c r="K7031" s="1078"/>
      <c r="L7031" s="1079"/>
      <c r="M7031" s="1079"/>
      <c r="N7031" s="1080"/>
    </row>
    <row r="7032" spans="2:14">
      <c r="B7032" s="1071"/>
      <c r="C7032" s="1081"/>
      <c r="D7032" s="1082"/>
      <c r="E7032" s="1082"/>
      <c r="F7032" s="1082"/>
      <c r="G7032" s="1082"/>
      <c r="H7032" s="1082"/>
      <c r="I7032" s="1082"/>
      <c r="J7032" s="1083"/>
      <c r="K7032" s="1058" t="s">
        <v>245</v>
      </c>
      <c r="L7032" s="1085"/>
      <c r="M7032" s="1086"/>
      <c r="N7032" s="1087"/>
    </row>
    <row r="7033" spans="2:14">
      <c r="B7033" s="1071"/>
      <c r="C7033" s="1062" t="s">
        <v>246</v>
      </c>
      <c r="D7033" s="1063"/>
      <c r="E7033" s="1063"/>
      <c r="F7033" s="1063"/>
      <c r="G7033" s="1063"/>
      <c r="H7033" s="1063"/>
      <c r="I7033" s="1063"/>
      <c r="J7033" s="1064"/>
      <c r="K7033" s="1084"/>
      <c r="L7033" s="1088"/>
      <c r="M7033" s="1089"/>
      <c r="N7033" s="1090"/>
    </row>
    <row r="7034" spans="2:14">
      <c r="B7034" s="1071"/>
      <c r="C7034" s="1091"/>
      <c r="D7034" s="1092"/>
      <c r="E7034" s="1092"/>
      <c r="F7034" s="1092"/>
      <c r="G7034" s="1092"/>
      <c r="H7034" s="1092"/>
      <c r="I7034" s="1092"/>
      <c r="J7034" s="1093"/>
      <c r="K7034" s="1058" t="s">
        <v>247</v>
      </c>
      <c r="L7034" s="1058">
        <v>80</v>
      </c>
      <c r="M7034" s="1058" t="s">
        <v>248</v>
      </c>
      <c r="N7034" s="1060">
        <v>80</v>
      </c>
    </row>
    <row r="7035" spans="2:14">
      <c r="B7035" s="1071"/>
      <c r="C7035" s="1091"/>
      <c r="D7035" s="1092"/>
      <c r="E7035" s="1092"/>
      <c r="F7035" s="1092"/>
      <c r="G7035" s="1092"/>
      <c r="H7035" s="1092"/>
      <c r="I7035" s="1092"/>
      <c r="J7035" s="1093"/>
      <c r="K7035" s="1059"/>
      <c r="L7035" s="1059"/>
      <c r="M7035" s="1059"/>
      <c r="N7035" s="1061"/>
    </row>
    <row r="7036" spans="2:14">
      <c r="B7036" s="1071"/>
      <c r="C7036" s="1062" t="s">
        <v>249</v>
      </c>
      <c r="D7036" s="1063"/>
      <c r="E7036" s="1063"/>
      <c r="F7036" s="1063"/>
      <c r="G7036" s="1063"/>
      <c r="H7036" s="1063"/>
      <c r="I7036" s="1063"/>
      <c r="J7036" s="1064"/>
      <c r="K7036" s="1059"/>
      <c r="L7036" s="1059"/>
      <c r="M7036" s="1059"/>
      <c r="N7036" s="1061"/>
    </row>
    <row r="7037" spans="2:14" ht="13.5" thickBot="1">
      <c r="B7037" s="259"/>
      <c r="C7037" s="260"/>
      <c r="D7037" s="260"/>
      <c r="E7037" s="260"/>
      <c r="F7037" s="260"/>
      <c r="G7037" s="260"/>
      <c r="H7037" s="260"/>
      <c r="I7037" s="260"/>
      <c r="J7037" s="260"/>
      <c r="K7037" s="260"/>
      <c r="L7037" s="261"/>
      <c r="M7037" s="261"/>
      <c r="N7037" s="262"/>
    </row>
    <row r="7038" spans="2:14">
      <c r="B7038" s="263"/>
      <c r="C7038" s="264"/>
      <c r="D7038" s="264"/>
      <c r="E7038" s="264"/>
      <c r="F7038" s="264"/>
      <c r="G7038" s="264"/>
      <c r="H7038" s="264"/>
      <c r="I7038" s="264"/>
      <c r="J7038" s="264"/>
      <c r="K7038" s="265" t="s">
        <v>250</v>
      </c>
      <c r="L7038" s="266" t="s">
        <v>251</v>
      </c>
      <c r="M7038" s="266" t="s">
        <v>252</v>
      </c>
      <c r="N7038" s="267" t="s">
        <v>253</v>
      </c>
    </row>
    <row r="7039" spans="2:14">
      <c r="B7039" s="268"/>
      <c r="C7039" s="269"/>
      <c r="D7039" s="269"/>
      <c r="E7039" s="269"/>
      <c r="F7039" s="269"/>
      <c r="G7039" s="269"/>
      <c r="H7039" s="269"/>
      <c r="I7039" s="269"/>
      <c r="J7039" s="269"/>
      <c r="K7039" s="270"/>
      <c r="L7039" s="271"/>
      <c r="M7039" s="271"/>
      <c r="N7039" s="272"/>
    </row>
    <row r="7040" spans="2:14">
      <c r="B7040" s="1065" t="s">
        <v>254</v>
      </c>
      <c r="C7040" s="1066"/>
      <c r="D7040" s="1066"/>
      <c r="E7040" s="1066"/>
      <c r="F7040" s="269"/>
      <c r="G7040" s="269"/>
      <c r="H7040" s="269" t="s">
        <v>255</v>
      </c>
      <c r="J7040" s="269"/>
      <c r="K7040" s="270"/>
      <c r="N7040" s="273"/>
    </row>
    <row r="7041" spans="2:14">
      <c r="B7041" s="274"/>
      <c r="C7041" s="275"/>
      <c r="D7041" s="275"/>
      <c r="E7041" s="275"/>
      <c r="F7041" s="275"/>
      <c r="G7041" s="275"/>
      <c r="H7041" s="275"/>
      <c r="I7041" s="275"/>
      <c r="J7041" s="275"/>
      <c r="K7041" s="275"/>
      <c r="L7041" s="275"/>
      <c r="M7041" s="275"/>
      <c r="N7041" s="276"/>
    </row>
    <row r="7042" spans="2:14" ht="13.5" thickBot="1">
      <c r="B7042" s="277"/>
      <c r="C7042" s="278"/>
      <c r="D7042" s="278"/>
      <c r="E7042" s="278"/>
      <c r="F7042" s="278"/>
      <c r="G7042" s="278"/>
      <c r="H7042" s="278"/>
      <c r="I7042" s="278"/>
      <c r="J7042" s="278"/>
      <c r="K7042" s="278"/>
      <c r="L7042" s="278"/>
      <c r="M7042" s="278"/>
      <c r="N7042" s="279"/>
    </row>
    <row r="7043" spans="2:14" ht="13.5" thickBot="1">
      <c r="B7043" s="280"/>
      <c r="C7043" s="281"/>
      <c r="D7043" s="281"/>
      <c r="E7043" s="281"/>
      <c r="F7043" s="281"/>
      <c r="G7043" s="281"/>
      <c r="J7043" s="281"/>
      <c r="K7043" s="281"/>
      <c r="L7043" s="281"/>
      <c r="M7043" s="281"/>
      <c r="N7043" s="282"/>
    </row>
    <row r="7044" spans="2:14">
      <c r="B7044" s="1067" t="s">
        <v>256</v>
      </c>
      <c r="C7044" s="1068"/>
      <c r="D7044" s="1068"/>
      <c r="E7044" s="1068"/>
      <c r="F7044" s="1068"/>
      <c r="G7044" s="1068"/>
      <c r="H7044" s="1068"/>
      <c r="I7044" s="1068"/>
      <c r="J7044" s="1068"/>
      <c r="K7044" s="1068"/>
      <c r="L7044" s="1068"/>
      <c r="M7044" s="1068"/>
      <c r="N7044" s="1069"/>
    </row>
    <row r="7045" spans="2:14" ht="13.5" thickBot="1">
      <c r="B7045" s="283"/>
      <c r="N7045" s="284"/>
    </row>
    <row r="7046" spans="2:14">
      <c r="B7046" s="285" t="s">
        <v>257</v>
      </c>
      <c r="C7046" s="1120" t="s">
        <v>258</v>
      </c>
      <c r="D7046" s="1121"/>
      <c r="E7046" s="1121"/>
      <c r="F7046" s="1121"/>
      <c r="G7046" s="1121"/>
      <c r="H7046" s="1121"/>
      <c r="I7046" s="1121"/>
      <c r="J7046" s="1121"/>
      <c r="K7046" s="1122"/>
      <c r="L7046" s="1123" t="s">
        <v>259</v>
      </c>
      <c r="M7046" s="1124"/>
      <c r="N7046" s="285" t="s">
        <v>133</v>
      </c>
    </row>
    <row r="7047" spans="2:14" ht="24" customHeight="1" thickBot="1">
      <c r="B7047" s="286">
        <v>80</v>
      </c>
      <c r="C7047" s="1125" t="s">
        <v>447</v>
      </c>
      <c r="D7047" s="1126"/>
      <c r="E7047" s="1126"/>
      <c r="F7047" s="1126"/>
      <c r="G7047" s="1126"/>
      <c r="H7047" s="1126"/>
      <c r="I7047" s="1126"/>
      <c r="J7047" s="1126"/>
      <c r="K7047" s="1127"/>
      <c r="L7047" s="1128" t="s">
        <v>141</v>
      </c>
      <c r="M7047" s="1129"/>
      <c r="N7047" s="366">
        <v>300</v>
      </c>
    </row>
    <row r="7048" spans="2:14">
      <c r="B7048" s="1103" t="s">
        <v>260</v>
      </c>
      <c r="C7048" s="1104"/>
      <c r="D7048" s="1104"/>
      <c r="E7048" s="1104"/>
      <c r="F7048" s="1104"/>
      <c r="G7048" s="1104"/>
      <c r="H7048" s="1104"/>
      <c r="I7048" s="1104"/>
      <c r="J7048" s="1104"/>
      <c r="K7048" s="1104"/>
      <c r="L7048" s="1104"/>
      <c r="M7048" s="1104"/>
      <c r="N7048" s="1105"/>
    </row>
    <row r="7049" spans="2:14">
      <c r="B7049" s="1106"/>
      <c r="C7049" s="1107"/>
      <c r="D7049" s="1107"/>
      <c r="E7049" s="1107"/>
      <c r="F7049" s="1107"/>
      <c r="G7049" s="1107"/>
      <c r="H7049" s="1107"/>
      <c r="I7049" s="1107"/>
      <c r="J7049" s="1107"/>
      <c r="K7049" s="1107"/>
      <c r="L7049" s="1107"/>
      <c r="M7049" s="1107"/>
      <c r="N7049" s="1108"/>
    </row>
    <row r="7050" spans="2:14" ht="13.5" thickBot="1">
      <c r="B7050" s="1109"/>
      <c r="C7050" s="1110"/>
      <c r="D7050" s="1110"/>
      <c r="E7050" s="1110"/>
      <c r="F7050" s="1110"/>
      <c r="G7050" s="1110"/>
      <c r="H7050" s="1110"/>
      <c r="I7050" s="1110"/>
      <c r="J7050" s="1110"/>
      <c r="K7050" s="1110"/>
      <c r="L7050" s="1110"/>
      <c r="M7050" s="1110"/>
      <c r="N7050" s="1111"/>
    </row>
    <row r="7051" spans="2:14">
      <c r="B7051" s="1130" t="s">
        <v>258</v>
      </c>
      <c r="C7051" s="1131"/>
      <c r="D7051" s="1131"/>
      <c r="E7051" s="1131"/>
      <c r="F7051" s="1132"/>
      <c r="G7051" s="1133" t="s">
        <v>261</v>
      </c>
      <c r="H7051" s="1131"/>
      <c r="I7051" s="1134" t="s">
        <v>262</v>
      </c>
      <c r="J7051" s="1135"/>
      <c r="K7051" s="288" t="s">
        <v>263</v>
      </c>
      <c r="L7051" s="1133" t="s">
        <v>264</v>
      </c>
      <c r="M7051" s="1136"/>
      <c r="N7051" s="289" t="s">
        <v>265</v>
      </c>
    </row>
    <row r="7052" spans="2:14" ht="13.5" thickBot="1">
      <c r="B7052" s="1179"/>
      <c r="C7052" s="1180"/>
      <c r="D7052" s="1180"/>
      <c r="E7052" s="1180"/>
      <c r="F7052" s="1181"/>
      <c r="G7052" s="295"/>
      <c r="H7052" s="294"/>
      <c r="I7052" s="1182"/>
      <c r="J7052" s="1183"/>
      <c r="K7052" s="290"/>
      <c r="L7052" s="1118"/>
      <c r="M7052" s="1119"/>
      <c r="N7052" s="290"/>
    </row>
    <row r="7053" spans="2:14" ht="13.5" thickBot="1">
      <c r="B7053" s="1100" t="s">
        <v>269</v>
      </c>
      <c r="C7053" s="1101"/>
      <c r="D7053" s="1101"/>
      <c r="E7053" s="1101"/>
      <c r="F7053" s="1101"/>
      <c r="G7053" s="1101"/>
      <c r="H7053" s="1101"/>
      <c r="I7053" s="1101"/>
      <c r="J7053" s="1101"/>
      <c r="K7053" s="1101"/>
      <c r="L7053" s="1101"/>
      <c r="M7053" s="1102"/>
      <c r="N7053" s="323">
        <f>+N7052</f>
        <v>0</v>
      </c>
    </row>
    <row r="7054" spans="2:14">
      <c r="B7054" s="1103" t="s">
        <v>270</v>
      </c>
      <c r="C7054" s="1104"/>
      <c r="D7054" s="1104"/>
      <c r="E7054" s="1104"/>
      <c r="F7054" s="1104"/>
      <c r="G7054" s="1104"/>
      <c r="H7054" s="1104"/>
      <c r="I7054" s="1104"/>
      <c r="J7054" s="1104"/>
      <c r="K7054" s="1104"/>
      <c r="L7054" s="1104"/>
      <c r="M7054" s="1104"/>
      <c r="N7054" s="1105"/>
    </row>
    <row r="7055" spans="2:14">
      <c r="B7055" s="1106"/>
      <c r="C7055" s="1107"/>
      <c r="D7055" s="1107"/>
      <c r="E7055" s="1107"/>
      <c r="F7055" s="1107"/>
      <c r="G7055" s="1107"/>
      <c r="H7055" s="1107"/>
      <c r="I7055" s="1107"/>
      <c r="J7055" s="1107"/>
      <c r="K7055" s="1107"/>
      <c r="L7055" s="1107"/>
      <c r="M7055" s="1107"/>
      <c r="N7055" s="1108"/>
    </row>
    <row r="7056" spans="2:14" ht="13.5" thickBot="1">
      <c r="B7056" s="1109"/>
      <c r="C7056" s="1110"/>
      <c r="D7056" s="1110"/>
      <c r="E7056" s="1110"/>
      <c r="F7056" s="1110"/>
      <c r="G7056" s="1110"/>
      <c r="H7056" s="1110"/>
      <c r="I7056" s="1110"/>
      <c r="J7056" s="1110"/>
      <c r="K7056" s="1110"/>
      <c r="L7056" s="1110"/>
      <c r="M7056" s="1110"/>
      <c r="N7056" s="1111"/>
    </row>
    <row r="7057" spans="2:14">
      <c r="B7057" s="1130" t="s">
        <v>258</v>
      </c>
      <c r="C7057" s="1139"/>
      <c r="D7057" s="1139"/>
      <c r="E7057" s="1139"/>
      <c r="F7057" s="1139"/>
      <c r="G7057" s="1139"/>
      <c r="H7057" s="1139"/>
      <c r="I7057" s="1136"/>
      <c r="J7057" s="299" t="s">
        <v>259</v>
      </c>
      <c r="K7057" s="288" t="s">
        <v>133</v>
      </c>
      <c r="L7057" s="1133" t="s">
        <v>271</v>
      </c>
      <c r="M7057" s="1136"/>
      <c r="N7057" s="289" t="s">
        <v>265</v>
      </c>
    </row>
    <row r="7058" spans="2:14">
      <c r="B7058" s="402" t="s">
        <v>448</v>
      </c>
      <c r="C7058" s="353"/>
      <c r="D7058" s="353"/>
      <c r="E7058" s="353"/>
      <c r="F7058" s="353"/>
      <c r="G7058" s="353"/>
      <c r="H7058" s="353"/>
      <c r="I7058" s="403"/>
      <c r="J7058" s="303" t="s">
        <v>449</v>
      </c>
      <c r="K7058" s="392">
        <v>0.6</v>
      </c>
      <c r="L7058" s="1144">
        <v>1212</v>
      </c>
      <c r="M7058" s="1145"/>
      <c r="N7058" s="363">
        <f>+K7058*L7058</f>
        <v>727.19999999999993</v>
      </c>
    </row>
    <row r="7059" spans="2:14">
      <c r="B7059" s="402" t="s">
        <v>450</v>
      </c>
      <c r="C7059" s="353"/>
      <c r="D7059" s="353"/>
      <c r="E7059" s="353"/>
      <c r="F7059" s="353"/>
      <c r="G7059" s="353"/>
      <c r="H7059" s="353"/>
      <c r="I7059" s="403"/>
      <c r="J7059" s="303" t="s">
        <v>147</v>
      </c>
      <c r="K7059" s="392">
        <v>0.03</v>
      </c>
      <c r="L7059" s="1144">
        <v>78804</v>
      </c>
      <c r="M7059" s="1145"/>
      <c r="N7059" s="363">
        <f>+K7059*L7059</f>
        <v>2364.12</v>
      </c>
    </row>
    <row r="7060" spans="2:14">
      <c r="B7060" s="402" t="s">
        <v>451</v>
      </c>
      <c r="C7060" s="353"/>
      <c r="D7060" s="353"/>
      <c r="E7060" s="353"/>
      <c r="F7060" s="353"/>
      <c r="G7060" s="353"/>
      <c r="H7060" s="353"/>
      <c r="I7060" s="403"/>
      <c r="J7060" s="303" t="s">
        <v>141</v>
      </c>
      <c r="K7060" s="392">
        <v>1</v>
      </c>
      <c r="L7060" s="1144">
        <v>4500</v>
      </c>
      <c r="M7060" s="1145"/>
      <c r="N7060" s="363">
        <f>+K7060*L7060</f>
        <v>4500</v>
      </c>
    </row>
    <row r="7061" spans="2:14" ht="29.25" customHeight="1" thickBot="1">
      <c r="B7061" s="1186" t="s">
        <v>452</v>
      </c>
      <c r="C7061" s="1187"/>
      <c r="D7061" s="1187"/>
      <c r="E7061" s="1187"/>
      <c r="F7061" s="1187"/>
      <c r="G7061" s="1187"/>
      <c r="H7061" s="1187"/>
      <c r="I7061" s="1188"/>
      <c r="J7061" s="303" t="s">
        <v>141</v>
      </c>
      <c r="K7061" s="392">
        <v>1</v>
      </c>
      <c r="L7061" s="1144">
        <v>805</v>
      </c>
      <c r="M7061" s="1145"/>
      <c r="N7061" s="363">
        <f>+K7061*L7061</f>
        <v>805</v>
      </c>
    </row>
    <row r="7062" spans="2:14" ht="13.5" thickBot="1">
      <c r="B7062" s="1100" t="s">
        <v>269</v>
      </c>
      <c r="C7062" s="1101"/>
      <c r="D7062" s="1101"/>
      <c r="E7062" s="1101"/>
      <c r="F7062" s="1101"/>
      <c r="G7062" s="1101"/>
      <c r="H7062" s="1101"/>
      <c r="I7062" s="1101"/>
      <c r="J7062" s="1101"/>
      <c r="K7062" s="1101"/>
      <c r="L7062" s="1101"/>
      <c r="M7062" s="1102"/>
      <c r="N7062" s="323">
        <f>+N7058+N7059+N7060+N7061</f>
        <v>8396.32</v>
      </c>
    </row>
    <row r="7063" spans="2:14">
      <c r="B7063" s="1103" t="s">
        <v>367</v>
      </c>
      <c r="C7063" s="1104"/>
      <c r="D7063" s="1104"/>
      <c r="E7063" s="1104"/>
      <c r="F7063" s="1104"/>
      <c r="G7063" s="1104"/>
      <c r="H7063" s="1104"/>
      <c r="I7063" s="1104"/>
      <c r="J7063" s="1104"/>
      <c r="K7063" s="1104"/>
      <c r="L7063" s="1104"/>
      <c r="M7063" s="1104"/>
      <c r="N7063" s="1105"/>
    </row>
    <row r="7064" spans="2:14">
      <c r="B7064" s="1106"/>
      <c r="C7064" s="1107"/>
      <c r="D7064" s="1107"/>
      <c r="E7064" s="1107"/>
      <c r="F7064" s="1107"/>
      <c r="G7064" s="1107"/>
      <c r="H7064" s="1107"/>
      <c r="I7064" s="1107"/>
      <c r="J7064" s="1107"/>
      <c r="K7064" s="1107"/>
      <c r="L7064" s="1107"/>
      <c r="M7064" s="1107"/>
      <c r="N7064" s="1108"/>
    </row>
    <row r="7065" spans="2:14" ht="13.5" thickBot="1">
      <c r="B7065" s="1109"/>
      <c r="C7065" s="1110"/>
      <c r="D7065" s="1110"/>
      <c r="E7065" s="1110"/>
      <c r="F7065" s="1110"/>
      <c r="G7065" s="1110"/>
      <c r="H7065" s="1110"/>
      <c r="I7065" s="1110"/>
      <c r="J7065" s="1110"/>
      <c r="K7065" s="1110"/>
      <c r="L7065" s="1110"/>
      <c r="M7065" s="1110"/>
      <c r="N7065" s="1111"/>
    </row>
    <row r="7066" spans="2:14">
      <c r="B7066" s="1130" t="s">
        <v>277</v>
      </c>
      <c r="C7066" s="1139"/>
      <c r="D7066" s="1139"/>
      <c r="E7066" s="1139"/>
      <c r="F7066" s="1139"/>
      <c r="G7066" s="1139"/>
      <c r="H7066" s="1139"/>
      <c r="I7066" s="288" t="s">
        <v>278</v>
      </c>
      <c r="J7066" s="306" t="s">
        <v>279</v>
      </c>
      <c r="K7066" s="307" t="s">
        <v>280</v>
      </c>
      <c r="L7066" s="1133" t="s">
        <v>281</v>
      </c>
      <c r="M7066" s="1136"/>
      <c r="N7066" s="289" t="s">
        <v>265</v>
      </c>
    </row>
    <row r="7067" spans="2:14" ht="13.5" thickBot="1">
      <c r="B7067" s="1112" t="s">
        <v>453</v>
      </c>
      <c r="C7067" s="1113"/>
      <c r="D7067" s="1113"/>
      <c r="E7067" s="1113"/>
      <c r="F7067" s="1113"/>
      <c r="G7067" s="1113"/>
      <c r="H7067" s="1113"/>
      <c r="I7067" s="393">
        <v>1.4800000000000001E-2</v>
      </c>
      <c r="J7067" s="309"/>
      <c r="K7067" s="308"/>
      <c r="L7067" s="1144">
        <v>33523</v>
      </c>
      <c r="M7067" s="1145"/>
      <c r="N7067" s="363">
        <f>+I7067*L7067</f>
        <v>496.1404</v>
      </c>
    </row>
    <row r="7068" spans="2:14" ht="13.5" thickBot="1">
      <c r="B7068" s="1100" t="s">
        <v>269</v>
      </c>
      <c r="C7068" s="1101"/>
      <c r="D7068" s="1101"/>
      <c r="E7068" s="1101"/>
      <c r="F7068" s="1101"/>
      <c r="G7068" s="1101"/>
      <c r="H7068" s="1101"/>
      <c r="I7068" s="1101"/>
      <c r="J7068" s="1101"/>
      <c r="K7068" s="1101"/>
      <c r="L7068" s="1101"/>
      <c r="M7068" s="1102"/>
      <c r="N7068" s="323">
        <f>+N7067</f>
        <v>496.1404</v>
      </c>
    </row>
    <row r="7069" spans="2:14">
      <c r="B7069" s="1103" t="s">
        <v>282</v>
      </c>
      <c r="C7069" s="1104"/>
      <c r="D7069" s="1104"/>
      <c r="E7069" s="1104"/>
      <c r="F7069" s="1104"/>
      <c r="G7069" s="1104"/>
      <c r="H7069" s="1104"/>
      <c r="I7069" s="1104"/>
      <c r="J7069" s="1104"/>
      <c r="K7069" s="1104"/>
      <c r="L7069" s="1104"/>
      <c r="M7069" s="1104"/>
      <c r="N7069" s="1105"/>
    </row>
    <row r="7070" spans="2:14">
      <c r="B7070" s="1106"/>
      <c r="C7070" s="1107"/>
      <c r="D7070" s="1107"/>
      <c r="E7070" s="1107"/>
      <c r="F7070" s="1107"/>
      <c r="G7070" s="1107"/>
      <c r="H7070" s="1107"/>
      <c r="I7070" s="1107"/>
      <c r="J7070" s="1107"/>
      <c r="K7070" s="1107"/>
      <c r="L7070" s="1107"/>
      <c r="M7070" s="1107"/>
      <c r="N7070" s="1108"/>
    </row>
    <row r="7071" spans="2:14" ht="13.5" thickBot="1">
      <c r="B7071" s="1109"/>
      <c r="C7071" s="1110"/>
      <c r="D7071" s="1110"/>
      <c r="E7071" s="1110"/>
      <c r="F7071" s="1110"/>
      <c r="G7071" s="1110"/>
      <c r="H7071" s="1110"/>
      <c r="I7071" s="1110"/>
      <c r="J7071" s="1110"/>
      <c r="K7071" s="1110"/>
      <c r="L7071" s="1110"/>
      <c r="M7071" s="1110"/>
      <c r="N7071" s="1111"/>
    </row>
    <row r="7072" spans="2:14">
      <c r="B7072" s="1130" t="s">
        <v>283</v>
      </c>
      <c r="C7072" s="1139"/>
      <c r="D7072" s="1139"/>
      <c r="E7072" s="1139"/>
      <c r="F7072" s="1139"/>
      <c r="G7072" s="1139"/>
      <c r="H7072" s="1139"/>
      <c r="I7072" s="288" t="s">
        <v>284</v>
      </c>
      <c r="J7072" s="314" t="s">
        <v>285</v>
      </c>
      <c r="K7072" s="315" t="s">
        <v>286</v>
      </c>
      <c r="L7072" s="1140" t="s">
        <v>264</v>
      </c>
      <c r="M7072" s="1141"/>
      <c r="N7072" s="316" t="s">
        <v>265</v>
      </c>
    </row>
    <row r="7073" spans="2:17">
      <c r="B7073" s="317" t="s">
        <v>454</v>
      </c>
      <c r="C7073" s="318"/>
      <c r="D7073" s="318"/>
      <c r="E7073" s="318"/>
      <c r="F7073" s="318"/>
      <c r="G7073" s="318"/>
      <c r="H7073" s="318"/>
      <c r="I7073" s="319">
        <v>95175</v>
      </c>
      <c r="J7073" s="321">
        <v>57076</v>
      </c>
      <c r="K7073" s="321">
        <f>+I7073+J7073</f>
        <v>152251</v>
      </c>
      <c r="L7073" s="1157">
        <v>1000</v>
      </c>
      <c r="M7073" s="1158"/>
      <c r="N7073" s="322">
        <f>+K7073/L7073</f>
        <v>152.251</v>
      </c>
    </row>
    <row r="7074" spans="2:17" ht="13.5" thickBot="1">
      <c r="B7074" s="317" t="s">
        <v>455</v>
      </c>
      <c r="C7074" s="318"/>
      <c r="D7074" s="318"/>
      <c r="E7074" s="318"/>
      <c r="F7074" s="318"/>
      <c r="G7074" s="318"/>
      <c r="H7074" s="318"/>
      <c r="I7074" s="319">
        <v>32980</v>
      </c>
      <c r="J7074" s="321">
        <v>23630</v>
      </c>
      <c r="K7074" s="321">
        <f>+I7074+J7074</f>
        <v>56610</v>
      </c>
      <c r="L7074" s="1157">
        <v>50</v>
      </c>
      <c r="M7074" s="1158"/>
      <c r="N7074" s="322">
        <f>+K7074/L7074</f>
        <v>1132.2</v>
      </c>
    </row>
    <row r="7075" spans="2:17" ht="13.5" thickBot="1">
      <c r="B7075" s="1100" t="s">
        <v>269</v>
      </c>
      <c r="C7075" s="1101"/>
      <c r="D7075" s="1101"/>
      <c r="E7075" s="1101"/>
      <c r="F7075" s="1101"/>
      <c r="G7075" s="1101"/>
      <c r="H7075" s="1101"/>
      <c r="I7075" s="1101"/>
      <c r="J7075" s="1101"/>
      <c r="K7075" s="1101"/>
      <c r="L7075" s="1101"/>
      <c r="M7075" s="1102"/>
      <c r="N7075" s="322">
        <f>+N7074+N7073</f>
        <v>1284.451</v>
      </c>
    </row>
    <row r="7076" spans="2:17" ht="13.5" thickBot="1">
      <c r="B7076" s="324" t="s">
        <v>288</v>
      </c>
      <c r="C7076" s="325"/>
      <c r="D7076" s="325"/>
      <c r="E7076" s="325"/>
      <c r="F7076" s="325"/>
      <c r="G7076" s="325"/>
      <c r="H7076" s="325"/>
      <c r="I7076" s="326"/>
      <c r="J7076" s="327"/>
      <c r="K7076" s="328"/>
      <c r="L7076" s="329"/>
      <c r="M7076" s="329"/>
      <c r="N7076" s="330"/>
    </row>
    <row r="7077" spans="2:17">
      <c r="B7077" s="1130" t="s">
        <v>17</v>
      </c>
      <c r="C7077" s="1139"/>
      <c r="D7077" s="1139"/>
      <c r="E7077" s="1139"/>
      <c r="F7077" s="1139"/>
      <c r="G7077" s="1139"/>
      <c r="H7077" s="1139"/>
      <c r="I7077" s="1136"/>
      <c r="J7077" s="299" t="s">
        <v>259</v>
      </c>
      <c r="K7077" s="288" t="s">
        <v>133</v>
      </c>
      <c r="L7077" s="1133" t="s">
        <v>271</v>
      </c>
      <c r="M7077" s="1136"/>
      <c r="N7077" s="316" t="s">
        <v>265</v>
      </c>
    </row>
    <row r="7078" spans="2:17" ht="13.5" thickBot="1">
      <c r="B7078" s="331" t="s">
        <v>289</v>
      </c>
      <c r="C7078" s="332"/>
      <c r="D7078" s="332"/>
      <c r="E7078" s="332"/>
      <c r="F7078" s="332"/>
      <c r="G7078" s="332"/>
      <c r="H7078" s="332"/>
      <c r="I7078" s="333"/>
      <c r="J7078" s="334" t="s">
        <v>290</v>
      </c>
      <c r="K7078" s="335">
        <v>0.05</v>
      </c>
      <c r="L7078" s="1144">
        <f>+N7075</f>
        <v>1284.451</v>
      </c>
      <c r="M7078" s="1145"/>
      <c r="N7078" s="322">
        <f>+K7078*L7078</f>
        <v>64.222549999999998</v>
      </c>
    </row>
    <row r="7079" spans="2:17" ht="13.5" thickBot="1">
      <c r="B7079" s="1100" t="s">
        <v>269</v>
      </c>
      <c r="C7079" s="1101"/>
      <c r="D7079" s="1101"/>
      <c r="E7079" s="1101"/>
      <c r="F7079" s="1101"/>
      <c r="G7079" s="1101"/>
      <c r="H7079" s="1101"/>
      <c r="I7079" s="1101"/>
      <c r="J7079" s="1101"/>
      <c r="K7079" s="1101"/>
      <c r="L7079" s="1101"/>
      <c r="M7079" s="1102"/>
      <c r="N7079" s="322">
        <f>+N7078</f>
        <v>64.222549999999998</v>
      </c>
      <c r="P7079" s="408">
        <v>3072000</v>
      </c>
    </row>
    <row r="7080" spans="2:17" ht="13.5" thickBot="1">
      <c r="B7080" s="1100"/>
      <c r="C7080" s="1101"/>
      <c r="D7080" s="1101"/>
      <c r="E7080" s="1101"/>
      <c r="F7080" s="1101"/>
      <c r="G7080" s="1101"/>
      <c r="H7080" s="1101"/>
      <c r="I7080" s="1101"/>
      <c r="J7080" s="1101"/>
      <c r="K7080" s="1101"/>
      <c r="L7080" s="1101"/>
      <c r="M7080" s="1102"/>
      <c r="N7080" s="322"/>
    </row>
    <row r="7081" spans="2:17" ht="13.5" thickBot="1">
      <c r="B7081" s="1150" t="s">
        <v>291</v>
      </c>
      <c r="C7081" s="1151"/>
      <c r="D7081" s="1151"/>
      <c r="E7081" s="1151"/>
      <c r="F7081" s="1151"/>
      <c r="G7081" s="1151"/>
      <c r="H7081" s="1151"/>
      <c r="I7081" s="1151"/>
      <c r="J7081" s="1151"/>
      <c r="K7081" s="1151"/>
      <c r="L7081" s="1151"/>
      <c r="M7081" s="1152"/>
      <c r="N7081" s="336">
        <f>+N7053+N7062+N7068+N7075+N7079</f>
        <v>10241.133950000001</v>
      </c>
      <c r="P7081" s="409">
        <f>+N7081*N7047</f>
        <v>3072340.1850000005</v>
      </c>
      <c r="Q7081" s="413">
        <f>+P7081-P7079</f>
        <v>340.18500000052154</v>
      </c>
    </row>
    <row r="7082" spans="2:17">
      <c r="B7082" s="1103" t="s">
        <v>292</v>
      </c>
      <c r="C7082" s="1104"/>
      <c r="D7082" s="1104"/>
      <c r="E7082" s="1104"/>
      <c r="F7082" s="1104"/>
      <c r="G7082" s="1104"/>
      <c r="H7082" s="1104"/>
      <c r="I7082" s="1104"/>
      <c r="J7082" s="1104"/>
      <c r="K7082" s="1104"/>
      <c r="L7082" s="1104"/>
      <c r="M7082" s="1104"/>
      <c r="N7082" s="1105"/>
    </row>
    <row r="7083" spans="2:17">
      <c r="B7083" s="1106"/>
      <c r="C7083" s="1107"/>
      <c r="D7083" s="1107"/>
      <c r="E7083" s="1107"/>
      <c r="F7083" s="1107"/>
      <c r="G7083" s="1107"/>
      <c r="H7083" s="1107"/>
      <c r="I7083" s="1107"/>
      <c r="J7083" s="1107"/>
      <c r="K7083" s="1107"/>
      <c r="L7083" s="1107"/>
      <c r="M7083" s="1107"/>
      <c r="N7083" s="1108"/>
    </row>
    <row r="7084" spans="2:17" ht="13.5" thickBot="1">
      <c r="B7084" s="1109"/>
      <c r="C7084" s="1110"/>
      <c r="D7084" s="1110"/>
      <c r="E7084" s="1110"/>
      <c r="F7084" s="1110"/>
      <c r="G7084" s="1110"/>
      <c r="H7084" s="1110"/>
      <c r="I7084" s="1110"/>
      <c r="J7084" s="1110"/>
      <c r="K7084" s="1110"/>
      <c r="L7084" s="1110"/>
      <c r="M7084" s="1110"/>
      <c r="N7084" s="1111"/>
    </row>
    <row r="7085" spans="2:17">
      <c r="B7085" s="1130" t="s">
        <v>17</v>
      </c>
      <c r="C7085" s="1139"/>
      <c r="D7085" s="1139"/>
      <c r="E7085" s="1139"/>
      <c r="F7085" s="1139"/>
      <c r="G7085" s="1139"/>
      <c r="H7085" s="1139"/>
      <c r="I7085" s="306"/>
      <c r="J7085" s="337"/>
      <c r="K7085" s="315" t="s">
        <v>79</v>
      </c>
      <c r="L7085" s="1140" t="s">
        <v>11</v>
      </c>
      <c r="M7085" s="1141"/>
      <c r="N7085" s="316"/>
    </row>
    <row r="7086" spans="2:17">
      <c r="B7086" s="1112" t="s">
        <v>232</v>
      </c>
      <c r="C7086" s="1113"/>
      <c r="D7086" s="1113"/>
      <c r="E7086" s="1113"/>
      <c r="F7086" s="1113"/>
      <c r="G7086" s="1113"/>
      <c r="H7086" s="1113"/>
      <c r="I7086" s="338"/>
      <c r="J7086" s="339"/>
      <c r="K7086" s="340">
        <f>'PRESUPUESTO OFICIAL'!$K$100</f>
        <v>0</v>
      </c>
      <c r="L7086" s="1146">
        <f>K7086*N7081</f>
        <v>0</v>
      </c>
      <c r="M7086" s="1147"/>
      <c r="N7086" s="341"/>
    </row>
    <row r="7087" spans="2:17">
      <c r="B7087" s="292" t="s">
        <v>293</v>
      </c>
      <c r="C7087" s="293"/>
      <c r="D7087" s="293"/>
      <c r="E7087" s="293"/>
      <c r="F7087" s="293"/>
      <c r="G7087" s="293"/>
      <c r="H7087" s="293"/>
      <c r="I7087" s="338"/>
      <c r="J7087" s="339"/>
      <c r="K7087" s="340">
        <f>'PRESUPUESTO OFICIAL'!$K$101</f>
        <v>0</v>
      </c>
      <c r="L7087" s="1146">
        <f>K7087*N7081</f>
        <v>0</v>
      </c>
      <c r="M7087" s="1147"/>
      <c r="N7087" s="341"/>
    </row>
    <row r="7088" spans="2:17" ht="13.5" thickBot="1">
      <c r="B7088" s="277" t="s">
        <v>294</v>
      </c>
      <c r="C7088" s="278"/>
      <c r="D7088" s="278"/>
      <c r="E7088" s="278"/>
      <c r="F7088" s="278"/>
      <c r="G7088" s="278"/>
      <c r="H7088" s="278"/>
      <c r="I7088" s="342"/>
      <c r="J7088" s="343"/>
      <c r="K7088" s="340">
        <f>'PRESUPUESTO OFICIAL'!$K$102</f>
        <v>0</v>
      </c>
      <c r="L7088" s="1148">
        <f>K7088*N7081</f>
        <v>0</v>
      </c>
      <c r="M7088" s="1149"/>
      <c r="N7088" s="341"/>
    </row>
    <row r="7089" spans="2:14" ht="13.5" thickBot="1">
      <c r="B7089" s="1100" t="s">
        <v>269</v>
      </c>
      <c r="C7089" s="1101"/>
      <c r="D7089" s="1101"/>
      <c r="E7089" s="1101"/>
      <c r="F7089" s="1101"/>
      <c r="G7089" s="1101"/>
      <c r="H7089" s="1101"/>
      <c r="I7089" s="1101"/>
      <c r="J7089" s="1101"/>
      <c r="K7089" s="1101"/>
      <c r="L7089" s="1101"/>
      <c r="M7089" s="1102"/>
      <c r="N7089" s="344">
        <f>SUM(L7086:M7088)</f>
        <v>0</v>
      </c>
    </row>
    <row r="7090" spans="2:14" ht="13.5" thickBot="1">
      <c r="B7090" s="283"/>
      <c r="N7090" s="284"/>
    </row>
    <row r="7091" spans="2:14" ht="13.5" thickBot="1">
      <c r="B7091" s="1150" t="s">
        <v>295</v>
      </c>
      <c r="C7091" s="1151"/>
      <c r="D7091" s="1151"/>
      <c r="E7091" s="1151"/>
      <c r="F7091" s="1151"/>
      <c r="G7091" s="1151"/>
      <c r="H7091" s="1151"/>
      <c r="I7091" s="1151"/>
      <c r="J7091" s="1151"/>
      <c r="K7091" s="1151"/>
      <c r="L7091" s="1151"/>
      <c r="M7091" s="1152"/>
      <c r="N7091" s="345">
        <f>ROUND(N7081+N7089,0)</f>
        <v>10241</v>
      </c>
    </row>
    <row r="7092" spans="2:14">
      <c r="B7092" s="280"/>
      <c r="C7092" s="281"/>
      <c r="D7092" s="281"/>
      <c r="E7092" s="281"/>
      <c r="F7092" s="281"/>
      <c r="G7092" s="281"/>
      <c r="H7092" s="281"/>
      <c r="I7092" s="281"/>
      <c r="J7092" s="281"/>
      <c r="K7092" s="281"/>
      <c r="L7092" s="281"/>
      <c r="M7092" s="281"/>
      <c r="N7092" s="282"/>
    </row>
    <row r="7093" spans="2:14">
      <c r="B7093" s="283"/>
      <c r="N7093" s="284"/>
    </row>
    <row r="7094" spans="2:14">
      <c r="B7094" s="283"/>
      <c r="N7094" s="284"/>
    </row>
    <row r="7095" spans="2:14">
      <c r="B7095" s="283"/>
      <c r="G7095" s="346" t="s">
        <v>296</v>
      </c>
      <c r="H7095" s="346"/>
      <c r="I7095" s="346"/>
      <c r="J7095" s="346"/>
      <c r="N7095" s="284"/>
    </row>
    <row r="7096" spans="2:14">
      <c r="B7096" s="347"/>
      <c r="C7096" s="348"/>
      <c r="D7096" s="348"/>
      <c r="E7096" s="348"/>
      <c r="F7096" s="348"/>
      <c r="G7096" s="346" t="s">
        <v>297</v>
      </c>
      <c r="H7096" s="348"/>
      <c r="I7096" s="348"/>
      <c r="J7096" s="348"/>
      <c r="K7096" s="348"/>
      <c r="L7096" s="348"/>
      <c r="M7096" s="348"/>
      <c r="N7096" s="349"/>
    </row>
    <row r="7097" spans="2:14">
      <c r="B7097" s="347"/>
      <c r="C7097" s="348"/>
      <c r="D7097" s="348"/>
      <c r="E7097" s="348"/>
      <c r="F7097" s="348"/>
      <c r="G7097" s="346" t="s">
        <v>298</v>
      </c>
      <c r="J7097" s="348"/>
      <c r="K7097" s="348"/>
      <c r="L7097" s="348"/>
      <c r="M7097" s="348"/>
      <c r="N7097" s="349"/>
    </row>
    <row r="7098" spans="2:14">
      <c r="B7098" s="268"/>
      <c r="C7098" s="350"/>
      <c r="D7098" s="350"/>
      <c r="E7098" s="350"/>
      <c r="F7098" s="350"/>
      <c r="G7098" s="346" t="s">
        <v>299</v>
      </c>
      <c r="H7098" s="350"/>
      <c r="I7098" s="350"/>
      <c r="J7098" s="350"/>
      <c r="K7098" s="350"/>
      <c r="L7098" s="350"/>
      <c r="M7098" s="350"/>
      <c r="N7098" s="351"/>
    </row>
    <row r="7099" spans="2:14">
      <c r="B7099" s="283"/>
      <c r="G7099" s="258" t="s">
        <v>300</v>
      </c>
      <c r="N7099" s="284"/>
    </row>
    <row r="7100" spans="2:14">
      <c r="B7100" s="352" t="s">
        <v>301</v>
      </c>
      <c r="C7100" s="353"/>
      <c r="D7100" s="353"/>
      <c r="E7100" s="353"/>
      <c r="F7100" s="353"/>
      <c r="G7100" s="353"/>
      <c r="H7100" s="353"/>
      <c r="I7100" s="353"/>
      <c r="J7100" s="353"/>
      <c r="K7100" s="353"/>
      <c r="L7100" s="353"/>
      <c r="M7100" s="353"/>
      <c r="N7100" s="354"/>
    </row>
    <row r="7101" spans="2:14">
      <c r="B7101" s="1153"/>
      <c r="C7101" s="1154"/>
      <c r="D7101" s="1154"/>
      <c r="E7101" s="1154"/>
      <c r="F7101" s="1154"/>
      <c r="G7101" s="1154"/>
      <c r="H7101" s="1154"/>
      <c r="I7101" s="1154"/>
      <c r="J7101" s="1154"/>
      <c r="K7101" s="1154"/>
      <c r="L7101" s="1154"/>
      <c r="M7101" s="1154"/>
      <c r="N7101" s="1155"/>
    </row>
    <row r="7102" spans="2:14">
      <c r="B7102" s="1153"/>
      <c r="C7102" s="1154"/>
      <c r="D7102" s="1154"/>
      <c r="E7102" s="1154"/>
      <c r="F7102" s="1154"/>
      <c r="G7102" s="1154"/>
      <c r="H7102" s="1154"/>
      <c r="I7102" s="1154"/>
      <c r="J7102" s="1154"/>
      <c r="K7102" s="1154"/>
      <c r="L7102" s="1154"/>
      <c r="M7102" s="1154"/>
      <c r="N7102" s="1155"/>
    </row>
    <row r="7103" spans="2:14">
      <c r="B7103" s="268"/>
      <c r="C7103" s="350"/>
      <c r="D7103" s="350"/>
      <c r="E7103" s="350"/>
      <c r="F7103" s="350"/>
      <c r="G7103" s="350"/>
      <c r="H7103" s="350"/>
      <c r="I7103" s="350"/>
      <c r="J7103" s="350"/>
      <c r="K7103" s="350"/>
      <c r="L7103" s="350"/>
      <c r="M7103" s="350"/>
      <c r="N7103" s="351"/>
    </row>
    <row r="7104" spans="2:14">
      <c r="B7104" s="355" t="s">
        <v>302</v>
      </c>
      <c r="C7104" s="350"/>
      <c r="D7104" s="350"/>
      <c r="E7104" s="350"/>
      <c r="F7104" s="350"/>
      <c r="G7104" s="350"/>
      <c r="H7104" s="350"/>
      <c r="I7104" s="350"/>
      <c r="J7104" s="350"/>
      <c r="K7104" s="350"/>
      <c r="L7104" s="350"/>
      <c r="M7104" s="350"/>
      <c r="N7104" s="351"/>
    </row>
    <row r="7105" spans="2:14">
      <c r="B7105" s="1159" t="s">
        <v>303</v>
      </c>
      <c r="C7105" s="1160"/>
      <c r="D7105" s="1160"/>
      <c r="E7105" s="1160"/>
      <c r="F7105" s="1160"/>
      <c r="G7105" s="1160"/>
      <c r="H7105" s="1160"/>
      <c r="I7105" s="1160"/>
      <c r="J7105" s="1160"/>
      <c r="K7105" s="1160"/>
      <c r="L7105" s="1160"/>
      <c r="M7105" s="1160"/>
      <c r="N7105" s="1161"/>
    </row>
    <row r="7106" spans="2:14">
      <c r="B7106" s="1159"/>
      <c r="C7106" s="1160"/>
      <c r="D7106" s="1160"/>
      <c r="E7106" s="1160"/>
      <c r="F7106" s="1160"/>
      <c r="G7106" s="1160"/>
      <c r="H7106" s="1160"/>
      <c r="I7106" s="1160"/>
      <c r="J7106" s="1160"/>
      <c r="K7106" s="1160"/>
      <c r="L7106" s="1160"/>
      <c r="M7106" s="1160"/>
      <c r="N7106" s="1161"/>
    </row>
    <row r="7107" spans="2:14">
      <c r="B7107" s="1159" t="s">
        <v>304</v>
      </c>
      <c r="C7107" s="1160"/>
      <c r="D7107" s="1160"/>
      <c r="E7107" s="1160"/>
      <c r="F7107" s="1160"/>
      <c r="G7107" s="1160"/>
      <c r="H7107" s="1160"/>
      <c r="I7107" s="1160"/>
      <c r="J7107" s="1160"/>
      <c r="K7107" s="1160"/>
      <c r="L7107" s="1160"/>
      <c r="M7107" s="1160"/>
      <c r="N7107" s="1161"/>
    </row>
    <row r="7108" spans="2:14">
      <c r="B7108" s="1159"/>
      <c r="C7108" s="1160"/>
      <c r="D7108" s="1160"/>
      <c r="E7108" s="1160"/>
      <c r="F7108" s="1160"/>
      <c r="G7108" s="1160"/>
      <c r="H7108" s="1160"/>
      <c r="I7108" s="1160"/>
      <c r="J7108" s="1160"/>
      <c r="K7108" s="1160"/>
      <c r="L7108" s="1160"/>
      <c r="M7108" s="1160"/>
      <c r="N7108" s="1161"/>
    </row>
    <row r="7109" spans="2:14">
      <c r="B7109" s="268"/>
      <c r="C7109" s="350"/>
      <c r="D7109" s="350"/>
      <c r="E7109" s="350"/>
      <c r="F7109" s="350"/>
      <c r="G7109" s="350"/>
      <c r="H7109" s="350"/>
      <c r="I7109" s="350"/>
      <c r="J7109" s="350"/>
      <c r="K7109" s="350"/>
      <c r="L7109" s="350"/>
      <c r="M7109" s="350"/>
      <c r="N7109" s="351"/>
    </row>
    <row r="7110" spans="2:14">
      <c r="B7110" s="283"/>
      <c r="G7110" s="346" t="s">
        <v>296</v>
      </c>
      <c r="N7110" s="284"/>
    </row>
    <row r="7111" spans="2:14">
      <c r="B7111" s="283"/>
      <c r="G7111" s="258" t="s">
        <v>305</v>
      </c>
      <c r="H7111" s="293"/>
      <c r="I7111" s="293"/>
      <c r="J7111" s="293"/>
      <c r="N7111" s="284"/>
    </row>
    <row r="7112" spans="2:14">
      <c r="B7112" s="283"/>
      <c r="G7112" s="258" t="s">
        <v>306</v>
      </c>
      <c r="H7112" s="325"/>
      <c r="I7112" s="325"/>
      <c r="J7112" s="325"/>
      <c r="N7112" s="284"/>
    </row>
    <row r="7113" spans="2:14">
      <c r="B7113" s="356"/>
      <c r="C7113" s="350"/>
      <c r="D7113" s="350"/>
      <c r="E7113" s="350"/>
      <c r="F7113" s="350"/>
      <c r="G7113" s="258" t="s">
        <v>299</v>
      </c>
      <c r="K7113" s="350"/>
      <c r="L7113" s="350"/>
      <c r="M7113" s="350"/>
      <c r="N7113" s="351"/>
    </row>
    <row r="7114" spans="2:14">
      <c r="B7114" s="357"/>
      <c r="C7114" s="358"/>
      <c r="D7114" s="358"/>
      <c r="J7114" s="1162"/>
      <c r="K7114" s="1162"/>
      <c r="L7114" s="1162"/>
      <c r="M7114" s="1162"/>
      <c r="N7114" s="1163"/>
    </row>
    <row r="7115" spans="2:14" ht="13.5" thickBot="1">
      <c r="B7115" s="1166"/>
      <c r="C7115" s="1167"/>
      <c r="D7115" s="1167"/>
      <c r="E7115" s="311"/>
      <c r="F7115" s="311"/>
      <c r="G7115" s="311"/>
      <c r="H7115" s="311"/>
      <c r="I7115" s="311"/>
      <c r="J7115" s="1164"/>
      <c r="K7115" s="1164"/>
      <c r="L7115" s="1164"/>
      <c r="M7115" s="1164"/>
      <c r="N7115" s="1165"/>
    </row>
  </sheetData>
  <mergeCells count="6002">
    <mergeCell ref="B7101:N7101"/>
    <mergeCell ref="B7102:N7102"/>
    <mergeCell ref="B7105:N7106"/>
    <mergeCell ref="B7107:N7108"/>
    <mergeCell ref="J7114:N7115"/>
    <mergeCell ref="B7115:D7115"/>
    <mergeCell ref="B7086:H7086"/>
    <mergeCell ref="L7086:M7086"/>
    <mergeCell ref="L7087:M7087"/>
    <mergeCell ref="L7088:M7088"/>
    <mergeCell ref="B7089:M7089"/>
    <mergeCell ref="B7091:M7091"/>
    <mergeCell ref="B7079:M7079"/>
    <mergeCell ref="B7080:M7080"/>
    <mergeCell ref="B7081:M7081"/>
    <mergeCell ref="B7082:N7084"/>
    <mergeCell ref="B7085:H7085"/>
    <mergeCell ref="L7085:M7085"/>
    <mergeCell ref="L7073:M7073"/>
    <mergeCell ref="L7074:M7074"/>
    <mergeCell ref="B7075:M7075"/>
    <mergeCell ref="B7077:I7077"/>
    <mergeCell ref="L7077:M7077"/>
    <mergeCell ref="L7078:M7078"/>
    <mergeCell ref="B7067:H7067"/>
    <mergeCell ref="L7067:M7067"/>
    <mergeCell ref="B7068:M7068"/>
    <mergeCell ref="B7069:N7071"/>
    <mergeCell ref="B7072:H7072"/>
    <mergeCell ref="L7072:M7072"/>
    <mergeCell ref="L7060:M7060"/>
    <mergeCell ref="B7061:I7061"/>
    <mergeCell ref="L7061:M7061"/>
    <mergeCell ref="B7062:M7062"/>
    <mergeCell ref="B7063:N7065"/>
    <mergeCell ref="B7066:H7066"/>
    <mergeCell ref="L7066:M7066"/>
    <mergeCell ref="B7053:M7053"/>
    <mergeCell ref="B7054:N7056"/>
    <mergeCell ref="B7057:I7057"/>
    <mergeCell ref="L7057:M7057"/>
    <mergeCell ref="L7058:M7058"/>
    <mergeCell ref="L7059:M7059"/>
    <mergeCell ref="B7048:N7050"/>
    <mergeCell ref="B7051:F7051"/>
    <mergeCell ref="G7051:H7051"/>
    <mergeCell ref="I7051:J7051"/>
    <mergeCell ref="L7051:M7051"/>
    <mergeCell ref="B7052:F7052"/>
    <mergeCell ref="I7052:J7052"/>
    <mergeCell ref="L7052:M7052"/>
    <mergeCell ref="B7040:E7040"/>
    <mergeCell ref="B7044:N7044"/>
    <mergeCell ref="C7046:K7046"/>
    <mergeCell ref="L7046:M7046"/>
    <mergeCell ref="C7047:K7047"/>
    <mergeCell ref="L7047:M7047"/>
    <mergeCell ref="L7032:N7033"/>
    <mergeCell ref="C7033:J7033"/>
    <mergeCell ref="C7034:J7035"/>
    <mergeCell ref="K7034:K7036"/>
    <mergeCell ref="L7034:L7036"/>
    <mergeCell ref="M7034:M7036"/>
    <mergeCell ref="N7034:N7036"/>
    <mergeCell ref="C7036:J7036"/>
    <mergeCell ref="B7018:N7019"/>
    <mergeCell ref="B7020:N7021"/>
    <mergeCell ref="J7027:N7028"/>
    <mergeCell ref="B7028:D7028"/>
    <mergeCell ref="B7030:B7036"/>
    <mergeCell ref="C7030:J7030"/>
    <mergeCell ref="K7030:N7031"/>
    <mergeCell ref="C7031:J7031"/>
    <mergeCell ref="C7032:J7032"/>
    <mergeCell ref="K7032:K7033"/>
    <mergeCell ref="L7000:M7000"/>
    <mergeCell ref="L7001:M7001"/>
    <mergeCell ref="B7002:M7002"/>
    <mergeCell ref="B7004:M7004"/>
    <mergeCell ref="B7014:N7014"/>
    <mergeCell ref="B7015:N7015"/>
    <mergeCell ref="B6993:M6993"/>
    <mergeCell ref="B6994:M6994"/>
    <mergeCell ref="B6995:N6997"/>
    <mergeCell ref="B6998:H6998"/>
    <mergeCell ref="L6998:M6998"/>
    <mergeCell ref="B6999:H6999"/>
    <mergeCell ref="L6999:M6999"/>
    <mergeCell ref="L6987:M6987"/>
    <mergeCell ref="B6988:M6988"/>
    <mergeCell ref="B6990:I6990"/>
    <mergeCell ref="L6990:M6990"/>
    <mergeCell ref="L6991:M6991"/>
    <mergeCell ref="B6992:M6992"/>
    <mergeCell ref="B6981:H6981"/>
    <mergeCell ref="L6981:M6981"/>
    <mergeCell ref="B6982:M6982"/>
    <mergeCell ref="B6983:N6985"/>
    <mergeCell ref="B6986:H6986"/>
    <mergeCell ref="L6986:M6986"/>
    <mergeCell ref="L6974:M6974"/>
    <mergeCell ref="L6975:M6975"/>
    <mergeCell ref="B6976:M6976"/>
    <mergeCell ref="B6977:N6979"/>
    <mergeCell ref="B6980:H6980"/>
    <mergeCell ref="L6980:M6980"/>
    <mergeCell ref="B6967:M6967"/>
    <mergeCell ref="B6968:N6970"/>
    <mergeCell ref="B6971:I6971"/>
    <mergeCell ref="L6971:M6971"/>
    <mergeCell ref="L6972:M6972"/>
    <mergeCell ref="L6973:M6973"/>
    <mergeCell ref="B6962:N6964"/>
    <mergeCell ref="B6965:F6965"/>
    <mergeCell ref="G6965:H6965"/>
    <mergeCell ref="I6965:J6965"/>
    <mergeCell ref="L6965:M6965"/>
    <mergeCell ref="B6966:F6966"/>
    <mergeCell ref="I6966:J6966"/>
    <mergeCell ref="L6966:M6966"/>
    <mergeCell ref="B6954:E6954"/>
    <mergeCell ref="B6958:N6958"/>
    <mergeCell ref="C6960:K6960"/>
    <mergeCell ref="L6960:M6960"/>
    <mergeCell ref="C6961:K6961"/>
    <mergeCell ref="L6961:M6961"/>
    <mergeCell ref="C6947:J6947"/>
    <mergeCell ref="C6948:J6949"/>
    <mergeCell ref="K6948:K6950"/>
    <mergeCell ref="L6948:L6950"/>
    <mergeCell ref="M6948:M6950"/>
    <mergeCell ref="N6948:N6950"/>
    <mergeCell ref="C6950:J6950"/>
    <mergeCell ref="B6934:N6935"/>
    <mergeCell ref="J6941:N6942"/>
    <mergeCell ref="B6942:D6942"/>
    <mergeCell ref="B6944:B6950"/>
    <mergeCell ref="C6944:J6944"/>
    <mergeCell ref="K6944:N6945"/>
    <mergeCell ref="C6945:J6945"/>
    <mergeCell ref="C6946:J6946"/>
    <mergeCell ref="K6946:K6947"/>
    <mergeCell ref="L6946:N6947"/>
    <mergeCell ref="L6915:M6915"/>
    <mergeCell ref="B6916:M6916"/>
    <mergeCell ref="B6918:M6918"/>
    <mergeCell ref="B6928:N6928"/>
    <mergeCell ref="B6929:N6929"/>
    <mergeCell ref="B6932:N6933"/>
    <mergeCell ref="B6909:N6911"/>
    <mergeCell ref="B6912:H6912"/>
    <mergeCell ref="L6912:M6912"/>
    <mergeCell ref="B6913:H6913"/>
    <mergeCell ref="L6913:M6913"/>
    <mergeCell ref="L6914:M6914"/>
    <mergeCell ref="B6904:I6904"/>
    <mergeCell ref="L6904:M6904"/>
    <mergeCell ref="L6905:M6905"/>
    <mergeCell ref="B6906:M6906"/>
    <mergeCell ref="B6907:M6907"/>
    <mergeCell ref="B6908:M6908"/>
    <mergeCell ref="B6896:N6898"/>
    <mergeCell ref="B6899:H6899"/>
    <mergeCell ref="L6899:M6899"/>
    <mergeCell ref="L6900:M6900"/>
    <mergeCell ref="L6901:M6901"/>
    <mergeCell ref="B6902:M6902"/>
    <mergeCell ref="B6890:N6892"/>
    <mergeCell ref="B6893:H6893"/>
    <mergeCell ref="L6893:M6893"/>
    <mergeCell ref="B6894:H6894"/>
    <mergeCell ref="L6894:M6894"/>
    <mergeCell ref="B6895:M6895"/>
    <mergeCell ref="L6884:M6884"/>
    <mergeCell ref="L6885:M6885"/>
    <mergeCell ref="L6886:M6886"/>
    <mergeCell ref="L6887:M6887"/>
    <mergeCell ref="L6888:M6888"/>
    <mergeCell ref="B6889:M6889"/>
    <mergeCell ref="L6878:M6878"/>
    <mergeCell ref="L6879:M6879"/>
    <mergeCell ref="L6880:M6880"/>
    <mergeCell ref="L6881:M6881"/>
    <mergeCell ref="L6882:M6882"/>
    <mergeCell ref="L6883:M6883"/>
    <mergeCell ref="B6872:F6872"/>
    <mergeCell ref="I6872:J6872"/>
    <mergeCell ref="L6872:M6872"/>
    <mergeCell ref="B6873:M6873"/>
    <mergeCell ref="B6874:N6876"/>
    <mergeCell ref="B6877:I6877"/>
    <mergeCell ref="L6877:M6877"/>
    <mergeCell ref="B6870:F6870"/>
    <mergeCell ref="I6870:J6870"/>
    <mergeCell ref="L6870:M6870"/>
    <mergeCell ref="B6871:F6871"/>
    <mergeCell ref="I6871:J6871"/>
    <mergeCell ref="L6871:M6871"/>
    <mergeCell ref="B6868:F6868"/>
    <mergeCell ref="I6868:J6868"/>
    <mergeCell ref="L6868:M6868"/>
    <mergeCell ref="B6869:F6869"/>
    <mergeCell ref="I6869:J6869"/>
    <mergeCell ref="L6869:M6869"/>
    <mergeCell ref="C6862:K6862"/>
    <mergeCell ref="L6862:M6862"/>
    <mergeCell ref="C6863:K6863"/>
    <mergeCell ref="L6863:M6863"/>
    <mergeCell ref="B6864:N6866"/>
    <mergeCell ref="B6867:F6867"/>
    <mergeCell ref="G6867:H6867"/>
    <mergeCell ref="I6867:J6867"/>
    <mergeCell ref="L6867:M6867"/>
    <mergeCell ref="L6850:L6852"/>
    <mergeCell ref="M6850:M6852"/>
    <mergeCell ref="N6850:N6852"/>
    <mergeCell ref="C6852:J6852"/>
    <mergeCell ref="B6856:E6856"/>
    <mergeCell ref="B6860:N6860"/>
    <mergeCell ref="B6846:B6852"/>
    <mergeCell ref="C6846:J6846"/>
    <mergeCell ref="K6846:N6847"/>
    <mergeCell ref="C6847:J6847"/>
    <mergeCell ref="C6848:J6848"/>
    <mergeCell ref="K6848:K6849"/>
    <mergeCell ref="L6848:N6849"/>
    <mergeCell ref="C6849:J6849"/>
    <mergeCell ref="C6850:J6851"/>
    <mergeCell ref="K6850:K6852"/>
    <mergeCell ref="B6830:N6830"/>
    <mergeCell ref="B6831:N6831"/>
    <mergeCell ref="B6834:N6835"/>
    <mergeCell ref="B6836:N6837"/>
    <mergeCell ref="J6843:N6844"/>
    <mergeCell ref="B6844:D6844"/>
    <mergeCell ref="B6815:H6815"/>
    <mergeCell ref="L6815:M6815"/>
    <mergeCell ref="L6816:M6816"/>
    <mergeCell ref="L6817:M6817"/>
    <mergeCell ref="B6818:M6818"/>
    <mergeCell ref="B6820:M6820"/>
    <mergeCell ref="L6807:M6807"/>
    <mergeCell ref="B6808:M6808"/>
    <mergeCell ref="B6809:M6809"/>
    <mergeCell ref="B6810:M6810"/>
    <mergeCell ref="B6811:N6813"/>
    <mergeCell ref="B6814:H6814"/>
    <mergeCell ref="L6814:M6814"/>
    <mergeCell ref="B6801:H6801"/>
    <mergeCell ref="L6801:M6801"/>
    <mergeCell ref="L6802:M6802"/>
    <mergeCell ref="L6803:M6803"/>
    <mergeCell ref="B6804:M6804"/>
    <mergeCell ref="B6806:I6806"/>
    <mergeCell ref="L6806:M6806"/>
    <mergeCell ref="B6795:H6795"/>
    <mergeCell ref="L6795:M6795"/>
    <mergeCell ref="B6796:H6796"/>
    <mergeCell ref="L6796:M6796"/>
    <mergeCell ref="B6797:M6797"/>
    <mergeCell ref="B6798:N6800"/>
    <mergeCell ref="L6788:M6788"/>
    <mergeCell ref="L6789:M6789"/>
    <mergeCell ref="B6790:M6790"/>
    <mergeCell ref="B6791:N6793"/>
    <mergeCell ref="B6794:H6794"/>
    <mergeCell ref="L6794:M6794"/>
    <mergeCell ref="L6782:M6782"/>
    <mergeCell ref="L6783:M6783"/>
    <mergeCell ref="L6784:M6784"/>
    <mergeCell ref="L6785:M6785"/>
    <mergeCell ref="L6786:M6786"/>
    <mergeCell ref="L6787:M6787"/>
    <mergeCell ref="B6775:M6775"/>
    <mergeCell ref="B6776:N6778"/>
    <mergeCell ref="B6779:I6779"/>
    <mergeCell ref="L6779:M6779"/>
    <mergeCell ref="L6780:M6780"/>
    <mergeCell ref="L6781:M6781"/>
    <mergeCell ref="B6773:F6773"/>
    <mergeCell ref="I6773:J6773"/>
    <mergeCell ref="L6773:M6773"/>
    <mergeCell ref="B6774:F6774"/>
    <mergeCell ref="I6774:J6774"/>
    <mergeCell ref="L6774:M6774"/>
    <mergeCell ref="B6771:F6771"/>
    <mergeCell ref="I6771:J6771"/>
    <mergeCell ref="L6771:M6771"/>
    <mergeCell ref="B6772:F6772"/>
    <mergeCell ref="I6772:J6772"/>
    <mergeCell ref="L6772:M6772"/>
    <mergeCell ref="B6766:N6768"/>
    <mergeCell ref="B6769:F6769"/>
    <mergeCell ref="G6769:H6769"/>
    <mergeCell ref="I6769:J6769"/>
    <mergeCell ref="L6769:M6769"/>
    <mergeCell ref="B6770:F6770"/>
    <mergeCell ref="I6770:J6770"/>
    <mergeCell ref="L6770:M6770"/>
    <mergeCell ref="B6758:E6758"/>
    <mergeCell ref="B6762:N6762"/>
    <mergeCell ref="C6764:K6764"/>
    <mergeCell ref="L6764:M6764"/>
    <mergeCell ref="C6765:K6765"/>
    <mergeCell ref="L6765:M6765"/>
    <mergeCell ref="C6751:J6751"/>
    <mergeCell ref="C6752:J6753"/>
    <mergeCell ref="K6752:K6754"/>
    <mergeCell ref="L6752:L6754"/>
    <mergeCell ref="M6752:M6754"/>
    <mergeCell ref="N6752:N6754"/>
    <mergeCell ref="C6754:J6754"/>
    <mergeCell ref="B6738:N6739"/>
    <mergeCell ref="J6745:N6746"/>
    <mergeCell ref="B6746:D6746"/>
    <mergeCell ref="B6748:B6754"/>
    <mergeCell ref="C6748:J6748"/>
    <mergeCell ref="K6748:N6749"/>
    <mergeCell ref="C6749:J6749"/>
    <mergeCell ref="C6750:J6750"/>
    <mergeCell ref="K6750:K6751"/>
    <mergeCell ref="L6750:N6751"/>
    <mergeCell ref="L6719:M6719"/>
    <mergeCell ref="B6720:M6720"/>
    <mergeCell ref="B6722:M6722"/>
    <mergeCell ref="B6732:N6732"/>
    <mergeCell ref="B6733:N6733"/>
    <mergeCell ref="B6736:N6737"/>
    <mergeCell ref="B6713:N6715"/>
    <mergeCell ref="B6716:H6716"/>
    <mergeCell ref="L6716:M6716"/>
    <mergeCell ref="B6717:H6717"/>
    <mergeCell ref="L6717:M6717"/>
    <mergeCell ref="L6718:M6718"/>
    <mergeCell ref="B6708:I6708"/>
    <mergeCell ref="L6708:M6708"/>
    <mergeCell ref="L6709:M6709"/>
    <mergeCell ref="B6710:M6710"/>
    <mergeCell ref="B6711:M6711"/>
    <mergeCell ref="B6712:M6712"/>
    <mergeCell ref="B6700:M6700"/>
    <mergeCell ref="B6701:N6703"/>
    <mergeCell ref="B6704:H6704"/>
    <mergeCell ref="L6704:M6704"/>
    <mergeCell ref="L6705:M6705"/>
    <mergeCell ref="B6706:M6706"/>
    <mergeCell ref="L6693:M6693"/>
    <mergeCell ref="B6694:M6694"/>
    <mergeCell ref="B6695:N6697"/>
    <mergeCell ref="B6698:H6698"/>
    <mergeCell ref="L6698:M6698"/>
    <mergeCell ref="B6699:H6699"/>
    <mergeCell ref="L6699:M6699"/>
    <mergeCell ref="B6686:M6686"/>
    <mergeCell ref="B6687:N6689"/>
    <mergeCell ref="B6690:I6690"/>
    <mergeCell ref="L6690:M6690"/>
    <mergeCell ref="L6691:M6691"/>
    <mergeCell ref="L6692:M6692"/>
    <mergeCell ref="B6681:N6683"/>
    <mergeCell ref="B6684:F6684"/>
    <mergeCell ref="G6684:H6684"/>
    <mergeCell ref="I6684:J6684"/>
    <mergeCell ref="L6684:M6684"/>
    <mergeCell ref="B6685:F6685"/>
    <mergeCell ref="I6685:J6685"/>
    <mergeCell ref="L6685:M6685"/>
    <mergeCell ref="B6673:E6673"/>
    <mergeCell ref="B6677:N6677"/>
    <mergeCell ref="C6679:K6679"/>
    <mergeCell ref="L6679:M6679"/>
    <mergeCell ref="C6680:K6680"/>
    <mergeCell ref="L6680:M6680"/>
    <mergeCell ref="C6667:J6668"/>
    <mergeCell ref="K6667:K6669"/>
    <mergeCell ref="L6667:L6669"/>
    <mergeCell ref="M6667:M6669"/>
    <mergeCell ref="N6667:N6669"/>
    <mergeCell ref="C6669:J6669"/>
    <mergeCell ref="J6660:N6661"/>
    <mergeCell ref="B6661:D6661"/>
    <mergeCell ref="B6663:B6669"/>
    <mergeCell ref="C6663:J6663"/>
    <mergeCell ref="K6663:N6664"/>
    <mergeCell ref="C6664:J6664"/>
    <mergeCell ref="C6665:J6665"/>
    <mergeCell ref="K6665:K6666"/>
    <mergeCell ref="L6665:N6666"/>
    <mergeCell ref="C6666:J6666"/>
    <mergeCell ref="B6635:M6635"/>
    <mergeCell ref="B6637:M6637"/>
    <mergeCell ref="B6647:N6647"/>
    <mergeCell ref="B6648:N6648"/>
    <mergeCell ref="B6651:N6652"/>
    <mergeCell ref="B6653:N6654"/>
    <mergeCell ref="B6631:H6631"/>
    <mergeCell ref="L6631:M6631"/>
    <mergeCell ref="B6632:H6632"/>
    <mergeCell ref="L6632:M6632"/>
    <mergeCell ref="L6633:M6633"/>
    <mergeCell ref="L6634:M6634"/>
    <mergeCell ref="B6623:I6623"/>
    <mergeCell ref="L6623:M6623"/>
    <mergeCell ref="B6624:M6624"/>
    <mergeCell ref="B6626:M6626"/>
    <mergeCell ref="B6627:M6627"/>
    <mergeCell ref="B6628:N6630"/>
    <mergeCell ref="B6618:I6618"/>
    <mergeCell ref="L6618:M6618"/>
    <mergeCell ref="L6619:M6619"/>
    <mergeCell ref="B6620:M6620"/>
    <mergeCell ref="B6622:I6622"/>
    <mergeCell ref="L6622:M6622"/>
    <mergeCell ref="B6610:M6610"/>
    <mergeCell ref="B6611:N6613"/>
    <mergeCell ref="B6614:H6614"/>
    <mergeCell ref="L6614:M6614"/>
    <mergeCell ref="L6615:M6615"/>
    <mergeCell ref="B6616:M6616"/>
    <mergeCell ref="L6603:M6603"/>
    <mergeCell ref="B6604:M6604"/>
    <mergeCell ref="B6605:N6607"/>
    <mergeCell ref="B6608:H6608"/>
    <mergeCell ref="L6608:M6608"/>
    <mergeCell ref="B6609:H6609"/>
    <mergeCell ref="L6609:M6609"/>
    <mergeCell ref="B6597:F6597"/>
    <mergeCell ref="I6597:J6597"/>
    <mergeCell ref="L6597:M6597"/>
    <mergeCell ref="B6598:M6598"/>
    <mergeCell ref="B6599:N6601"/>
    <mergeCell ref="B6602:I6602"/>
    <mergeCell ref="L6602:M6602"/>
    <mergeCell ref="C6591:K6591"/>
    <mergeCell ref="L6591:M6591"/>
    <mergeCell ref="C6592:K6592"/>
    <mergeCell ref="L6592:M6592"/>
    <mergeCell ref="B6593:N6595"/>
    <mergeCell ref="B6596:F6596"/>
    <mergeCell ref="G6596:H6596"/>
    <mergeCell ref="I6596:J6596"/>
    <mergeCell ref="L6596:M6596"/>
    <mergeCell ref="L6579:L6581"/>
    <mergeCell ref="M6579:M6581"/>
    <mergeCell ref="N6579:N6581"/>
    <mergeCell ref="C6581:J6581"/>
    <mergeCell ref="B6585:E6585"/>
    <mergeCell ref="B6589:N6589"/>
    <mergeCell ref="B6575:B6581"/>
    <mergeCell ref="C6575:J6575"/>
    <mergeCell ref="K6575:N6576"/>
    <mergeCell ref="C6576:J6576"/>
    <mergeCell ref="C6577:J6577"/>
    <mergeCell ref="K6577:K6578"/>
    <mergeCell ref="L6577:N6578"/>
    <mergeCell ref="C6578:J6578"/>
    <mergeCell ref="C6579:J6580"/>
    <mergeCell ref="K6579:K6581"/>
    <mergeCell ref="B6559:N6559"/>
    <mergeCell ref="B6560:N6560"/>
    <mergeCell ref="B6563:N6564"/>
    <mergeCell ref="B6565:N6566"/>
    <mergeCell ref="J6572:N6573"/>
    <mergeCell ref="B6573:D6573"/>
    <mergeCell ref="B6544:H6544"/>
    <mergeCell ref="L6544:M6544"/>
    <mergeCell ref="L6545:M6545"/>
    <mergeCell ref="L6546:M6546"/>
    <mergeCell ref="B6547:M6547"/>
    <mergeCell ref="B6549:M6549"/>
    <mergeCell ref="L6536:M6536"/>
    <mergeCell ref="B6537:M6537"/>
    <mergeCell ref="B6538:M6538"/>
    <mergeCell ref="B6539:M6539"/>
    <mergeCell ref="B6540:N6542"/>
    <mergeCell ref="B6543:H6543"/>
    <mergeCell ref="L6543:M6543"/>
    <mergeCell ref="B6531:H6531"/>
    <mergeCell ref="L6531:M6531"/>
    <mergeCell ref="L6532:M6532"/>
    <mergeCell ref="B6533:M6533"/>
    <mergeCell ref="B6535:I6535"/>
    <mergeCell ref="L6535:M6535"/>
    <mergeCell ref="B6525:H6525"/>
    <mergeCell ref="L6525:M6525"/>
    <mergeCell ref="B6526:H6526"/>
    <mergeCell ref="L6526:M6526"/>
    <mergeCell ref="B6527:M6527"/>
    <mergeCell ref="B6528:N6530"/>
    <mergeCell ref="L6517:M6517"/>
    <mergeCell ref="L6518:M6518"/>
    <mergeCell ref="L6519:M6519"/>
    <mergeCell ref="L6520:M6520"/>
    <mergeCell ref="B6521:M6521"/>
    <mergeCell ref="B6522:N6524"/>
    <mergeCell ref="B6510:M6510"/>
    <mergeCell ref="B6511:N6513"/>
    <mergeCell ref="B6514:I6514"/>
    <mergeCell ref="L6514:M6514"/>
    <mergeCell ref="L6515:M6515"/>
    <mergeCell ref="L6516:M6516"/>
    <mergeCell ref="B6505:N6507"/>
    <mergeCell ref="B6508:F6508"/>
    <mergeCell ref="G6508:H6508"/>
    <mergeCell ref="I6508:J6508"/>
    <mergeCell ref="L6508:M6508"/>
    <mergeCell ref="B6509:F6509"/>
    <mergeCell ref="I6509:J6509"/>
    <mergeCell ref="L6509:M6509"/>
    <mergeCell ref="B6497:E6497"/>
    <mergeCell ref="B6501:N6501"/>
    <mergeCell ref="C6503:K6503"/>
    <mergeCell ref="L6503:M6503"/>
    <mergeCell ref="C6504:K6504"/>
    <mergeCell ref="L6504:M6504"/>
    <mergeCell ref="C6490:J6490"/>
    <mergeCell ref="C6491:J6492"/>
    <mergeCell ref="K6491:K6493"/>
    <mergeCell ref="L6491:L6493"/>
    <mergeCell ref="M6491:M6493"/>
    <mergeCell ref="N6491:N6493"/>
    <mergeCell ref="C6493:J6493"/>
    <mergeCell ref="B6477:N6478"/>
    <mergeCell ref="J6484:N6485"/>
    <mergeCell ref="B6485:D6485"/>
    <mergeCell ref="B6487:B6493"/>
    <mergeCell ref="C6487:J6487"/>
    <mergeCell ref="K6487:N6488"/>
    <mergeCell ref="C6488:J6488"/>
    <mergeCell ref="C6489:J6489"/>
    <mergeCell ref="K6489:K6490"/>
    <mergeCell ref="L6489:N6490"/>
    <mergeCell ref="L6458:M6458"/>
    <mergeCell ref="B6459:M6459"/>
    <mergeCell ref="B6461:M6461"/>
    <mergeCell ref="B6471:N6471"/>
    <mergeCell ref="B6472:N6472"/>
    <mergeCell ref="B6475:N6476"/>
    <mergeCell ref="B6452:N6454"/>
    <mergeCell ref="B6455:H6455"/>
    <mergeCell ref="L6455:M6455"/>
    <mergeCell ref="B6456:H6456"/>
    <mergeCell ref="L6456:M6456"/>
    <mergeCell ref="L6457:M6457"/>
    <mergeCell ref="B6447:I6447"/>
    <mergeCell ref="L6447:M6447"/>
    <mergeCell ref="L6448:M6448"/>
    <mergeCell ref="B6449:M6449"/>
    <mergeCell ref="B6450:M6450"/>
    <mergeCell ref="B6451:M6451"/>
    <mergeCell ref="B6439:M6439"/>
    <mergeCell ref="B6440:N6442"/>
    <mergeCell ref="B6443:H6443"/>
    <mergeCell ref="L6443:M6443"/>
    <mergeCell ref="L6444:M6444"/>
    <mergeCell ref="B6445:M6445"/>
    <mergeCell ref="B6433:M6433"/>
    <mergeCell ref="B6434:N6436"/>
    <mergeCell ref="B6437:H6437"/>
    <mergeCell ref="L6437:M6437"/>
    <mergeCell ref="B6438:H6438"/>
    <mergeCell ref="L6438:M6438"/>
    <mergeCell ref="L6427:M6427"/>
    <mergeCell ref="L6428:M6428"/>
    <mergeCell ref="L6429:M6429"/>
    <mergeCell ref="L6430:M6430"/>
    <mergeCell ref="L6431:M6431"/>
    <mergeCell ref="L6432:M6432"/>
    <mergeCell ref="B6421:F6421"/>
    <mergeCell ref="I6421:J6421"/>
    <mergeCell ref="L6421:M6421"/>
    <mergeCell ref="B6422:M6422"/>
    <mergeCell ref="B6423:N6425"/>
    <mergeCell ref="B6426:I6426"/>
    <mergeCell ref="L6426:M6426"/>
    <mergeCell ref="C6415:K6415"/>
    <mergeCell ref="L6415:M6415"/>
    <mergeCell ref="C6416:K6416"/>
    <mergeCell ref="L6416:M6416"/>
    <mergeCell ref="B6417:N6419"/>
    <mergeCell ref="B6420:F6420"/>
    <mergeCell ref="G6420:H6420"/>
    <mergeCell ref="I6420:J6420"/>
    <mergeCell ref="L6420:M6420"/>
    <mergeCell ref="L6403:L6405"/>
    <mergeCell ref="M6403:M6405"/>
    <mergeCell ref="N6403:N6405"/>
    <mergeCell ref="C6405:J6405"/>
    <mergeCell ref="B6409:E6409"/>
    <mergeCell ref="B6413:N6413"/>
    <mergeCell ref="B6399:B6405"/>
    <mergeCell ref="C6399:J6399"/>
    <mergeCell ref="K6399:N6400"/>
    <mergeCell ref="C6400:J6400"/>
    <mergeCell ref="C6401:J6401"/>
    <mergeCell ref="K6401:K6402"/>
    <mergeCell ref="L6401:N6402"/>
    <mergeCell ref="C6402:J6402"/>
    <mergeCell ref="C6403:J6404"/>
    <mergeCell ref="K6403:K6405"/>
    <mergeCell ref="B6383:N6383"/>
    <mergeCell ref="B6384:N6384"/>
    <mergeCell ref="B6387:N6388"/>
    <mergeCell ref="B6389:N6390"/>
    <mergeCell ref="J6396:N6397"/>
    <mergeCell ref="B6397:D6397"/>
    <mergeCell ref="B6368:H6368"/>
    <mergeCell ref="L6368:M6368"/>
    <mergeCell ref="L6369:M6369"/>
    <mergeCell ref="L6370:M6370"/>
    <mergeCell ref="B6371:M6371"/>
    <mergeCell ref="B6373:M6373"/>
    <mergeCell ref="L6360:M6360"/>
    <mergeCell ref="B6361:M6361"/>
    <mergeCell ref="B6362:M6362"/>
    <mergeCell ref="B6363:M6363"/>
    <mergeCell ref="B6364:N6366"/>
    <mergeCell ref="B6367:H6367"/>
    <mergeCell ref="L6367:M6367"/>
    <mergeCell ref="B6355:H6355"/>
    <mergeCell ref="L6355:M6355"/>
    <mergeCell ref="L6356:M6356"/>
    <mergeCell ref="B6357:M6357"/>
    <mergeCell ref="B6359:I6359"/>
    <mergeCell ref="L6359:M6359"/>
    <mergeCell ref="B6349:H6349"/>
    <mergeCell ref="L6349:M6349"/>
    <mergeCell ref="B6350:H6350"/>
    <mergeCell ref="L6350:M6350"/>
    <mergeCell ref="B6351:M6351"/>
    <mergeCell ref="B6352:N6354"/>
    <mergeCell ref="L6341:M6341"/>
    <mergeCell ref="L6342:M6342"/>
    <mergeCell ref="L6343:M6343"/>
    <mergeCell ref="L6344:M6344"/>
    <mergeCell ref="B6345:M6345"/>
    <mergeCell ref="B6346:N6348"/>
    <mergeCell ref="B6334:M6334"/>
    <mergeCell ref="B6335:N6337"/>
    <mergeCell ref="B6338:I6338"/>
    <mergeCell ref="L6338:M6338"/>
    <mergeCell ref="L6339:M6339"/>
    <mergeCell ref="L6340:M6340"/>
    <mergeCell ref="B6329:N6331"/>
    <mergeCell ref="B6332:F6332"/>
    <mergeCell ref="G6332:H6332"/>
    <mergeCell ref="I6332:J6332"/>
    <mergeCell ref="L6332:M6332"/>
    <mergeCell ref="B6333:F6333"/>
    <mergeCell ref="I6333:J6333"/>
    <mergeCell ref="L6333:M6333"/>
    <mergeCell ref="B6321:E6321"/>
    <mergeCell ref="B6325:N6325"/>
    <mergeCell ref="C6327:K6327"/>
    <mergeCell ref="L6327:M6327"/>
    <mergeCell ref="C6328:K6328"/>
    <mergeCell ref="L6328:M6328"/>
    <mergeCell ref="C6314:J6314"/>
    <mergeCell ref="C6315:J6316"/>
    <mergeCell ref="K6315:K6317"/>
    <mergeCell ref="L6315:L6317"/>
    <mergeCell ref="M6315:M6317"/>
    <mergeCell ref="N6315:N6317"/>
    <mergeCell ref="C6317:J6317"/>
    <mergeCell ref="B6301:N6302"/>
    <mergeCell ref="J6308:N6309"/>
    <mergeCell ref="B6309:D6309"/>
    <mergeCell ref="B6311:B6317"/>
    <mergeCell ref="C6311:J6311"/>
    <mergeCell ref="K6311:N6312"/>
    <mergeCell ref="C6312:J6312"/>
    <mergeCell ref="C6313:J6313"/>
    <mergeCell ref="K6313:K6314"/>
    <mergeCell ref="L6313:N6314"/>
    <mergeCell ref="L6282:M6282"/>
    <mergeCell ref="B6283:M6283"/>
    <mergeCell ref="B6285:M6285"/>
    <mergeCell ref="B6295:N6295"/>
    <mergeCell ref="B6296:N6296"/>
    <mergeCell ref="B6299:N6300"/>
    <mergeCell ref="B6276:N6278"/>
    <mergeCell ref="B6279:H6279"/>
    <mergeCell ref="L6279:M6279"/>
    <mergeCell ref="B6280:H6280"/>
    <mergeCell ref="L6280:M6280"/>
    <mergeCell ref="L6281:M6281"/>
    <mergeCell ref="B6271:I6271"/>
    <mergeCell ref="L6271:M6271"/>
    <mergeCell ref="L6272:M6272"/>
    <mergeCell ref="B6273:M6273"/>
    <mergeCell ref="B6274:M6274"/>
    <mergeCell ref="B6275:M6275"/>
    <mergeCell ref="B6263:M6263"/>
    <mergeCell ref="B6264:N6266"/>
    <mergeCell ref="B6267:H6267"/>
    <mergeCell ref="L6267:M6267"/>
    <mergeCell ref="L6268:M6268"/>
    <mergeCell ref="B6269:M6269"/>
    <mergeCell ref="L6256:M6256"/>
    <mergeCell ref="B6257:M6257"/>
    <mergeCell ref="B6258:N6260"/>
    <mergeCell ref="B6261:H6261"/>
    <mergeCell ref="L6261:M6261"/>
    <mergeCell ref="B6262:H6262"/>
    <mergeCell ref="L6262:M6262"/>
    <mergeCell ref="B6249:M6249"/>
    <mergeCell ref="B6250:N6252"/>
    <mergeCell ref="B6253:I6253"/>
    <mergeCell ref="L6253:M6253"/>
    <mergeCell ref="L6254:M6254"/>
    <mergeCell ref="L6255:M6255"/>
    <mergeCell ref="B6244:N6246"/>
    <mergeCell ref="B6247:F6247"/>
    <mergeCell ref="G6247:H6247"/>
    <mergeCell ref="I6247:J6247"/>
    <mergeCell ref="L6247:M6247"/>
    <mergeCell ref="B6248:F6248"/>
    <mergeCell ref="I6248:J6248"/>
    <mergeCell ref="L6248:M6248"/>
    <mergeCell ref="B6236:E6236"/>
    <mergeCell ref="B6240:N6240"/>
    <mergeCell ref="C6242:K6242"/>
    <mergeCell ref="L6242:M6242"/>
    <mergeCell ref="C6243:K6243"/>
    <mergeCell ref="L6243:M6243"/>
    <mergeCell ref="C6229:J6229"/>
    <mergeCell ref="C6230:J6231"/>
    <mergeCell ref="K6230:K6232"/>
    <mergeCell ref="L6230:L6232"/>
    <mergeCell ref="M6230:M6232"/>
    <mergeCell ref="N6230:N6232"/>
    <mergeCell ref="C6232:J6232"/>
    <mergeCell ref="B6216:N6217"/>
    <mergeCell ref="J6223:N6224"/>
    <mergeCell ref="B6224:D6224"/>
    <mergeCell ref="B6226:B6232"/>
    <mergeCell ref="C6226:J6226"/>
    <mergeCell ref="K6226:N6227"/>
    <mergeCell ref="C6227:J6227"/>
    <mergeCell ref="C6228:J6228"/>
    <mergeCell ref="K6228:K6229"/>
    <mergeCell ref="L6228:N6229"/>
    <mergeCell ref="L6197:M6197"/>
    <mergeCell ref="B6198:M6198"/>
    <mergeCell ref="B6200:M6200"/>
    <mergeCell ref="B6210:N6210"/>
    <mergeCell ref="B6211:N6211"/>
    <mergeCell ref="B6214:N6215"/>
    <mergeCell ref="B6191:N6193"/>
    <mergeCell ref="B6194:H6194"/>
    <mergeCell ref="L6194:M6194"/>
    <mergeCell ref="B6195:H6195"/>
    <mergeCell ref="L6195:M6195"/>
    <mergeCell ref="L6196:M6196"/>
    <mergeCell ref="B6186:I6186"/>
    <mergeCell ref="L6186:M6186"/>
    <mergeCell ref="L6187:M6187"/>
    <mergeCell ref="B6188:M6188"/>
    <mergeCell ref="B6189:M6189"/>
    <mergeCell ref="B6190:M6190"/>
    <mergeCell ref="B6178:M6178"/>
    <mergeCell ref="B6179:N6181"/>
    <mergeCell ref="B6182:H6182"/>
    <mergeCell ref="L6182:M6182"/>
    <mergeCell ref="L6183:M6183"/>
    <mergeCell ref="B6184:M6184"/>
    <mergeCell ref="L6171:M6171"/>
    <mergeCell ref="B6172:M6172"/>
    <mergeCell ref="B6173:N6175"/>
    <mergeCell ref="B6176:H6176"/>
    <mergeCell ref="L6176:M6176"/>
    <mergeCell ref="B6177:H6177"/>
    <mergeCell ref="L6177:M6177"/>
    <mergeCell ref="B6164:M6164"/>
    <mergeCell ref="B6165:N6167"/>
    <mergeCell ref="B6168:I6168"/>
    <mergeCell ref="L6168:M6168"/>
    <mergeCell ref="L6169:M6169"/>
    <mergeCell ref="L6170:M6170"/>
    <mergeCell ref="B6159:N6161"/>
    <mergeCell ref="B6162:F6162"/>
    <mergeCell ref="G6162:H6162"/>
    <mergeCell ref="I6162:J6162"/>
    <mergeCell ref="L6162:M6162"/>
    <mergeCell ref="B6163:F6163"/>
    <mergeCell ref="I6163:J6163"/>
    <mergeCell ref="L6163:M6163"/>
    <mergeCell ref="B6151:E6151"/>
    <mergeCell ref="B6155:N6155"/>
    <mergeCell ref="C6157:K6157"/>
    <mergeCell ref="L6157:M6157"/>
    <mergeCell ref="C6158:K6158"/>
    <mergeCell ref="L6158:M6158"/>
    <mergeCell ref="L6143:N6144"/>
    <mergeCell ref="C6144:J6144"/>
    <mergeCell ref="C6145:J6146"/>
    <mergeCell ref="K6145:K6147"/>
    <mergeCell ref="L6145:L6147"/>
    <mergeCell ref="M6145:M6147"/>
    <mergeCell ref="N6145:N6147"/>
    <mergeCell ref="C6147:J6147"/>
    <mergeCell ref="B6129:N6130"/>
    <mergeCell ref="B6131:N6132"/>
    <mergeCell ref="J6138:N6139"/>
    <mergeCell ref="B6139:D6139"/>
    <mergeCell ref="B6141:B6147"/>
    <mergeCell ref="C6141:J6141"/>
    <mergeCell ref="K6141:N6142"/>
    <mergeCell ref="C6142:J6142"/>
    <mergeCell ref="C6143:J6143"/>
    <mergeCell ref="K6143:K6144"/>
    <mergeCell ref="L6111:M6111"/>
    <mergeCell ref="L6112:M6112"/>
    <mergeCell ref="B6113:M6113"/>
    <mergeCell ref="B6115:M6115"/>
    <mergeCell ref="B6125:N6125"/>
    <mergeCell ref="B6126:N6126"/>
    <mergeCell ref="B6104:M6104"/>
    <mergeCell ref="B6105:M6105"/>
    <mergeCell ref="B6106:N6108"/>
    <mergeCell ref="B6109:H6109"/>
    <mergeCell ref="L6109:M6109"/>
    <mergeCell ref="B6110:H6110"/>
    <mergeCell ref="L6110:M6110"/>
    <mergeCell ref="L6098:M6098"/>
    <mergeCell ref="B6099:M6099"/>
    <mergeCell ref="B6101:I6101"/>
    <mergeCell ref="L6101:M6101"/>
    <mergeCell ref="L6102:M6102"/>
    <mergeCell ref="B6103:M6103"/>
    <mergeCell ref="B6092:H6092"/>
    <mergeCell ref="L6092:M6092"/>
    <mergeCell ref="B6093:M6093"/>
    <mergeCell ref="B6094:N6096"/>
    <mergeCell ref="B6097:H6097"/>
    <mergeCell ref="L6097:M6097"/>
    <mergeCell ref="L6085:M6085"/>
    <mergeCell ref="L6086:M6086"/>
    <mergeCell ref="B6087:M6087"/>
    <mergeCell ref="B6088:N6090"/>
    <mergeCell ref="B6091:H6091"/>
    <mergeCell ref="L6091:M6091"/>
    <mergeCell ref="B6079:F6079"/>
    <mergeCell ref="I6079:J6079"/>
    <mergeCell ref="L6079:M6079"/>
    <mergeCell ref="B6080:M6080"/>
    <mergeCell ref="B6081:N6083"/>
    <mergeCell ref="B6084:I6084"/>
    <mergeCell ref="L6084:M6084"/>
    <mergeCell ref="C6073:K6073"/>
    <mergeCell ref="L6073:M6073"/>
    <mergeCell ref="C6074:K6074"/>
    <mergeCell ref="L6074:M6074"/>
    <mergeCell ref="B6075:N6077"/>
    <mergeCell ref="B6078:F6078"/>
    <mergeCell ref="G6078:H6078"/>
    <mergeCell ref="I6078:J6078"/>
    <mergeCell ref="L6078:M6078"/>
    <mergeCell ref="L6061:L6063"/>
    <mergeCell ref="M6061:M6063"/>
    <mergeCell ref="N6061:N6063"/>
    <mergeCell ref="C6063:J6063"/>
    <mergeCell ref="B6067:E6067"/>
    <mergeCell ref="B6071:N6071"/>
    <mergeCell ref="B6057:B6063"/>
    <mergeCell ref="C6057:J6057"/>
    <mergeCell ref="K6057:N6058"/>
    <mergeCell ref="C6058:J6058"/>
    <mergeCell ref="C6059:J6059"/>
    <mergeCell ref="K6059:K6060"/>
    <mergeCell ref="L6059:N6060"/>
    <mergeCell ref="C6060:J6060"/>
    <mergeCell ref="C6061:J6062"/>
    <mergeCell ref="K6061:K6063"/>
    <mergeCell ref="B6041:N6041"/>
    <mergeCell ref="B6042:N6042"/>
    <mergeCell ref="B6045:N6046"/>
    <mergeCell ref="B6047:N6048"/>
    <mergeCell ref="J6054:N6055"/>
    <mergeCell ref="B6055:D6055"/>
    <mergeCell ref="B6026:H6026"/>
    <mergeCell ref="L6026:M6026"/>
    <mergeCell ref="L6027:M6027"/>
    <mergeCell ref="L6028:M6028"/>
    <mergeCell ref="B6029:M6029"/>
    <mergeCell ref="B6031:M6031"/>
    <mergeCell ref="L6018:M6018"/>
    <mergeCell ref="B6019:M6019"/>
    <mergeCell ref="B6020:M6020"/>
    <mergeCell ref="B6021:M6021"/>
    <mergeCell ref="B6022:N6024"/>
    <mergeCell ref="B6025:H6025"/>
    <mergeCell ref="L6025:M6025"/>
    <mergeCell ref="B6010:N6012"/>
    <mergeCell ref="B6013:H6013"/>
    <mergeCell ref="L6013:M6013"/>
    <mergeCell ref="L6014:M6014"/>
    <mergeCell ref="B6015:M6015"/>
    <mergeCell ref="B6017:I6017"/>
    <mergeCell ref="L6017:M6017"/>
    <mergeCell ref="B6004:N6006"/>
    <mergeCell ref="B6007:H6007"/>
    <mergeCell ref="L6007:M6007"/>
    <mergeCell ref="B6008:H6008"/>
    <mergeCell ref="L6008:M6008"/>
    <mergeCell ref="B6009:M6009"/>
    <mergeCell ref="B5997:M5997"/>
    <mergeCell ref="B5998:N6000"/>
    <mergeCell ref="B6001:I6001"/>
    <mergeCell ref="L6001:M6001"/>
    <mergeCell ref="L6002:M6002"/>
    <mergeCell ref="B6003:M6003"/>
    <mergeCell ref="B5992:N5994"/>
    <mergeCell ref="B5995:F5995"/>
    <mergeCell ref="G5995:H5995"/>
    <mergeCell ref="I5995:J5995"/>
    <mergeCell ref="L5995:M5995"/>
    <mergeCell ref="B5996:F5996"/>
    <mergeCell ref="I5996:J5996"/>
    <mergeCell ref="L5996:M5996"/>
    <mergeCell ref="B5984:E5984"/>
    <mergeCell ref="B5988:N5988"/>
    <mergeCell ref="C5990:K5990"/>
    <mergeCell ref="L5990:M5990"/>
    <mergeCell ref="C5991:K5991"/>
    <mergeCell ref="L5991:M5991"/>
    <mergeCell ref="C5977:J5977"/>
    <mergeCell ref="C5978:J5979"/>
    <mergeCell ref="K5978:K5980"/>
    <mergeCell ref="L5978:L5980"/>
    <mergeCell ref="M5978:M5980"/>
    <mergeCell ref="N5978:N5980"/>
    <mergeCell ref="C5980:J5980"/>
    <mergeCell ref="B5964:N5965"/>
    <mergeCell ref="J5971:N5972"/>
    <mergeCell ref="B5972:D5972"/>
    <mergeCell ref="B5974:B5980"/>
    <mergeCell ref="C5974:J5974"/>
    <mergeCell ref="K5974:N5975"/>
    <mergeCell ref="C5975:J5975"/>
    <mergeCell ref="C5976:J5976"/>
    <mergeCell ref="K5976:K5977"/>
    <mergeCell ref="L5976:N5977"/>
    <mergeCell ref="L5945:M5945"/>
    <mergeCell ref="B5946:M5946"/>
    <mergeCell ref="B5948:M5948"/>
    <mergeCell ref="B5958:N5958"/>
    <mergeCell ref="B5959:N5959"/>
    <mergeCell ref="B5962:N5963"/>
    <mergeCell ref="B5939:N5941"/>
    <mergeCell ref="B5942:H5942"/>
    <mergeCell ref="L5942:M5942"/>
    <mergeCell ref="B5943:H5943"/>
    <mergeCell ref="L5943:M5943"/>
    <mergeCell ref="L5944:M5944"/>
    <mergeCell ref="B5934:I5934"/>
    <mergeCell ref="L5934:M5934"/>
    <mergeCell ref="L5935:M5935"/>
    <mergeCell ref="B5936:M5936"/>
    <mergeCell ref="B5937:M5937"/>
    <mergeCell ref="B5938:M5938"/>
    <mergeCell ref="B5926:M5926"/>
    <mergeCell ref="B5927:N5929"/>
    <mergeCell ref="B5930:H5930"/>
    <mergeCell ref="L5930:M5930"/>
    <mergeCell ref="L5931:M5931"/>
    <mergeCell ref="B5932:M5932"/>
    <mergeCell ref="L5919:M5919"/>
    <mergeCell ref="B5920:M5920"/>
    <mergeCell ref="B5921:N5923"/>
    <mergeCell ref="B5924:H5924"/>
    <mergeCell ref="L5924:M5924"/>
    <mergeCell ref="B5925:H5925"/>
    <mergeCell ref="L5925:M5925"/>
    <mergeCell ref="B5913:F5913"/>
    <mergeCell ref="I5913:J5913"/>
    <mergeCell ref="L5913:M5913"/>
    <mergeCell ref="B5914:M5914"/>
    <mergeCell ref="B5915:N5917"/>
    <mergeCell ref="B5918:I5918"/>
    <mergeCell ref="L5918:M5918"/>
    <mergeCell ref="C5907:K5907"/>
    <mergeCell ref="L5907:M5907"/>
    <mergeCell ref="C5908:K5908"/>
    <mergeCell ref="L5908:M5908"/>
    <mergeCell ref="B5909:N5911"/>
    <mergeCell ref="B5912:F5912"/>
    <mergeCell ref="G5912:H5912"/>
    <mergeCell ref="I5912:J5912"/>
    <mergeCell ref="L5912:M5912"/>
    <mergeCell ref="L5895:L5897"/>
    <mergeCell ref="M5895:M5897"/>
    <mergeCell ref="N5895:N5897"/>
    <mergeCell ref="C5897:J5897"/>
    <mergeCell ref="B5901:E5901"/>
    <mergeCell ref="B5905:N5905"/>
    <mergeCell ref="B5891:B5897"/>
    <mergeCell ref="C5891:J5891"/>
    <mergeCell ref="K5891:N5892"/>
    <mergeCell ref="C5892:J5892"/>
    <mergeCell ref="C5893:J5893"/>
    <mergeCell ref="K5893:K5894"/>
    <mergeCell ref="L5893:N5894"/>
    <mergeCell ref="C5894:J5894"/>
    <mergeCell ref="C5895:J5896"/>
    <mergeCell ref="K5895:K5897"/>
    <mergeCell ref="B5875:N5875"/>
    <mergeCell ref="B5876:N5876"/>
    <mergeCell ref="B5879:N5880"/>
    <mergeCell ref="B5881:N5882"/>
    <mergeCell ref="J5888:N5889"/>
    <mergeCell ref="B5889:D5889"/>
    <mergeCell ref="B5860:H5860"/>
    <mergeCell ref="L5860:M5860"/>
    <mergeCell ref="L5861:M5861"/>
    <mergeCell ref="L5862:M5862"/>
    <mergeCell ref="B5863:M5863"/>
    <mergeCell ref="B5865:M5865"/>
    <mergeCell ref="L5852:M5852"/>
    <mergeCell ref="B5853:M5853"/>
    <mergeCell ref="B5854:M5854"/>
    <mergeCell ref="B5855:M5855"/>
    <mergeCell ref="B5856:N5858"/>
    <mergeCell ref="B5859:H5859"/>
    <mergeCell ref="L5859:M5859"/>
    <mergeCell ref="B5844:N5846"/>
    <mergeCell ref="B5847:H5847"/>
    <mergeCell ref="L5847:M5847"/>
    <mergeCell ref="L5848:M5848"/>
    <mergeCell ref="B5849:M5849"/>
    <mergeCell ref="B5851:I5851"/>
    <mergeCell ref="L5851:M5851"/>
    <mergeCell ref="B5838:N5840"/>
    <mergeCell ref="B5841:H5841"/>
    <mergeCell ref="L5841:M5841"/>
    <mergeCell ref="B5842:H5842"/>
    <mergeCell ref="L5842:M5842"/>
    <mergeCell ref="B5843:M5843"/>
    <mergeCell ref="B5831:M5831"/>
    <mergeCell ref="B5832:N5834"/>
    <mergeCell ref="B5835:I5835"/>
    <mergeCell ref="L5835:M5835"/>
    <mergeCell ref="L5836:M5836"/>
    <mergeCell ref="B5837:M5837"/>
    <mergeCell ref="B5826:N5828"/>
    <mergeCell ref="B5829:F5829"/>
    <mergeCell ref="G5829:H5829"/>
    <mergeCell ref="I5829:J5829"/>
    <mergeCell ref="L5829:M5829"/>
    <mergeCell ref="B5830:F5830"/>
    <mergeCell ref="I5830:J5830"/>
    <mergeCell ref="L5830:M5830"/>
    <mergeCell ref="B5818:E5818"/>
    <mergeCell ref="B5822:N5822"/>
    <mergeCell ref="C5824:K5824"/>
    <mergeCell ref="L5824:M5824"/>
    <mergeCell ref="C5825:K5825"/>
    <mergeCell ref="L5825:M5825"/>
    <mergeCell ref="C5811:J5811"/>
    <mergeCell ref="C5812:J5813"/>
    <mergeCell ref="K5812:K5814"/>
    <mergeCell ref="L5812:L5814"/>
    <mergeCell ref="M5812:M5814"/>
    <mergeCell ref="N5812:N5814"/>
    <mergeCell ref="C5814:J5814"/>
    <mergeCell ref="B5798:N5799"/>
    <mergeCell ref="J5805:N5806"/>
    <mergeCell ref="B5806:D5806"/>
    <mergeCell ref="B5808:B5814"/>
    <mergeCell ref="C5808:J5808"/>
    <mergeCell ref="K5808:N5809"/>
    <mergeCell ref="C5809:J5809"/>
    <mergeCell ref="C5810:J5810"/>
    <mergeCell ref="K5810:K5811"/>
    <mergeCell ref="L5810:N5811"/>
    <mergeCell ref="L5779:M5779"/>
    <mergeCell ref="B5780:M5780"/>
    <mergeCell ref="B5782:M5782"/>
    <mergeCell ref="B5792:N5792"/>
    <mergeCell ref="B5793:N5793"/>
    <mergeCell ref="B5796:N5797"/>
    <mergeCell ref="B5773:N5775"/>
    <mergeCell ref="B5776:H5776"/>
    <mergeCell ref="L5776:M5776"/>
    <mergeCell ref="B5777:H5777"/>
    <mergeCell ref="L5777:M5777"/>
    <mergeCell ref="L5778:M5778"/>
    <mergeCell ref="B5768:I5768"/>
    <mergeCell ref="L5768:M5768"/>
    <mergeCell ref="L5769:M5769"/>
    <mergeCell ref="B5770:M5770"/>
    <mergeCell ref="B5771:M5771"/>
    <mergeCell ref="B5772:M5772"/>
    <mergeCell ref="B5760:M5760"/>
    <mergeCell ref="B5761:N5763"/>
    <mergeCell ref="B5764:H5764"/>
    <mergeCell ref="L5764:M5764"/>
    <mergeCell ref="L5765:M5765"/>
    <mergeCell ref="B5766:M5766"/>
    <mergeCell ref="L5753:M5753"/>
    <mergeCell ref="B5754:M5754"/>
    <mergeCell ref="B5755:N5757"/>
    <mergeCell ref="B5758:H5758"/>
    <mergeCell ref="L5758:M5758"/>
    <mergeCell ref="B5759:H5759"/>
    <mergeCell ref="L5759:M5759"/>
    <mergeCell ref="B5747:F5747"/>
    <mergeCell ref="I5747:J5747"/>
    <mergeCell ref="L5747:M5747"/>
    <mergeCell ref="B5748:M5748"/>
    <mergeCell ref="B5749:N5751"/>
    <mergeCell ref="B5752:I5752"/>
    <mergeCell ref="L5752:M5752"/>
    <mergeCell ref="C5741:K5741"/>
    <mergeCell ref="L5741:M5741"/>
    <mergeCell ref="C5742:K5742"/>
    <mergeCell ref="L5742:M5742"/>
    <mergeCell ref="B5743:N5745"/>
    <mergeCell ref="B5746:F5746"/>
    <mergeCell ref="G5746:H5746"/>
    <mergeCell ref="I5746:J5746"/>
    <mergeCell ref="L5746:M5746"/>
    <mergeCell ref="L5729:L5731"/>
    <mergeCell ref="M5729:M5731"/>
    <mergeCell ref="N5729:N5731"/>
    <mergeCell ref="C5731:J5731"/>
    <mergeCell ref="B5735:E5735"/>
    <mergeCell ref="B5739:N5739"/>
    <mergeCell ref="B5725:B5731"/>
    <mergeCell ref="C5725:J5725"/>
    <mergeCell ref="K5725:N5726"/>
    <mergeCell ref="C5726:J5726"/>
    <mergeCell ref="C5727:J5727"/>
    <mergeCell ref="K5727:K5728"/>
    <mergeCell ref="L5727:N5728"/>
    <mergeCell ref="C5728:J5728"/>
    <mergeCell ref="C5729:J5730"/>
    <mergeCell ref="K5729:K5731"/>
    <mergeCell ref="B5709:N5709"/>
    <mergeCell ref="B5710:N5710"/>
    <mergeCell ref="B5713:N5714"/>
    <mergeCell ref="B5715:N5716"/>
    <mergeCell ref="J5722:N5723"/>
    <mergeCell ref="B5723:D5723"/>
    <mergeCell ref="B5694:H5694"/>
    <mergeCell ref="L5694:M5694"/>
    <mergeCell ref="L5695:M5695"/>
    <mergeCell ref="L5696:M5696"/>
    <mergeCell ref="B5697:M5697"/>
    <mergeCell ref="B5699:M5699"/>
    <mergeCell ref="L5686:M5686"/>
    <mergeCell ref="B5687:M5687"/>
    <mergeCell ref="B5688:M5688"/>
    <mergeCell ref="B5689:M5689"/>
    <mergeCell ref="B5690:N5692"/>
    <mergeCell ref="B5693:H5693"/>
    <mergeCell ref="L5693:M5693"/>
    <mergeCell ref="B5678:N5680"/>
    <mergeCell ref="B5681:H5681"/>
    <mergeCell ref="L5681:M5681"/>
    <mergeCell ref="L5682:M5682"/>
    <mergeCell ref="B5683:M5683"/>
    <mergeCell ref="B5685:I5685"/>
    <mergeCell ref="L5685:M5685"/>
    <mergeCell ref="B5672:N5674"/>
    <mergeCell ref="B5675:H5675"/>
    <mergeCell ref="L5675:M5675"/>
    <mergeCell ref="B5676:H5676"/>
    <mergeCell ref="L5676:M5676"/>
    <mergeCell ref="B5677:M5677"/>
    <mergeCell ref="B5665:M5665"/>
    <mergeCell ref="B5666:N5668"/>
    <mergeCell ref="B5669:I5669"/>
    <mergeCell ref="L5669:M5669"/>
    <mergeCell ref="L5670:M5670"/>
    <mergeCell ref="B5671:M5671"/>
    <mergeCell ref="B5660:N5662"/>
    <mergeCell ref="B5663:F5663"/>
    <mergeCell ref="G5663:H5663"/>
    <mergeCell ref="I5663:J5663"/>
    <mergeCell ref="L5663:M5663"/>
    <mergeCell ref="B5664:F5664"/>
    <mergeCell ref="I5664:J5664"/>
    <mergeCell ref="L5664:M5664"/>
    <mergeCell ref="B5652:E5652"/>
    <mergeCell ref="B5656:N5656"/>
    <mergeCell ref="C5658:K5658"/>
    <mergeCell ref="L5658:M5658"/>
    <mergeCell ref="C5659:K5659"/>
    <mergeCell ref="L5659:M5659"/>
    <mergeCell ref="C5645:J5645"/>
    <mergeCell ref="C5646:J5647"/>
    <mergeCell ref="K5646:K5648"/>
    <mergeCell ref="L5646:L5648"/>
    <mergeCell ref="M5646:M5648"/>
    <mergeCell ref="N5646:N5648"/>
    <mergeCell ref="C5648:J5648"/>
    <mergeCell ref="B5632:N5633"/>
    <mergeCell ref="J5639:N5640"/>
    <mergeCell ref="B5640:D5640"/>
    <mergeCell ref="B5642:B5648"/>
    <mergeCell ref="C5642:J5642"/>
    <mergeCell ref="K5642:N5643"/>
    <mergeCell ref="C5643:J5643"/>
    <mergeCell ref="C5644:J5644"/>
    <mergeCell ref="K5644:K5645"/>
    <mergeCell ref="L5644:N5645"/>
    <mergeCell ref="L5613:M5613"/>
    <mergeCell ref="B5614:M5614"/>
    <mergeCell ref="B5616:M5616"/>
    <mergeCell ref="B5626:N5626"/>
    <mergeCell ref="B5627:N5627"/>
    <mergeCell ref="B5630:N5631"/>
    <mergeCell ref="B5607:N5609"/>
    <mergeCell ref="B5610:H5610"/>
    <mergeCell ref="L5610:M5610"/>
    <mergeCell ref="B5611:H5611"/>
    <mergeCell ref="L5611:M5611"/>
    <mergeCell ref="L5612:M5612"/>
    <mergeCell ref="B5602:I5602"/>
    <mergeCell ref="L5602:M5602"/>
    <mergeCell ref="L5603:M5603"/>
    <mergeCell ref="B5604:M5604"/>
    <mergeCell ref="B5605:M5605"/>
    <mergeCell ref="B5606:M5606"/>
    <mergeCell ref="B5594:M5594"/>
    <mergeCell ref="B5595:N5597"/>
    <mergeCell ref="B5598:H5598"/>
    <mergeCell ref="L5598:M5598"/>
    <mergeCell ref="L5599:M5599"/>
    <mergeCell ref="B5600:M5600"/>
    <mergeCell ref="L5587:M5587"/>
    <mergeCell ref="B5588:M5588"/>
    <mergeCell ref="B5589:N5591"/>
    <mergeCell ref="B5592:H5592"/>
    <mergeCell ref="L5592:M5592"/>
    <mergeCell ref="B5593:H5593"/>
    <mergeCell ref="L5593:M5593"/>
    <mergeCell ref="B5580:M5580"/>
    <mergeCell ref="B5581:N5583"/>
    <mergeCell ref="B5584:I5584"/>
    <mergeCell ref="L5584:M5584"/>
    <mergeCell ref="L5585:M5585"/>
    <mergeCell ref="L5586:M5586"/>
    <mergeCell ref="B5575:N5577"/>
    <mergeCell ref="B5578:F5578"/>
    <mergeCell ref="G5578:H5578"/>
    <mergeCell ref="I5578:J5578"/>
    <mergeCell ref="L5578:M5578"/>
    <mergeCell ref="B5579:F5579"/>
    <mergeCell ref="I5579:J5579"/>
    <mergeCell ref="L5579:M5579"/>
    <mergeCell ref="B5567:E5567"/>
    <mergeCell ref="B5571:N5571"/>
    <mergeCell ref="C5573:K5573"/>
    <mergeCell ref="L5573:M5573"/>
    <mergeCell ref="C5574:K5574"/>
    <mergeCell ref="L5574:M5574"/>
    <mergeCell ref="L5559:N5560"/>
    <mergeCell ref="C5560:J5560"/>
    <mergeCell ref="C5561:J5562"/>
    <mergeCell ref="K5561:K5563"/>
    <mergeCell ref="L5561:L5563"/>
    <mergeCell ref="M5561:M5563"/>
    <mergeCell ref="N5561:N5563"/>
    <mergeCell ref="C5563:J5563"/>
    <mergeCell ref="B5545:N5546"/>
    <mergeCell ref="B5547:N5548"/>
    <mergeCell ref="J5554:N5555"/>
    <mergeCell ref="B5555:D5555"/>
    <mergeCell ref="B5557:B5563"/>
    <mergeCell ref="C5557:J5557"/>
    <mergeCell ref="K5557:N5558"/>
    <mergeCell ref="C5558:J5558"/>
    <mergeCell ref="C5559:J5559"/>
    <mergeCell ref="K5559:K5560"/>
    <mergeCell ref="L5527:M5527"/>
    <mergeCell ref="L5528:M5528"/>
    <mergeCell ref="B5529:M5529"/>
    <mergeCell ref="B5531:M5531"/>
    <mergeCell ref="B5541:N5541"/>
    <mergeCell ref="B5542:N5542"/>
    <mergeCell ref="B5520:M5520"/>
    <mergeCell ref="B5521:M5521"/>
    <mergeCell ref="B5522:N5524"/>
    <mergeCell ref="B5525:H5525"/>
    <mergeCell ref="L5525:M5525"/>
    <mergeCell ref="B5526:H5526"/>
    <mergeCell ref="L5526:M5526"/>
    <mergeCell ref="L5514:M5514"/>
    <mergeCell ref="B5515:M5515"/>
    <mergeCell ref="B5517:I5517"/>
    <mergeCell ref="L5517:M5517"/>
    <mergeCell ref="L5518:M5518"/>
    <mergeCell ref="B5519:M5519"/>
    <mergeCell ref="B5508:H5508"/>
    <mergeCell ref="L5508:M5508"/>
    <mergeCell ref="B5509:M5509"/>
    <mergeCell ref="B5510:N5512"/>
    <mergeCell ref="B5513:H5513"/>
    <mergeCell ref="L5513:M5513"/>
    <mergeCell ref="L5500:M5500"/>
    <mergeCell ref="L5501:M5501"/>
    <mergeCell ref="L5502:M5502"/>
    <mergeCell ref="B5503:M5503"/>
    <mergeCell ref="B5504:N5506"/>
    <mergeCell ref="B5507:H5507"/>
    <mergeCell ref="L5507:M5507"/>
    <mergeCell ref="B5494:F5494"/>
    <mergeCell ref="I5494:J5494"/>
    <mergeCell ref="L5494:M5494"/>
    <mergeCell ref="B5495:M5495"/>
    <mergeCell ref="B5496:N5498"/>
    <mergeCell ref="B5499:I5499"/>
    <mergeCell ref="L5499:M5499"/>
    <mergeCell ref="C5488:K5488"/>
    <mergeCell ref="L5488:M5488"/>
    <mergeCell ref="C5489:K5489"/>
    <mergeCell ref="L5489:M5489"/>
    <mergeCell ref="B5490:N5492"/>
    <mergeCell ref="B5493:F5493"/>
    <mergeCell ref="G5493:H5493"/>
    <mergeCell ref="I5493:J5493"/>
    <mergeCell ref="L5493:M5493"/>
    <mergeCell ref="L5476:L5478"/>
    <mergeCell ref="M5476:M5478"/>
    <mergeCell ref="N5476:N5478"/>
    <mergeCell ref="C5478:J5478"/>
    <mergeCell ref="B5482:E5482"/>
    <mergeCell ref="B5486:N5486"/>
    <mergeCell ref="B5472:B5478"/>
    <mergeCell ref="C5472:J5472"/>
    <mergeCell ref="K5472:N5473"/>
    <mergeCell ref="C5473:J5473"/>
    <mergeCell ref="C5474:J5474"/>
    <mergeCell ref="K5474:K5475"/>
    <mergeCell ref="L5474:N5475"/>
    <mergeCell ref="C5475:J5475"/>
    <mergeCell ref="C5476:J5477"/>
    <mergeCell ref="K5476:K5478"/>
    <mergeCell ref="B5456:N5456"/>
    <mergeCell ref="B5457:N5457"/>
    <mergeCell ref="B5460:N5461"/>
    <mergeCell ref="B5462:N5463"/>
    <mergeCell ref="J5469:N5470"/>
    <mergeCell ref="B5470:D5470"/>
    <mergeCell ref="B5441:H5441"/>
    <mergeCell ref="L5441:M5441"/>
    <mergeCell ref="L5442:M5442"/>
    <mergeCell ref="L5443:M5443"/>
    <mergeCell ref="B5444:M5444"/>
    <mergeCell ref="B5446:M5446"/>
    <mergeCell ref="B5434:M5434"/>
    <mergeCell ref="B5435:M5435"/>
    <mergeCell ref="B5436:M5436"/>
    <mergeCell ref="B5437:N5439"/>
    <mergeCell ref="B5440:H5440"/>
    <mergeCell ref="L5440:M5440"/>
    <mergeCell ref="L5428:M5428"/>
    <mergeCell ref="L5429:M5429"/>
    <mergeCell ref="B5430:M5430"/>
    <mergeCell ref="B5432:I5432"/>
    <mergeCell ref="L5432:M5432"/>
    <mergeCell ref="L5433:M5433"/>
    <mergeCell ref="B5421:M5421"/>
    <mergeCell ref="B5422:N5424"/>
    <mergeCell ref="B5425:H5425"/>
    <mergeCell ref="L5425:M5425"/>
    <mergeCell ref="L5426:M5426"/>
    <mergeCell ref="L5427:M5427"/>
    <mergeCell ref="B5415:M5415"/>
    <mergeCell ref="B5416:N5418"/>
    <mergeCell ref="B5419:H5419"/>
    <mergeCell ref="L5419:M5419"/>
    <mergeCell ref="B5420:H5420"/>
    <mergeCell ref="L5420:M5420"/>
    <mergeCell ref="B5408:M5408"/>
    <mergeCell ref="B5409:N5411"/>
    <mergeCell ref="B5412:I5412"/>
    <mergeCell ref="L5412:M5412"/>
    <mergeCell ref="L5413:M5413"/>
    <mergeCell ref="L5414:M5414"/>
    <mergeCell ref="B5406:F5406"/>
    <mergeCell ref="I5406:J5406"/>
    <mergeCell ref="L5406:M5406"/>
    <mergeCell ref="B5407:F5407"/>
    <mergeCell ref="I5407:J5407"/>
    <mergeCell ref="L5407:M5407"/>
    <mergeCell ref="B5404:F5404"/>
    <mergeCell ref="I5404:J5404"/>
    <mergeCell ref="L5404:M5404"/>
    <mergeCell ref="B5405:F5405"/>
    <mergeCell ref="I5405:J5405"/>
    <mergeCell ref="L5405:M5405"/>
    <mergeCell ref="B5399:N5401"/>
    <mergeCell ref="B5402:F5402"/>
    <mergeCell ref="G5402:H5402"/>
    <mergeCell ref="I5402:J5402"/>
    <mergeCell ref="L5402:M5402"/>
    <mergeCell ref="B5403:F5403"/>
    <mergeCell ref="I5403:J5403"/>
    <mergeCell ref="L5403:M5403"/>
    <mergeCell ref="B5391:E5391"/>
    <mergeCell ref="B5395:N5395"/>
    <mergeCell ref="C5397:K5397"/>
    <mergeCell ref="L5397:M5397"/>
    <mergeCell ref="C5398:K5398"/>
    <mergeCell ref="L5398:M5398"/>
    <mergeCell ref="C5384:J5384"/>
    <mergeCell ref="C5385:J5386"/>
    <mergeCell ref="K5385:K5387"/>
    <mergeCell ref="L5385:L5387"/>
    <mergeCell ref="M5385:M5387"/>
    <mergeCell ref="N5385:N5387"/>
    <mergeCell ref="C5387:J5387"/>
    <mergeCell ref="B5371:N5372"/>
    <mergeCell ref="J5378:N5379"/>
    <mergeCell ref="B5379:D5379"/>
    <mergeCell ref="B5381:B5387"/>
    <mergeCell ref="C5381:J5381"/>
    <mergeCell ref="K5381:N5382"/>
    <mergeCell ref="C5382:J5382"/>
    <mergeCell ref="C5383:J5383"/>
    <mergeCell ref="K5383:K5384"/>
    <mergeCell ref="L5383:N5384"/>
    <mergeCell ref="L5352:M5352"/>
    <mergeCell ref="B5353:M5353"/>
    <mergeCell ref="B5355:M5355"/>
    <mergeCell ref="B5365:N5365"/>
    <mergeCell ref="B5366:N5366"/>
    <mergeCell ref="B5369:N5370"/>
    <mergeCell ref="B5346:N5348"/>
    <mergeCell ref="B5349:H5349"/>
    <mergeCell ref="L5349:M5349"/>
    <mergeCell ref="B5350:H5350"/>
    <mergeCell ref="L5350:M5350"/>
    <mergeCell ref="L5351:M5351"/>
    <mergeCell ref="B5341:I5341"/>
    <mergeCell ref="L5341:M5341"/>
    <mergeCell ref="L5342:M5342"/>
    <mergeCell ref="B5343:M5343"/>
    <mergeCell ref="B5344:M5344"/>
    <mergeCell ref="B5345:M5345"/>
    <mergeCell ref="B5333:M5333"/>
    <mergeCell ref="B5334:N5336"/>
    <mergeCell ref="B5337:H5337"/>
    <mergeCell ref="L5337:M5337"/>
    <mergeCell ref="L5338:M5338"/>
    <mergeCell ref="B5339:M5339"/>
    <mergeCell ref="B5327:M5327"/>
    <mergeCell ref="B5328:N5330"/>
    <mergeCell ref="B5331:H5331"/>
    <mergeCell ref="L5331:M5331"/>
    <mergeCell ref="B5332:H5332"/>
    <mergeCell ref="L5332:M5332"/>
    <mergeCell ref="B5320:M5320"/>
    <mergeCell ref="B5321:N5323"/>
    <mergeCell ref="B5324:I5324"/>
    <mergeCell ref="L5324:M5324"/>
    <mergeCell ref="L5325:M5325"/>
    <mergeCell ref="L5326:M5326"/>
    <mergeCell ref="B5315:N5317"/>
    <mergeCell ref="B5318:F5318"/>
    <mergeCell ref="G5318:H5318"/>
    <mergeCell ref="I5318:J5318"/>
    <mergeCell ref="L5318:M5318"/>
    <mergeCell ref="B5319:F5319"/>
    <mergeCell ref="I5319:J5319"/>
    <mergeCell ref="L5319:M5319"/>
    <mergeCell ref="B5307:E5307"/>
    <mergeCell ref="B5311:N5311"/>
    <mergeCell ref="C5313:K5313"/>
    <mergeCell ref="L5313:M5313"/>
    <mergeCell ref="C5314:K5314"/>
    <mergeCell ref="L5314:M5314"/>
    <mergeCell ref="C5300:J5300"/>
    <mergeCell ref="C5301:J5302"/>
    <mergeCell ref="K5301:K5303"/>
    <mergeCell ref="L5301:L5303"/>
    <mergeCell ref="M5301:M5303"/>
    <mergeCell ref="N5301:N5303"/>
    <mergeCell ref="C5303:J5303"/>
    <mergeCell ref="B5287:N5288"/>
    <mergeCell ref="J5294:N5295"/>
    <mergeCell ref="B5295:D5295"/>
    <mergeCell ref="B5297:B5303"/>
    <mergeCell ref="C5297:J5297"/>
    <mergeCell ref="K5297:N5298"/>
    <mergeCell ref="C5298:J5298"/>
    <mergeCell ref="C5299:J5299"/>
    <mergeCell ref="K5299:K5300"/>
    <mergeCell ref="L5299:N5300"/>
    <mergeCell ref="L5268:M5268"/>
    <mergeCell ref="B5269:M5269"/>
    <mergeCell ref="B5271:M5271"/>
    <mergeCell ref="B5281:N5281"/>
    <mergeCell ref="B5282:N5282"/>
    <mergeCell ref="B5285:N5286"/>
    <mergeCell ref="B5262:N5264"/>
    <mergeCell ref="B5265:H5265"/>
    <mergeCell ref="L5265:M5265"/>
    <mergeCell ref="B5266:H5266"/>
    <mergeCell ref="L5266:M5266"/>
    <mergeCell ref="L5267:M5267"/>
    <mergeCell ref="B5257:I5257"/>
    <mergeCell ref="L5257:M5257"/>
    <mergeCell ref="L5258:M5258"/>
    <mergeCell ref="B5259:M5259"/>
    <mergeCell ref="B5260:M5260"/>
    <mergeCell ref="B5261:M5261"/>
    <mergeCell ref="B5249:M5249"/>
    <mergeCell ref="B5250:N5252"/>
    <mergeCell ref="B5253:H5253"/>
    <mergeCell ref="L5253:M5253"/>
    <mergeCell ref="L5254:M5254"/>
    <mergeCell ref="B5255:M5255"/>
    <mergeCell ref="B5243:M5243"/>
    <mergeCell ref="B5244:N5246"/>
    <mergeCell ref="B5247:H5247"/>
    <mergeCell ref="L5247:M5247"/>
    <mergeCell ref="B5248:H5248"/>
    <mergeCell ref="L5248:M5248"/>
    <mergeCell ref="B5236:M5236"/>
    <mergeCell ref="B5237:N5239"/>
    <mergeCell ref="B5240:I5240"/>
    <mergeCell ref="L5240:M5240"/>
    <mergeCell ref="L5241:M5241"/>
    <mergeCell ref="L5242:M5242"/>
    <mergeCell ref="B5231:N5233"/>
    <mergeCell ref="B5234:F5234"/>
    <mergeCell ref="G5234:H5234"/>
    <mergeCell ref="I5234:J5234"/>
    <mergeCell ref="L5234:M5234"/>
    <mergeCell ref="B5235:F5235"/>
    <mergeCell ref="I5235:J5235"/>
    <mergeCell ref="L5235:M5235"/>
    <mergeCell ref="B5223:E5223"/>
    <mergeCell ref="B5227:N5227"/>
    <mergeCell ref="C5229:K5229"/>
    <mergeCell ref="L5229:M5229"/>
    <mergeCell ref="C5230:K5230"/>
    <mergeCell ref="L5230:M5230"/>
    <mergeCell ref="L5215:N5216"/>
    <mergeCell ref="C5216:J5216"/>
    <mergeCell ref="C5217:J5218"/>
    <mergeCell ref="K5217:K5219"/>
    <mergeCell ref="L5217:L5219"/>
    <mergeCell ref="M5217:M5219"/>
    <mergeCell ref="N5217:N5219"/>
    <mergeCell ref="C5219:J5219"/>
    <mergeCell ref="B5201:N5202"/>
    <mergeCell ref="B5203:N5204"/>
    <mergeCell ref="J5210:N5211"/>
    <mergeCell ref="B5211:D5211"/>
    <mergeCell ref="B5213:B5219"/>
    <mergeCell ref="C5213:J5213"/>
    <mergeCell ref="K5213:N5214"/>
    <mergeCell ref="C5214:J5214"/>
    <mergeCell ref="C5215:J5215"/>
    <mergeCell ref="K5215:K5216"/>
    <mergeCell ref="L5183:M5183"/>
    <mergeCell ref="L5184:M5184"/>
    <mergeCell ref="B5185:M5185"/>
    <mergeCell ref="B5187:M5187"/>
    <mergeCell ref="B5197:N5197"/>
    <mergeCell ref="B5198:N5198"/>
    <mergeCell ref="B5176:M5176"/>
    <mergeCell ref="B5177:M5177"/>
    <mergeCell ref="B5178:N5180"/>
    <mergeCell ref="B5181:H5181"/>
    <mergeCell ref="L5181:M5181"/>
    <mergeCell ref="B5182:H5182"/>
    <mergeCell ref="L5182:M5182"/>
    <mergeCell ref="L5170:M5170"/>
    <mergeCell ref="B5171:M5171"/>
    <mergeCell ref="B5173:I5173"/>
    <mergeCell ref="L5173:M5173"/>
    <mergeCell ref="L5174:M5174"/>
    <mergeCell ref="B5175:M5175"/>
    <mergeCell ref="B5164:H5164"/>
    <mergeCell ref="L5164:M5164"/>
    <mergeCell ref="B5165:M5165"/>
    <mergeCell ref="B5166:N5168"/>
    <mergeCell ref="B5169:H5169"/>
    <mergeCell ref="L5169:M5169"/>
    <mergeCell ref="L5157:M5157"/>
    <mergeCell ref="L5158:M5158"/>
    <mergeCell ref="B5159:M5159"/>
    <mergeCell ref="B5160:N5162"/>
    <mergeCell ref="B5163:H5163"/>
    <mergeCell ref="L5163:M5163"/>
    <mergeCell ref="B5150:M5150"/>
    <mergeCell ref="B5151:N5153"/>
    <mergeCell ref="B5154:I5154"/>
    <mergeCell ref="L5154:M5154"/>
    <mergeCell ref="L5155:M5155"/>
    <mergeCell ref="L5156:M5156"/>
    <mergeCell ref="B5145:N5147"/>
    <mergeCell ref="B5148:F5148"/>
    <mergeCell ref="G5148:H5148"/>
    <mergeCell ref="I5148:J5148"/>
    <mergeCell ref="L5148:M5148"/>
    <mergeCell ref="B5149:F5149"/>
    <mergeCell ref="I5149:J5149"/>
    <mergeCell ref="L5149:M5149"/>
    <mergeCell ref="B5137:E5137"/>
    <mergeCell ref="B5141:N5141"/>
    <mergeCell ref="C5143:K5143"/>
    <mergeCell ref="L5143:M5143"/>
    <mergeCell ref="C5144:K5144"/>
    <mergeCell ref="L5144:M5144"/>
    <mergeCell ref="C5130:J5130"/>
    <mergeCell ref="C5131:J5132"/>
    <mergeCell ref="K5131:K5133"/>
    <mergeCell ref="L5131:L5133"/>
    <mergeCell ref="M5131:M5133"/>
    <mergeCell ref="N5131:N5133"/>
    <mergeCell ref="C5133:J5133"/>
    <mergeCell ref="B5117:N5118"/>
    <mergeCell ref="J5124:N5125"/>
    <mergeCell ref="B5125:D5125"/>
    <mergeCell ref="B5127:B5133"/>
    <mergeCell ref="C5127:J5127"/>
    <mergeCell ref="K5127:N5128"/>
    <mergeCell ref="C5128:J5128"/>
    <mergeCell ref="C5129:J5129"/>
    <mergeCell ref="K5129:K5130"/>
    <mergeCell ref="L5129:N5130"/>
    <mergeCell ref="L5098:M5098"/>
    <mergeCell ref="B5099:M5099"/>
    <mergeCell ref="B5101:M5101"/>
    <mergeCell ref="B5111:N5111"/>
    <mergeCell ref="B5112:N5112"/>
    <mergeCell ref="B5115:N5116"/>
    <mergeCell ref="B5092:N5094"/>
    <mergeCell ref="B5095:H5095"/>
    <mergeCell ref="L5095:M5095"/>
    <mergeCell ref="B5096:H5096"/>
    <mergeCell ref="L5096:M5096"/>
    <mergeCell ref="L5097:M5097"/>
    <mergeCell ref="B5087:I5087"/>
    <mergeCell ref="L5087:M5087"/>
    <mergeCell ref="L5088:M5088"/>
    <mergeCell ref="B5089:M5089"/>
    <mergeCell ref="B5090:M5090"/>
    <mergeCell ref="B5091:M5091"/>
    <mergeCell ref="B5079:M5079"/>
    <mergeCell ref="B5080:N5082"/>
    <mergeCell ref="B5083:H5083"/>
    <mergeCell ref="L5083:M5083"/>
    <mergeCell ref="L5084:M5084"/>
    <mergeCell ref="B5085:M5085"/>
    <mergeCell ref="L5072:M5072"/>
    <mergeCell ref="B5073:M5073"/>
    <mergeCell ref="B5074:N5076"/>
    <mergeCell ref="B5077:H5077"/>
    <mergeCell ref="L5077:M5077"/>
    <mergeCell ref="B5078:H5078"/>
    <mergeCell ref="L5078:M5078"/>
    <mergeCell ref="B5065:M5065"/>
    <mergeCell ref="B5066:N5068"/>
    <mergeCell ref="B5069:I5069"/>
    <mergeCell ref="L5069:M5069"/>
    <mergeCell ref="L5070:M5070"/>
    <mergeCell ref="L5071:M5071"/>
    <mergeCell ref="B5060:N5062"/>
    <mergeCell ref="B5063:F5063"/>
    <mergeCell ref="G5063:H5063"/>
    <mergeCell ref="I5063:J5063"/>
    <mergeCell ref="L5063:M5063"/>
    <mergeCell ref="B5064:F5064"/>
    <mergeCell ref="I5064:J5064"/>
    <mergeCell ref="L5064:M5064"/>
    <mergeCell ref="B5052:E5052"/>
    <mergeCell ref="B5056:N5056"/>
    <mergeCell ref="C5058:K5058"/>
    <mergeCell ref="L5058:M5058"/>
    <mergeCell ref="C5059:K5059"/>
    <mergeCell ref="L5059:M5059"/>
    <mergeCell ref="C5045:J5045"/>
    <mergeCell ref="C5046:J5047"/>
    <mergeCell ref="K5046:K5048"/>
    <mergeCell ref="L5046:L5048"/>
    <mergeCell ref="M5046:M5048"/>
    <mergeCell ref="N5046:N5048"/>
    <mergeCell ref="C5048:J5048"/>
    <mergeCell ref="B5032:N5033"/>
    <mergeCell ref="J5039:N5040"/>
    <mergeCell ref="B5040:D5040"/>
    <mergeCell ref="B5042:B5048"/>
    <mergeCell ref="C5042:J5042"/>
    <mergeCell ref="K5042:N5043"/>
    <mergeCell ref="C5043:J5043"/>
    <mergeCell ref="C5044:J5044"/>
    <mergeCell ref="K5044:K5045"/>
    <mergeCell ref="L5044:N5045"/>
    <mergeCell ref="L5013:M5013"/>
    <mergeCell ref="B5014:M5014"/>
    <mergeCell ref="B5016:M5016"/>
    <mergeCell ref="B5026:N5026"/>
    <mergeCell ref="B5027:N5027"/>
    <mergeCell ref="B5030:N5031"/>
    <mergeCell ref="B5007:N5009"/>
    <mergeCell ref="B5010:H5010"/>
    <mergeCell ref="L5010:M5010"/>
    <mergeCell ref="B5011:H5011"/>
    <mergeCell ref="L5011:M5011"/>
    <mergeCell ref="L5012:M5012"/>
    <mergeCell ref="B5002:I5002"/>
    <mergeCell ref="L5002:M5002"/>
    <mergeCell ref="L5003:M5003"/>
    <mergeCell ref="B5004:M5004"/>
    <mergeCell ref="B5005:M5005"/>
    <mergeCell ref="B5006:M5006"/>
    <mergeCell ref="B4994:M4994"/>
    <mergeCell ref="B4995:N4997"/>
    <mergeCell ref="B4998:H4998"/>
    <mergeCell ref="L4998:M4998"/>
    <mergeCell ref="L4999:M4999"/>
    <mergeCell ref="B5000:M5000"/>
    <mergeCell ref="B4988:M4988"/>
    <mergeCell ref="B4989:N4991"/>
    <mergeCell ref="B4992:H4992"/>
    <mergeCell ref="L4992:M4992"/>
    <mergeCell ref="B4993:H4993"/>
    <mergeCell ref="L4993:M4993"/>
    <mergeCell ref="B4981:M4981"/>
    <mergeCell ref="B4982:N4984"/>
    <mergeCell ref="B4985:I4985"/>
    <mergeCell ref="L4985:M4985"/>
    <mergeCell ref="L4986:M4986"/>
    <mergeCell ref="L4987:M4987"/>
    <mergeCell ref="B4976:N4978"/>
    <mergeCell ref="B4979:F4979"/>
    <mergeCell ref="G4979:H4979"/>
    <mergeCell ref="I4979:J4979"/>
    <mergeCell ref="L4979:M4979"/>
    <mergeCell ref="B4980:F4980"/>
    <mergeCell ref="I4980:J4980"/>
    <mergeCell ref="L4980:M4980"/>
    <mergeCell ref="B4968:E4968"/>
    <mergeCell ref="B4972:N4972"/>
    <mergeCell ref="C4974:K4974"/>
    <mergeCell ref="L4974:M4974"/>
    <mergeCell ref="C4975:K4975"/>
    <mergeCell ref="L4975:M4975"/>
    <mergeCell ref="L4960:N4961"/>
    <mergeCell ref="C4961:J4961"/>
    <mergeCell ref="C4962:J4963"/>
    <mergeCell ref="K4962:K4964"/>
    <mergeCell ref="L4962:L4964"/>
    <mergeCell ref="M4962:M4964"/>
    <mergeCell ref="N4962:N4964"/>
    <mergeCell ref="C4964:J4964"/>
    <mergeCell ref="B4946:N4947"/>
    <mergeCell ref="B4948:N4949"/>
    <mergeCell ref="J4955:N4956"/>
    <mergeCell ref="B4956:D4956"/>
    <mergeCell ref="B4958:B4964"/>
    <mergeCell ref="C4958:J4958"/>
    <mergeCell ref="K4958:N4959"/>
    <mergeCell ref="C4959:J4959"/>
    <mergeCell ref="C4960:J4960"/>
    <mergeCell ref="K4960:K4961"/>
    <mergeCell ref="L4928:M4928"/>
    <mergeCell ref="L4929:M4929"/>
    <mergeCell ref="B4930:M4930"/>
    <mergeCell ref="B4932:M4932"/>
    <mergeCell ref="B4942:N4942"/>
    <mergeCell ref="B4943:N4943"/>
    <mergeCell ref="B4921:M4921"/>
    <mergeCell ref="B4922:M4922"/>
    <mergeCell ref="B4923:N4925"/>
    <mergeCell ref="B4926:H4926"/>
    <mergeCell ref="L4926:M4926"/>
    <mergeCell ref="B4927:H4927"/>
    <mergeCell ref="L4927:M4927"/>
    <mergeCell ref="L4915:M4915"/>
    <mergeCell ref="B4916:M4916"/>
    <mergeCell ref="B4918:I4918"/>
    <mergeCell ref="L4918:M4918"/>
    <mergeCell ref="L4919:M4919"/>
    <mergeCell ref="B4920:M4920"/>
    <mergeCell ref="B4909:H4909"/>
    <mergeCell ref="L4909:M4909"/>
    <mergeCell ref="B4910:M4910"/>
    <mergeCell ref="B4911:N4913"/>
    <mergeCell ref="B4914:H4914"/>
    <mergeCell ref="L4914:M4914"/>
    <mergeCell ref="L4902:M4902"/>
    <mergeCell ref="L4903:M4903"/>
    <mergeCell ref="B4904:M4904"/>
    <mergeCell ref="B4905:N4907"/>
    <mergeCell ref="B4908:H4908"/>
    <mergeCell ref="L4908:M4908"/>
    <mergeCell ref="B4895:M4895"/>
    <mergeCell ref="B4896:N4898"/>
    <mergeCell ref="B4899:I4899"/>
    <mergeCell ref="L4899:M4899"/>
    <mergeCell ref="L4900:M4900"/>
    <mergeCell ref="L4901:M4901"/>
    <mergeCell ref="B4890:N4892"/>
    <mergeCell ref="B4893:F4893"/>
    <mergeCell ref="G4893:H4893"/>
    <mergeCell ref="I4893:J4893"/>
    <mergeCell ref="L4893:M4893"/>
    <mergeCell ref="B4894:F4894"/>
    <mergeCell ref="I4894:J4894"/>
    <mergeCell ref="L4894:M4894"/>
    <mergeCell ref="B4882:E4882"/>
    <mergeCell ref="B4886:N4886"/>
    <mergeCell ref="C4888:K4888"/>
    <mergeCell ref="L4888:M4888"/>
    <mergeCell ref="C4889:K4889"/>
    <mergeCell ref="L4889:M4889"/>
    <mergeCell ref="C4875:J4875"/>
    <mergeCell ref="C4876:J4877"/>
    <mergeCell ref="K4876:K4878"/>
    <mergeCell ref="L4876:L4878"/>
    <mergeCell ref="M4876:M4878"/>
    <mergeCell ref="N4876:N4878"/>
    <mergeCell ref="C4878:J4878"/>
    <mergeCell ref="B4862:N4863"/>
    <mergeCell ref="J4869:N4870"/>
    <mergeCell ref="B4870:D4870"/>
    <mergeCell ref="B4872:B4878"/>
    <mergeCell ref="C4872:J4872"/>
    <mergeCell ref="K4872:N4873"/>
    <mergeCell ref="C4873:J4873"/>
    <mergeCell ref="C4874:J4874"/>
    <mergeCell ref="K4874:K4875"/>
    <mergeCell ref="L4874:N4875"/>
    <mergeCell ref="L4843:M4843"/>
    <mergeCell ref="B4844:M4844"/>
    <mergeCell ref="B4846:M4846"/>
    <mergeCell ref="B4856:N4856"/>
    <mergeCell ref="B4857:N4857"/>
    <mergeCell ref="B4860:N4861"/>
    <mergeCell ref="B4837:N4839"/>
    <mergeCell ref="B4840:H4840"/>
    <mergeCell ref="L4840:M4840"/>
    <mergeCell ref="B4841:H4841"/>
    <mergeCell ref="L4841:M4841"/>
    <mergeCell ref="L4842:M4842"/>
    <mergeCell ref="B4832:I4832"/>
    <mergeCell ref="L4832:M4832"/>
    <mergeCell ref="L4833:M4833"/>
    <mergeCell ref="B4834:M4834"/>
    <mergeCell ref="B4835:M4835"/>
    <mergeCell ref="B4836:M4836"/>
    <mergeCell ref="B4824:M4824"/>
    <mergeCell ref="B4825:N4827"/>
    <mergeCell ref="B4828:H4828"/>
    <mergeCell ref="L4828:M4828"/>
    <mergeCell ref="L4829:M4829"/>
    <mergeCell ref="B4830:M4830"/>
    <mergeCell ref="B4818:M4818"/>
    <mergeCell ref="B4819:N4821"/>
    <mergeCell ref="B4822:H4822"/>
    <mergeCell ref="L4822:M4822"/>
    <mergeCell ref="B4823:H4823"/>
    <mergeCell ref="L4823:M4823"/>
    <mergeCell ref="B4811:M4811"/>
    <mergeCell ref="B4812:N4814"/>
    <mergeCell ref="B4815:I4815"/>
    <mergeCell ref="L4815:M4815"/>
    <mergeCell ref="L4816:M4816"/>
    <mergeCell ref="L4817:M4817"/>
    <mergeCell ref="B4806:N4808"/>
    <mergeCell ref="B4809:F4809"/>
    <mergeCell ref="G4809:H4809"/>
    <mergeCell ref="I4809:J4809"/>
    <mergeCell ref="L4809:M4809"/>
    <mergeCell ref="B4810:F4810"/>
    <mergeCell ref="I4810:J4810"/>
    <mergeCell ref="L4810:M4810"/>
    <mergeCell ref="B4798:E4798"/>
    <mergeCell ref="B4802:N4802"/>
    <mergeCell ref="C4804:K4804"/>
    <mergeCell ref="L4804:M4804"/>
    <mergeCell ref="C4805:K4805"/>
    <mergeCell ref="L4805:M4805"/>
    <mergeCell ref="C4792:J4793"/>
    <mergeCell ref="K4792:K4794"/>
    <mergeCell ref="L4792:L4794"/>
    <mergeCell ref="M4792:M4794"/>
    <mergeCell ref="N4792:N4794"/>
    <mergeCell ref="C4794:J4794"/>
    <mergeCell ref="J4785:N4786"/>
    <mergeCell ref="B4786:D4786"/>
    <mergeCell ref="B4788:B4794"/>
    <mergeCell ref="C4788:J4788"/>
    <mergeCell ref="K4788:N4789"/>
    <mergeCell ref="C4789:J4789"/>
    <mergeCell ref="C4790:J4790"/>
    <mergeCell ref="K4790:K4791"/>
    <mergeCell ref="L4790:N4791"/>
    <mergeCell ref="C4791:J4791"/>
    <mergeCell ref="B4760:M4760"/>
    <mergeCell ref="B4762:M4762"/>
    <mergeCell ref="B4772:N4772"/>
    <mergeCell ref="B4773:N4773"/>
    <mergeCell ref="B4776:N4777"/>
    <mergeCell ref="B4778:N4779"/>
    <mergeCell ref="B4756:H4756"/>
    <mergeCell ref="L4756:M4756"/>
    <mergeCell ref="B4757:H4757"/>
    <mergeCell ref="L4757:M4757"/>
    <mergeCell ref="L4758:M4758"/>
    <mergeCell ref="L4759:M4759"/>
    <mergeCell ref="B4747:I4747"/>
    <mergeCell ref="L4747:M4747"/>
    <mergeCell ref="L4748:M4748"/>
    <mergeCell ref="B4749:M4749"/>
    <mergeCell ref="B4752:M4752"/>
    <mergeCell ref="B4753:N4755"/>
    <mergeCell ref="B4739:M4739"/>
    <mergeCell ref="B4740:N4742"/>
    <mergeCell ref="B4743:H4743"/>
    <mergeCell ref="L4743:M4743"/>
    <mergeCell ref="L4744:M4744"/>
    <mergeCell ref="B4745:M4745"/>
    <mergeCell ref="B4733:M4733"/>
    <mergeCell ref="B4734:N4736"/>
    <mergeCell ref="B4737:H4737"/>
    <mergeCell ref="L4737:M4737"/>
    <mergeCell ref="B4738:H4738"/>
    <mergeCell ref="L4738:M4738"/>
    <mergeCell ref="B4726:M4726"/>
    <mergeCell ref="B4727:N4729"/>
    <mergeCell ref="B4730:I4730"/>
    <mergeCell ref="L4730:M4730"/>
    <mergeCell ref="L4731:M4731"/>
    <mergeCell ref="L4732:M4732"/>
    <mergeCell ref="B4721:N4723"/>
    <mergeCell ref="B4724:F4724"/>
    <mergeCell ref="G4724:H4724"/>
    <mergeCell ref="I4724:J4724"/>
    <mergeCell ref="L4724:M4724"/>
    <mergeCell ref="B4725:F4725"/>
    <mergeCell ref="I4725:J4725"/>
    <mergeCell ref="L4725:M4725"/>
    <mergeCell ref="B4713:E4713"/>
    <mergeCell ref="B4717:N4717"/>
    <mergeCell ref="C4719:K4719"/>
    <mergeCell ref="L4719:M4719"/>
    <mergeCell ref="C4720:K4720"/>
    <mergeCell ref="L4720:M4720"/>
    <mergeCell ref="L4705:N4706"/>
    <mergeCell ref="C4706:J4706"/>
    <mergeCell ref="C4707:J4708"/>
    <mergeCell ref="K4707:K4709"/>
    <mergeCell ref="L4707:L4709"/>
    <mergeCell ref="M4707:M4709"/>
    <mergeCell ref="N4707:N4709"/>
    <mergeCell ref="C4709:J4709"/>
    <mergeCell ref="B4691:N4692"/>
    <mergeCell ref="B4693:N4694"/>
    <mergeCell ref="J4700:N4701"/>
    <mergeCell ref="B4701:D4701"/>
    <mergeCell ref="B4703:B4709"/>
    <mergeCell ref="C4703:J4703"/>
    <mergeCell ref="K4703:N4704"/>
    <mergeCell ref="C4704:J4704"/>
    <mergeCell ref="C4705:J4705"/>
    <mergeCell ref="K4705:K4706"/>
    <mergeCell ref="L4673:M4673"/>
    <mergeCell ref="L4674:M4674"/>
    <mergeCell ref="B4675:M4675"/>
    <mergeCell ref="B4677:M4677"/>
    <mergeCell ref="B4687:N4687"/>
    <mergeCell ref="B4688:N4688"/>
    <mergeCell ref="B4667:M4667"/>
    <mergeCell ref="B4668:N4670"/>
    <mergeCell ref="B4671:H4671"/>
    <mergeCell ref="L4671:M4671"/>
    <mergeCell ref="B4672:H4672"/>
    <mergeCell ref="L4672:M4672"/>
    <mergeCell ref="B4663:I4663"/>
    <mergeCell ref="L4663:M4663"/>
    <mergeCell ref="B4664:H4664"/>
    <mergeCell ref="L4664:M4664"/>
    <mergeCell ref="B4665:M4665"/>
    <mergeCell ref="B4666:M4666"/>
    <mergeCell ref="L4656:M4656"/>
    <mergeCell ref="B4657:M4657"/>
    <mergeCell ref="B4659:I4659"/>
    <mergeCell ref="L4659:M4659"/>
    <mergeCell ref="L4660:M4660"/>
    <mergeCell ref="B4661:M4661"/>
    <mergeCell ref="B4650:H4650"/>
    <mergeCell ref="L4650:M4650"/>
    <mergeCell ref="B4651:M4651"/>
    <mergeCell ref="B4652:N4654"/>
    <mergeCell ref="B4655:H4655"/>
    <mergeCell ref="L4655:M4655"/>
    <mergeCell ref="L4643:M4643"/>
    <mergeCell ref="L4644:M4644"/>
    <mergeCell ref="B4645:M4645"/>
    <mergeCell ref="B4646:N4648"/>
    <mergeCell ref="B4649:H4649"/>
    <mergeCell ref="L4649:M4649"/>
    <mergeCell ref="B4636:M4636"/>
    <mergeCell ref="B4637:N4639"/>
    <mergeCell ref="B4640:I4640"/>
    <mergeCell ref="L4640:M4640"/>
    <mergeCell ref="L4641:M4641"/>
    <mergeCell ref="L4642:M4642"/>
    <mergeCell ref="B4631:N4633"/>
    <mergeCell ref="B4634:F4634"/>
    <mergeCell ref="G4634:H4634"/>
    <mergeCell ref="I4634:J4634"/>
    <mergeCell ref="L4634:M4634"/>
    <mergeCell ref="B4635:F4635"/>
    <mergeCell ref="I4635:J4635"/>
    <mergeCell ref="L4635:M4635"/>
    <mergeCell ref="B4623:E4623"/>
    <mergeCell ref="B4627:N4627"/>
    <mergeCell ref="C4629:K4629"/>
    <mergeCell ref="L4629:M4629"/>
    <mergeCell ref="C4630:K4630"/>
    <mergeCell ref="L4630:M4630"/>
    <mergeCell ref="C4617:J4618"/>
    <mergeCell ref="K4617:K4619"/>
    <mergeCell ref="L4617:L4619"/>
    <mergeCell ref="M4617:M4619"/>
    <mergeCell ref="N4617:N4619"/>
    <mergeCell ref="C4619:J4619"/>
    <mergeCell ref="J4610:N4611"/>
    <mergeCell ref="B4611:D4611"/>
    <mergeCell ref="B4613:B4619"/>
    <mergeCell ref="C4613:J4613"/>
    <mergeCell ref="K4613:N4614"/>
    <mergeCell ref="C4614:J4614"/>
    <mergeCell ref="C4615:J4615"/>
    <mergeCell ref="K4615:K4616"/>
    <mergeCell ref="L4615:N4616"/>
    <mergeCell ref="C4616:J4616"/>
    <mergeCell ref="B4585:M4585"/>
    <mergeCell ref="B4587:M4587"/>
    <mergeCell ref="B4597:N4597"/>
    <mergeCell ref="B4598:N4598"/>
    <mergeCell ref="B4601:N4602"/>
    <mergeCell ref="B4603:N4604"/>
    <mergeCell ref="B4581:H4581"/>
    <mergeCell ref="L4581:M4581"/>
    <mergeCell ref="B4582:H4582"/>
    <mergeCell ref="L4582:M4582"/>
    <mergeCell ref="L4583:M4583"/>
    <mergeCell ref="L4584:M4584"/>
    <mergeCell ref="B4572:I4572"/>
    <mergeCell ref="L4572:M4572"/>
    <mergeCell ref="L4573:M4573"/>
    <mergeCell ref="B4574:M4574"/>
    <mergeCell ref="B4577:M4577"/>
    <mergeCell ref="B4578:N4580"/>
    <mergeCell ref="B4564:M4564"/>
    <mergeCell ref="B4565:N4567"/>
    <mergeCell ref="B4568:H4568"/>
    <mergeCell ref="L4568:M4568"/>
    <mergeCell ref="L4569:M4569"/>
    <mergeCell ref="B4570:M4570"/>
    <mergeCell ref="B4558:M4558"/>
    <mergeCell ref="B4559:N4561"/>
    <mergeCell ref="B4562:H4562"/>
    <mergeCell ref="L4562:M4562"/>
    <mergeCell ref="B4563:H4563"/>
    <mergeCell ref="L4563:M4563"/>
    <mergeCell ref="B4551:M4551"/>
    <mergeCell ref="B4552:N4554"/>
    <mergeCell ref="B4555:I4555"/>
    <mergeCell ref="L4555:M4555"/>
    <mergeCell ref="L4556:M4556"/>
    <mergeCell ref="L4557:M4557"/>
    <mergeCell ref="B4546:N4548"/>
    <mergeCell ref="B4549:F4549"/>
    <mergeCell ref="G4549:H4549"/>
    <mergeCell ref="I4549:J4549"/>
    <mergeCell ref="L4549:M4549"/>
    <mergeCell ref="B4550:F4550"/>
    <mergeCell ref="I4550:J4550"/>
    <mergeCell ref="L4550:M4550"/>
    <mergeCell ref="B4538:E4538"/>
    <mergeCell ref="B4542:N4542"/>
    <mergeCell ref="C4544:K4544"/>
    <mergeCell ref="L4544:M4544"/>
    <mergeCell ref="C4545:K4545"/>
    <mergeCell ref="L4545:M4545"/>
    <mergeCell ref="C4532:J4533"/>
    <mergeCell ref="K4532:K4534"/>
    <mergeCell ref="L4532:L4534"/>
    <mergeCell ref="M4532:M4534"/>
    <mergeCell ref="N4532:N4534"/>
    <mergeCell ref="C4534:J4534"/>
    <mergeCell ref="J4525:N4526"/>
    <mergeCell ref="B4526:D4526"/>
    <mergeCell ref="B4528:B4534"/>
    <mergeCell ref="C4528:J4528"/>
    <mergeCell ref="K4528:N4529"/>
    <mergeCell ref="C4529:J4529"/>
    <mergeCell ref="C4530:J4530"/>
    <mergeCell ref="K4530:K4531"/>
    <mergeCell ref="L4530:N4531"/>
    <mergeCell ref="C4531:J4531"/>
    <mergeCell ref="B4500:M4500"/>
    <mergeCell ref="B4502:M4502"/>
    <mergeCell ref="B4512:N4512"/>
    <mergeCell ref="B4513:N4513"/>
    <mergeCell ref="B4516:N4517"/>
    <mergeCell ref="B4518:N4519"/>
    <mergeCell ref="B4496:H4496"/>
    <mergeCell ref="L4496:M4496"/>
    <mergeCell ref="B4497:H4497"/>
    <mergeCell ref="L4497:M4497"/>
    <mergeCell ref="L4498:M4498"/>
    <mergeCell ref="L4499:M4499"/>
    <mergeCell ref="B4487:I4487"/>
    <mergeCell ref="L4487:M4487"/>
    <mergeCell ref="L4488:M4488"/>
    <mergeCell ref="B4489:M4489"/>
    <mergeCell ref="B4492:M4492"/>
    <mergeCell ref="B4493:N4495"/>
    <mergeCell ref="B4479:M4479"/>
    <mergeCell ref="B4480:N4482"/>
    <mergeCell ref="B4483:H4483"/>
    <mergeCell ref="L4483:M4483"/>
    <mergeCell ref="L4484:M4484"/>
    <mergeCell ref="B4485:M4485"/>
    <mergeCell ref="B4473:M4473"/>
    <mergeCell ref="B4474:N4476"/>
    <mergeCell ref="B4477:H4477"/>
    <mergeCell ref="L4477:M4477"/>
    <mergeCell ref="B4478:H4478"/>
    <mergeCell ref="L4478:M4478"/>
    <mergeCell ref="B4466:M4466"/>
    <mergeCell ref="B4467:N4469"/>
    <mergeCell ref="B4470:I4470"/>
    <mergeCell ref="L4470:M4470"/>
    <mergeCell ref="L4471:M4471"/>
    <mergeCell ref="L4472:M4472"/>
    <mergeCell ref="B4461:N4463"/>
    <mergeCell ref="B4464:F4464"/>
    <mergeCell ref="G4464:H4464"/>
    <mergeCell ref="I4464:J4464"/>
    <mergeCell ref="L4464:M4464"/>
    <mergeCell ref="B4465:F4465"/>
    <mergeCell ref="I4465:J4465"/>
    <mergeCell ref="L4465:M4465"/>
    <mergeCell ref="B4453:E4453"/>
    <mergeCell ref="B4457:N4457"/>
    <mergeCell ref="C4459:K4459"/>
    <mergeCell ref="L4459:M4459"/>
    <mergeCell ref="C4460:K4460"/>
    <mergeCell ref="L4460:M4460"/>
    <mergeCell ref="C4447:J4448"/>
    <mergeCell ref="K4447:K4449"/>
    <mergeCell ref="L4447:L4449"/>
    <mergeCell ref="M4447:M4449"/>
    <mergeCell ref="N4447:N4449"/>
    <mergeCell ref="C4449:J4449"/>
    <mergeCell ref="J4440:N4441"/>
    <mergeCell ref="B4441:D4441"/>
    <mergeCell ref="B4443:B4449"/>
    <mergeCell ref="C4443:J4443"/>
    <mergeCell ref="K4443:N4444"/>
    <mergeCell ref="C4444:J4444"/>
    <mergeCell ref="C4445:J4445"/>
    <mergeCell ref="K4445:K4446"/>
    <mergeCell ref="L4445:N4446"/>
    <mergeCell ref="C4446:J4446"/>
    <mergeCell ref="B4415:M4415"/>
    <mergeCell ref="B4417:M4417"/>
    <mergeCell ref="B4427:N4427"/>
    <mergeCell ref="B4428:N4428"/>
    <mergeCell ref="B4431:N4432"/>
    <mergeCell ref="B4433:N4434"/>
    <mergeCell ref="B4411:H4411"/>
    <mergeCell ref="L4411:M4411"/>
    <mergeCell ref="B4412:H4412"/>
    <mergeCell ref="L4412:M4412"/>
    <mergeCell ref="L4413:M4413"/>
    <mergeCell ref="L4414:M4414"/>
    <mergeCell ref="B4402:I4402"/>
    <mergeCell ref="L4402:M4402"/>
    <mergeCell ref="L4403:M4403"/>
    <mergeCell ref="B4404:M4404"/>
    <mergeCell ref="B4407:M4407"/>
    <mergeCell ref="B4408:N4410"/>
    <mergeCell ref="B4394:M4394"/>
    <mergeCell ref="B4395:N4397"/>
    <mergeCell ref="B4398:H4398"/>
    <mergeCell ref="L4398:M4398"/>
    <mergeCell ref="L4399:M4399"/>
    <mergeCell ref="B4400:M4400"/>
    <mergeCell ref="B4388:M4388"/>
    <mergeCell ref="B4389:N4391"/>
    <mergeCell ref="B4392:H4392"/>
    <mergeCell ref="L4392:M4392"/>
    <mergeCell ref="B4393:H4393"/>
    <mergeCell ref="L4393:M4393"/>
    <mergeCell ref="B4381:M4381"/>
    <mergeCell ref="B4382:N4384"/>
    <mergeCell ref="B4385:I4385"/>
    <mergeCell ref="L4385:M4385"/>
    <mergeCell ref="L4386:M4386"/>
    <mergeCell ref="L4387:M4387"/>
    <mergeCell ref="B4376:N4378"/>
    <mergeCell ref="B4379:F4379"/>
    <mergeCell ref="G4379:H4379"/>
    <mergeCell ref="I4379:J4379"/>
    <mergeCell ref="L4379:M4379"/>
    <mergeCell ref="B4380:F4380"/>
    <mergeCell ref="I4380:J4380"/>
    <mergeCell ref="L4380:M4380"/>
    <mergeCell ref="B4368:E4368"/>
    <mergeCell ref="B4372:N4372"/>
    <mergeCell ref="C4374:K4374"/>
    <mergeCell ref="L4374:M4374"/>
    <mergeCell ref="C4375:K4375"/>
    <mergeCell ref="L4375:M4375"/>
    <mergeCell ref="C4362:J4363"/>
    <mergeCell ref="K4362:K4364"/>
    <mergeCell ref="L4362:L4364"/>
    <mergeCell ref="M4362:M4364"/>
    <mergeCell ref="N4362:N4364"/>
    <mergeCell ref="C4364:J4364"/>
    <mergeCell ref="J4355:N4356"/>
    <mergeCell ref="B4356:D4356"/>
    <mergeCell ref="B4358:B4364"/>
    <mergeCell ref="C4358:J4358"/>
    <mergeCell ref="K4358:N4359"/>
    <mergeCell ref="C4359:J4359"/>
    <mergeCell ref="C4360:J4360"/>
    <mergeCell ref="K4360:K4361"/>
    <mergeCell ref="L4360:N4361"/>
    <mergeCell ref="C4361:J4361"/>
    <mergeCell ref="B4330:M4330"/>
    <mergeCell ref="B4332:M4332"/>
    <mergeCell ref="B4342:N4342"/>
    <mergeCell ref="B4343:N4343"/>
    <mergeCell ref="B4346:N4347"/>
    <mergeCell ref="B4348:N4349"/>
    <mergeCell ref="B4326:H4326"/>
    <mergeCell ref="L4326:M4326"/>
    <mergeCell ref="B4327:H4327"/>
    <mergeCell ref="L4327:M4327"/>
    <mergeCell ref="L4328:M4328"/>
    <mergeCell ref="L4329:M4329"/>
    <mergeCell ref="B4317:I4317"/>
    <mergeCell ref="L4317:M4317"/>
    <mergeCell ref="L4318:M4318"/>
    <mergeCell ref="B4319:M4319"/>
    <mergeCell ref="B4322:M4322"/>
    <mergeCell ref="B4323:N4325"/>
    <mergeCell ref="B4309:M4309"/>
    <mergeCell ref="B4310:N4312"/>
    <mergeCell ref="B4313:H4313"/>
    <mergeCell ref="L4313:M4313"/>
    <mergeCell ref="L4314:M4314"/>
    <mergeCell ref="B4315:M4315"/>
    <mergeCell ref="B4303:M4303"/>
    <mergeCell ref="B4304:N4306"/>
    <mergeCell ref="B4307:H4307"/>
    <mergeCell ref="L4307:M4307"/>
    <mergeCell ref="B4308:H4308"/>
    <mergeCell ref="L4308:M4308"/>
    <mergeCell ref="B4296:M4296"/>
    <mergeCell ref="B4297:N4299"/>
    <mergeCell ref="B4300:I4300"/>
    <mergeCell ref="L4300:M4300"/>
    <mergeCell ref="L4301:M4301"/>
    <mergeCell ref="L4302:M4302"/>
    <mergeCell ref="B4291:N4293"/>
    <mergeCell ref="B4294:F4294"/>
    <mergeCell ref="G4294:H4294"/>
    <mergeCell ref="I4294:J4294"/>
    <mergeCell ref="L4294:M4294"/>
    <mergeCell ref="B4295:F4295"/>
    <mergeCell ref="I4295:J4295"/>
    <mergeCell ref="L4295:M4295"/>
    <mergeCell ref="B4283:E4283"/>
    <mergeCell ref="B4287:N4287"/>
    <mergeCell ref="C4289:K4289"/>
    <mergeCell ref="L4289:M4289"/>
    <mergeCell ref="C4290:K4290"/>
    <mergeCell ref="L4290:M4290"/>
    <mergeCell ref="C4277:J4278"/>
    <mergeCell ref="K4277:K4279"/>
    <mergeCell ref="L4277:L4279"/>
    <mergeCell ref="M4277:M4279"/>
    <mergeCell ref="N4277:N4279"/>
    <mergeCell ref="C4279:J4279"/>
    <mergeCell ref="J4270:N4271"/>
    <mergeCell ref="B4271:D4271"/>
    <mergeCell ref="B4273:B4279"/>
    <mergeCell ref="C4273:J4273"/>
    <mergeCell ref="K4273:N4274"/>
    <mergeCell ref="C4274:J4274"/>
    <mergeCell ref="C4275:J4275"/>
    <mergeCell ref="K4275:K4276"/>
    <mergeCell ref="L4275:N4276"/>
    <mergeCell ref="C4276:J4276"/>
    <mergeCell ref="B4245:M4245"/>
    <mergeCell ref="B4247:M4247"/>
    <mergeCell ref="B4257:N4257"/>
    <mergeCell ref="B4258:N4258"/>
    <mergeCell ref="B4261:N4262"/>
    <mergeCell ref="B4263:N4264"/>
    <mergeCell ref="B4241:H4241"/>
    <mergeCell ref="L4241:M4241"/>
    <mergeCell ref="B4242:H4242"/>
    <mergeCell ref="L4242:M4242"/>
    <mergeCell ref="L4243:M4243"/>
    <mergeCell ref="L4244:M4244"/>
    <mergeCell ref="B4232:I4232"/>
    <mergeCell ref="L4232:M4232"/>
    <mergeCell ref="L4233:M4233"/>
    <mergeCell ref="B4234:M4234"/>
    <mergeCell ref="B4237:M4237"/>
    <mergeCell ref="B4238:N4240"/>
    <mergeCell ref="B4224:M4224"/>
    <mergeCell ref="B4225:N4227"/>
    <mergeCell ref="B4228:H4228"/>
    <mergeCell ref="L4228:M4228"/>
    <mergeCell ref="L4229:M4229"/>
    <mergeCell ref="B4230:M4230"/>
    <mergeCell ref="B4218:M4218"/>
    <mergeCell ref="B4219:N4221"/>
    <mergeCell ref="B4222:H4222"/>
    <mergeCell ref="L4222:M4222"/>
    <mergeCell ref="B4223:H4223"/>
    <mergeCell ref="L4223:M4223"/>
    <mergeCell ref="B4211:M4211"/>
    <mergeCell ref="B4212:N4214"/>
    <mergeCell ref="B4215:I4215"/>
    <mergeCell ref="L4215:M4215"/>
    <mergeCell ref="L4216:M4216"/>
    <mergeCell ref="L4217:M4217"/>
    <mergeCell ref="B4206:N4208"/>
    <mergeCell ref="B4209:F4209"/>
    <mergeCell ref="G4209:H4209"/>
    <mergeCell ref="I4209:J4209"/>
    <mergeCell ref="L4209:M4209"/>
    <mergeCell ref="B4210:F4210"/>
    <mergeCell ref="I4210:J4210"/>
    <mergeCell ref="L4210:M4210"/>
    <mergeCell ref="B4198:E4198"/>
    <mergeCell ref="B4202:N4202"/>
    <mergeCell ref="C4204:K4204"/>
    <mergeCell ref="L4204:M4204"/>
    <mergeCell ref="C4205:K4205"/>
    <mergeCell ref="L4205:M4205"/>
    <mergeCell ref="C4192:J4193"/>
    <mergeCell ref="K4192:K4194"/>
    <mergeCell ref="L4192:L4194"/>
    <mergeCell ref="M4192:M4194"/>
    <mergeCell ref="N4192:N4194"/>
    <mergeCell ref="C4194:J4194"/>
    <mergeCell ref="J4185:N4186"/>
    <mergeCell ref="B4186:D4186"/>
    <mergeCell ref="B4188:B4194"/>
    <mergeCell ref="C4188:J4188"/>
    <mergeCell ref="K4188:N4189"/>
    <mergeCell ref="C4189:J4189"/>
    <mergeCell ref="C4190:J4190"/>
    <mergeCell ref="K4190:K4191"/>
    <mergeCell ref="L4190:N4191"/>
    <mergeCell ref="C4191:J4191"/>
    <mergeCell ref="B4160:M4160"/>
    <mergeCell ref="B4162:M4162"/>
    <mergeCell ref="B4172:N4172"/>
    <mergeCell ref="B4173:N4173"/>
    <mergeCell ref="B4176:N4177"/>
    <mergeCell ref="B4178:N4179"/>
    <mergeCell ref="B4156:H4156"/>
    <mergeCell ref="L4156:M4156"/>
    <mergeCell ref="B4157:H4157"/>
    <mergeCell ref="L4157:M4157"/>
    <mergeCell ref="L4158:M4158"/>
    <mergeCell ref="L4159:M4159"/>
    <mergeCell ref="B4147:I4147"/>
    <mergeCell ref="L4147:M4147"/>
    <mergeCell ref="L4148:M4148"/>
    <mergeCell ref="B4149:M4149"/>
    <mergeCell ref="B4152:M4152"/>
    <mergeCell ref="B4153:N4155"/>
    <mergeCell ref="B4139:M4139"/>
    <mergeCell ref="B4140:N4142"/>
    <mergeCell ref="B4143:H4143"/>
    <mergeCell ref="L4143:M4143"/>
    <mergeCell ref="L4144:M4144"/>
    <mergeCell ref="B4145:M4145"/>
    <mergeCell ref="L4132:M4132"/>
    <mergeCell ref="B4133:M4133"/>
    <mergeCell ref="B4134:N4136"/>
    <mergeCell ref="B4137:H4137"/>
    <mergeCell ref="L4137:M4137"/>
    <mergeCell ref="B4138:H4138"/>
    <mergeCell ref="L4138:M4138"/>
    <mergeCell ref="B4125:M4125"/>
    <mergeCell ref="B4126:N4128"/>
    <mergeCell ref="B4129:I4129"/>
    <mergeCell ref="L4129:M4129"/>
    <mergeCell ref="L4130:M4130"/>
    <mergeCell ref="L4131:M4131"/>
    <mergeCell ref="B4123:F4123"/>
    <mergeCell ref="I4123:J4123"/>
    <mergeCell ref="L4123:M4123"/>
    <mergeCell ref="B4124:F4124"/>
    <mergeCell ref="I4124:J4124"/>
    <mergeCell ref="L4124:M4124"/>
    <mergeCell ref="B4121:F4121"/>
    <mergeCell ref="I4121:J4121"/>
    <mergeCell ref="L4121:M4121"/>
    <mergeCell ref="B4122:F4122"/>
    <mergeCell ref="I4122:J4122"/>
    <mergeCell ref="L4122:M4122"/>
    <mergeCell ref="B4119:F4119"/>
    <mergeCell ref="I4119:J4119"/>
    <mergeCell ref="L4119:M4119"/>
    <mergeCell ref="B4120:F4120"/>
    <mergeCell ref="I4120:J4120"/>
    <mergeCell ref="L4120:M4120"/>
    <mergeCell ref="C4113:K4113"/>
    <mergeCell ref="L4113:M4113"/>
    <mergeCell ref="C4114:K4114"/>
    <mergeCell ref="L4114:M4114"/>
    <mergeCell ref="B4115:N4117"/>
    <mergeCell ref="B4118:F4118"/>
    <mergeCell ref="G4118:H4118"/>
    <mergeCell ref="I4118:J4118"/>
    <mergeCell ref="L4118:M4118"/>
    <mergeCell ref="L4101:L4103"/>
    <mergeCell ref="M4101:M4103"/>
    <mergeCell ref="N4101:N4103"/>
    <mergeCell ref="C4103:J4103"/>
    <mergeCell ref="B4107:E4107"/>
    <mergeCell ref="B4111:N4111"/>
    <mergeCell ref="B4097:B4103"/>
    <mergeCell ref="C4097:J4097"/>
    <mergeCell ref="K4097:N4098"/>
    <mergeCell ref="C4098:J4098"/>
    <mergeCell ref="C4099:J4099"/>
    <mergeCell ref="K4099:K4100"/>
    <mergeCell ref="L4099:N4100"/>
    <mergeCell ref="C4100:J4100"/>
    <mergeCell ref="C4101:J4102"/>
    <mergeCell ref="K4101:K4103"/>
    <mergeCell ref="B4081:N4081"/>
    <mergeCell ref="B4082:N4082"/>
    <mergeCell ref="B4085:N4086"/>
    <mergeCell ref="B4087:N4088"/>
    <mergeCell ref="J4094:N4095"/>
    <mergeCell ref="B4095:D4095"/>
    <mergeCell ref="B4066:H4066"/>
    <mergeCell ref="L4066:M4066"/>
    <mergeCell ref="L4067:M4067"/>
    <mergeCell ref="L4068:M4068"/>
    <mergeCell ref="B4069:M4069"/>
    <mergeCell ref="B4071:M4071"/>
    <mergeCell ref="L4058:M4058"/>
    <mergeCell ref="B4059:M4059"/>
    <mergeCell ref="B4061:M4061"/>
    <mergeCell ref="B4062:N4064"/>
    <mergeCell ref="B4065:H4065"/>
    <mergeCell ref="L4065:M4065"/>
    <mergeCell ref="B4052:I4052"/>
    <mergeCell ref="L4052:M4052"/>
    <mergeCell ref="L4053:M4053"/>
    <mergeCell ref="B4054:M4054"/>
    <mergeCell ref="B4057:I4057"/>
    <mergeCell ref="L4057:M4057"/>
    <mergeCell ref="B4044:M4044"/>
    <mergeCell ref="B4045:N4047"/>
    <mergeCell ref="B4048:H4048"/>
    <mergeCell ref="L4048:M4048"/>
    <mergeCell ref="L4049:M4049"/>
    <mergeCell ref="B4050:M4050"/>
    <mergeCell ref="L4037:M4037"/>
    <mergeCell ref="B4038:M4038"/>
    <mergeCell ref="B4039:N4041"/>
    <mergeCell ref="B4042:H4042"/>
    <mergeCell ref="L4042:M4042"/>
    <mergeCell ref="B4043:H4043"/>
    <mergeCell ref="L4043:M4043"/>
    <mergeCell ref="B4030:M4030"/>
    <mergeCell ref="B4031:N4033"/>
    <mergeCell ref="B4034:I4034"/>
    <mergeCell ref="L4034:M4034"/>
    <mergeCell ref="L4035:M4035"/>
    <mergeCell ref="L4036:M4036"/>
    <mergeCell ref="B4028:F4028"/>
    <mergeCell ref="I4028:J4028"/>
    <mergeCell ref="L4028:M4028"/>
    <mergeCell ref="B4029:F4029"/>
    <mergeCell ref="I4029:J4029"/>
    <mergeCell ref="L4029:M4029"/>
    <mergeCell ref="B4026:F4026"/>
    <mergeCell ref="I4026:J4026"/>
    <mergeCell ref="L4026:M4026"/>
    <mergeCell ref="B4027:F4027"/>
    <mergeCell ref="I4027:J4027"/>
    <mergeCell ref="L4027:M4027"/>
    <mergeCell ref="B4024:F4024"/>
    <mergeCell ref="I4024:J4024"/>
    <mergeCell ref="L4024:M4024"/>
    <mergeCell ref="B4025:F4025"/>
    <mergeCell ref="I4025:J4025"/>
    <mergeCell ref="L4025:M4025"/>
    <mergeCell ref="B4019:N4021"/>
    <mergeCell ref="B4022:F4022"/>
    <mergeCell ref="G4022:H4022"/>
    <mergeCell ref="I4022:J4022"/>
    <mergeCell ref="L4022:M4022"/>
    <mergeCell ref="B4023:F4023"/>
    <mergeCell ref="I4023:J4023"/>
    <mergeCell ref="L4023:M4023"/>
    <mergeCell ref="B4011:E4011"/>
    <mergeCell ref="B4015:N4015"/>
    <mergeCell ref="C4017:K4017"/>
    <mergeCell ref="L4017:M4017"/>
    <mergeCell ref="C4018:K4018"/>
    <mergeCell ref="L4018:M4018"/>
    <mergeCell ref="L4003:N4004"/>
    <mergeCell ref="C4004:J4004"/>
    <mergeCell ref="C4005:J4006"/>
    <mergeCell ref="K4005:K4007"/>
    <mergeCell ref="L4005:L4007"/>
    <mergeCell ref="M4005:M4007"/>
    <mergeCell ref="N4005:N4007"/>
    <mergeCell ref="C4007:J4007"/>
    <mergeCell ref="B3989:N3990"/>
    <mergeCell ref="B3991:N3992"/>
    <mergeCell ref="J3998:N3999"/>
    <mergeCell ref="B3999:D3999"/>
    <mergeCell ref="B4001:B4007"/>
    <mergeCell ref="C4001:J4001"/>
    <mergeCell ref="K4001:N4002"/>
    <mergeCell ref="C4002:J4002"/>
    <mergeCell ref="C4003:J4003"/>
    <mergeCell ref="K4003:K4004"/>
    <mergeCell ref="L3971:M3971"/>
    <mergeCell ref="L3972:M3972"/>
    <mergeCell ref="B3973:M3973"/>
    <mergeCell ref="B3975:M3975"/>
    <mergeCell ref="B3985:N3985"/>
    <mergeCell ref="B3986:N3986"/>
    <mergeCell ref="B3965:M3965"/>
    <mergeCell ref="B3966:N3968"/>
    <mergeCell ref="B3969:H3969"/>
    <mergeCell ref="L3969:M3969"/>
    <mergeCell ref="B3970:H3970"/>
    <mergeCell ref="L3970:M3970"/>
    <mergeCell ref="L3957:M3957"/>
    <mergeCell ref="B3958:M3958"/>
    <mergeCell ref="B3960:I3960"/>
    <mergeCell ref="L3960:M3960"/>
    <mergeCell ref="L3961:M3961"/>
    <mergeCell ref="B3962:M3962"/>
    <mergeCell ref="B3951:H3951"/>
    <mergeCell ref="L3951:M3951"/>
    <mergeCell ref="B3952:M3952"/>
    <mergeCell ref="B3953:N3955"/>
    <mergeCell ref="B3956:H3956"/>
    <mergeCell ref="L3956:M3956"/>
    <mergeCell ref="L3943:M3943"/>
    <mergeCell ref="L3944:M3944"/>
    <mergeCell ref="L3945:M3945"/>
    <mergeCell ref="B3946:M3946"/>
    <mergeCell ref="B3947:N3949"/>
    <mergeCell ref="B3950:H3950"/>
    <mergeCell ref="L3950:M3950"/>
    <mergeCell ref="B3937:F3937"/>
    <mergeCell ref="I3937:J3937"/>
    <mergeCell ref="L3937:M3937"/>
    <mergeCell ref="B3938:M3938"/>
    <mergeCell ref="B3939:N3941"/>
    <mergeCell ref="B3942:I3942"/>
    <mergeCell ref="L3942:M3942"/>
    <mergeCell ref="B3935:F3935"/>
    <mergeCell ref="I3935:J3935"/>
    <mergeCell ref="L3935:M3935"/>
    <mergeCell ref="B3936:F3936"/>
    <mergeCell ref="I3936:J3936"/>
    <mergeCell ref="L3936:M3936"/>
    <mergeCell ref="B3933:F3933"/>
    <mergeCell ref="I3933:J3933"/>
    <mergeCell ref="L3933:M3933"/>
    <mergeCell ref="B3934:F3934"/>
    <mergeCell ref="I3934:J3934"/>
    <mergeCell ref="L3934:M3934"/>
    <mergeCell ref="B3931:F3931"/>
    <mergeCell ref="I3931:J3931"/>
    <mergeCell ref="L3931:M3931"/>
    <mergeCell ref="B3932:F3932"/>
    <mergeCell ref="I3932:J3932"/>
    <mergeCell ref="L3932:M3932"/>
    <mergeCell ref="C3925:K3925"/>
    <mergeCell ref="L3925:M3925"/>
    <mergeCell ref="C3926:K3926"/>
    <mergeCell ref="L3926:M3926"/>
    <mergeCell ref="B3927:N3929"/>
    <mergeCell ref="B3930:F3930"/>
    <mergeCell ref="G3930:H3930"/>
    <mergeCell ref="I3930:J3930"/>
    <mergeCell ref="L3930:M3930"/>
    <mergeCell ref="L3913:L3915"/>
    <mergeCell ref="M3913:M3915"/>
    <mergeCell ref="N3913:N3915"/>
    <mergeCell ref="C3915:J3915"/>
    <mergeCell ref="B3919:E3919"/>
    <mergeCell ref="B3923:N3923"/>
    <mergeCell ref="B3909:B3915"/>
    <mergeCell ref="C3909:J3909"/>
    <mergeCell ref="K3909:N3910"/>
    <mergeCell ref="C3910:J3910"/>
    <mergeCell ref="C3911:J3911"/>
    <mergeCell ref="K3911:K3912"/>
    <mergeCell ref="L3911:N3912"/>
    <mergeCell ref="C3912:J3912"/>
    <mergeCell ref="C3913:J3914"/>
    <mergeCell ref="K3913:K3915"/>
    <mergeCell ref="B3893:N3893"/>
    <mergeCell ref="B3894:N3894"/>
    <mergeCell ref="B3897:N3898"/>
    <mergeCell ref="B3899:N3900"/>
    <mergeCell ref="J3906:N3907"/>
    <mergeCell ref="B3907:D3907"/>
    <mergeCell ref="B3878:H3878"/>
    <mergeCell ref="L3878:M3878"/>
    <mergeCell ref="L3879:M3879"/>
    <mergeCell ref="L3880:M3880"/>
    <mergeCell ref="B3881:M3881"/>
    <mergeCell ref="B3883:M3883"/>
    <mergeCell ref="L3869:M3869"/>
    <mergeCell ref="B3870:M3870"/>
    <mergeCell ref="B3873:M3873"/>
    <mergeCell ref="B3874:N3876"/>
    <mergeCell ref="B3877:H3877"/>
    <mergeCell ref="L3877:M3877"/>
    <mergeCell ref="B3864:H3864"/>
    <mergeCell ref="L3864:M3864"/>
    <mergeCell ref="L3865:M3865"/>
    <mergeCell ref="B3866:M3866"/>
    <mergeCell ref="B3868:I3868"/>
    <mergeCell ref="L3868:M3868"/>
    <mergeCell ref="B3858:H3858"/>
    <mergeCell ref="L3858:M3858"/>
    <mergeCell ref="B3859:H3859"/>
    <mergeCell ref="L3859:M3859"/>
    <mergeCell ref="B3860:M3860"/>
    <mergeCell ref="B3861:N3863"/>
    <mergeCell ref="L3851:M3851"/>
    <mergeCell ref="B3852:I3852"/>
    <mergeCell ref="L3852:M3852"/>
    <mergeCell ref="L3853:M3853"/>
    <mergeCell ref="B3854:M3854"/>
    <mergeCell ref="B3855:N3857"/>
    <mergeCell ref="B3844:M3844"/>
    <mergeCell ref="B3845:N3847"/>
    <mergeCell ref="B3848:I3848"/>
    <mergeCell ref="L3848:M3848"/>
    <mergeCell ref="L3849:M3849"/>
    <mergeCell ref="L3850:M3850"/>
    <mergeCell ref="B3842:F3842"/>
    <mergeCell ref="I3842:J3842"/>
    <mergeCell ref="L3842:M3842"/>
    <mergeCell ref="B3843:F3843"/>
    <mergeCell ref="I3843:J3843"/>
    <mergeCell ref="L3843:M3843"/>
    <mergeCell ref="C3836:K3836"/>
    <mergeCell ref="L3836:M3836"/>
    <mergeCell ref="C3837:K3837"/>
    <mergeCell ref="L3837:M3837"/>
    <mergeCell ref="B3838:N3840"/>
    <mergeCell ref="B3841:F3841"/>
    <mergeCell ref="G3841:H3841"/>
    <mergeCell ref="I3841:J3841"/>
    <mergeCell ref="L3841:M3841"/>
    <mergeCell ref="L3824:L3826"/>
    <mergeCell ref="M3824:M3826"/>
    <mergeCell ref="N3824:N3826"/>
    <mergeCell ref="C3826:J3826"/>
    <mergeCell ref="B3830:E3830"/>
    <mergeCell ref="B3834:N3834"/>
    <mergeCell ref="B3820:B3826"/>
    <mergeCell ref="C3820:J3820"/>
    <mergeCell ref="K3820:N3821"/>
    <mergeCell ref="C3821:J3821"/>
    <mergeCell ref="C3822:J3822"/>
    <mergeCell ref="K3822:K3823"/>
    <mergeCell ref="L3822:N3823"/>
    <mergeCell ref="C3823:J3823"/>
    <mergeCell ref="C3824:J3825"/>
    <mergeCell ref="K3824:K3826"/>
    <mergeCell ref="B3804:N3804"/>
    <mergeCell ref="B3805:N3805"/>
    <mergeCell ref="B3808:N3809"/>
    <mergeCell ref="B3810:N3811"/>
    <mergeCell ref="J3817:N3818"/>
    <mergeCell ref="B3818:D3818"/>
    <mergeCell ref="B3789:H3789"/>
    <mergeCell ref="L3789:M3789"/>
    <mergeCell ref="L3790:M3790"/>
    <mergeCell ref="L3791:M3791"/>
    <mergeCell ref="B3792:M3792"/>
    <mergeCell ref="B3794:M3794"/>
    <mergeCell ref="L3780:M3780"/>
    <mergeCell ref="B3781:M3781"/>
    <mergeCell ref="B3784:M3784"/>
    <mergeCell ref="B3785:N3787"/>
    <mergeCell ref="B3788:H3788"/>
    <mergeCell ref="L3788:M3788"/>
    <mergeCell ref="B3775:H3775"/>
    <mergeCell ref="L3775:M3775"/>
    <mergeCell ref="L3776:M3776"/>
    <mergeCell ref="B3777:M3777"/>
    <mergeCell ref="B3779:I3779"/>
    <mergeCell ref="L3779:M3779"/>
    <mergeCell ref="B3769:H3769"/>
    <mergeCell ref="L3769:M3769"/>
    <mergeCell ref="B3770:H3770"/>
    <mergeCell ref="L3770:M3770"/>
    <mergeCell ref="B3771:M3771"/>
    <mergeCell ref="B3772:N3774"/>
    <mergeCell ref="L3762:M3762"/>
    <mergeCell ref="B3763:I3763"/>
    <mergeCell ref="L3763:M3763"/>
    <mergeCell ref="L3764:M3764"/>
    <mergeCell ref="B3765:M3765"/>
    <mergeCell ref="B3766:N3768"/>
    <mergeCell ref="B3756:F3756"/>
    <mergeCell ref="I3756:J3756"/>
    <mergeCell ref="L3756:M3756"/>
    <mergeCell ref="B3757:M3757"/>
    <mergeCell ref="B3758:N3760"/>
    <mergeCell ref="B3761:I3761"/>
    <mergeCell ref="L3761:M3761"/>
    <mergeCell ref="C3750:K3750"/>
    <mergeCell ref="L3750:M3750"/>
    <mergeCell ref="C3751:K3751"/>
    <mergeCell ref="L3751:M3751"/>
    <mergeCell ref="B3752:N3754"/>
    <mergeCell ref="B3755:F3755"/>
    <mergeCell ref="G3755:H3755"/>
    <mergeCell ref="I3755:J3755"/>
    <mergeCell ref="L3755:M3755"/>
    <mergeCell ref="L3738:L3740"/>
    <mergeCell ref="M3738:M3740"/>
    <mergeCell ref="N3738:N3740"/>
    <mergeCell ref="C3740:J3740"/>
    <mergeCell ref="B3744:E3744"/>
    <mergeCell ref="B3748:N3748"/>
    <mergeCell ref="B3734:B3740"/>
    <mergeCell ref="C3734:J3734"/>
    <mergeCell ref="K3734:N3735"/>
    <mergeCell ref="C3735:J3735"/>
    <mergeCell ref="C3736:J3736"/>
    <mergeCell ref="K3736:K3737"/>
    <mergeCell ref="L3736:N3737"/>
    <mergeCell ref="C3737:J3737"/>
    <mergeCell ref="C3738:J3739"/>
    <mergeCell ref="K3738:K3740"/>
    <mergeCell ref="B3718:N3718"/>
    <mergeCell ref="B3719:N3719"/>
    <mergeCell ref="B3722:N3723"/>
    <mergeCell ref="B3724:N3725"/>
    <mergeCell ref="J3731:N3732"/>
    <mergeCell ref="B3732:D3732"/>
    <mergeCell ref="B3703:H3703"/>
    <mergeCell ref="L3703:M3703"/>
    <mergeCell ref="L3704:M3704"/>
    <mergeCell ref="L3705:M3705"/>
    <mergeCell ref="B3706:M3706"/>
    <mergeCell ref="B3708:M3708"/>
    <mergeCell ref="L3694:M3694"/>
    <mergeCell ref="B3695:M3695"/>
    <mergeCell ref="B3698:M3698"/>
    <mergeCell ref="B3699:N3701"/>
    <mergeCell ref="B3702:H3702"/>
    <mergeCell ref="L3702:M3702"/>
    <mergeCell ref="B3689:H3689"/>
    <mergeCell ref="L3689:M3689"/>
    <mergeCell ref="L3690:M3690"/>
    <mergeCell ref="B3691:M3691"/>
    <mergeCell ref="B3693:I3693"/>
    <mergeCell ref="L3693:M3693"/>
    <mergeCell ref="B3683:H3683"/>
    <mergeCell ref="L3683:M3683"/>
    <mergeCell ref="B3684:H3684"/>
    <mergeCell ref="L3684:M3684"/>
    <mergeCell ref="B3685:M3685"/>
    <mergeCell ref="B3686:N3688"/>
    <mergeCell ref="L3675:M3675"/>
    <mergeCell ref="L3676:M3676"/>
    <mergeCell ref="L3677:M3677"/>
    <mergeCell ref="L3678:M3678"/>
    <mergeCell ref="B3679:M3679"/>
    <mergeCell ref="B3680:N3682"/>
    <mergeCell ref="B3669:M3669"/>
    <mergeCell ref="B3670:N3672"/>
    <mergeCell ref="B3673:I3673"/>
    <mergeCell ref="L3673:M3673"/>
    <mergeCell ref="B3674:I3674"/>
    <mergeCell ref="L3674:M3674"/>
    <mergeCell ref="B3667:F3667"/>
    <mergeCell ref="I3667:J3667"/>
    <mergeCell ref="L3667:M3667"/>
    <mergeCell ref="B3668:F3668"/>
    <mergeCell ref="I3668:J3668"/>
    <mergeCell ref="L3668:M3668"/>
    <mergeCell ref="B3665:F3665"/>
    <mergeCell ref="I3665:J3665"/>
    <mergeCell ref="L3665:M3665"/>
    <mergeCell ref="B3666:F3666"/>
    <mergeCell ref="I3666:J3666"/>
    <mergeCell ref="L3666:M3666"/>
    <mergeCell ref="B3660:N3662"/>
    <mergeCell ref="B3663:F3663"/>
    <mergeCell ref="G3663:H3663"/>
    <mergeCell ref="I3663:J3663"/>
    <mergeCell ref="L3663:M3663"/>
    <mergeCell ref="B3664:F3664"/>
    <mergeCell ref="I3664:J3664"/>
    <mergeCell ref="L3664:M3664"/>
    <mergeCell ref="B3652:E3652"/>
    <mergeCell ref="B3656:N3656"/>
    <mergeCell ref="C3658:K3658"/>
    <mergeCell ref="L3658:M3658"/>
    <mergeCell ref="C3659:K3659"/>
    <mergeCell ref="L3659:M3659"/>
    <mergeCell ref="C3646:J3647"/>
    <mergeCell ref="K3646:K3648"/>
    <mergeCell ref="L3646:L3648"/>
    <mergeCell ref="M3646:M3648"/>
    <mergeCell ref="N3646:N3648"/>
    <mergeCell ref="C3648:J3648"/>
    <mergeCell ref="J3639:N3640"/>
    <mergeCell ref="B3640:D3640"/>
    <mergeCell ref="B3642:B3648"/>
    <mergeCell ref="C3642:J3642"/>
    <mergeCell ref="K3642:N3643"/>
    <mergeCell ref="C3643:J3643"/>
    <mergeCell ref="C3644:J3644"/>
    <mergeCell ref="K3644:K3645"/>
    <mergeCell ref="L3644:N3645"/>
    <mergeCell ref="C3645:J3645"/>
    <mergeCell ref="B3614:M3614"/>
    <mergeCell ref="B3616:M3616"/>
    <mergeCell ref="B3626:N3626"/>
    <mergeCell ref="B3627:N3627"/>
    <mergeCell ref="B3630:N3631"/>
    <mergeCell ref="B3632:N3633"/>
    <mergeCell ref="B3610:H3610"/>
    <mergeCell ref="L3610:M3610"/>
    <mergeCell ref="B3611:H3611"/>
    <mergeCell ref="L3611:M3611"/>
    <mergeCell ref="L3612:M3612"/>
    <mergeCell ref="L3613:M3613"/>
    <mergeCell ref="B3601:I3601"/>
    <mergeCell ref="L3601:M3601"/>
    <mergeCell ref="L3602:M3602"/>
    <mergeCell ref="B3603:M3603"/>
    <mergeCell ref="B3606:M3606"/>
    <mergeCell ref="B3607:N3609"/>
    <mergeCell ref="B3593:M3593"/>
    <mergeCell ref="B3594:N3596"/>
    <mergeCell ref="B3597:H3597"/>
    <mergeCell ref="L3597:M3597"/>
    <mergeCell ref="L3598:M3598"/>
    <mergeCell ref="B3599:M3599"/>
    <mergeCell ref="L3586:M3586"/>
    <mergeCell ref="B3587:M3587"/>
    <mergeCell ref="B3588:N3590"/>
    <mergeCell ref="B3591:H3591"/>
    <mergeCell ref="L3591:M3591"/>
    <mergeCell ref="B3592:H3592"/>
    <mergeCell ref="L3592:M3592"/>
    <mergeCell ref="B3580:M3580"/>
    <mergeCell ref="B3581:N3583"/>
    <mergeCell ref="B3584:I3584"/>
    <mergeCell ref="L3584:M3584"/>
    <mergeCell ref="B3585:I3585"/>
    <mergeCell ref="L3585:M3585"/>
    <mergeCell ref="B3578:F3578"/>
    <mergeCell ref="I3578:J3578"/>
    <mergeCell ref="L3578:M3578"/>
    <mergeCell ref="B3579:F3579"/>
    <mergeCell ref="I3579:J3579"/>
    <mergeCell ref="L3579:M3579"/>
    <mergeCell ref="B3576:F3576"/>
    <mergeCell ref="I3576:J3576"/>
    <mergeCell ref="L3576:M3576"/>
    <mergeCell ref="B3577:F3577"/>
    <mergeCell ref="I3577:J3577"/>
    <mergeCell ref="L3577:M3577"/>
    <mergeCell ref="B3571:N3573"/>
    <mergeCell ref="B3574:F3574"/>
    <mergeCell ref="G3574:H3574"/>
    <mergeCell ref="I3574:J3574"/>
    <mergeCell ref="L3574:M3574"/>
    <mergeCell ref="B3575:F3575"/>
    <mergeCell ref="I3575:J3575"/>
    <mergeCell ref="L3575:M3575"/>
    <mergeCell ref="B3563:E3563"/>
    <mergeCell ref="B3567:N3567"/>
    <mergeCell ref="C3569:K3569"/>
    <mergeCell ref="L3569:M3569"/>
    <mergeCell ref="C3570:K3570"/>
    <mergeCell ref="L3570:M3570"/>
    <mergeCell ref="C3557:J3558"/>
    <mergeCell ref="K3557:K3559"/>
    <mergeCell ref="L3557:L3559"/>
    <mergeCell ref="M3557:M3559"/>
    <mergeCell ref="N3557:N3559"/>
    <mergeCell ref="C3559:J3559"/>
    <mergeCell ref="J3550:N3551"/>
    <mergeCell ref="B3551:D3551"/>
    <mergeCell ref="B3553:B3559"/>
    <mergeCell ref="C3553:J3553"/>
    <mergeCell ref="K3553:N3554"/>
    <mergeCell ref="C3554:J3554"/>
    <mergeCell ref="C3555:J3555"/>
    <mergeCell ref="K3555:K3556"/>
    <mergeCell ref="L3555:N3556"/>
    <mergeCell ref="C3556:J3556"/>
    <mergeCell ref="B3525:M3525"/>
    <mergeCell ref="B3527:M3527"/>
    <mergeCell ref="B3537:N3537"/>
    <mergeCell ref="B3538:N3538"/>
    <mergeCell ref="B3541:N3542"/>
    <mergeCell ref="B3543:N3544"/>
    <mergeCell ref="B3521:H3521"/>
    <mergeCell ref="L3521:M3521"/>
    <mergeCell ref="B3522:H3522"/>
    <mergeCell ref="L3522:M3522"/>
    <mergeCell ref="L3523:M3523"/>
    <mergeCell ref="L3524:M3524"/>
    <mergeCell ref="B3512:I3512"/>
    <mergeCell ref="L3512:M3512"/>
    <mergeCell ref="L3513:M3513"/>
    <mergeCell ref="B3514:M3514"/>
    <mergeCell ref="B3517:M3517"/>
    <mergeCell ref="B3518:N3520"/>
    <mergeCell ref="B3504:M3504"/>
    <mergeCell ref="B3505:N3507"/>
    <mergeCell ref="B3508:H3508"/>
    <mergeCell ref="L3508:M3508"/>
    <mergeCell ref="L3509:M3509"/>
    <mergeCell ref="B3510:M3510"/>
    <mergeCell ref="L3497:M3497"/>
    <mergeCell ref="B3498:M3498"/>
    <mergeCell ref="B3499:N3501"/>
    <mergeCell ref="B3502:H3502"/>
    <mergeCell ref="L3502:M3502"/>
    <mergeCell ref="B3503:H3503"/>
    <mergeCell ref="L3503:M3503"/>
    <mergeCell ref="B3491:M3491"/>
    <mergeCell ref="B3492:N3494"/>
    <mergeCell ref="B3495:I3495"/>
    <mergeCell ref="L3495:M3495"/>
    <mergeCell ref="B3496:I3496"/>
    <mergeCell ref="L3496:M3496"/>
    <mergeCell ref="B3489:F3489"/>
    <mergeCell ref="I3489:J3489"/>
    <mergeCell ref="L3489:M3489"/>
    <mergeCell ref="B3490:F3490"/>
    <mergeCell ref="I3490:J3490"/>
    <mergeCell ref="L3490:M3490"/>
    <mergeCell ref="B3487:F3487"/>
    <mergeCell ref="I3487:J3487"/>
    <mergeCell ref="L3487:M3487"/>
    <mergeCell ref="B3488:F3488"/>
    <mergeCell ref="I3488:J3488"/>
    <mergeCell ref="L3488:M3488"/>
    <mergeCell ref="B3482:N3484"/>
    <mergeCell ref="B3485:F3485"/>
    <mergeCell ref="G3485:H3485"/>
    <mergeCell ref="I3485:J3485"/>
    <mergeCell ref="L3485:M3485"/>
    <mergeCell ref="B3486:F3486"/>
    <mergeCell ref="I3486:J3486"/>
    <mergeCell ref="L3486:M3486"/>
    <mergeCell ref="B3474:E3474"/>
    <mergeCell ref="B3478:N3478"/>
    <mergeCell ref="C3480:K3480"/>
    <mergeCell ref="L3480:M3480"/>
    <mergeCell ref="C3481:K3481"/>
    <mergeCell ref="L3481:M3481"/>
    <mergeCell ref="C3468:J3469"/>
    <mergeCell ref="K3468:K3470"/>
    <mergeCell ref="L3468:L3470"/>
    <mergeCell ref="M3468:M3470"/>
    <mergeCell ref="N3468:N3470"/>
    <mergeCell ref="C3470:J3470"/>
    <mergeCell ref="J3461:N3462"/>
    <mergeCell ref="B3462:D3462"/>
    <mergeCell ref="B3464:B3470"/>
    <mergeCell ref="C3464:J3464"/>
    <mergeCell ref="K3464:N3465"/>
    <mergeCell ref="C3465:J3465"/>
    <mergeCell ref="C3466:J3466"/>
    <mergeCell ref="K3466:K3467"/>
    <mergeCell ref="L3466:N3467"/>
    <mergeCell ref="C3467:J3467"/>
    <mergeCell ref="B3436:M3436"/>
    <mergeCell ref="B3438:M3438"/>
    <mergeCell ref="B3448:N3448"/>
    <mergeCell ref="B3449:N3449"/>
    <mergeCell ref="B3452:N3453"/>
    <mergeCell ref="B3454:N3455"/>
    <mergeCell ref="B3432:H3432"/>
    <mergeCell ref="L3432:M3432"/>
    <mergeCell ref="B3433:H3433"/>
    <mergeCell ref="L3433:M3433"/>
    <mergeCell ref="L3434:M3434"/>
    <mergeCell ref="L3435:M3435"/>
    <mergeCell ref="B3423:I3423"/>
    <mergeCell ref="L3423:M3423"/>
    <mergeCell ref="L3424:M3424"/>
    <mergeCell ref="B3425:M3425"/>
    <mergeCell ref="B3428:M3428"/>
    <mergeCell ref="B3429:N3431"/>
    <mergeCell ref="B3415:M3415"/>
    <mergeCell ref="B3416:N3418"/>
    <mergeCell ref="B3419:H3419"/>
    <mergeCell ref="L3419:M3419"/>
    <mergeCell ref="L3420:M3420"/>
    <mergeCell ref="B3421:M3421"/>
    <mergeCell ref="L3408:M3408"/>
    <mergeCell ref="B3409:M3409"/>
    <mergeCell ref="B3410:N3412"/>
    <mergeCell ref="B3413:H3413"/>
    <mergeCell ref="L3413:M3413"/>
    <mergeCell ref="B3414:H3414"/>
    <mergeCell ref="L3414:M3414"/>
    <mergeCell ref="B3402:M3402"/>
    <mergeCell ref="B3403:N3405"/>
    <mergeCell ref="B3406:I3406"/>
    <mergeCell ref="L3406:M3406"/>
    <mergeCell ref="B3407:I3407"/>
    <mergeCell ref="L3407:M3407"/>
    <mergeCell ref="B3400:F3400"/>
    <mergeCell ref="I3400:J3400"/>
    <mergeCell ref="L3400:M3400"/>
    <mergeCell ref="B3401:F3401"/>
    <mergeCell ref="I3401:J3401"/>
    <mergeCell ref="L3401:M3401"/>
    <mergeCell ref="B3398:F3398"/>
    <mergeCell ref="I3398:J3398"/>
    <mergeCell ref="L3398:M3398"/>
    <mergeCell ref="B3399:F3399"/>
    <mergeCell ref="I3399:J3399"/>
    <mergeCell ref="L3399:M3399"/>
    <mergeCell ref="B3393:N3395"/>
    <mergeCell ref="B3396:F3396"/>
    <mergeCell ref="G3396:H3396"/>
    <mergeCell ref="I3396:J3396"/>
    <mergeCell ref="L3396:M3396"/>
    <mergeCell ref="B3397:F3397"/>
    <mergeCell ref="I3397:J3397"/>
    <mergeCell ref="L3397:M3397"/>
    <mergeCell ref="B3385:E3385"/>
    <mergeCell ref="B3389:N3389"/>
    <mergeCell ref="C3391:K3391"/>
    <mergeCell ref="L3391:M3391"/>
    <mergeCell ref="C3392:K3392"/>
    <mergeCell ref="L3392:M3392"/>
    <mergeCell ref="C3379:J3380"/>
    <mergeCell ref="K3379:K3381"/>
    <mergeCell ref="L3379:L3381"/>
    <mergeCell ref="M3379:M3381"/>
    <mergeCell ref="N3379:N3381"/>
    <mergeCell ref="C3381:J3381"/>
    <mergeCell ref="J3372:N3373"/>
    <mergeCell ref="B3373:D3373"/>
    <mergeCell ref="B3375:B3381"/>
    <mergeCell ref="C3375:J3375"/>
    <mergeCell ref="K3375:N3376"/>
    <mergeCell ref="C3376:J3376"/>
    <mergeCell ref="C3377:J3377"/>
    <mergeCell ref="K3377:K3378"/>
    <mergeCell ref="L3377:N3378"/>
    <mergeCell ref="C3378:J3378"/>
    <mergeCell ref="B3347:M3347"/>
    <mergeCell ref="B3349:M3349"/>
    <mergeCell ref="B3359:N3359"/>
    <mergeCell ref="B3360:N3360"/>
    <mergeCell ref="B3363:N3364"/>
    <mergeCell ref="B3365:N3366"/>
    <mergeCell ref="B3343:H3343"/>
    <mergeCell ref="L3343:M3343"/>
    <mergeCell ref="B3344:H3344"/>
    <mergeCell ref="L3344:M3344"/>
    <mergeCell ref="L3345:M3345"/>
    <mergeCell ref="L3346:M3346"/>
    <mergeCell ref="B3334:I3334"/>
    <mergeCell ref="L3334:M3334"/>
    <mergeCell ref="L3335:M3335"/>
    <mergeCell ref="B3336:M3336"/>
    <mergeCell ref="B3339:M3339"/>
    <mergeCell ref="B3340:N3342"/>
    <mergeCell ref="B3326:M3326"/>
    <mergeCell ref="B3327:N3329"/>
    <mergeCell ref="B3330:H3330"/>
    <mergeCell ref="L3330:M3330"/>
    <mergeCell ref="L3331:M3331"/>
    <mergeCell ref="B3332:M3332"/>
    <mergeCell ref="L3319:M3319"/>
    <mergeCell ref="B3320:M3320"/>
    <mergeCell ref="B3321:N3323"/>
    <mergeCell ref="B3324:H3324"/>
    <mergeCell ref="L3324:M3324"/>
    <mergeCell ref="B3325:H3325"/>
    <mergeCell ref="L3325:M3325"/>
    <mergeCell ref="B3313:M3313"/>
    <mergeCell ref="B3314:N3316"/>
    <mergeCell ref="B3317:I3317"/>
    <mergeCell ref="L3317:M3317"/>
    <mergeCell ref="B3318:I3318"/>
    <mergeCell ref="L3318:M3318"/>
    <mergeCell ref="B3311:F3311"/>
    <mergeCell ref="I3311:J3311"/>
    <mergeCell ref="L3311:M3311"/>
    <mergeCell ref="B3312:F3312"/>
    <mergeCell ref="I3312:J3312"/>
    <mergeCell ref="L3312:M3312"/>
    <mergeCell ref="B3309:F3309"/>
    <mergeCell ref="I3309:J3309"/>
    <mergeCell ref="L3309:M3309"/>
    <mergeCell ref="B3310:F3310"/>
    <mergeCell ref="I3310:J3310"/>
    <mergeCell ref="L3310:M3310"/>
    <mergeCell ref="B3304:N3306"/>
    <mergeCell ref="B3307:F3307"/>
    <mergeCell ref="G3307:H3307"/>
    <mergeCell ref="I3307:J3307"/>
    <mergeCell ref="L3307:M3307"/>
    <mergeCell ref="B3308:F3308"/>
    <mergeCell ref="I3308:J3308"/>
    <mergeCell ref="L3308:M3308"/>
    <mergeCell ref="B3296:E3296"/>
    <mergeCell ref="B3300:N3300"/>
    <mergeCell ref="C3302:K3302"/>
    <mergeCell ref="L3302:M3302"/>
    <mergeCell ref="C3303:K3303"/>
    <mergeCell ref="L3303:M3303"/>
    <mergeCell ref="C3290:J3291"/>
    <mergeCell ref="K3290:K3292"/>
    <mergeCell ref="L3290:L3292"/>
    <mergeCell ref="M3290:M3292"/>
    <mergeCell ref="N3290:N3292"/>
    <mergeCell ref="C3292:J3292"/>
    <mergeCell ref="J3283:N3284"/>
    <mergeCell ref="B3284:D3284"/>
    <mergeCell ref="B3286:B3292"/>
    <mergeCell ref="C3286:J3286"/>
    <mergeCell ref="K3286:N3287"/>
    <mergeCell ref="C3287:J3287"/>
    <mergeCell ref="C3288:J3288"/>
    <mergeCell ref="K3288:K3289"/>
    <mergeCell ref="L3288:N3289"/>
    <mergeCell ref="C3289:J3289"/>
    <mergeCell ref="B3258:M3258"/>
    <mergeCell ref="B3260:M3260"/>
    <mergeCell ref="B3270:N3270"/>
    <mergeCell ref="B3271:N3271"/>
    <mergeCell ref="B3274:N3275"/>
    <mergeCell ref="B3276:N3277"/>
    <mergeCell ref="B3254:H3254"/>
    <mergeCell ref="L3254:M3254"/>
    <mergeCell ref="B3255:H3255"/>
    <mergeCell ref="L3255:M3255"/>
    <mergeCell ref="L3256:M3256"/>
    <mergeCell ref="L3257:M3257"/>
    <mergeCell ref="B3245:I3245"/>
    <mergeCell ref="L3245:M3245"/>
    <mergeCell ref="L3246:M3246"/>
    <mergeCell ref="B3247:M3247"/>
    <mergeCell ref="B3250:M3250"/>
    <mergeCell ref="B3251:N3253"/>
    <mergeCell ref="B3237:M3237"/>
    <mergeCell ref="B3238:N3240"/>
    <mergeCell ref="B3241:H3241"/>
    <mergeCell ref="L3241:M3241"/>
    <mergeCell ref="L3242:M3242"/>
    <mergeCell ref="B3243:M3243"/>
    <mergeCell ref="L3230:M3230"/>
    <mergeCell ref="B3231:M3231"/>
    <mergeCell ref="B3232:N3234"/>
    <mergeCell ref="B3235:H3235"/>
    <mergeCell ref="L3235:M3235"/>
    <mergeCell ref="B3236:H3236"/>
    <mergeCell ref="L3236:M3236"/>
    <mergeCell ref="B3224:M3224"/>
    <mergeCell ref="B3225:N3227"/>
    <mergeCell ref="B3228:I3228"/>
    <mergeCell ref="L3228:M3228"/>
    <mergeCell ref="B3229:I3229"/>
    <mergeCell ref="L3229:M3229"/>
    <mergeCell ref="B3222:F3222"/>
    <mergeCell ref="I3222:J3222"/>
    <mergeCell ref="L3222:M3222"/>
    <mergeCell ref="B3223:F3223"/>
    <mergeCell ref="I3223:J3223"/>
    <mergeCell ref="L3223:M3223"/>
    <mergeCell ref="C3216:K3216"/>
    <mergeCell ref="L3216:M3216"/>
    <mergeCell ref="C3217:K3217"/>
    <mergeCell ref="L3217:M3217"/>
    <mergeCell ref="B3218:N3220"/>
    <mergeCell ref="B3221:F3221"/>
    <mergeCell ref="G3221:H3221"/>
    <mergeCell ref="I3221:J3221"/>
    <mergeCell ref="L3221:M3221"/>
    <mergeCell ref="L3204:L3206"/>
    <mergeCell ref="M3204:M3206"/>
    <mergeCell ref="N3204:N3206"/>
    <mergeCell ref="C3206:J3206"/>
    <mergeCell ref="B3210:E3210"/>
    <mergeCell ref="B3214:N3214"/>
    <mergeCell ref="B3200:B3206"/>
    <mergeCell ref="C3200:J3200"/>
    <mergeCell ref="K3200:N3201"/>
    <mergeCell ref="C3201:J3201"/>
    <mergeCell ref="C3202:J3202"/>
    <mergeCell ref="K3202:K3203"/>
    <mergeCell ref="L3202:N3203"/>
    <mergeCell ref="C3203:J3203"/>
    <mergeCell ref="C3204:J3205"/>
    <mergeCell ref="K3204:K3206"/>
    <mergeCell ref="B3184:N3184"/>
    <mergeCell ref="B3185:N3185"/>
    <mergeCell ref="B3188:N3189"/>
    <mergeCell ref="B3190:N3191"/>
    <mergeCell ref="J3197:N3198"/>
    <mergeCell ref="B3198:D3198"/>
    <mergeCell ref="B3169:H3169"/>
    <mergeCell ref="L3169:M3169"/>
    <mergeCell ref="L3170:M3170"/>
    <mergeCell ref="L3171:M3171"/>
    <mergeCell ref="B3172:M3172"/>
    <mergeCell ref="B3174:M3174"/>
    <mergeCell ref="L3160:M3160"/>
    <mergeCell ref="B3161:M3161"/>
    <mergeCell ref="B3164:M3164"/>
    <mergeCell ref="B3165:N3167"/>
    <mergeCell ref="B3168:H3168"/>
    <mergeCell ref="L3168:M3168"/>
    <mergeCell ref="B3155:H3155"/>
    <mergeCell ref="L3155:M3155"/>
    <mergeCell ref="L3156:M3156"/>
    <mergeCell ref="B3157:M3157"/>
    <mergeCell ref="B3159:I3159"/>
    <mergeCell ref="L3159:M3159"/>
    <mergeCell ref="B3149:H3149"/>
    <mergeCell ref="L3149:M3149"/>
    <mergeCell ref="B3150:H3150"/>
    <mergeCell ref="L3150:M3150"/>
    <mergeCell ref="B3151:M3151"/>
    <mergeCell ref="B3152:N3154"/>
    <mergeCell ref="L3142:M3142"/>
    <mergeCell ref="L3143:M3143"/>
    <mergeCell ref="B3144:I3144"/>
    <mergeCell ref="L3144:M3144"/>
    <mergeCell ref="B3145:M3145"/>
    <mergeCell ref="B3146:N3148"/>
    <mergeCell ref="B3136:M3136"/>
    <mergeCell ref="B3137:N3139"/>
    <mergeCell ref="B3140:I3140"/>
    <mergeCell ref="L3140:M3140"/>
    <mergeCell ref="B3141:I3141"/>
    <mergeCell ref="L3141:M3141"/>
    <mergeCell ref="B3134:F3134"/>
    <mergeCell ref="I3134:J3134"/>
    <mergeCell ref="L3134:M3134"/>
    <mergeCell ref="B3135:F3135"/>
    <mergeCell ref="I3135:J3135"/>
    <mergeCell ref="L3135:M3135"/>
    <mergeCell ref="C3128:K3128"/>
    <mergeCell ref="L3128:M3128"/>
    <mergeCell ref="C3129:K3129"/>
    <mergeCell ref="L3129:M3129"/>
    <mergeCell ref="B3130:N3132"/>
    <mergeCell ref="B3133:F3133"/>
    <mergeCell ref="G3133:H3133"/>
    <mergeCell ref="I3133:J3133"/>
    <mergeCell ref="L3133:M3133"/>
    <mergeCell ref="L3116:L3118"/>
    <mergeCell ref="M3116:M3118"/>
    <mergeCell ref="N3116:N3118"/>
    <mergeCell ref="C3118:J3118"/>
    <mergeCell ref="B3122:E3122"/>
    <mergeCell ref="B3126:N3126"/>
    <mergeCell ref="B3112:B3118"/>
    <mergeCell ref="C3112:J3112"/>
    <mergeCell ref="K3112:N3113"/>
    <mergeCell ref="C3113:J3113"/>
    <mergeCell ref="C3114:J3114"/>
    <mergeCell ref="K3114:K3115"/>
    <mergeCell ref="L3114:N3115"/>
    <mergeCell ref="C3115:J3115"/>
    <mergeCell ref="C3116:J3117"/>
    <mergeCell ref="K3116:K3118"/>
    <mergeCell ref="B3096:N3096"/>
    <mergeCell ref="B3097:N3097"/>
    <mergeCell ref="B3100:N3101"/>
    <mergeCell ref="B3102:N3103"/>
    <mergeCell ref="J3109:N3110"/>
    <mergeCell ref="B3110:D3110"/>
    <mergeCell ref="B3081:H3081"/>
    <mergeCell ref="L3081:M3081"/>
    <mergeCell ref="L3082:M3082"/>
    <mergeCell ref="L3083:M3083"/>
    <mergeCell ref="B3084:M3084"/>
    <mergeCell ref="B3086:M3086"/>
    <mergeCell ref="L3072:M3072"/>
    <mergeCell ref="B3073:M3073"/>
    <mergeCell ref="B3076:M3076"/>
    <mergeCell ref="B3077:N3079"/>
    <mergeCell ref="B3080:H3080"/>
    <mergeCell ref="L3080:M3080"/>
    <mergeCell ref="B3067:H3067"/>
    <mergeCell ref="L3067:M3067"/>
    <mergeCell ref="L3068:M3068"/>
    <mergeCell ref="B3069:M3069"/>
    <mergeCell ref="B3071:I3071"/>
    <mergeCell ref="L3071:M3071"/>
    <mergeCell ref="B3061:H3061"/>
    <mergeCell ref="L3061:M3061"/>
    <mergeCell ref="B3062:H3062"/>
    <mergeCell ref="L3062:M3062"/>
    <mergeCell ref="B3063:M3063"/>
    <mergeCell ref="B3064:N3066"/>
    <mergeCell ref="B3055:I3055"/>
    <mergeCell ref="L3055:M3055"/>
    <mergeCell ref="B3056:I3056"/>
    <mergeCell ref="L3056:M3056"/>
    <mergeCell ref="B3057:M3057"/>
    <mergeCell ref="B3058:N3060"/>
    <mergeCell ref="B3049:F3049"/>
    <mergeCell ref="I3049:J3049"/>
    <mergeCell ref="L3049:M3049"/>
    <mergeCell ref="B3050:M3050"/>
    <mergeCell ref="B3051:N3053"/>
    <mergeCell ref="B3054:I3054"/>
    <mergeCell ref="L3054:M3054"/>
    <mergeCell ref="B3044:N3046"/>
    <mergeCell ref="B3047:F3047"/>
    <mergeCell ref="G3047:H3047"/>
    <mergeCell ref="I3047:J3047"/>
    <mergeCell ref="L3047:M3047"/>
    <mergeCell ref="B3048:F3048"/>
    <mergeCell ref="I3048:J3048"/>
    <mergeCell ref="L3048:M3048"/>
    <mergeCell ref="B3036:E3036"/>
    <mergeCell ref="B3040:N3040"/>
    <mergeCell ref="C3042:K3042"/>
    <mergeCell ref="L3042:M3042"/>
    <mergeCell ref="C3043:K3043"/>
    <mergeCell ref="L3043:M3043"/>
    <mergeCell ref="L3028:N3029"/>
    <mergeCell ref="C3029:J3029"/>
    <mergeCell ref="C3030:J3031"/>
    <mergeCell ref="K3030:K3032"/>
    <mergeCell ref="L3030:L3032"/>
    <mergeCell ref="M3030:M3032"/>
    <mergeCell ref="N3030:N3032"/>
    <mergeCell ref="C3032:J3032"/>
    <mergeCell ref="B3014:N3015"/>
    <mergeCell ref="B3016:N3017"/>
    <mergeCell ref="J3023:N3024"/>
    <mergeCell ref="B3024:D3024"/>
    <mergeCell ref="B3026:B3032"/>
    <mergeCell ref="C3026:J3026"/>
    <mergeCell ref="K3026:N3027"/>
    <mergeCell ref="C3027:J3027"/>
    <mergeCell ref="C3028:J3028"/>
    <mergeCell ref="K3028:K3029"/>
    <mergeCell ref="L2996:M2996"/>
    <mergeCell ref="L2997:M2997"/>
    <mergeCell ref="B2998:M2998"/>
    <mergeCell ref="B3000:M3000"/>
    <mergeCell ref="B3010:N3010"/>
    <mergeCell ref="B3011:N3011"/>
    <mergeCell ref="B2990:M2990"/>
    <mergeCell ref="B2991:N2993"/>
    <mergeCell ref="B2994:H2994"/>
    <mergeCell ref="L2994:M2994"/>
    <mergeCell ref="B2995:H2995"/>
    <mergeCell ref="L2995:M2995"/>
    <mergeCell ref="L2982:M2982"/>
    <mergeCell ref="B2983:M2983"/>
    <mergeCell ref="B2985:I2985"/>
    <mergeCell ref="L2985:M2985"/>
    <mergeCell ref="L2986:M2986"/>
    <mergeCell ref="B2987:M2987"/>
    <mergeCell ref="B2976:H2976"/>
    <mergeCell ref="L2976:M2976"/>
    <mergeCell ref="B2977:M2977"/>
    <mergeCell ref="B2978:N2980"/>
    <mergeCell ref="B2981:H2981"/>
    <mergeCell ref="L2981:M2981"/>
    <mergeCell ref="B2970:I2970"/>
    <mergeCell ref="L2970:M2970"/>
    <mergeCell ref="B2971:M2971"/>
    <mergeCell ref="B2972:N2974"/>
    <mergeCell ref="B2975:H2975"/>
    <mergeCell ref="L2975:M2975"/>
    <mergeCell ref="B2964:M2964"/>
    <mergeCell ref="B2965:N2967"/>
    <mergeCell ref="B2968:I2968"/>
    <mergeCell ref="L2968:M2968"/>
    <mergeCell ref="B2969:I2969"/>
    <mergeCell ref="L2969:M2969"/>
    <mergeCell ref="B2962:F2962"/>
    <mergeCell ref="I2962:J2962"/>
    <mergeCell ref="L2962:M2962"/>
    <mergeCell ref="B2963:F2963"/>
    <mergeCell ref="I2963:J2963"/>
    <mergeCell ref="L2963:M2963"/>
    <mergeCell ref="C2956:K2956"/>
    <mergeCell ref="L2956:M2956"/>
    <mergeCell ref="C2957:K2957"/>
    <mergeCell ref="L2957:M2957"/>
    <mergeCell ref="B2958:N2960"/>
    <mergeCell ref="B2961:F2961"/>
    <mergeCell ref="G2961:H2961"/>
    <mergeCell ref="I2961:J2961"/>
    <mergeCell ref="L2961:M2961"/>
    <mergeCell ref="L2944:L2946"/>
    <mergeCell ref="M2944:M2946"/>
    <mergeCell ref="N2944:N2946"/>
    <mergeCell ref="C2946:J2946"/>
    <mergeCell ref="B2950:E2950"/>
    <mergeCell ref="B2954:N2954"/>
    <mergeCell ref="B2940:B2946"/>
    <mergeCell ref="C2940:J2940"/>
    <mergeCell ref="K2940:N2941"/>
    <mergeCell ref="C2941:J2941"/>
    <mergeCell ref="C2942:J2942"/>
    <mergeCell ref="K2942:K2943"/>
    <mergeCell ref="L2942:N2943"/>
    <mergeCell ref="C2943:J2943"/>
    <mergeCell ref="C2944:J2945"/>
    <mergeCell ref="K2944:K2946"/>
    <mergeCell ref="B2924:N2924"/>
    <mergeCell ref="B2925:N2925"/>
    <mergeCell ref="B2928:N2929"/>
    <mergeCell ref="B2930:N2931"/>
    <mergeCell ref="J2937:N2938"/>
    <mergeCell ref="B2938:D2938"/>
    <mergeCell ref="B2909:H2909"/>
    <mergeCell ref="L2909:M2909"/>
    <mergeCell ref="L2910:M2910"/>
    <mergeCell ref="L2911:M2911"/>
    <mergeCell ref="B2912:M2912"/>
    <mergeCell ref="B2914:M2914"/>
    <mergeCell ref="L2900:M2900"/>
    <mergeCell ref="B2901:M2901"/>
    <mergeCell ref="B2904:M2904"/>
    <mergeCell ref="B2905:N2907"/>
    <mergeCell ref="B2908:H2908"/>
    <mergeCell ref="L2908:M2908"/>
    <mergeCell ref="B2895:H2895"/>
    <mergeCell ref="L2895:M2895"/>
    <mergeCell ref="L2896:M2896"/>
    <mergeCell ref="B2897:M2897"/>
    <mergeCell ref="B2899:I2899"/>
    <mergeCell ref="L2899:M2899"/>
    <mergeCell ref="B2889:H2889"/>
    <mergeCell ref="L2889:M2889"/>
    <mergeCell ref="B2890:H2890"/>
    <mergeCell ref="L2890:M2890"/>
    <mergeCell ref="B2891:M2891"/>
    <mergeCell ref="B2892:N2894"/>
    <mergeCell ref="B2883:I2883"/>
    <mergeCell ref="L2883:M2883"/>
    <mergeCell ref="B2884:I2884"/>
    <mergeCell ref="L2884:M2884"/>
    <mergeCell ref="B2885:M2885"/>
    <mergeCell ref="B2886:N2888"/>
    <mergeCell ref="B2877:F2877"/>
    <mergeCell ref="I2877:J2877"/>
    <mergeCell ref="L2877:M2877"/>
    <mergeCell ref="B2878:M2878"/>
    <mergeCell ref="B2879:N2881"/>
    <mergeCell ref="B2882:I2882"/>
    <mergeCell ref="L2882:M2882"/>
    <mergeCell ref="B2872:N2874"/>
    <mergeCell ref="B2875:F2875"/>
    <mergeCell ref="G2875:H2875"/>
    <mergeCell ref="I2875:J2875"/>
    <mergeCell ref="L2875:M2875"/>
    <mergeCell ref="B2876:F2876"/>
    <mergeCell ref="I2876:J2876"/>
    <mergeCell ref="L2876:M2876"/>
    <mergeCell ref="B2864:E2864"/>
    <mergeCell ref="B2868:N2868"/>
    <mergeCell ref="C2870:K2870"/>
    <mergeCell ref="L2870:M2870"/>
    <mergeCell ref="C2871:K2871"/>
    <mergeCell ref="L2871:M2871"/>
    <mergeCell ref="L2856:N2857"/>
    <mergeCell ref="C2857:J2857"/>
    <mergeCell ref="C2858:J2859"/>
    <mergeCell ref="K2858:K2860"/>
    <mergeCell ref="L2858:L2860"/>
    <mergeCell ref="M2858:M2860"/>
    <mergeCell ref="N2858:N2860"/>
    <mergeCell ref="C2860:J2860"/>
    <mergeCell ref="B2842:N2843"/>
    <mergeCell ref="B2844:N2845"/>
    <mergeCell ref="J2851:N2852"/>
    <mergeCell ref="B2852:D2852"/>
    <mergeCell ref="B2854:B2860"/>
    <mergeCell ref="C2854:J2854"/>
    <mergeCell ref="K2854:N2855"/>
    <mergeCell ref="C2855:J2855"/>
    <mergeCell ref="C2856:J2856"/>
    <mergeCell ref="K2856:K2857"/>
    <mergeCell ref="L2824:M2824"/>
    <mergeCell ref="L2825:M2825"/>
    <mergeCell ref="B2826:M2826"/>
    <mergeCell ref="B2828:M2828"/>
    <mergeCell ref="B2838:N2838"/>
    <mergeCell ref="B2839:N2839"/>
    <mergeCell ref="B2815:M2815"/>
    <mergeCell ref="B2818:M2818"/>
    <mergeCell ref="B2819:N2821"/>
    <mergeCell ref="B2822:H2822"/>
    <mergeCell ref="L2822:M2822"/>
    <mergeCell ref="B2823:H2823"/>
    <mergeCell ref="L2823:M2823"/>
    <mergeCell ref="L2809:M2809"/>
    <mergeCell ref="L2810:M2810"/>
    <mergeCell ref="B2811:M2811"/>
    <mergeCell ref="B2813:I2813"/>
    <mergeCell ref="L2813:M2813"/>
    <mergeCell ref="B2814:H2814"/>
    <mergeCell ref="L2814:M2814"/>
    <mergeCell ref="B2804:H2804"/>
    <mergeCell ref="L2804:M2804"/>
    <mergeCell ref="L2805:M2805"/>
    <mergeCell ref="B2806:M2806"/>
    <mergeCell ref="B2808:I2808"/>
    <mergeCell ref="L2808:M2808"/>
    <mergeCell ref="B2798:H2798"/>
    <mergeCell ref="L2798:M2798"/>
    <mergeCell ref="B2799:H2799"/>
    <mergeCell ref="L2799:M2799"/>
    <mergeCell ref="B2800:M2800"/>
    <mergeCell ref="B2801:N2803"/>
    <mergeCell ref="B2792:I2792"/>
    <mergeCell ref="L2792:M2792"/>
    <mergeCell ref="B2793:I2793"/>
    <mergeCell ref="L2793:M2793"/>
    <mergeCell ref="B2794:M2794"/>
    <mergeCell ref="B2795:N2797"/>
    <mergeCell ref="B2786:F2786"/>
    <mergeCell ref="I2786:J2786"/>
    <mergeCell ref="L2786:M2786"/>
    <mergeCell ref="B2787:M2787"/>
    <mergeCell ref="B2788:N2790"/>
    <mergeCell ref="B2791:I2791"/>
    <mergeCell ref="L2791:M2791"/>
    <mergeCell ref="B2781:N2783"/>
    <mergeCell ref="B2784:F2784"/>
    <mergeCell ref="G2784:H2784"/>
    <mergeCell ref="I2784:J2784"/>
    <mergeCell ref="L2784:M2784"/>
    <mergeCell ref="B2785:F2785"/>
    <mergeCell ref="I2785:J2785"/>
    <mergeCell ref="L2785:M2785"/>
    <mergeCell ref="B2773:E2773"/>
    <mergeCell ref="B2777:N2777"/>
    <mergeCell ref="C2779:K2779"/>
    <mergeCell ref="L2779:M2779"/>
    <mergeCell ref="C2780:K2780"/>
    <mergeCell ref="L2780:M2780"/>
    <mergeCell ref="L2765:N2766"/>
    <mergeCell ref="C2766:J2766"/>
    <mergeCell ref="C2767:J2768"/>
    <mergeCell ref="K2767:K2769"/>
    <mergeCell ref="L2767:L2769"/>
    <mergeCell ref="M2767:M2769"/>
    <mergeCell ref="N2767:N2769"/>
    <mergeCell ref="C2769:J2769"/>
    <mergeCell ref="B2751:N2752"/>
    <mergeCell ref="B2753:N2754"/>
    <mergeCell ref="J2760:N2761"/>
    <mergeCell ref="B2761:D2761"/>
    <mergeCell ref="B2763:B2769"/>
    <mergeCell ref="C2763:J2763"/>
    <mergeCell ref="K2763:N2764"/>
    <mergeCell ref="C2764:J2764"/>
    <mergeCell ref="C2765:J2765"/>
    <mergeCell ref="K2765:K2766"/>
    <mergeCell ref="L2733:M2733"/>
    <mergeCell ref="L2734:M2734"/>
    <mergeCell ref="B2735:M2735"/>
    <mergeCell ref="B2737:M2737"/>
    <mergeCell ref="B2747:N2747"/>
    <mergeCell ref="B2748:N2748"/>
    <mergeCell ref="B2724:M2724"/>
    <mergeCell ref="B2727:M2727"/>
    <mergeCell ref="B2728:N2730"/>
    <mergeCell ref="B2731:H2731"/>
    <mergeCell ref="L2731:M2731"/>
    <mergeCell ref="B2732:H2732"/>
    <mergeCell ref="L2732:M2732"/>
    <mergeCell ref="L2718:M2718"/>
    <mergeCell ref="L2719:M2719"/>
    <mergeCell ref="B2720:M2720"/>
    <mergeCell ref="B2722:I2722"/>
    <mergeCell ref="L2722:M2722"/>
    <mergeCell ref="B2723:H2723"/>
    <mergeCell ref="L2723:M2723"/>
    <mergeCell ref="B2713:H2713"/>
    <mergeCell ref="L2713:M2713"/>
    <mergeCell ref="L2714:M2714"/>
    <mergeCell ref="B2715:M2715"/>
    <mergeCell ref="B2717:I2717"/>
    <mergeCell ref="L2717:M2717"/>
    <mergeCell ref="B2707:H2707"/>
    <mergeCell ref="L2707:M2707"/>
    <mergeCell ref="B2708:H2708"/>
    <mergeCell ref="L2708:M2708"/>
    <mergeCell ref="B2709:M2709"/>
    <mergeCell ref="B2710:N2712"/>
    <mergeCell ref="B2701:I2701"/>
    <mergeCell ref="L2701:M2701"/>
    <mergeCell ref="B2702:I2702"/>
    <mergeCell ref="L2702:M2702"/>
    <mergeCell ref="B2703:M2703"/>
    <mergeCell ref="B2704:N2706"/>
    <mergeCell ref="B2695:F2695"/>
    <mergeCell ref="I2695:J2695"/>
    <mergeCell ref="L2695:M2695"/>
    <mergeCell ref="B2696:M2696"/>
    <mergeCell ref="B2697:N2699"/>
    <mergeCell ref="B2700:I2700"/>
    <mergeCell ref="L2700:M2700"/>
    <mergeCell ref="B2690:N2692"/>
    <mergeCell ref="B2693:F2693"/>
    <mergeCell ref="G2693:H2693"/>
    <mergeCell ref="I2693:J2693"/>
    <mergeCell ref="L2693:M2693"/>
    <mergeCell ref="B2694:F2694"/>
    <mergeCell ref="I2694:J2694"/>
    <mergeCell ref="L2694:M2694"/>
    <mergeCell ref="B2682:E2682"/>
    <mergeCell ref="B2686:N2686"/>
    <mergeCell ref="C2688:K2688"/>
    <mergeCell ref="L2688:M2688"/>
    <mergeCell ref="C2689:K2689"/>
    <mergeCell ref="L2689:M2689"/>
    <mergeCell ref="L2674:N2675"/>
    <mergeCell ref="C2675:J2675"/>
    <mergeCell ref="C2676:J2677"/>
    <mergeCell ref="K2676:K2678"/>
    <mergeCell ref="L2676:L2678"/>
    <mergeCell ref="M2676:M2678"/>
    <mergeCell ref="N2676:N2678"/>
    <mergeCell ref="C2678:J2678"/>
    <mergeCell ref="B2660:N2661"/>
    <mergeCell ref="B2662:N2663"/>
    <mergeCell ref="J2669:N2670"/>
    <mergeCell ref="B2670:D2670"/>
    <mergeCell ref="B2672:B2678"/>
    <mergeCell ref="C2672:J2672"/>
    <mergeCell ref="K2672:N2673"/>
    <mergeCell ref="C2673:J2673"/>
    <mergeCell ref="C2674:J2674"/>
    <mergeCell ref="K2674:K2675"/>
    <mergeCell ref="L2642:M2642"/>
    <mergeCell ref="L2643:M2643"/>
    <mergeCell ref="B2644:M2644"/>
    <mergeCell ref="B2646:M2646"/>
    <mergeCell ref="B2656:N2656"/>
    <mergeCell ref="B2657:N2657"/>
    <mergeCell ref="B2636:M2636"/>
    <mergeCell ref="B2637:N2639"/>
    <mergeCell ref="B2640:H2640"/>
    <mergeCell ref="L2640:M2640"/>
    <mergeCell ref="B2641:H2641"/>
    <mergeCell ref="L2641:M2641"/>
    <mergeCell ref="B2629:M2629"/>
    <mergeCell ref="B2631:I2631"/>
    <mergeCell ref="L2631:M2631"/>
    <mergeCell ref="B2632:H2632"/>
    <mergeCell ref="L2632:M2632"/>
    <mergeCell ref="B2633:M2633"/>
    <mergeCell ref="L2623:M2623"/>
    <mergeCell ref="L2624:M2624"/>
    <mergeCell ref="B2625:M2625"/>
    <mergeCell ref="B2627:I2627"/>
    <mergeCell ref="L2627:M2627"/>
    <mergeCell ref="L2628:M2628"/>
    <mergeCell ref="B2617:H2617"/>
    <mergeCell ref="L2617:M2617"/>
    <mergeCell ref="B2618:M2618"/>
    <mergeCell ref="B2619:N2621"/>
    <mergeCell ref="B2622:H2622"/>
    <mergeCell ref="L2622:M2622"/>
    <mergeCell ref="B2611:I2611"/>
    <mergeCell ref="L2611:M2611"/>
    <mergeCell ref="B2612:M2612"/>
    <mergeCell ref="B2613:N2615"/>
    <mergeCell ref="B2616:H2616"/>
    <mergeCell ref="L2616:M2616"/>
    <mergeCell ref="B2605:M2605"/>
    <mergeCell ref="B2606:N2608"/>
    <mergeCell ref="B2609:I2609"/>
    <mergeCell ref="L2609:M2609"/>
    <mergeCell ref="B2610:I2610"/>
    <mergeCell ref="L2610:M2610"/>
    <mergeCell ref="B2603:F2603"/>
    <mergeCell ref="I2603:J2603"/>
    <mergeCell ref="L2603:M2603"/>
    <mergeCell ref="B2604:F2604"/>
    <mergeCell ref="I2604:J2604"/>
    <mergeCell ref="L2604:M2604"/>
    <mergeCell ref="B2601:F2601"/>
    <mergeCell ref="I2601:J2601"/>
    <mergeCell ref="L2601:M2601"/>
    <mergeCell ref="B2602:F2602"/>
    <mergeCell ref="I2602:J2602"/>
    <mergeCell ref="L2602:M2602"/>
    <mergeCell ref="B2596:N2598"/>
    <mergeCell ref="B2599:F2599"/>
    <mergeCell ref="G2599:H2599"/>
    <mergeCell ref="I2599:J2599"/>
    <mergeCell ref="L2599:M2599"/>
    <mergeCell ref="B2600:F2600"/>
    <mergeCell ref="G2600:H2600"/>
    <mergeCell ref="I2600:J2600"/>
    <mergeCell ref="L2600:M2600"/>
    <mergeCell ref="B2588:E2588"/>
    <mergeCell ref="B2592:N2592"/>
    <mergeCell ref="C2594:K2594"/>
    <mergeCell ref="L2594:M2594"/>
    <mergeCell ref="C2595:K2595"/>
    <mergeCell ref="L2595:M2595"/>
    <mergeCell ref="L2580:N2581"/>
    <mergeCell ref="C2581:J2581"/>
    <mergeCell ref="C2582:J2583"/>
    <mergeCell ref="K2582:K2584"/>
    <mergeCell ref="L2582:L2584"/>
    <mergeCell ref="M2582:M2584"/>
    <mergeCell ref="N2582:N2584"/>
    <mergeCell ref="C2584:J2584"/>
    <mergeCell ref="B2566:N2567"/>
    <mergeCell ref="B2568:N2569"/>
    <mergeCell ref="J2575:N2576"/>
    <mergeCell ref="B2576:D2576"/>
    <mergeCell ref="B2578:B2584"/>
    <mergeCell ref="C2578:J2578"/>
    <mergeCell ref="K2578:N2579"/>
    <mergeCell ref="C2579:J2579"/>
    <mergeCell ref="C2580:J2580"/>
    <mergeCell ref="K2580:K2581"/>
    <mergeCell ref="L2548:M2548"/>
    <mergeCell ref="L2549:M2549"/>
    <mergeCell ref="B2550:M2550"/>
    <mergeCell ref="B2552:M2552"/>
    <mergeCell ref="B2562:N2562"/>
    <mergeCell ref="B2563:N2563"/>
    <mergeCell ref="B2542:M2542"/>
    <mergeCell ref="B2543:N2545"/>
    <mergeCell ref="B2546:H2546"/>
    <mergeCell ref="L2546:M2546"/>
    <mergeCell ref="B2547:H2547"/>
    <mergeCell ref="L2547:M2547"/>
    <mergeCell ref="B2535:M2535"/>
    <mergeCell ref="B2537:I2537"/>
    <mergeCell ref="L2537:M2537"/>
    <mergeCell ref="B2538:H2538"/>
    <mergeCell ref="L2538:M2538"/>
    <mergeCell ref="B2539:M2539"/>
    <mergeCell ref="L2529:M2529"/>
    <mergeCell ref="L2530:M2530"/>
    <mergeCell ref="B2531:M2531"/>
    <mergeCell ref="B2533:I2533"/>
    <mergeCell ref="L2533:M2533"/>
    <mergeCell ref="L2534:M2534"/>
    <mergeCell ref="B2523:H2523"/>
    <mergeCell ref="L2523:M2523"/>
    <mergeCell ref="B2524:M2524"/>
    <mergeCell ref="B2525:N2527"/>
    <mergeCell ref="B2528:H2528"/>
    <mergeCell ref="L2528:M2528"/>
    <mergeCell ref="B2517:I2517"/>
    <mergeCell ref="L2517:M2517"/>
    <mergeCell ref="B2518:M2518"/>
    <mergeCell ref="B2519:N2521"/>
    <mergeCell ref="B2522:H2522"/>
    <mergeCell ref="L2522:M2522"/>
    <mergeCell ref="B2511:M2511"/>
    <mergeCell ref="B2512:N2514"/>
    <mergeCell ref="B2515:I2515"/>
    <mergeCell ref="L2515:M2515"/>
    <mergeCell ref="B2516:I2516"/>
    <mergeCell ref="L2516:M2516"/>
    <mergeCell ref="B2509:F2509"/>
    <mergeCell ref="I2509:J2509"/>
    <mergeCell ref="L2509:M2509"/>
    <mergeCell ref="B2510:F2510"/>
    <mergeCell ref="I2510:J2510"/>
    <mergeCell ref="L2510:M2510"/>
    <mergeCell ref="B2507:F2507"/>
    <mergeCell ref="I2507:J2507"/>
    <mergeCell ref="L2507:M2507"/>
    <mergeCell ref="B2508:F2508"/>
    <mergeCell ref="I2508:J2508"/>
    <mergeCell ref="L2508:M2508"/>
    <mergeCell ref="B2502:N2504"/>
    <mergeCell ref="B2505:F2505"/>
    <mergeCell ref="G2505:H2505"/>
    <mergeCell ref="I2505:J2505"/>
    <mergeCell ref="L2505:M2505"/>
    <mergeCell ref="B2506:F2506"/>
    <mergeCell ref="G2506:H2506"/>
    <mergeCell ref="I2506:J2506"/>
    <mergeCell ref="L2506:M2506"/>
    <mergeCell ref="B2494:E2494"/>
    <mergeCell ref="B2498:N2498"/>
    <mergeCell ref="C2500:K2500"/>
    <mergeCell ref="L2500:M2500"/>
    <mergeCell ref="C2501:K2501"/>
    <mergeCell ref="L2501:M2501"/>
    <mergeCell ref="L2486:N2487"/>
    <mergeCell ref="C2487:J2487"/>
    <mergeCell ref="C2488:J2489"/>
    <mergeCell ref="K2488:K2490"/>
    <mergeCell ref="L2488:L2490"/>
    <mergeCell ref="M2488:M2490"/>
    <mergeCell ref="N2488:N2490"/>
    <mergeCell ref="C2490:J2490"/>
    <mergeCell ref="B2472:N2473"/>
    <mergeCell ref="B2474:N2475"/>
    <mergeCell ref="J2481:N2482"/>
    <mergeCell ref="B2482:D2482"/>
    <mergeCell ref="B2484:B2490"/>
    <mergeCell ref="C2484:J2484"/>
    <mergeCell ref="K2484:N2485"/>
    <mergeCell ref="C2485:J2485"/>
    <mergeCell ref="C2486:J2486"/>
    <mergeCell ref="K2486:K2487"/>
    <mergeCell ref="L2454:M2454"/>
    <mergeCell ref="L2455:M2455"/>
    <mergeCell ref="B2456:M2456"/>
    <mergeCell ref="B2458:M2458"/>
    <mergeCell ref="B2468:N2468"/>
    <mergeCell ref="B2469:N2469"/>
    <mergeCell ref="B2448:M2448"/>
    <mergeCell ref="B2449:N2451"/>
    <mergeCell ref="B2452:H2452"/>
    <mergeCell ref="L2452:M2452"/>
    <mergeCell ref="B2453:H2453"/>
    <mergeCell ref="L2453:M2453"/>
    <mergeCell ref="B2441:M2441"/>
    <mergeCell ref="B2443:I2443"/>
    <mergeCell ref="L2443:M2443"/>
    <mergeCell ref="B2444:H2444"/>
    <mergeCell ref="L2444:M2444"/>
    <mergeCell ref="B2445:M2445"/>
    <mergeCell ref="L2435:M2435"/>
    <mergeCell ref="L2436:M2436"/>
    <mergeCell ref="B2437:M2437"/>
    <mergeCell ref="B2439:I2439"/>
    <mergeCell ref="L2439:M2439"/>
    <mergeCell ref="L2440:M2440"/>
    <mergeCell ref="B2429:H2429"/>
    <mergeCell ref="L2429:M2429"/>
    <mergeCell ref="B2430:M2430"/>
    <mergeCell ref="B2431:N2433"/>
    <mergeCell ref="B2434:H2434"/>
    <mergeCell ref="L2434:M2434"/>
    <mergeCell ref="B2423:I2423"/>
    <mergeCell ref="L2423:M2423"/>
    <mergeCell ref="B2424:M2424"/>
    <mergeCell ref="B2425:N2427"/>
    <mergeCell ref="B2428:H2428"/>
    <mergeCell ref="L2428:M2428"/>
    <mergeCell ref="B2417:M2417"/>
    <mergeCell ref="B2418:N2420"/>
    <mergeCell ref="B2421:I2421"/>
    <mergeCell ref="L2421:M2421"/>
    <mergeCell ref="B2422:I2422"/>
    <mergeCell ref="L2422:M2422"/>
    <mergeCell ref="B2415:F2415"/>
    <mergeCell ref="I2415:J2415"/>
    <mergeCell ref="L2415:M2415"/>
    <mergeCell ref="B2416:F2416"/>
    <mergeCell ref="I2416:J2416"/>
    <mergeCell ref="L2416:M2416"/>
    <mergeCell ref="B2413:F2413"/>
    <mergeCell ref="I2413:J2413"/>
    <mergeCell ref="L2413:M2413"/>
    <mergeCell ref="B2414:F2414"/>
    <mergeCell ref="I2414:J2414"/>
    <mergeCell ref="L2414:M2414"/>
    <mergeCell ref="B2408:N2410"/>
    <mergeCell ref="B2411:F2411"/>
    <mergeCell ref="G2411:H2411"/>
    <mergeCell ref="I2411:J2411"/>
    <mergeCell ref="L2411:M2411"/>
    <mergeCell ref="B2412:F2412"/>
    <mergeCell ref="G2412:H2412"/>
    <mergeCell ref="I2412:J2412"/>
    <mergeCell ref="L2412:M2412"/>
    <mergeCell ref="B2400:E2400"/>
    <mergeCell ref="B2404:N2404"/>
    <mergeCell ref="C2406:K2406"/>
    <mergeCell ref="L2406:M2406"/>
    <mergeCell ref="C2407:K2407"/>
    <mergeCell ref="L2407:M2407"/>
    <mergeCell ref="L2392:N2393"/>
    <mergeCell ref="C2393:J2393"/>
    <mergeCell ref="C2394:J2395"/>
    <mergeCell ref="K2394:K2396"/>
    <mergeCell ref="L2394:L2396"/>
    <mergeCell ref="M2394:M2396"/>
    <mergeCell ref="N2394:N2396"/>
    <mergeCell ref="C2396:J2396"/>
    <mergeCell ref="B2378:N2379"/>
    <mergeCell ref="B2380:N2381"/>
    <mergeCell ref="J2387:N2388"/>
    <mergeCell ref="B2388:D2388"/>
    <mergeCell ref="B2390:B2396"/>
    <mergeCell ref="C2390:J2390"/>
    <mergeCell ref="K2390:N2391"/>
    <mergeCell ref="C2391:J2391"/>
    <mergeCell ref="C2392:J2392"/>
    <mergeCell ref="K2392:K2393"/>
    <mergeCell ref="L2360:M2360"/>
    <mergeCell ref="L2361:M2361"/>
    <mergeCell ref="B2362:M2362"/>
    <mergeCell ref="B2364:M2364"/>
    <mergeCell ref="B2374:N2374"/>
    <mergeCell ref="B2375:N2375"/>
    <mergeCell ref="B2354:M2354"/>
    <mergeCell ref="B2355:N2357"/>
    <mergeCell ref="B2358:H2358"/>
    <mergeCell ref="L2358:M2358"/>
    <mergeCell ref="B2359:H2359"/>
    <mergeCell ref="L2359:M2359"/>
    <mergeCell ref="B2347:M2347"/>
    <mergeCell ref="B2349:I2349"/>
    <mergeCell ref="L2349:M2349"/>
    <mergeCell ref="B2350:H2350"/>
    <mergeCell ref="L2350:M2350"/>
    <mergeCell ref="B2351:M2351"/>
    <mergeCell ref="L2341:M2341"/>
    <mergeCell ref="L2342:M2342"/>
    <mergeCell ref="B2343:M2343"/>
    <mergeCell ref="B2345:I2345"/>
    <mergeCell ref="L2345:M2345"/>
    <mergeCell ref="L2346:M2346"/>
    <mergeCell ref="B2335:H2335"/>
    <mergeCell ref="L2335:M2335"/>
    <mergeCell ref="B2336:M2336"/>
    <mergeCell ref="B2337:N2339"/>
    <mergeCell ref="B2340:H2340"/>
    <mergeCell ref="L2340:M2340"/>
    <mergeCell ref="B2329:I2329"/>
    <mergeCell ref="L2329:M2329"/>
    <mergeCell ref="B2330:M2330"/>
    <mergeCell ref="B2331:N2333"/>
    <mergeCell ref="B2334:H2334"/>
    <mergeCell ref="L2334:M2334"/>
    <mergeCell ref="B2323:M2323"/>
    <mergeCell ref="B2324:N2326"/>
    <mergeCell ref="B2327:I2327"/>
    <mergeCell ref="L2327:M2327"/>
    <mergeCell ref="B2328:I2328"/>
    <mergeCell ref="L2328:M2328"/>
    <mergeCell ref="B2321:F2321"/>
    <mergeCell ref="I2321:J2321"/>
    <mergeCell ref="L2321:M2321"/>
    <mergeCell ref="B2322:F2322"/>
    <mergeCell ref="I2322:J2322"/>
    <mergeCell ref="L2322:M2322"/>
    <mergeCell ref="B2319:F2319"/>
    <mergeCell ref="I2319:J2319"/>
    <mergeCell ref="L2319:M2319"/>
    <mergeCell ref="B2320:F2320"/>
    <mergeCell ref="I2320:J2320"/>
    <mergeCell ref="L2320:M2320"/>
    <mergeCell ref="B2314:N2316"/>
    <mergeCell ref="B2317:F2317"/>
    <mergeCell ref="G2317:H2317"/>
    <mergeCell ref="I2317:J2317"/>
    <mergeCell ref="L2317:M2317"/>
    <mergeCell ref="B2318:F2318"/>
    <mergeCell ref="G2318:H2318"/>
    <mergeCell ref="I2318:J2318"/>
    <mergeCell ref="L2318:M2318"/>
    <mergeCell ref="B2306:E2306"/>
    <mergeCell ref="B2310:N2310"/>
    <mergeCell ref="C2312:K2312"/>
    <mergeCell ref="L2312:M2312"/>
    <mergeCell ref="C2313:K2313"/>
    <mergeCell ref="L2313:M2313"/>
    <mergeCell ref="L2298:N2299"/>
    <mergeCell ref="C2299:J2299"/>
    <mergeCell ref="C2300:J2301"/>
    <mergeCell ref="K2300:K2302"/>
    <mergeCell ref="L2300:L2302"/>
    <mergeCell ref="M2300:M2302"/>
    <mergeCell ref="N2300:N2302"/>
    <mergeCell ref="C2302:J2302"/>
    <mergeCell ref="B2284:N2285"/>
    <mergeCell ref="B2286:N2287"/>
    <mergeCell ref="J2293:N2294"/>
    <mergeCell ref="B2294:D2294"/>
    <mergeCell ref="B2296:B2302"/>
    <mergeCell ref="C2296:J2296"/>
    <mergeCell ref="K2296:N2297"/>
    <mergeCell ref="C2297:J2297"/>
    <mergeCell ref="C2298:J2298"/>
    <mergeCell ref="K2298:K2299"/>
    <mergeCell ref="L2266:M2266"/>
    <mergeCell ref="L2267:M2267"/>
    <mergeCell ref="B2268:M2268"/>
    <mergeCell ref="B2270:M2270"/>
    <mergeCell ref="B2280:N2280"/>
    <mergeCell ref="B2281:N2281"/>
    <mergeCell ref="B2260:M2260"/>
    <mergeCell ref="B2261:N2263"/>
    <mergeCell ref="B2264:H2264"/>
    <mergeCell ref="L2264:M2264"/>
    <mergeCell ref="B2265:H2265"/>
    <mergeCell ref="L2265:M2265"/>
    <mergeCell ref="B2253:M2253"/>
    <mergeCell ref="B2255:I2255"/>
    <mergeCell ref="L2255:M2255"/>
    <mergeCell ref="B2256:H2256"/>
    <mergeCell ref="L2256:M2256"/>
    <mergeCell ref="B2257:M2257"/>
    <mergeCell ref="L2247:M2247"/>
    <mergeCell ref="L2248:M2248"/>
    <mergeCell ref="B2249:M2249"/>
    <mergeCell ref="B2251:I2251"/>
    <mergeCell ref="L2251:M2251"/>
    <mergeCell ref="L2252:M2252"/>
    <mergeCell ref="B2241:H2241"/>
    <mergeCell ref="L2241:M2241"/>
    <mergeCell ref="B2242:M2242"/>
    <mergeCell ref="B2243:N2245"/>
    <mergeCell ref="B2246:H2246"/>
    <mergeCell ref="L2246:M2246"/>
    <mergeCell ref="B2235:I2235"/>
    <mergeCell ref="L2235:M2235"/>
    <mergeCell ref="B2236:M2236"/>
    <mergeCell ref="B2237:N2239"/>
    <mergeCell ref="B2240:H2240"/>
    <mergeCell ref="L2240:M2240"/>
    <mergeCell ref="B2229:M2229"/>
    <mergeCell ref="B2230:N2232"/>
    <mergeCell ref="B2233:I2233"/>
    <mergeCell ref="L2233:M2233"/>
    <mergeCell ref="B2234:I2234"/>
    <mergeCell ref="L2234:M2234"/>
    <mergeCell ref="B2227:F2227"/>
    <mergeCell ref="I2227:J2227"/>
    <mergeCell ref="L2227:M2227"/>
    <mergeCell ref="B2228:F2228"/>
    <mergeCell ref="I2228:J2228"/>
    <mergeCell ref="L2228:M2228"/>
    <mergeCell ref="B2225:F2225"/>
    <mergeCell ref="I2225:J2225"/>
    <mergeCell ref="L2225:M2225"/>
    <mergeCell ref="B2226:F2226"/>
    <mergeCell ref="I2226:J2226"/>
    <mergeCell ref="L2226:M2226"/>
    <mergeCell ref="B2220:N2222"/>
    <mergeCell ref="B2223:F2223"/>
    <mergeCell ref="G2223:H2223"/>
    <mergeCell ref="I2223:J2223"/>
    <mergeCell ref="L2223:M2223"/>
    <mergeCell ref="B2224:F2224"/>
    <mergeCell ref="G2224:H2224"/>
    <mergeCell ref="I2224:J2224"/>
    <mergeCell ref="L2224:M2224"/>
    <mergeCell ref="B2212:E2212"/>
    <mergeCell ref="B2216:N2216"/>
    <mergeCell ref="C2218:K2218"/>
    <mergeCell ref="L2218:M2218"/>
    <mergeCell ref="C2219:K2219"/>
    <mergeCell ref="L2219:M2219"/>
    <mergeCell ref="L2204:N2205"/>
    <mergeCell ref="C2205:J2205"/>
    <mergeCell ref="C2206:J2207"/>
    <mergeCell ref="K2206:K2208"/>
    <mergeCell ref="L2206:L2208"/>
    <mergeCell ref="M2206:M2208"/>
    <mergeCell ref="N2206:N2208"/>
    <mergeCell ref="C2208:J2208"/>
    <mergeCell ref="B2190:N2191"/>
    <mergeCell ref="B2192:N2193"/>
    <mergeCell ref="J2199:N2200"/>
    <mergeCell ref="B2200:D2200"/>
    <mergeCell ref="B2202:B2208"/>
    <mergeCell ref="C2202:J2202"/>
    <mergeCell ref="K2202:N2203"/>
    <mergeCell ref="C2203:J2203"/>
    <mergeCell ref="C2204:J2204"/>
    <mergeCell ref="K2204:K2205"/>
    <mergeCell ref="L2172:M2172"/>
    <mergeCell ref="L2173:M2173"/>
    <mergeCell ref="B2174:M2174"/>
    <mergeCell ref="B2176:M2176"/>
    <mergeCell ref="B2186:N2186"/>
    <mergeCell ref="B2187:N2187"/>
    <mergeCell ref="B2166:M2166"/>
    <mergeCell ref="B2167:N2169"/>
    <mergeCell ref="B2170:H2170"/>
    <mergeCell ref="L2170:M2170"/>
    <mergeCell ref="B2171:H2171"/>
    <mergeCell ref="L2171:M2171"/>
    <mergeCell ref="L2158:M2158"/>
    <mergeCell ref="B2159:M2159"/>
    <mergeCell ref="B2161:I2161"/>
    <mergeCell ref="L2161:M2161"/>
    <mergeCell ref="L2162:M2162"/>
    <mergeCell ref="B2163:M2163"/>
    <mergeCell ref="B2152:H2152"/>
    <mergeCell ref="L2152:M2152"/>
    <mergeCell ref="L2153:M2153"/>
    <mergeCell ref="L2154:M2154"/>
    <mergeCell ref="B2155:M2155"/>
    <mergeCell ref="B2157:I2157"/>
    <mergeCell ref="L2157:M2157"/>
    <mergeCell ref="B2146:H2146"/>
    <mergeCell ref="L2146:M2146"/>
    <mergeCell ref="B2147:H2147"/>
    <mergeCell ref="L2147:M2147"/>
    <mergeCell ref="B2148:M2148"/>
    <mergeCell ref="B2149:N2151"/>
    <mergeCell ref="B2140:I2140"/>
    <mergeCell ref="L2140:M2140"/>
    <mergeCell ref="B2141:I2141"/>
    <mergeCell ref="L2141:M2141"/>
    <mergeCell ref="B2142:M2142"/>
    <mergeCell ref="B2143:N2145"/>
    <mergeCell ref="B2134:F2134"/>
    <mergeCell ref="I2134:J2134"/>
    <mergeCell ref="L2134:M2134"/>
    <mergeCell ref="B2135:M2135"/>
    <mergeCell ref="B2136:N2138"/>
    <mergeCell ref="B2139:I2139"/>
    <mergeCell ref="L2139:M2139"/>
    <mergeCell ref="B2129:N2131"/>
    <mergeCell ref="B2132:F2132"/>
    <mergeCell ref="G2132:H2132"/>
    <mergeCell ref="I2132:J2132"/>
    <mergeCell ref="L2132:M2132"/>
    <mergeCell ref="B2133:F2133"/>
    <mergeCell ref="G2133:H2133"/>
    <mergeCell ref="I2133:J2133"/>
    <mergeCell ref="L2133:M2133"/>
    <mergeCell ref="B2121:E2121"/>
    <mergeCell ref="B2125:N2125"/>
    <mergeCell ref="C2127:K2127"/>
    <mergeCell ref="L2127:M2127"/>
    <mergeCell ref="C2128:K2128"/>
    <mergeCell ref="L2128:M2128"/>
    <mergeCell ref="L2113:N2114"/>
    <mergeCell ref="C2114:J2114"/>
    <mergeCell ref="C2115:J2116"/>
    <mergeCell ref="K2115:K2117"/>
    <mergeCell ref="L2115:L2117"/>
    <mergeCell ref="M2115:M2117"/>
    <mergeCell ref="N2115:N2117"/>
    <mergeCell ref="C2117:J2117"/>
    <mergeCell ref="B2099:N2100"/>
    <mergeCell ref="B2101:N2102"/>
    <mergeCell ref="J2108:N2109"/>
    <mergeCell ref="B2109:D2109"/>
    <mergeCell ref="B2111:B2117"/>
    <mergeCell ref="C2111:J2111"/>
    <mergeCell ref="K2111:N2112"/>
    <mergeCell ref="C2112:J2112"/>
    <mergeCell ref="C2113:J2113"/>
    <mergeCell ref="K2113:K2114"/>
    <mergeCell ref="L2081:M2081"/>
    <mergeCell ref="L2082:M2082"/>
    <mergeCell ref="B2083:M2083"/>
    <mergeCell ref="B2085:M2085"/>
    <mergeCell ref="B2095:N2095"/>
    <mergeCell ref="B2096:N2096"/>
    <mergeCell ref="B2075:M2075"/>
    <mergeCell ref="B2076:N2078"/>
    <mergeCell ref="B2079:H2079"/>
    <mergeCell ref="L2079:M2079"/>
    <mergeCell ref="B2080:H2080"/>
    <mergeCell ref="L2080:M2080"/>
    <mergeCell ref="L2067:M2067"/>
    <mergeCell ref="B2068:M2068"/>
    <mergeCell ref="B2070:I2070"/>
    <mergeCell ref="L2070:M2070"/>
    <mergeCell ref="L2071:M2071"/>
    <mergeCell ref="B2072:M2072"/>
    <mergeCell ref="B2061:H2061"/>
    <mergeCell ref="L2061:M2061"/>
    <mergeCell ref="L2062:M2062"/>
    <mergeCell ref="L2063:M2063"/>
    <mergeCell ref="B2064:M2064"/>
    <mergeCell ref="B2066:I2066"/>
    <mergeCell ref="L2066:M2066"/>
    <mergeCell ref="B2055:H2055"/>
    <mergeCell ref="L2055:M2055"/>
    <mergeCell ref="B2056:H2056"/>
    <mergeCell ref="L2056:M2056"/>
    <mergeCell ref="B2057:M2057"/>
    <mergeCell ref="B2058:N2060"/>
    <mergeCell ref="B2049:I2049"/>
    <mergeCell ref="L2049:M2049"/>
    <mergeCell ref="B2050:I2050"/>
    <mergeCell ref="L2050:M2050"/>
    <mergeCell ref="B2051:M2051"/>
    <mergeCell ref="B2052:N2054"/>
    <mergeCell ref="B2043:F2043"/>
    <mergeCell ref="I2043:J2043"/>
    <mergeCell ref="L2043:M2043"/>
    <mergeCell ref="B2044:M2044"/>
    <mergeCell ref="B2045:N2047"/>
    <mergeCell ref="B2048:I2048"/>
    <mergeCell ref="L2048:M2048"/>
    <mergeCell ref="B2038:N2040"/>
    <mergeCell ref="B2041:F2041"/>
    <mergeCell ref="G2041:H2041"/>
    <mergeCell ref="I2041:J2041"/>
    <mergeCell ref="L2041:M2041"/>
    <mergeCell ref="B2042:F2042"/>
    <mergeCell ref="G2042:H2042"/>
    <mergeCell ref="I2042:J2042"/>
    <mergeCell ref="L2042:M2042"/>
    <mergeCell ref="B2030:E2030"/>
    <mergeCell ref="B2034:N2034"/>
    <mergeCell ref="C2036:K2036"/>
    <mergeCell ref="L2036:M2036"/>
    <mergeCell ref="C2037:K2037"/>
    <mergeCell ref="L2037:M2037"/>
    <mergeCell ref="L2022:N2023"/>
    <mergeCell ref="C2023:J2023"/>
    <mergeCell ref="C2024:J2025"/>
    <mergeCell ref="K2024:K2026"/>
    <mergeCell ref="L2024:L2026"/>
    <mergeCell ref="M2024:M2026"/>
    <mergeCell ref="N2024:N2026"/>
    <mergeCell ref="C2026:J2026"/>
    <mergeCell ref="B2008:N2009"/>
    <mergeCell ref="B2010:N2011"/>
    <mergeCell ref="J2017:N2018"/>
    <mergeCell ref="B2018:D2018"/>
    <mergeCell ref="B2020:B2026"/>
    <mergeCell ref="C2020:J2020"/>
    <mergeCell ref="K2020:N2021"/>
    <mergeCell ref="C2021:J2021"/>
    <mergeCell ref="C2022:J2022"/>
    <mergeCell ref="K2022:K2023"/>
    <mergeCell ref="L1990:M1990"/>
    <mergeCell ref="L1991:M1991"/>
    <mergeCell ref="B1992:M1992"/>
    <mergeCell ref="B1994:M1994"/>
    <mergeCell ref="B2004:N2004"/>
    <mergeCell ref="B2005:N2005"/>
    <mergeCell ref="B1984:M1984"/>
    <mergeCell ref="B1985:N1987"/>
    <mergeCell ref="B1988:H1988"/>
    <mergeCell ref="L1988:M1988"/>
    <mergeCell ref="B1989:H1989"/>
    <mergeCell ref="L1989:M1989"/>
    <mergeCell ref="L1976:M1976"/>
    <mergeCell ref="B1977:M1977"/>
    <mergeCell ref="B1979:I1979"/>
    <mergeCell ref="L1979:M1979"/>
    <mergeCell ref="L1980:M1980"/>
    <mergeCell ref="B1981:M1981"/>
    <mergeCell ref="B1970:H1970"/>
    <mergeCell ref="L1970:M1970"/>
    <mergeCell ref="L1971:M1971"/>
    <mergeCell ref="L1972:M1972"/>
    <mergeCell ref="B1973:M1973"/>
    <mergeCell ref="B1975:I1975"/>
    <mergeCell ref="L1975:M1975"/>
    <mergeCell ref="B1964:H1964"/>
    <mergeCell ref="L1964:M1964"/>
    <mergeCell ref="B1965:H1965"/>
    <mergeCell ref="L1965:M1965"/>
    <mergeCell ref="B1966:M1966"/>
    <mergeCell ref="B1967:N1969"/>
    <mergeCell ref="B1958:I1958"/>
    <mergeCell ref="L1958:M1958"/>
    <mergeCell ref="B1959:I1959"/>
    <mergeCell ref="L1959:M1959"/>
    <mergeCell ref="B1960:M1960"/>
    <mergeCell ref="B1961:N1963"/>
    <mergeCell ref="B1952:F1952"/>
    <mergeCell ref="I1952:J1952"/>
    <mergeCell ref="L1952:M1952"/>
    <mergeCell ref="B1953:M1953"/>
    <mergeCell ref="B1954:N1956"/>
    <mergeCell ref="B1957:I1957"/>
    <mergeCell ref="L1957:M1957"/>
    <mergeCell ref="B1947:N1949"/>
    <mergeCell ref="B1950:F1950"/>
    <mergeCell ref="G1950:H1950"/>
    <mergeCell ref="I1950:J1950"/>
    <mergeCell ref="L1950:M1950"/>
    <mergeCell ref="B1951:F1951"/>
    <mergeCell ref="G1951:H1951"/>
    <mergeCell ref="I1951:J1951"/>
    <mergeCell ref="L1951:M1951"/>
    <mergeCell ref="B1939:E1939"/>
    <mergeCell ref="B1943:N1943"/>
    <mergeCell ref="C1945:K1945"/>
    <mergeCell ref="L1945:M1945"/>
    <mergeCell ref="C1946:K1946"/>
    <mergeCell ref="L1946:M1946"/>
    <mergeCell ref="L1931:N1932"/>
    <mergeCell ref="C1932:J1932"/>
    <mergeCell ref="C1933:J1934"/>
    <mergeCell ref="K1933:K1935"/>
    <mergeCell ref="L1933:L1935"/>
    <mergeCell ref="M1933:M1935"/>
    <mergeCell ref="N1933:N1935"/>
    <mergeCell ref="C1935:J1935"/>
    <mergeCell ref="B1917:N1918"/>
    <mergeCell ref="B1919:N1920"/>
    <mergeCell ref="J1926:N1927"/>
    <mergeCell ref="B1927:D1927"/>
    <mergeCell ref="B1929:B1935"/>
    <mergeCell ref="C1929:J1929"/>
    <mergeCell ref="K1929:N1930"/>
    <mergeCell ref="C1930:J1930"/>
    <mergeCell ref="C1931:J1931"/>
    <mergeCell ref="K1931:K1932"/>
    <mergeCell ref="L1899:M1899"/>
    <mergeCell ref="L1900:M1900"/>
    <mergeCell ref="B1901:M1901"/>
    <mergeCell ref="B1903:M1903"/>
    <mergeCell ref="B1913:N1913"/>
    <mergeCell ref="B1914:N1914"/>
    <mergeCell ref="B1893:M1893"/>
    <mergeCell ref="B1894:N1896"/>
    <mergeCell ref="B1897:H1897"/>
    <mergeCell ref="L1897:M1897"/>
    <mergeCell ref="B1898:H1898"/>
    <mergeCell ref="L1898:M1898"/>
    <mergeCell ref="L1885:M1885"/>
    <mergeCell ref="B1886:M1886"/>
    <mergeCell ref="B1888:I1888"/>
    <mergeCell ref="L1888:M1888"/>
    <mergeCell ref="L1889:M1889"/>
    <mergeCell ref="B1890:M1890"/>
    <mergeCell ref="B1879:H1879"/>
    <mergeCell ref="L1879:M1879"/>
    <mergeCell ref="L1880:M1880"/>
    <mergeCell ref="L1881:M1881"/>
    <mergeCell ref="B1882:M1882"/>
    <mergeCell ref="B1884:I1884"/>
    <mergeCell ref="L1884:M1884"/>
    <mergeCell ref="B1873:H1873"/>
    <mergeCell ref="L1873:M1873"/>
    <mergeCell ref="B1874:H1874"/>
    <mergeCell ref="L1874:M1874"/>
    <mergeCell ref="B1875:M1875"/>
    <mergeCell ref="B1876:N1878"/>
    <mergeCell ref="B1867:I1867"/>
    <mergeCell ref="L1867:M1867"/>
    <mergeCell ref="B1868:I1868"/>
    <mergeCell ref="L1868:M1868"/>
    <mergeCell ref="B1869:M1869"/>
    <mergeCell ref="B1870:N1872"/>
    <mergeCell ref="B1861:F1861"/>
    <mergeCell ref="I1861:J1861"/>
    <mergeCell ref="L1861:M1861"/>
    <mergeCell ref="B1862:M1862"/>
    <mergeCell ref="B1863:N1865"/>
    <mergeCell ref="B1866:I1866"/>
    <mergeCell ref="L1866:M1866"/>
    <mergeCell ref="B1856:N1858"/>
    <mergeCell ref="B1859:F1859"/>
    <mergeCell ref="G1859:H1859"/>
    <mergeCell ref="I1859:J1859"/>
    <mergeCell ref="L1859:M1859"/>
    <mergeCell ref="B1860:F1860"/>
    <mergeCell ref="G1860:H1860"/>
    <mergeCell ref="I1860:J1860"/>
    <mergeCell ref="L1860:M1860"/>
    <mergeCell ref="B1848:E1848"/>
    <mergeCell ref="B1852:N1852"/>
    <mergeCell ref="C1854:K1854"/>
    <mergeCell ref="L1854:M1854"/>
    <mergeCell ref="C1855:K1855"/>
    <mergeCell ref="L1855:M1855"/>
    <mergeCell ref="L1840:N1841"/>
    <mergeCell ref="C1841:J1841"/>
    <mergeCell ref="C1842:J1843"/>
    <mergeCell ref="K1842:K1844"/>
    <mergeCell ref="L1842:L1844"/>
    <mergeCell ref="M1842:M1844"/>
    <mergeCell ref="N1842:N1844"/>
    <mergeCell ref="C1844:J1844"/>
    <mergeCell ref="B1826:N1827"/>
    <mergeCell ref="B1828:N1829"/>
    <mergeCell ref="J1835:N1836"/>
    <mergeCell ref="B1836:D1836"/>
    <mergeCell ref="B1838:B1844"/>
    <mergeCell ref="C1838:J1838"/>
    <mergeCell ref="K1838:N1839"/>
    <mergeCell ref="C1839:J1839"/>
    <mergeCell ref="C1840:J1840"/>
    <mergeCell ref="K1840:K1841"/>
    <mergeCell ref="L1808:M1808"/>
    <mergeCell ref="L1809:M1809"/>
    <mergeCell ref="B1810:M1810"/>
    <mergeCell ref="B1812:M1812"/>
    <mergeCell ref="B1822:N1822"/>
    <mergeCell ref="B1823:N1823"/>
    <mergeCell ref="B1802:M1802"/>
    <mergeCell ref="B1803:N1805"/>
    <mergeCell ref="B1806:H1806"/>
    <mergeCell ref="L1806:M1806"/>
    <mergeCell ref="B1807:H1807"/>
    <mergeCell ref="L1807:M1807"/>
    <mergeCell ref="L1794:M1794"/>
    <mergeCell ref="B1795:M1795"/>
    <mergeCell ref="B1797:I1797"/>
    <mergeCell ref="L1797:M1797"/>
    <mergeCell ref="L1798:M1798"/>
    <mergeCell ref="B1799:M1799"/>
    <mergeCell ref="B1788:H1788"/>
    <mergeCell ref="L1788:M1788"/>
    <mergeCell ref="L1789:M1789"/>
    <mergeCell ref="L1790:M1790"/>
    <mergeCell ref="B1791:M1791"/>
    <mergeCell ref="B1793:I1793"/>
    <mergeCell ref="L1793:M1793"/>
    <mergeCell ref="B1782:H1782"/>
    <mergeCell ref="L1782:M1782"/>
    <mergeCell ref="B1783:H1783"/>
    <mergeCell ref="L1783:M1783"/>
    <mergeCell ref="B1784:M1784"/>
    <mergeCell ref="B1785:N1787"/>
    <mergeCell ref="B1776:I1776"/>
    <mergeCell ref="L1776:M1776"/>
    <mergeCell ref="B1777:I1777"/>
    <mergeCell ref="L1777:M1777"/>
    <mergeCell ref="B1778:M1778"/>
    <mergeCell ref="B1779:N1781"/>
    <mergeCell ref="B1770:F1770"/>
    <mergeCell ref="I1770:J1770"/>
    <mergeCell ref="L1770:M1770"/>
    <mergeCell ref="B1771:M1771"/>
    <mergeCell ref="B1772:N1774"/>
    <mergeCell ref="B1775:I1775"/>
    <mergeCell ref="L1775:M1775"/>
    <mergeCell ref="B1765:N1767"/>
    <mergeCell ref="B1768:F1768"/>
    <mergeCell ref="G1768:H1768"/>
    <mergeCell ref="I1768:J1768"/>
    <mergeCell ref="L1768:M1768"/>
    <mergeCell ref="B1769:F1769"/>
    <mergeCell ref="G1769:H1769"/>
    <mergeCell ref="I1769:J1769"/>
    <mergeCell ref="L1769:M1769"/>
    <mergeCell ref="B1757:E1757"/>
    <mergeCell ref="B1761:N1761"/>
    <mergeCell ref="C1763:K1763"/>
    <mergeCell ref="L1763:M1763"/>
    <mergeCell ref="C1764:K1764"/>
    <mergeCell ref="L1764:M1764"/>
    <mergeCell ref="C1750:J1750"/>
    <mergeCell ref="C1751:J1752"/>
    <mergeCell ref="K1751:K1753"/>
    <mergeCell ref="L1751:L1753"/>
    <mergeCell ref="M1751:M1753"/>
    <mergeCell ref="N1751:N1753"/>
    <mergeCell ref="C1753:J1753"/>
    <mergeCell ref="B1737:N1738"/>
    <mergeCell ref="J1744:N1745"/>
    <mergeCell ref="B1745:D1745"/>
    <mergeCell ref="B1747:B1753"/>
    <mergeCell ref="C1747:J1747"/>
    <mergeCell ref="K1747:N1748"/>
    <mergeCell ref="C1748:J1748"/>
    <mergeCell ref="C1749:J1749"/>
    <mergeCell ref="K1749:K1750"/>
    <mergeCell ref="L1749:N1750"/>
    <mergeCell ref="L1718:M1718"/>
    <mergeCell ref="B1719:M1719"/>
    <mergeCell ref="B1721:M1721"/>
    <mergeCell ref="B1731:N1731"/>
    <mergeCell ref="B1732:N1732"/>
    <mergeCell ref="B1735:N1736"/>
    <mergeCell ref="B1712:N1714"/>
    <mergeCell ref="B1715:H1715"/>
    <mergeCell ref="L1715:M1715"/>
    <mergeCell ref="B1716:H1716"/>
    <mergeCell ref="L1716:M1716"/>
    <mergeCell ref="L1717:M1717"/>
    <mergeCell ref="B1704:M1704"/>
    <mergeCell ref="B1706:I1706"/>
    <mergeCell ref="L1706:M1706"/>
    <mergeCell ref="L1707:M1707"/>
    <mergeCell ref="B1708:M1708"/>
    <mergeCell ref="B1711:M1711"/>
    <mergeCell ref="L1698:M1698"/>
    <mergeCell ref="L1699:M1699"/>
    <mergeCell ref="B1700:M1700"/>
    <mergeCell ref="B1702:I1702"/>
    <mergeCell ref="L1702:M1702"/>
    <mergeCell ref="L1703:M1703"/>
    <mergeCell ref="B1692:H1692"/>
    <mergeCell ref="L1692:M1692"/>
    <mergeCell ref="B1693:M1693"/>
    <mergeCell ref="B1694:N1696"/>
    <mergeCell ref="B1697:H1697"/>
    <mergeCell ref="L1697:M1697"/>
    <mergeCell ref="B1686:I1686"/>
    <mergeCell ref="L1686:M1686"/>
    <mergeCell ref="B1687:M1687"/>
    <mergeCell ref="B1688:N1690"/>
    <mergeCell ref="B1691:H1691"/>
    <mergeCell ref="L1691:M1691"/>
    <mergeCell ref="B1680:M1680"/>
    <mergeCell ref="B1681:N1683"/>
    <mergeCell ref="B1684:I1684"/>
    <mergeCell ref="L1684:M1684"/>
    <mergeCell ref="B1685:I1685"/>
    <mergeCell ref="L1685:M1685"/>
    <mergeCell ref="B1678:F1678"/>
    <mergeCell ref="G1678:H1678"/>
    <mergeCell ref="I1678:J1678"/>
    <mergeCell ref="L1678:M1678"/>
    <mergeCell ref="B1679:F1679"/>
    <mergeCell ref="I1679:J1679"/>
    <mergeCell ref="L1679:M1679"/>
    <mergeCell ref="C1672:K1672"/>
    <mergeCell ref="L1672:M1672"/>
    <mergeCell ref="C1673:K1673"/>
    <mergeCell ref="L1673:M1673"/>
    <mergeCell ref="B1674:N1676"/>
    <mergeCell ref="B1677:F1677"/>
    <mergeCell ref="G1677:H1677"/>
    <mergeCell ref="I1677:J1677"/>
    <mergeCell ref="L1677:M1677"/>
    <mergeCell ref="L1660:L1662"/>
    <mergeCell ref="M1660:M1662"/>
    <mergeCell ref="N1660:N1662"/>
    <mergeCell ref="C1662:J1662"/>
    <mergeCell ref="B1666:E1666"/>
    <mergeCell ref="B1670:N1670"/>
    <mergeCell ref="B1656:B1662"/>
    <mergeCell ref="C1656:J1656"/>
    <mergeCell ref="K1656:N1657"/>
    <mergeCell ref="C1657:J1657"/>
    <mergeCell ref="C1658:J1658"/>
    <mergeCell ref="K1658:K1659"/>
    <mergeCell ref="L1658:N1659"/>
    <mergeCell ref="C1659:J1659"/>
    <mergeCell ref="C1660:J1661"/>
    <mergeCell ref="K1660:K1662"/>
    <mergeCell ref="B1640:N1640"/>
    <mergeCell ref="B1641:N1641"/>
    <mergeCell ref="B1644:N1645"/>
    <mergeCell ref="B1646:N1647"/>
    <mergeCell ref="J1653:N1654"/>
    <mergeCell ref="B1654:D1654"/>
    <mergeCell ref="B1625:H1625"/>
    <mergeCell ref="L1625:M1625"/>
    <mergeCell ref="L1626:M1626"/>
    <mergeCell ref="L1627:M1627"/>
    <mergeCell ref="B1628:M1628"/>
    <mergeCell ref="B1630:M1630"/>
    <mergeCell ref="L1615:M1615"/>
    <mergeCell ref="B1617:M1617"/>
    <mergeCell ref="B1620:M1620"/>
    <mergeCell ref="B1621:N1623"/>
    <mergeCell ref="B1624:H1624"/>
    <mergeCell ref="L1624:M1624"/>
    <mergeCell ref="B1609:H1609"/>
    <mergeCell ref="L1609:M1609"/>
    <mergeCell ref="L1610:M1610"/>
    <mergeCell ref="L1611:M1611"/>
    <mergeCell ref="B1612:M1612"/>
    <mergeCell ref="B1614:I1614"/>
    <mergeCell ref="L1614:M1614"/>
    <mergeCell ref="B1603:H1603"/>
    <mergeCell ref="L1603:M1603"/>
    <mergeCell ref="B1604:H1604"/>
    <mergeCell ref="L1604:M1604"/>
    <mergeCell ref="B1605:M1605"/>
    <mergeCell ref="B1606:N1608"/>
    <mergeCell ref="B1597:I1597"/>
    <mergeCell ref="L1597:M1597"/>
    <mergeCell ref="B1598:I1598"/>
    <mergeCell ref="L1598:M1598"/>
    <mergeCell ref="B1599:M1599"/>
    <mergeCell ref="B1600:N1602"/>
    <mergeCell ref="B1591:F1591"/>
    <mergeCell ref="I1591:J1591"/>
    <mergeCell ref="L1591:M1591"/>
    <mergeCell ref="B1592:M1592"/>
    <mergeCell ref="B1593:N1595"/>
    <mergeCell ref="B1596:I1596"/>
    <mergeCell ref="L1596:M1596"/>
    <mergeCell ref="B1586:N1588"/>
    <mergeCell ref="B1589:F1589"/>
    <mergeCell ref="G1589:H1589"/>
    <mergeCell ref="I1589:J1589"/>
    <mergeCell ref="L1589:M1589"/>
    <mergeCell ref="B1590:F1590"/>
    <mergeCell ref="G1590:H1590"/>
    <mergeCell ref="I1590:J1590"/>
    <mergeCell ref="L1590:M1590"/>
    <mergeCell ref="B1578:E1578"/>
    <mergeCell ref="B1582:N1582"/>
    <mergeCell ref="C1584:K1584"/>
    <mergeCell ref="L1584:M1584"/>
    <mergeCell ref="C1585:K1585"/>
    <mergeCell ref="L1585:M1585"/>
    <mergeCell ref="L1570:N1571"/>
    <mergeCell ref="C1571:J1571"/>
    <mergeCell ref="C1572:J1573"/>
    <mergeCell ref="K1572:K1574"/>
    <mergeCell ref="L1572:L1574"/>
    <mergeCell ref="M1572:M1574"/>
    <mergeCell ref="N1572:N1574"/>
    <mergeCell ref="C1574:J1574"/>
    <mergeCell ref="B1556:N1557"/>
    <mergeCell ref="B1558:N1559"/>
    <mergeCell ref="J1565:N1566"/>
    <mergeCell ref="B1566:D1566"/>
    <mergeCell ref="B1568:B1574"/>
    <mergeCell ref="C1568:J1568"/>
    <mergeCell ref="K1568:N1569"/>
    <mergeCell ref="C1569:J1569"/>
    <mergeCell ref="C1570:J1570"/>
    <mergeCell ref="K1570:K1571"/>
    <mergeCell ref="L1538:M1538"/>
    <mergeCell ref="L1539:M1539"/>
    <mergeCell ref="B1540:M1540"/>
    <mergeCell ref="B1542:M1542"/>
    <mergeCell ref="B1552:N1552"/>
    <mergeCell ref="B1553:N1553"/>
    <mergeCell ref="B1529:M1529"/>
    <mergeCell ref="B1532:M1532"/>
    <mergeCell ref="B1533:N1535"/>
    <mergeCell ref="B1536:H1536"/>
    <mergeCell ref="L1536:M1536"/>
    <mergeCell ref="B1537:H1537"/>
    <mergeCell ref="L1537:M1537"/>
    <mergeCell ref="L1522:M1522"/>
    <mergeCell ref="L1523:M1523"/>
    <mergeCell ref="B1524:M1524"/>
    <mergeCell ref="B1526:I1526"/>
    <mergeCell ref="L1526:M1526"/>
    <mergeCell ref="L1527:M1527"/>
    <mergeCell ref="B1516:H1516"/>
    <mergeCell ref="L1516:M1516"/>
    <mergeCell ref="B1517:M1517"/>
    <mergeCell ref="B1518:N1520"/>
    <mergeCell ref="B1521:H1521"/>
    <mergeCell ref="L1521:M1521"/>
    <mergeCell ref="B1510:I1510"/>
    <mergeCell ref="L1510:M1510"/>
    <mergeCell ref="B1511:M1511"/>
    <mergeCell ref="B1512:N1514"/>
    <mergeCell ref="B1515:H1515"/>
    <mergeCell ref="L1515:M1515"/>
    <mergeCell ref="B1504:M1504"/>
    <mergeCell ref="B1505:N1507"/>
    <mergeCell ref="B1508:I1508"/>
    <mergeCell ref="L1508:M1508"/>
    <mergeCell ref="B1509:I1509"/>
    <mergeCell ref="L1509:M1509"/>
    <mergeCell ref="B1502:F1502"/>
    <mergeCell ref="G1502:H1502"/>
    <mergeCell ref="I1502:J1502"/>
    <mergeCell ref="L1502:M1502"/>
    <mergeCell ref="B1503:F1503"/>
    <mergeCell ref="I1503:J1503"/>
    <mergeCell ref="L1503:M1503"/>
    <mergeCell ref="C1496:K1496"/>
    <mergeCell ref="L1496:M1496"/>
    <mergeCell ref="C1497:K1497"/>
    <mergeCell ref="L1497:M1497"/>
    <mergeCell ref="B1498:N1500"/>
    <mergeCell ref="B1501:F1501"/>
    <mergeCell ref="G1501:H1501"/>
    <mergeCell ref="I1501:J1501"/>
    <mergeCell ref="L1501:M1501"/>
    <mergeCell ref="L1484:L1486"/>
    <mergeCell ref="M1484:M1486"/>
    <mergeCell ref="N1484:N1486"/>
    <mergeCell ref="C1486:J1486"/>
    <mergeCell ref="B1490:E1490"/>
    <mergeCell ref="B1494:N1494"/>
    <mergeCell ref="B1480:B1486"/>
    <mergeCell ref="C1480:J1480"/>
    <mergeCell ref="K1480:N1481"/>
    <mergeCell ref="C1481:J1481"/>
    <mergeCell ref="C1482:J1482"/>
    <mergeCell ref="K1482:K1483"/>
    <mergeCell ref="L1482:N1483"/>
    <mergeCell ref="C1483:J1483"/>
    <mergeCell ref="C1484:J1485"/>
    <mergeCell ref="K1484:K1486"/>
    <mergeCell ref="B1464:N1464"/>
    <mergeCell ref="B1465:N1465"/>
    <mergeCell ref="B1468:N1469"/>
    <mergeCell ref="B1470:N1471"/>
    <mergeCell ref="J1477:N1478"/>
    <mergeCell ref="B1478:D1478"/>
    <mergeCell ref="B1449:H1449"/>
    <mergeCell ref="L1449:M1449"/>
    <mergeCell ref="L1450:M1450"/>
    <mergeCell ref="L1451:M1451"/>
    <mergeCell ref="B1452:M1452"/>
    <mergeCell ref="B1454:M1454"/>
    <mergeCell ref="L1439:M1439"/>
    <mergeCell ref="B1441:M1441"/>
    <mergeCell ref="B1444:M1444"/>
    <mergeCell ref="B1445:N1447"/>
    <mergeCell ref="B1448:H1448"/>
    <mergeCell ref="L1448:M1448"/>
    <mergeCell ref="B1433:H1433"/>
    <mergeCell ref="L1433:M1433"/>
    <mergeCell ref="L1434:M1434"/>
    <mergeCell ref="L1435:M1435"/>
    <mergeCell ref="B1436:M1436"/>
    <mergeCell ref="B1438:I1438"/>
    <mergeCell ref="L1438:M1438"/>
    <mergeCell ref="B1427:H1427"/>
    <mergeCell ref="L1427:M1427"/>
    <mergeCell ref="B1428:H1428"/>
    <mergeCell ref="L1428:M1428"/>
    <mergeCell ref="B1429:M1429"/>
    <mergeCell ref="B1430:N1432"/>
    <mergeCell ref="L1420:M1420"/>
    <mergeCell ref="B1421:I1421"/>
    <mergeCell ref="L1421:M1421"/>
    <mergeCell ref="B1422:M1422"/>
    <mergeCell ref="B1423:N1425"/>
    <mergeCell ref="B1426:H1426"/>
    <mergeCell ref="L1426:M1426"/>
    <mergeCell ref="B1414:M1414"/>
    <mergeCell ref="B1415:N1417"/>
    <mergeCell ref="B1418:I1418"/>
    <mergeCell ref="L1418:M1418"/>
    <mergeCell ref="B1419:I1419"/>
    <mergeCell ref="L1419:M1419"/>
    <mergeCell ref="B1412:F1412"/>
    <mergeCell ref="G1412:H1412"/>
    <mergeCell ref="I1412:J1412"/>
    <mergeCell ref="L1412:M1412"/>
    <mergeCell ref="B1413:F1413"/>
    <mergeCell ref="I1413:J1413"/>
    <mergeCell ref="L1413:M1413"/>
    <mergeCell ref="C1406:K1406"/>
    <mergeCell ref="L1406:M1406"/>
    <mergeCell ref="C1407:K1407"/>
    <mergeCell ref="L1407:M1407"/>
    <mergeCell ref="B1408:N1410"/>
    <mergeCell ref="B1411:F1411"/>
    <mergeCell ref="G1411:H1411"/>
    <mergeCell ref="I1411:J1411"/>
    <mergeCell ref="L1411:M1411"/>
    <mergeCell ref="L1394:L1396"/>
    <mergeCell ref="M1394:M1396"/>
    <mergeCell ref="N1394:N1396"/>
    <mergeCell ref="C1396:J1396"/>
    <mergeCell ref="B1400:E1400"/>
    <mergeCell ref="B1404:N1404"/>
    <mergeCell ref="B1390:B1396"/>
    <mergeCell ref="C1390:J1390"/>
    <mergeCell ref="K1390:N1391"/>
    <mergeCell ref="C1391:J1391"/>
    <mergeCell ref="C1392:J1392"/>
    <mergeCell ref="K1392:K1393"/>
    <mergeCell ref="L1392:N1393"/>
    <mergeCell ref="C1393:J1393"/>
    <mergeCell ref="C1394:J1395"/>
    <mergeCell ref="K1394:K1396"/>
    <mergeCell ref="B1374:N1374"/>
    <mergeCell ref="B1375:N1375"/>
    <mergeCell ref="B1378:N1379"/>
    <mergeCell ref="B1380:N1381"/>
    <mergeCell ref="J1387:N1388"/>
    <mergeCell ref="B1388:D1388"/>
    <mergeCell ref="B1359:H1359"/>
    <mergeCell ref="L1359:M1359"/>
    <mergeCell ref="L1360:M1360"/>
    <mergeCell ref="L1361:M1361"/>
    <mergeCell ref="B1362:M1362"/>
    <mergeCell ref="B1364:M1364"/>
    <mergeCell ref="B1350:H1350"/>
    <mergeCell ref="L1350:M1350"/>
    <mergeCell ref="B1351:M1351"/>
    <mergeCell ref="B1354:M1354"/>
    <mergeCell ref="B1355:N1357"/>
    <mergeCell ref="B1358:H1358"/>
    <mergeCell ref="L1358:M1358"/>
    <mergeCell ref="B1342:M1342"/>
    <mergeCell ref="B1344:I1344"/>
    <mergeCell ref="L1344:M1344"/>
    <mergeCell ref="L1345:M1345"/>
    <mergeCell ref="B1347:M1347"/>
    <mergeCell ref="B1349:I1349"/>
    <mergeCell ref="L1349:M1349"/>
    <mergeCell ref="B1335:M1335"/>
    <mergeCell ref="B1336:N1338"/>
    <mergeCell ref="B1339:H1339"/>
    <mergeCell ref="L1339:M1339"/>
    <mergeCell ref="L1340:M1340"/>
    <mergeCell ref="L1341:M1341"/>
    <mergeCell ref="B1332:H1332"/>
    <mergeCell ref="L1332:M1332"/>
    <mergeCell ref="B1333:H1333"/>
    <mergeCell ref="L1333:M1333"/>
    <mergeCell ref="B1334:H1334"/>
    <mergeCell ref="L1334:M1334"/>
    <mergeCell ref="B1326:I1326"/>
    <mergeCell ref="L1326:M1326"/>
    <mergeCell ref="B1327:I1327"/>
    <mergeCell ref="L1327:M1327"/>
    <mergeCell ref="B1328:M1328"/>
    <mergeCell ref="B1329:N1331"/>
    <mergeCell ref="B1320:F1320"/>
    <mergeCell ref="I1320:J1320"/>
    <mergeCell ref="L1320:M1320"/>
    <mergeCell ref="B1321:M1321"/>
    <mergeCell ref="B1322:N1324"/>
    <mergeCell ref="B1325:I1325"/>
    <mergeCell ref="L1325:M1325"/>
    <mergeCell ref="B1315:N1317"/>
    <mergeCell ref="B1318:F1318"/>
    <mergeCell ref="G1318:H1318"/>
    <mergeCell ref="I1318:J1318"/>
    <mergeCell ref="L1318:M1318"/>
    <mergeCell ref="B1319:F1319"/>
    <mergeCell ref="G1319:H1319"/>
    <mergeCell ref="I1319:J1319"/>
    <mergeCell ref="L1319:M1319"/>
    <mergeCell ref="B1307:E1307"/>
    <mergeCell ref="B1311:N1311"/>
    <mergeCell ref="C1313:K1313"/>
    <mergeCell ref="L1313:M1313"/>
    <mergeCell ref="C1314:K1314"/>
    <mergeCell ref="L1314:M1314"/>
    <mergeCell ref="L1299:N1300"/>
    <mergeCell ref="C1300:J1300"/>
    <mergeCell ref="C1301:J1302"/>
    <mergeCell ref="K1301:K1303"/>
    <mergeCell ref="L1301:L1303"/>
    <mergeCell ref="M1301:M1303"/>
    <mergeCell ref="N1301:N1303"/>
    <mergeCell ref="C1303:J1303"/>
    <mergeCell ref="B1285:N1286"/>
    <mergeCell ref="B1287:N1288"/>
    <mergeCell ref="J1294:N1295"/>
    <mergeCell ref="B1295:D1295"/>
    <mergeCell ref="B1297:B1303"/>
    <mergeCell ref="C1297:J1297"/>
    <mergeCell ref="K1297:N1298"/>
    <mergeCell ref="C1298:J1298"/>
    <mergeCell ref="C1299:J1299"/>
    <mergeCell ref="K1299:K1300"/>
    <mergeCell ref="L1267:M1267"/>
    <mergeCell ref="L1268:M1268"/>
    <mergeCell ref="B1269:M1269"/>
    <mergeCell ref="B1271:M1271"/>
    <mergeCell ref="B1281:N1281"/>
    <mergeCell ref="B1282:N1282"/>
    <mergeCell ref="B1258:M1258"/>
    <mergeCell ref="B1261:M1261"/>
    <mergeCell ref="B1262:N1264"/>
    <mergeCell ref="B1265:H1265"/>
    <mergeCell ref="L1265:M1265"/>
    <mergeCell ref="B1266:H1266"/>
    <mergeCell ref="L1266:M1266"/>
    <mergeCell ref="L1252:M1252"/>
    <mergeCell ref="B1254:M1254"/>
    <mergeCell ref="B1256:I1256"/>
    <mergeCell ref="L1256:M1256"/>
    <mergeCell ref="B1257:H1257"/>
    <mergeCell ref="L1257:M1257"/>
    <mergeCell ref="B1246:H1246"/>
    <mergeCell ref="L1246:M1246"/>
    <mergeCell ref="L1247:M1247"/>
    <mergeCell ref="L1248:M1248"/>
    <mergeCell ref="B1249:M1249"/>
    <mergeCell ref="B1251:I1251"/>
    <mergeCell ref="L1251:M1251"/>
    <mergeCell ref="B1240:H1240"/>
    <mergeCell ref="L1240:M1240"/>
    <mergeCell ref="B1241:H1241"/>
    <mergeCell ref="L1241:M1241"/>
    <mergeCell ref="B1242:M1242"/>
    <mergeCell ref="B1243:N1245"/>
    <mergeCell ref="B1234:I1234"/>
    <mergeCell ref="L1234:M1234"/>
    <mergeCell ref="B1235:M1235"/>
    <mergeCell ref="B1236:N1238"/>
    <mergeCell ref="B1239:H1239"/>
    <mergeCell ref="L1239:M1239"/>
    <mergeCell ref="B1228:M1228"/>
    <mergeCell ref="B1229:N1231"/>
    <mergeCell ref="B1232:I1232"/>
    <mergeCell ref="L1232:M1232"/>
    <mergeCell ref="B1233:I1233"/>
    <mergeCell ref="L1233:M1233"/>
    <mergeCell ref="B1225:F1225"/>
    <mergeCell ref="I1225:J1225"/>
    <mergeCell ref="L1225:M1225"/>
    <mergeCell ref="I1226:J1226"/>
    <mergeCell ref="L1226:M1226"/>
    <mergeCell ref="I1227:J1227"/>
    <mergeCell ref="L1227:M1227"/>
    <mergeCell ref="B1220:N1222"/>
    <mergeCell ref="B1223:F1223"/>
    <mergeCell ref="G1223:H1223"/>
    <mergeCell ref="I1223:J1223"/>
    <mergeCell ref="L1223:M1223"/>
    <mergeCell ref="B1224:F1224"/>
    <mergeCell ref="G1224:H1224"/>
    <mergeCell ref="I1224:J1224"/>
    <mergeCell ref="L1224:M1224"/>
    <mergeCell ref="B1212:E1212"/>
    <mergeCell ref="B1216:N1216"/>
    <mergeCell ref="C1218:K1218"/>
    <mergeCell ref="L1218:M1218"/>
    <mergeCell ref="C1219:K1219"/>
    <mergeCell ref="L1219:M1219"/>
    <mergeCell ref="L1204:N1205"/>
    <mergeCell ref="C1205:J1205"/>
    <mergeCell ref="C1206:J1207"/>
    <mergeCell ref="K1206:K1208"/>
    <mergeCell ref="L1206:L1208"/>
    <mergeCell ref="M1206:M1208"/>
    <mergeCell ref="N1206:N1208"/>
    <mergeCell ref="C1208:J1208"/>
    <mergeCell ref="B1190:N1191"/>
    <mergeCell ref="B1192:N1193"/>
    <mergeCell ref="J1199:N1200"/>
    <mergeCell ref="B1200:D1200"/>
    <mergeCell ref="B1202:B1208"/>
    <mergeCell ref="C1202:J1202"/>
    <mergeCell ref="K1202:N1203"/>
    <mergeCell ref="C1203:J1203"/>
    <mergeCell ref="C1204:J1204"/>
    <mergeCell ref="K1204:K1205"/>
    <mergeCell ref="L1172:M1172"/>
    <mergeCell ref="L1173:M1173"/>
    <mergeCell ref="B1174:M1174"/>
    <mergeCell ref="B1176:M1176"/>
    <mergeCell ref="B1186:N1186"/>
    <mergeCell ref="B1187:N1187"/>
    <mergeCell ref="B1163:M1163"/>
    <mergeCell ref="B1166:M1166"/>
    <mergeCell ref="B1167:N1169"/>
    <mergeCell ref="B1170:H1170"/>
    <mergeCell ref="L1170:M1170"/>
    <mergeCell ref="B1171:H1171"/>
    <mergeCell ref="L1171:M1171"/>
    <mergeCell ref="L1157:M1157"/>
    <mergeCell ref="B1159:M1159"/>
    <mergeCell ref="B1161:I1161"/>
    <mergeCell ref="L1161:M1161"/>
    <mergeCell ref="B1162:H1162"/>
    <mergeCell ref="L1162:M1162"/>
    <mergeCell ref="B1151:H1151"/>
    <mergeCell ref="L1151:M1151"/>
    <mergeCell ref="L1152:M1152"/>
    <mergeCell ref="L1153:M1153"/>
    <mergeCell ref="B1154:M1154"/>
    <mergeCell ref="B1156:I1156"/>
    <mergeCell ref="L1156:M1156"/>
    <mergeCell ref="B1145:H1145"/>
    <mergeCell ref="L1145:M1145"/>
    <mergeCell ref="B1146:H1146"/>
    <mergeCell ref="L1146:M1146"/>
    <mergeCell ref="B1147:M1147"/>
    <mergeCell ref="B1148:N1150"/>
    <mergeCell ref="B1139:I1139"/>
    <mergeCell ref="L1139:M1139"/>
    <mergeCell ref="B1140:M1140"/>
    <mergeCell ref="B1141:N1143"/>
    <mergeCell ref="B1144:H1144"/>
    <mergeCell ref="L1144:M1144"/>
    <mergeCell ref="B1133:M1133"/>
    <mergeCell ref="B1134:N1136"/>
    <mergeCell ref="B1137:I1137"/>
    <mergeCell ref="L1137:M1137"/>
    <mergeCell ref="B1138:I1138"/>
    <mergeCell ref="L1138:M1138"/>
    <mergeCell ref="B1131:F1131"/>
    <mergeCell ref="G1131:H1131"/>
    <mergeCell ref="I1131:J1131"/>
    <mergeCell ref="L1131:M1131"/>
    <mergeCell ref="I1132:J1132"/>
    <mergeCell ref="L1132:M1132"/>
    <mergeCell ref="C1125:K1125"/>
    <mergeCell ref="L1125:M1125"/>
    <mergeCell ref="C1126:K1126"/>
    <mergeCell ref="L1126:M1126"/>
    <mergeCell ref="B1127:N1129"/>
    <mergeCell ref="B1130:F1130"/>
    <mergeCell ref="G1130:H1130"/>
    <mergeCell ref="I1130:J1130"/>
    <mergeCell ref="L1130:M1130"/>
    <mergeCell ref="L1113:L1115"/>
    <mergeCell ref="M1113:M1115"/>
    <mergeCell ref="N1113:N1115"/>
    <mergeCell ref="C1115:J1115"/>
    <mergeCell ref="B1119:E1119"/>
    <mergeCell ref="B1123:N1123"/>
    <mergeCell ref="B1109:B1115"/>
    <mergeCell ref="C1109:J1109"/>
    <mergeCell ref="K1109:N1110"/>
    <mergeCell ref="C1110:J1110"/>
    <mergeCell ref="C1111:J1111"/>
    <mergeCell ref="K1111:K1112"/>
    <mergeCell ref="L1111:N1112"/>
    <mergeCell ref="C1112:J1112"/>
    <mergeCell ref="C1113:J1114"/>
    <mergeCell ref="K1113:K1115"/>
    <mergeCell ref="B1093:N1093"/>
    <mergeCell ref="B1094:N1094"/>
    <mergeCell ref="B1097:N1098"/>
    <mergeCell ref="B1099:N1100"/>
    <mergeCell ref="J1106:N1107"/>
    <mergeCell ref="B1107:D1107"/>
    <mergeCell ref="B1078:H1078"/>
    <mergeCell ref="L1078:M1078"/>
    <mergeCell ref="L1079:M1079"/>
    <mergeCell ref="L1080:M1080"/>
    <mergeCell ref="B1081:M1081"/>
    <mergeCell ref="B1083:M1083"/>
    <mergeCell ref="L1068:M1068"/>
    <mergeCell ref="B1070:M1070"/>
    <mergeCell ref="B1073:M1073"/>
    <mergeCell ref="B1074:N1076"/>
    <mergeCell ref="B1077:H1077"/>
    <mergeCell ref="L1077:M1077"/>
    <mergeCell ref="B1062:H1062"/>
    <mergeCell ref="L1062:M1062"/>
    <mergeCell ref="L1063:M1063"/>
    <mergeCell ref="L1064:M1064"/>
    <mergeCell ref="B1065:M1065"/>
    <mergeCell ref="B1067:I1067"/>
    <mergeCell ref="L1067:M1067"/>
    <mergeCell ref="B1056:H1056"/>
    <mergeCell ref="L1056:M1056"/>
    <mergeCell ref="B1057:H1057"/>
    <mergeCell ref="L1057:M1057"/>
    <mergeCell ref="B1058:M1058"/>
    <mergeCell ref="B1059:N1061"/>
    <mergeCell ref="B1050:I1050"/>
    <mergeCell ref="L1050:M1050"/>
    <mergeCell ref="B1051:M1051"/>
    <mergeCell ref="B1052:N1054"/>
    <mergeCell ref="B1055:H1055"/>
    <mergeCell ref="L1055:M1055"/>
    <mergeCell ref="B1044:M1044"/>
    <mergeCell ref="B1045:N1047"/>
    <mergeCell ref="B1048:I1048"/>
    <mergeCell ref="L1048:M1048"/>
    <mergeCell ref="B1049:I1049"/>
    <mergeCell ref="L1049:M1049"/>
    <mergeCell ref="B1042:F1042"/>
    <mergeCell ref="G1042:H1042"/>
    <mergeCell ref="I1042:J1042"/>
    <mergeCell ref="L1042:M1042"/>
    <mergeCell ref="I1043:J1043"/>
    <mergeCell ref="L1043:M1043"/>
    <mergeCell ref="C1036:K1036"/>
    <mergeCell ref="L1036:M1036"/>
    <mergeCell ref="C1037:K1037"/>
    <mergeCell ref="L1037:M1037"/>
    <mergeCell ref="B1038:N1040"/>
    <mergeCell ref="B1041:F1041"/>
    <mergeCell ref="G1041:H1041"/>
    <mergeCell ref="I1041:J1041"/>
    <mergeCell ref="L1041:M1041"/>
    <mergeCell ref="L1024:L1026"/>
    <mergeCell ref="M1024:M1026"/>
    <mergeCell ref="N1024:N1026"/>
    <mergeCell ref="C1026:J1026"/>
    <mergeCell ref="B1030:E1030"/>
    <mergeCell ref="B1034:N1034"/>
    <mergeCell ref="B1020:B1026"/>
    <mergeCell ref="C1020:J1020"/>
    <mergeCell ref="K1020:N1021"/>
    <mergeCell ref="C1021:J1021"/>
    <mergeCell ref="C1022:J1022"/>
    <mergeCell ref="K1022:K1023"/>
    <mergeCell ref="L1022:N1023"/>
    <mergeCell ref="C1023:J1023"/>
    <mergeCell ref="C1024:J1025"/>
    <mergeCell ref="K1024:K1026"/>
    <mergeCell ref="B1004:N1004"/>
    <mergeCell ref="B1005:N1005"/>
    <mergeCell ref="B1008:N1009"/>
    <mergeCell ref="B1010:N1011"/>
    <mergeCell ref="J1017:N1018"/>
    <mergeCell ref="B1018:D1018"/>
    <mergeCell ref="B989:H989"/>
    <mergeCell ref="L989:M989"/>
    <mergeCell ref="L990:M990"/>
    <mergeCell ref="L991:M991"/>
    <mergeCell ref="B992:M992"/>
    <mergeCell ref="B994:M994"/>
    <mergeCell ref="B980:H980"/>
    <mergeCell ref="L980:M980"/>
    <mergeCell ref="B981:M981"/>
    <mergeCell ref="B984:M984"/>
    <mergeCell ref="B985:N987"/>
    <mergeCell ref="B988:H988"/>
    <mergeCell ref="L988:M988"/>
    <mergeCell ref="B972:M972"/>
    <mergeCell ref="B974:I974"/>
    <mergeCell ref="L974:M974"/>
    <mergeCell ref="L975:M975"/>
    <mergeCell ref="B977:M977"/>
    <mergeCell ref="B979:I979"/>
    <mergeCell ref="L979:M979"/>
    <mergeCell ref="B965:M965"/>
    <mergeCell ref="B966:N968"/>
    <mergeCell ref="B969:H969"/>
    <mergeCell ref="L969:M969"/>
    <mergeCell ref="L970:M970"/>
    <mergeCell ref="L971:M971"/>
    <mergeCell ref="B962:H962"/>
    <mergeCell ref="L962:M962"/>
    <mergeCell ref="B963:H963"/>
    <mergeCell ref="L963:M963"/>
    <mergeCell ref="B964:H964"/>
    <mergeCell ref="L964:M964"/>
    <mergeCell ref="B956:I956"/>
    <mergeCell ref="L956:M956"/>
    <mergeCell ref="B957:I957"/>
    <mergeCell ref="L957:M957"/>
    <mergeCell ref="B958:M958"/>
    <mergeCell ref="B959:N961"/>
    <mergeCell ref="I950:J950"/>
    <mergeCell ref="L950:M950"/>
    <mergeCell ref="B951:M951"/>
    <mergeCell ref="B952:N954"/>
    <mergeCell ref="B955:I955"/>
    <mergeCell ref="L955:M955"/>
    <mergeCell ref="B945:N947"/>
    <mergeCell ref="B948:F948"/>
    <mergeCell ref="G948:H948"/>
    <mergeCell ref="I948:J948"/>
    <mergeCell ref="L948:M948"/>
    <mergeCell ref="B949:F949"/>
    <mergeCell ref="G949:H949"/>
    <mergeCell ref="I949:J949"/>
    <mergeCell ref="L949:M949"/>
    <mergeCell ref="B937:E937"/>
    <mergeCell ref="B941:N941"/>
    <mergeCell ref="C943:K943"/>
    <mergeCell ref="L943:M943"/>
    <mergeCell ref="C944:K944"/>
    <mergeCell ref="L944:M944"/>
    <mergeCell ref="L929:N930"/>
    <mergeCell ref="C930:J930"/>
    <mergeCell ref="C931:J932"/>
    <mergeCell ref="K931:K933"/>
    <mergeCell ref="L931:L933"/>
    <mergeCell ref="M931:M933"/>
    <mergeCell ref="N931:N933"/>
    <mergeCell ref="C933:J933"/>
    <mergeCell ref="B915:N916"/>
    <mergeCell ref="B917:N918"/>
    <mergeCell ref="J924:N925"/>
    <mergeCell ref="B925:D925"/>
    <mergeCell ref="B927:B933"/>
    <mergeCell ref="C927:J927"/>
    <mergeCell ref="K927:N928"/>
    <mergeCell ref="C928:J928"/>
    <mergeCell ref="C929:J929"/>
    <mergeCell ref="K929:K930"/>
    <mergeCell ref="L897:M897"/>
    <mergeCell ref="L898:M898"/>
    <mergeCell ref="B899:M899"/>
    <mergeCell ref="B901:M901"/>
    <mergeCell ref="B911:N911"/>
    <mergeCell ref="B912:N912"/>
    <mergeCell ref="B888:M888"/>
    <mergeCell ref="B891:M891"/>
    <mergeCell ref="B892:N894"/>
    <mergeCell ref="B895:H895"/>
    <mergeCell ref="L895:M895"/>
    <mergeCell ref="B896:H896"/>
    <mergeCell ref="L896:M896"/>
    <mergeCell ref="L882:M882"/>
    <mergeCell ref="B884:M884"/>
    <mergeCell ref="B886:I886"/>
    <mergeCell ref="L886:M886"/>
    <mergeCell ref="B887:H887"/>
    <mergeCell ref="L887:M887"/>
    <mergeCell ref="B876:H876"/>
    <mergeCell ref="L876:M876"/>
    <mergeCell ref="L877:M877"/>
    <mergeCell ref="L878:M878"/>
    <mergeCell ref="B879:M879"/>
    <mergeCell ref="B881:I881"/>
    <mergeCell ref="L881:M881"/>
    <mergeCell ref="B870:H870"/>
    <mergeCell ref="L870:M870"/>
    <mergeCell ref="B871:H871"/>
    <mergeCell ref="L871:M871"/>
    <mergeCell ref="B872:M872"/>
    <mergeCell ref="B873:N875"/>
    <mergeCell ref="B864:I864"/>
    <mergeCell ref="L864:M864"/>
    <mergeCell ref="B865:M865"/>
    <mergeCell ref="B866:N868"/>
    <mergeCell ref="B869:H869"/>
    <mergeCell ref="L869:M869"/>
    <mergeCell ref="B858:M858"/>
    <mergeCell ref="B859:N861"/>
    <mergeCell ref="B862:I862"/>
    <mergeCell ref="L862:M862"/>
    <mergeCell ref="B863:I863"/>
    <mergeCell ref="L863:M863"/>
    <mergeCell ref="I856:J856"/>
    <mergeCell ref="L856:M856"/>
    <mergeCell ref="B857:F857"/>
    <mergeCell ref="G857:H857"/>
    <mergeCell ref="I857:J857"/>
    <mergeCell ref="L857:M857"/>
    <mergeCell ref="B851:N853"/>
    <mergeCell ref="B854:F854"/>
    <mergeCell ref="G854:H854"/>
    <mergeCell ref="I854:J854"/>
    <mergeCell ref="L854:M854"/>
    <mergeCell ref="B855:F855"/>
    <mergeCell ref="G855:H855"/>
    <mergeCell ref="I855:J855"/>
    <mergeCell ref="L855:M855"/>
    <mergeCell ref="B843:E843"/>
    <mergeCell ref="B847:N847"/>
    <mergeCell ref="C849:K849"/>
    <mergeCell ref="L849:M849"/>
    <mergeCell ref="C850:K850"/>
    <mergeCell ref="L850:M850"/>
    <mergeCell ref="L835:N836"/>
    <mergeCell ref="C836:J836"/>
    <mergeCell ref="C837:J838"/>
    <mergeCell ref="K837:K839"/>
    <mergeCell ref="L837:L839"/>
    <mergeCell ref="M837:M839"/>
    <mergeCell ref="N837:N839"/>
    <mergeCell ref="C839:J839"/>
    <mergeCell ref="B821:N822"/>
    <mergeCell ref="B823:N824"/>
    <mergeCell ref="J830:N831"/>
    <mergeCell ref="B831:D831"/>
    <mergeCell ref="B833:B839"/>
    <mergeCell ref="C833:J833"/>
    <mergeCell ref="K833:N834"/>
    <mergeCell ref="C834:J834"/>
    <mergeCell ref="C835:J835"/>
    <mergeCell ref="K835:K836"/>
    <mergeCell ref="L803:M803"/>
    <mergeCell ref="L804:M804"/>
    <mergeCell ref="B805:M805"/>
    <mergeCell ref="B807:M807"/>
    <mergeCell ref="B817:N817"/>
    <mergeCell ref="B818:N818"/>
    <mergeCell ref="B794:M794"/>
    <mergeCell ref="B797:M797"/>
    <mergeCell ref="B798:N800"/>
    <mergeCell ref="B801:H801"/>
    <mergeCell ref="L801:M801"/>
    <mergeCell ref="B802:H802"/>
    <mergeCell ref="L802:M802"/>
    <mergeCell ref="L788:M788"/>
    <mergeCell ref="B790:M790"/>
    <mergeCell ref="B792:I792"/>
    <mergeCell ref="L792:M792"/>
    <mergeCell ref="B793:H793"/>
    <mergeCell ref="L793:M793"/>
    <mergeCell ref="B782:H782"/>
    <mergeCell ref="L782:M782"/>
    <mergeCell ref="L783:M783"/>
    <mergeCell ref="L784:M784"/>
    <mergeCell ref="B785:M785"/>
    <mergeCell ref="B787:I787"/>
    <mergeCell ref="L787:M787"/>
    <mergeCell ref="B776:H776"/>
    <mergeCell ref="L776:M776"/>
    <mergeCell ref="B777:H777"/>
    <mergeCell ref="L777:M777"/>
    <mergeCell ref="B778:M778"/>
    <mergeCell ref="B779:N781"/>
    <mergeCell ref="B770:I770"/>
    <mergeCell ref="L770:M770"/>
    <mergeCell ref="B771:M771"/>
    <mergeCell ref="B772:N774"/>
    <mergeCell ref="B775:H775"/>
    <mergeCell ref="L775:M775"/>
    <mergeCell ref="B764:M764"/>
    <mergeCell ref="B765:N767"/>
    <mergeCell ref="B768:I768"/>
    <mergeCell ref="L768:M768"/>
    <mergeCell ref="B769:I769"/>
    <mergeCell ref="L769:M769"/>
    <mergeCell ref="I762:J762"/>
    <mergeCell ref="L762:M762"/>
    <mergeCell ref="B763:F763"/>
    <mergeCell ref="G763:H763"/>
    <mergeCell ref="I763:J763"/>
    <mergeCell ref="L763:M763"/>
    <mergeCell ref="B757:N759"/>
    <mergeCell ref="B760:F760"/>
    <mergeCell ref="G760:H760"/>
    <mergeCell ref="I760:J760"/>
    <mergeCell ref="L760:M760"/>
    <mergeCell ref="B761:F761"/>
    <mergeCell ref="G761:H761"/>
    <mergeCell ref="I761:J761"/>
    <mergeCell ref="L761:M761"/>
    <mergeCell ref="B749:E749"/>
    <mergeCell ref="B753:N753"/>
    <mergeCell ref="C755:K755"/>
    <mergeCell ref="L755:M755"/>
    <mergeCell ref="C756:K756"/>
    <mergeCell ref="L756:M756"/>
    <mergeCell ref="L741:N742"/>
    <mergeCell ref="C742:J742"/>
    <mergeCell ref="C743:J744"/>
    <mergeCell ref="K743:K745"/>
    <mergeCell ref="L743:L745"/>
    <mergeCell ref="M743:M745"/>
    <mergeCell ref="N743:N745"/>
    <mergeCell ref="C745:J745"/>
    <mergeCell ref="B727:N728"/>
    <mergeCell ref="B729:N730"/>
    <mergeCell ref="J736:N737"/>
    <mergeCell ref="B737:D737"/>
    <mergeCell ref="B739:B745"/>
    <mergeCell ref="C739:J739"/>
    <mergeCell ref="K739:N740"/>
    <mergeCell ref="C740:J740"/>
    <mergeCell ref="C741:J741"/>
    <mergeCell ref="K741:K742"/>
    <mergeCell ref="L709:M709"/>
    <mergeCell ref="L710:M710"/>
    <mergeCell ref="B711:M711"/>
    <mergeCell ref="B713:M713"/>
    <mergeCell ref="B723:N723"/>
    <mergeCell ref="B724:N724"/>
    <mergeCell ref="B700:M700"/>
    <mergeCell ref="B703:M703"/>
    <mergeCell ref="B704:N706"/>
    <mergeCell ref="B707:H707"/>
    <mergeCell ref="L707:M707"/>
    <mergeCell ref="B708:H708"/>
    <mergeCell ref="L708:M708"/>
    <mergeCell ref="L694:M694"/>
    <mergeCell ref="B696:M696"/>
    <mergeCell ref="B698:I698"/>
    <mergeCell ref="L698:M698"/>
    <mergeCell ref="B699:H699"/>
    <mergeCell ref="L699:M699"/>
    <mergeCell ref="B688:H688"/>
    <mergeCell ref="L688:M688"/>
    <mergeCell ref="L689:M689"/>
    <mergeCell ref="L690:M690"/>
    <mergeCell ref="B691:M691"/>
    <mergeCell ref="B693:I693"/>
    <mergeCell ref="L693:M693"/>
    <mergeCell ref="B682:H682"/>
    <mergeCell ref="L682:M682"/>
    <mergeCell ref="B683:H683"/>
    <mergeCell ref="L683:M683"/>
    <mergeCell ref="B684:M684"/>
    <mergeCell ref="B685:N687"/>
    <mergeCell ref="B676:I676"/>
    <mergeCell ref="L676:M676"/>
    <mergeCell ref="B677:M677"/>
    <mergeCell ref="B678:N680"/>
    <mergeCell ref="B681:H681"/>
    <mergeCell ref="L681:M681"/>
    <mergeCell ref="B670:M670"/>
    <mergeCell ref="B671:N673"/>
    <mergeCell ref="B674:I674"/>
    <mergeCell ref="L674:M674"/>
    <mergeCell ref="B675:I675"/>
    <mergeCell ref="L675:M675"/>
    <mergeCell ref="I668:J668"/>
    <mergeCell ref="L668:M668"/>
    <mergeCell ref="B669:F669"/>
    <mergeCell ref="G669:H669"/>
    <mergeCell ref="I669:J669"/>
    <mergeCell ref="L669:M669"/>
    <mergeCell ref="B663:N665"/>
    <mergeCell ref="B666:F666"/>
    <mergeCell ref="G666:H666"/>
    <mergeCell ref="I666:J666"/>
    <mergeCell ref="L666:M666"/>
    <mergeCell ref="B667:F667"/>
    <mergeCell ref="G667:H667"/>
    <mergeCell ref="I667:J667"/>
    <mergeCell ref="L667:M667"/>
    <mergeCell ref="B655:E655"/>
    <mergeCell ref="B659:N659"/>
    <mergeCell ref="C661:K661"/>
    <mergeCell ref="L661:M661"/>
    <mergeCell ref="C662:K662"/>
    <mergeCell ref="L662:M662"/>
    <mergeCell ref="L647:N648"/>
    <mergeCell ref="C648:J648"/>
    <mergeCell ref="C649:J650"/>
    <mergeCell ref="K649:K651"/>
    <mergeCell ref="L649:L651"/>
    <mergeCell ref="M649:M651"/>
    <mergeCell ref="N649:N651"/>
    <mergeCell ref="C651:J651"/>
    <mergeCell ref="B633:N634"/>
    <mergeCell ref="B635:N636"/>
    <mergeCell ref="J642:N643"/>
    <mergeCell ref="B643:D643"/>
    <mergeCell ref="B645:B651"/>
    <mergeCell ref="C645:J645"/>
    <mergeCell ref="K645:N646"/>
    <mergeCell ref="C646:J646"/>
    <mergeCell ref="C647:J647"/>
    <mergeCell ref="K647:K648"/>
    <mergeCell ref="L615:M615"/>
    <mergeCell ref="L616:M616"/>
    <mergeCell ref="B617:M617"/>
    <mergeCell ref="B619:M619"/>
    <mergeCell ref="B629:N629"/>
    <mergeCell ref="B630:N630"/>
    <mergeCell ref="B606:M606"/>
    <mergeCell ref="B609:M609"/>
    <mergeCell ref="B610:N612"/>
    <mergeCell ref="B613:H613"/>
    <mergeCell ref="L613:M613"/>
    <mergeCell ref="B614:H614"/>
    <mergeCell ref="L614:M614"/>
    <mergeCell ref="L600:M600"/>
    <mergeCell ref="B602:M602"/>
    <mergeCell ref="B604:I604"/>
    <mergeCell ref="L604:M604"/>
    <mergeCell ref="B605:H605"/>
    <mergeCell ref="L605:M605"/>
    <mergeCell ref="B594:H594"/>
    <mergeCell ref="L594:M594"/>
    <mergeCell ref="L595:M595"/>
    <mergeCell ref="L596:M596"/>
    <mergeCell ref="B597:M597"/>
    <mergeCell ref="B599:I599"/>
    <mergeCell ref="L599:M599"/>
    <mergeCell ref="B588:H588"/>
    <mergeCell ref="L588:M588"/>
    <mergeCell ref="B589:H589"/>
    <mergeCell ref="L589:M589"/>
    <mergeCell ref="B590:M590"/>
    <mergeCell ref="B591:N593"/>
    <mergeCell ref="B582:I582"/>
    <mergeCell ref="L582:M582"/>
    <mergeCell ref="B583:M583"/>
    <mergeCell ref="B584:N586"/>
    <mergeCell ref="B587:H587"/>
    <mergeCell ref="L587:M587"/>
    <mergeCell ref="B576:M576"/>
    <mergeCell ref="B577:N579"/>
    <mergeCell ref="B580:I580"/>
    <mergeCell ref="L580:M580"/>
    <mergeCell ref="B581:I581"/>
    <mergeCell ref="L581:M581"/>
    <mergeCell ref="I574:J574"/>
    <mergeCell ref="L574:M574"/>
    <mergeCell ref="B575:F575"/>
    <mergeCell ref="G575:H575"/>
    <mergeCell ref="I575:J575"/>
    <mergeCell ref="L575:M575"/>
    <mergeCell ref="B569:N571"/>
    <mergeCell ref="B572:F572"/>
    <mergeCell ref="G572:H572"/>
    <mergeCell ref="I572:J572"/>
    <mergeCell ref="L572:M572"/>
    <mergeCell ref="B573:F573"/>
    <mergeCell ref="G573:H573"/>
    <mergeCell ref="I573:J573"/>
    <mergeCell ref="L573:M573"/>
    <mergeCell ref="B561:E561"/>
    <mergeCell ref="B565:N565"/>
    <mergeCell ref="C567:K567"/>
    <mergeCell ref="L567:M567"/>
    <mergeCell ref="C568:K568"/>
    <mergeCell ref="L568:M568"/>
    <mergeCell ref="L553:N554"/>
    <mergeCell ref="C554:J554"/>
    <mergeCell ref="C555:J556"/>
    <mergeCell ref="K555:K557"/>
    <mergeCell ref="L555:L557"/>
    <mergeCell ref="M555:M557"/>
    <mergeCell ref="N555:N557"/>
    <mergeCell ref="C557:J557"/>
    <mergeCell ref="B539:N540"/>
    <mergeCell ref="B541:N542"/>
    <mergeCell ref="J548:N549"/>
    <mergeCell ref="B549:D549"/>
    <mergeCell ref="B551:B557"/>
    <mergeCell ref="C551:J551"/>
    <mergeCell ref="K551:N552"/>
    <mergeCell ref="C552:J552"/>
    <mergeCell ref="C553:J553"/>
    <mergeCell ref="K553:K554"/>
    <mergeCell ref="L521:M521"/>
    <mergeCell ref="L522:M522"/>
    <mergeCell ref="B523:M523"/>
    <mergeCell ref="B525:M525"/>
    <mergeCell ref="B535:N535"/>
    <mergeCell ref="B536:N536"/>
    <mergeCell ref="B512:M512"/>
    <mergeCell ref="B515:M515"/>
    <mergeCell ref="B516:N518"/>
    <mergeCell ref="B519:H519"/>
    <mergeCell ref="L519:M519"/>
    <mergeCell ref="B520:H520"/>
    <mergeCell ref="L520:M520"/>
    <mergeCell ref="L506:M506"/>
    <mergeCell ref="B508:M508"/>
    <mergeCell ref="B510:I510"/>
    <mergeCell ref="L510:M510"/>
    <mergeCell ref="B511:H511"/>
    <mergeCell ref="L511:M511"/>
    <mergeCell ref="B500:H500"/>
    <mergeCell ref="L500:M500"/>
    <mergeCell ref="L501:M501"/>
    <mergeCell ref="L502:M502"/>
    <mergeCell ref="B503:M503"/>
    <mergeCell ref="B505:I505"/>
    <mergeCell ref="L505:M505"/>
    <mergeCell ref="B494:H494"/>
    <mergeCell ref="L494:M494"/>
    <mergeCell ref="B495:H495"/>
    <mergeCell ref="L495:M495"/>
    <mergeCell ref="B496:M496"/>
    <mergeCell ref="B497:N499"/>
    <mergeCell ref="B488:I488"/>
    <mergeCell ref="L488:M488"/>
    <mergeCell ref="B489:M489"/>
    <mergeCell ref="B490:N492"/>
    <mergeCell ref="B493:H493"/>
    <mergeCell ref="L493:M493"/>
    <mergeCell ref="B482:M482"/>
    <mergeCell ref="B483:N485"/>
    <mergeCell ref="B486:I486"/>
    <mergeCell ref="L486:M486"/>
    <mergeCell ref="B487:I487"/>
    <mergeCell ref="L487:M487"/>
    <mergeCell ref="I480:J480"/>
    <mergeCell ref="L480:M480"/>
    <mergeCell ref="B481:F481"/>
    <mergeCell ref="G481:H481"/>
    <mergeCell ref="I481:J481"/>
    <mergeCell ref="L481:M481"/>
    <mergeCell ref="B475:N477"/>
    <mergeCell ref="B478:F478"/>
    <mergeCell ref="G478:H478"/>
    <mergeCell ref="I478:J478"/>
    <mergeCell ref="L478:M478"/>
    <mergeCell ref="B479:F479"/>
    <mergeCell ref="G479:H479"/>
    <mergeCell ref="I479:J479"/>
    <mergeCell ref="L479:M479"/>
    <mergeCell ref="B467:E467"/>
    <mergeCell ref="B471:N471"/>
    <mergeCell ref="C473:K473"/>
    <mergeCell ref="L473:M473"/>
    <mergeCell ref="C474:K474"/>
    <mergeCell ref="L474:M474"/>
    <mergeCell ref="L459:N460"/>
    <mergeCell ref="C460:J460"/>
    <mergeCell ref="C461:J462"/>
    <mergeCell ref="K461:K463"/>
    <mergeCell ref="L461:L463"/>
    <mergeCell ref="M461:M463"/>
    <mergeCell ref="N461:N463"/>
    <mergeCell ref="C463:J463"/>
    <mergeCell ref="B445:N446"/>
    <mergeCell ref="B447:N448"/>
    <mergeCell ref="J454:N455"/>
    <mergeCell ref="B455:D455"/>
    <mergeCell ref="B457:B463"/>
    <mergeCell ref="C457:J457"/>
    <mergeCell ref="K457:N458"/>
    <mergeCell ref="C458:J458"/>
    <mergeCell ref="C459:J459"/>
    <mergeCell ref="K459:K460"/>
    <mergeCell ref="L427:M427"/>
    <mergeCell ref="L428:M428"/>
    <mergeCell ref="B429:M429"/>
    <mergeCell ref="B431:M431"/>
    <mergeCell ref="B441:N441"/>
    <mergeCell ref="B442:N442"/>
    <mergeCell ref="B418:M418"/>
    <mergeCell ref="B421:M421"/>
    <mergeCell ref="B422:N424"/>
    <mergeCell ref="B425:H425"/>
    <mergeCell ref="L425:M425"/>
    <mergeCell ref="B426:H426"/>
    <mergeCell ref="L426:M426"/>
    <mergeCell ref="L412:M412"/>
    <mergeCell ref="B414:M414"/>
    <mergeCell ref="B416:I416"/>
    <mergeCell ref="L416:M416"/>
    <mergeCell ref="B417:H417"/>
    <mergeCell ref="L417:M417"/>
    <mergeCell ref="B406:H406"/>
    <mergeCell ref="L406:M406"/>
    <mergeCell ref="L407:M407"/>
    <mergeCell ref="L408:M408"/>
    <mergeCell ref="B409:M409"/>
    <mergeCell ref="B411:I411"/>
    <mergeCell ref="L411:M411"/>
    <mergeCell ref="B400:H400"/>
    <mergeCell ref="L400:M400"/>
    <mergeCell ref="B401:H401"/>
    <mergeCell ref="L401:M401"/>
    <mergeCell ref="B402:M402"/>
    <mergeCell ref="B403:N405"/>
    <mergeCell ref="B394:I394"/>
    <mergeCell ref="L394:M394"/>
    <mergeCell ref="B395:M395"/>
    <mergeCell ref="B396:N398"/>
    <mergeCell ref="B399:H399"/>
    <mergeCell ref="L399:M399"/>
    <mergeCell ref="B388:M388"/>
    <mergeCell ref="B389:N391"/>
    <mergeCell ref="B392:I392"/>
    <mergeCell ref="L392:M392"/>
    <mergeCell ref="B393:I393"/>
    <mergeCell ref="L393:M393"/>
    <mergeCell ref="I386:J386"/>
    <mergeCell ref="L386:M386"/>
    <mergeCell ref="B387:F387"/>
    <mergeCell ref="G387:H387"/>
    <mergeCell ref="I387:J387"/>
    <mergeCell ref="L387:M387"/>
    <mergeCell ref="B381:N383"/>
    <mergeCell ref="B384:F384"/>
    <mergeCell ref="G384:H384"/>
    <mergeCell ref="I384:J384"/>
    <mergeCell ref="L384:M384"/>
    <mergeCell ref="B385:F385"/>
    <mergeCell ref="G385:H385"/>
    <mergeCell ref="I385:J385"/>
    <mergeCell ref="L385:M385"/>
    <mergeCell ref="B373:E373"/>
    <mergeCell ref="B377:N377"/>
    <mergeCell ref="C379:K379"/>
    <mergeCell ref="L379:M379"/>
    <mergeCell ref="C380:K380"/>
    <mergeCell ref="L380:M380"/>
    <mergeCell ref="L365:N366"/>
    <mergeCell ref="C366:J366"/>
    <mergeCell ref="C367:J368"/>
    <mergeCell ref="K367:K369"/>
    <mergeCell ref="L367:L369"/>
    <mergeCell ref="M367:M369"/>
    <mergeCell ref="N367:N369"/>
    <mergeCell ref="C369:J369"/>
    <mergeCell ref="B351:N352"/>
    <mergeCell ref="B353:N354"/>
    <mergeCell ref="J360:N361"/>
    <mergeCell ref="B361:D361"/>
    <mergeCell ref="B363:B369"/>
    <mergeCell ref="C363:J363"/>
    <mergeCell ref="K363:N364"/>
    <mergeCell ref="C364:J364"/>
    <mergeCell ref="C365:J365"/>
    <mergeCell ref="K365:K366"/>
    <mergeCell ref="L333:M333"/>
    <mergeCell ref="L334:M334"/>
    <mergeCell ref="B335:M335"/>
    <mergeCell ref="B337:M337"/>
    <mergeCell ref="B347:N347"/>
    <mergeCell ref="B348:N348"/>
    <mergeCell ref="B324:M324"/>
    <mergeCell ref="B327:M327"/>
    <mergeCell ref="B328:N330"/>
    <mergeCell ref="B331:H331"/>
    <mergeCell ref="L331:M331"/>
    <mergeCell ref="B332:H332"/>
    <mergeCell ref="L332:M332"/>
    <mergeCell ref="L317:M317"/>
    <mergeCell ref="L318:M318"/>
    <mergeCell ref="B319:M319"/>
    <mergeCell ref="B321:I321"/>
    <mergeCell ref="L321:M321"/>
    <mergeCell ref="L322:M322"/>
    <mergeCell ref="B311:H311"/>
    <mergeCell ref="L311:M311"/>
    <mergeCell ref="B312:M312"/>
    <mergeCell ref="B313:N315"/>
    <mergeCell ref="B316:H316"/>
    <mergeCell ref="L316:M316"/>
    <mergeCell ref="B305:M305"/>
    <mergeCell ref="B306:N308"/>
    <mergeCell ref="B309:H309"/>
    <mergeCell ref="L309:M309"/>
    <mergeCell ref="B310:H310"/>
    <mergeCell ref="L310:M310"/>
    <mergeCell ref="B302:I302"/>
    <mergeCell ref="L302:M302"/>
    <mergeCell ref="B303:I303"/>
    <mergeCell ref="L303:M303"/>
    <mergeCell ref="B304:I304"/>
    <mergeCell ref="L304:M304"/>
    <mergeCell ref="B296:M296"/>
    <mergeCell ref="B297:N299"/>
    <mergeCell ref="B300:I300"/>
    <mergeCell ref="L300:M300"/>
    <mergeCell ref="B301:I301"/>
    <mergeCell ref="L301:M301"/>
    <mergeCell ref="I294:J294"/>
    <mergeCell ref="L294:M294"/>
    <mergeCell ref="B295:F295"/>
    <mergeCell ref="G295:H295"/>
    <mergeCell ref="I295:J295"/>
    <mergeCell ref="L295:M295"/>
    <mergeCell ref="B289:N291"/>
    <mergeCell ref="B292:F292"/>
    <mergeCell ref="G292:H292"/>
    <mergeCell ref="I292:J292"/>
    <mergeCell ref="L292:M292"/>
    <mergeCell ref="B293:F293"/>
    <mergeCell ref="G293:H293"/>
    <mergeCell ref="I293:J293"/>
    <mergeCell ref="L293:M293"/>
    <mergeCell ref="B281:E281"/>
    <mergeCell ref="B285:N285"/>
    <mergeCell ref="C287:K287"/>
    <mergeCell ref="L287:M287"/>
    <mergeCell ref="C288:K288"/>
    <mergeCell ref="L288:M288"/>
    <mergeCell ref="L273:N274"/>
    <mergeCell ref="C274:J274"/>
    <mergeCell ref="C275:J276"/>
    <mergeCell ref="K275:K277"/>
    <mergeCell ref="L275:L277"/>
    <mergeCell ref="M275:M277"/>
    <mergeCell ref="N275:N277"/>
    <mergeCell ref="C277:J277"/>
    <mergeCell ref="B259:N260"/>
    <mergeCell ref="B261:N262"/>
    <mergeCell ref="J268:N269"/>
    <mergeCell ref="B269:D269"/>
    <mergeCell ref="B271:B277"/>
    <mergeCell ref="C271:J271"/>
    <mergeCell ref="K271:N272"/>
    <mergeCell ref="C272:J272"/>
    <mergeCell ref="C273:J273"/>
    <mergeCell ref="K273:K274"/>
    <mergeCell ref="L241:M241"/>
    <mergeCell ref="L242:M242"/>
    <mergeCell ref="B243:M243"/>
    <mergeCell ref="B245:M245"/>
    <mergeCell ref="B255:N255"/>
    <mergeCell ref="B256:N256"/>
    <mergeCell ref="B232:M232"/>
    <mergeCell ref="B235:M235"/>
    <mergeCell ref="B236:N238"/>
    <mergeCell ref="B239:H239"/>
    <mergeCell ref="L239:M239"/>
    <mergeCell ref="B240:H240"/>
    <mergeCell ref="L240:M240"/>
    <mergeCell ref="L226:M226"/>
    <mergeCell ref="B228:M228"/>
    <mergeCell ref="B230:I230"/>
    <mergeCell ref="L230:M230"/>
    <mergeCell ref="B231:H231"/>
    <mergeCell ref="L231:M231"/>
    <mergeCell ref="B220:H220"/>
    <mergeCell ref="L220:M220"/>
    <mergeCell ref="L221:M221"/>
    <mergeCell ref="L222:M222"/>
    <mergeCell ref="B223:M223"/>
    <mergeCell ref="B225:I225"/>
    <mergeCell ref="L225:M225"/>
    <mergeCell ref="B214:H214"/>
    <mergeCell ref="L214:M214"/>
    <mergeCell ref="B215:H215"/>
    <mergeCell ref="L215:M215"/>
    <mergeCell ref="B216:M216"/>
    <mergeCell ref="B217:N219"/>
    <mergeCell ref="B208:I208"/>
    <mergeCell ref="L208:M208"/>
    <mergeCell ref="B209:M209"/>
    <mergeCell ref="B210:N212"/>
    <mergeCell ref="B213:H213"/>
    <mergeCell ref="L213:M213"/>
    <mergeCell ref="B202:M202"/>
    <mergeCell ref="B203:N205"/>
    <mergeCell ref="B206:I206"/>
    <mergeCell ref="L206:M206"/>
    <mergeCell ref="B207:I207"/>
    <mergeCell ref="L207:M207"/>
    <mergeCell ref="I200:J200"/>
    <mergeCell ref="L200:M200"/>
    <mergeCell ref="B201:F201"/>
    <mergeCell ref="G201:H201"/>
    <mergeCell ref="I201:J201"/>
    <mergeCell ref="L201:M201"/>
    <mergeCell ref="B195:N197"/>
    <mergeCell ref="B198:F198"/>
    <mergeCell ref="G198:H198"/>
    <mergeCell ref="I198:J198"/>
    <mergeCell ref="L198:M198"/>
    <mergeCell ref="B199:F199"/>
    <mergeCell ref="G199:H199"/>
    <mergeCell ref="I199:J199"/>
    <mergeCell ref="L199:M199"/>
    <mergeCell ref="B187:E187"/>
    <mergeCell ref="B191:N191"/>
    <mergeCell ref="C193:K193"/>
    <mergeCell ref="L193:M193"/>
    <mergeCell ref="C194:K194"/>
    <mergeCell ref="L194:M194"/>
    <mergeCell ref="C181:J182"/>
    <mergeCell ref="K181:K183"/>
    <mergeCell ref="L181:L183"/>
    <mergeCell ref="M181:M183"/>
    <mergeCell ref="N181:N183"/>
    <mergeCell ref="C183:J183"/>
    <mergeCell ref="J174:N175"/>
    <mergeCell ref="B175:D175"/>
    <mergeCell ref="B177:B183"/>
    <mergeCell ref="C177:J177"/>
    <mergeCell ref="K177:N178"/>
    <mergeCell ref="C178:J178"/>
    <mergeCell ref="C179:J179"/>
    <mergeCell ref="K179:K180"/>
    <mergeCell ref="L179:N180"/>
    <mergeCell ref="C180:J180"/>
    <mergeCell ref="B149:M149"/>
    <mergeCell ref="B151:M151"/>
    <mergeCell ref="B161:N161"/>
    <mergeCell ref="B162:N162"/>
    <mergeCell ref="B165:N166"/>
    <mergeCell ref="B167:N168"/>
    <mergeCell ref="B145:H145"/>
    <mergeCell ref="L145:M145"/>
    <mergeCell ref="B146:H146"/>
    <mergeCell ref="L146:M146"/>
    <mergeCell ref="L147:M147"/>
    <mergeCell ref="L148:M148"/>
    <mergeCell ref="L137:M137"/>
    <mergeCell ref="B138:H138"/>
    <mergeCell ref="L138:M138"/>
    <mergeCell ref="B139:M139"/>
    <mergeCell ref="B141:M141"/>
    <mergeCell ref="B142:N144"/>
    <mergeCell ref="B131:H131"/>
    <mergeCell ref="L131:M131"/>
    <mergeCell ref="L132:M132"/>
    <mergeCell ref="L133:M133"/>
    <mergeCell ref="B134:M134"/>
    <mergeCell ref="B136:I136"/>
    <mergeCell ref="L136:M136"/>
    <mergeCell ref="B125:H125"/>
    <mergeCell ref="L125:M125"/>
    <mergeCell ref="B126:H126"/>
    <mergeCell ref="L126:M126"/>
    <mergeCell ref="B127:M127"/>
    <mergeCell ref="B128:N130"/>
    <mergeCell ref="B119:I119"/>
    <mergeCell ref="L119:M119"/>
    <mergeCell ref="B120:M120"/>
    <mergeCell ref="B121:N123"/>
    <mergeCell ref="B124:H124"/>
    <mergeCell ref="L124:M124"/>
    <mergeCell ref="B113:M113"/>
    <mergeCell ref="B114:N116"/>
    <mergeCell ref="B117:I117"/>
    <mergeCell ref="L117:M117"/>
    <mergeCell ref="B118:I118"/>
    <mergeCell ref="L118:M118"/>
    <mergeCell ref="B108:N110"/>
    <mergeCell ref="B111:F111"/>
    <mergeCell ref="G111:H111"/>
    <mergeCell ref="I111:J111"/>
    <mergeCell ref="L111:M111"/>
    <mergeCell ref="B112:F112"/>
    <mergeCell ref="G112:H112"/>
    <mergeCell ref="I112:J112"/>
    <mergeCell ref="L112:M112"/>
    <mergeCell ref="B100:E100"/>
    <mergeCell ref="B104:N104"/>
    <mergeCell ref="C106:K106"/>
    <mergeCell ref="L106:M106"/>
    <mergeCell ref="C107:K107"/>
    <mergeCell ref="L107:M107"/>
    <mergeCell ref="L92:N93"/>
    <mergeCell ref="C93:J93"/>
    <mergeCell ref="C94:J95"/>
    <mergeCell ref="K94:K96"/>
    <mergeCell ref="L94:L96"/>
    <mergeCell ref="M94:M96"/>
    <mergeCell ref="N94:N96"/>
    <mergeCell ref="C96:J96"/>
    <mergeCell ref="B78:N79"/>
    <mergeCell ref="B80:N81"/>
    <mergeCell ref="J87:N88"/>
    <mergeCell ref="B88:D88"/>
    <mergeCell ref="B90:B96"/>
    <mergeCell ref="C90:J90"/>
    <mergeCell ref="K90:N91"/>
    <mergeCell ref="C91:J91"/>
    <mergeCell ref="C92:J92"/>
    <mergeCell ref="K92:K93"/>
    <mergeCell ref="L60:M60"/>
    <mergeCell ref="L61:M61"/>
    <mergeCell ref="B62:M62"/>
    <mergeCell ref="B64:M64"/>
    <mergeCell ref="B74:N74"/>
    <mergeCell ref="B75:N75"/>
    <mergeCell ref="B52:M52"/>
    <mergeCell ref="B54:M54"/>
    <mergeCell ref="B55:N57"/>
    <mergeCell ref="B58:H58"/>
    <mergeCell ref="L58:M58"/>
    <mergeCell ref="B59:H59"/>
    <mergeCell ref="L59:M59"/>
    <mergeCell ref="L46:M46"/>
    <mergeCell ref="B47:M47"/>
    <mergeCell ref="B49:I49"/>
    <mergeCell ref="L49:M49"/>
    <mergeCell ref="L50:M50"/>
    <mergeCell ref="B51:H51"/>
    <mergeCell ref="L51:M51"/>
    <mergeCell ref="B40:H40"/>
    <mergeCell ref="L40:M40"/>
    <mergeCell ref="B41:M41"/>
    <mergeCell ref="B42:N44"/>
    <mergeCell ref="B45:H45"/>
    <mergeCell ref="L45:M45"/>
    <mergeCell ref="B34:M34"/>
    <mergeCell ref="B35:N37"/>
    <mergeCell ref="B38:H38"/>
    <mergeCell ref="L38:M38"/>
    <mergeCell ref="B39:H39"/>
    <mergeCell ref="L39:M39"/>
    <mergeCell ref="B31:I31"/>
    <mergeCell ref="L31:M31"/>
    <mergeCell ref="B32:I32"/>
    <mergeCell ref="L32:M32"/>
    <mergeCell ref="B33:I33"/>
    <mergeCell ref="L33:M33"/>
    <mergeCell ref="B27:M27"/>
    <mergeCell ref="B28:N30"/>
    <mergeCell ref="B24:F24"/>
    <mergeCell ref="G24:H24"/>
    <mergeCell ref="I24:J24"/>
    <mergeCell ref="L24:M24"/>
    <mergeCell ref="I25:J25"/>
    <mergeCell ref="L25:M25"/>
    <mergeCell ref="C18:K18"/>
    <mergeCell ref="L18:M18"/>
    <mergeCell ref="C19:K19"/>
    <mergeCell ref="L19:M19"/>
    <mergeCell ref="B20:N22"/>
    <mergeCell ref="B23:F23"/>
    <mergeCell ref="G23:H23"/>
    <mergeCell ref="I23:J23"/>
    <mergeCell ref="L23:M23"/>
    <mergeCell ref="L6:L8"/>
    <mergeCell ref="M6:M8"/>
    <mergeCell ref="N6:N8"/>
    <mergeCell ref="C8:J8"/>
    <mergeCell ref="B12:E12"/>
    <mergeCell ref="B16:N16"/>
    <mergeCell ref="B2:B8"/>
    <mergeCell ref="C2:J2"/>
    <mergeCell ref="K2:N3"/>
    <mergeCell ref="C3:J3"/>
    <mergeCell ref="C4:J4"/>
    <mergeCell ref="K4:K5"/>
    <mergeCell ref="L4:N5"/>
    <mergeCell ref="C5:J5"/>
    <mergeCell ref="C6:J7"/>
    <mergeCell ref="K6:K8"/>
    <mergeCell ref="B26:F26"/>
    <mergeCell ref="G26:H26"/>
    <mergeCell ref="I26:J26"/>
    <mergeCell ref="L26:M26"/>
  </mergeCells>
  <printOptions horizontalCentered="1"/>
  <pageMargins left="0.39370078740157483" right="0.39370078740157483" top="0.59055118110236227" bottom="0.59055118110236227" header="0" footer="0"/>
  <pageSetup scale="52" orientation="portrait" r:id="rId1"/>
  <headerFooter alignWithMargins="0"/>
  <rowBreaks count="79" manualBreakCount="79">
    <brk id="88" max="14" man="1"/>
    <brk id="175" max="14" man="1"/>
    <brk id="269" max="14" man="1"/>
    <brk id="361" max="14" man="1"/>
    <brk id="455" max="14" man="1"/>
    <brk id="549" max="14" man="1"/>
    <brk id="643" max="14" man="1"/>
    <brk id="737" max="14" man="1"/>
    <brk id="831" max="14" man="1"/>
    <brk id="925" max="14" man="1"/>
    <brk id="1018" max="14" man="1"/>
    <brk id="1107" max="14" man="1"/>
    <brk id="1200" max="14" man="1"/>
    <brk id="1295" max="14" man="1"/>
    <brk id="1388" max="14" man="1"/>
    <brk id="1478" max="14" man="1"/>
    <brk id="1566" max="14" man="1"/>
    <brk id="1654" max="14" man="1"/>
    <brk id="1745" max="14" man="1"/>
    <brk id="1836" max="14" man="1"/>
    <brk id="1927" max="14" man="1"/>
    <brk id="2018" max="14" man="1"/>
    <brk id="2109" max="14" man="1"/>
    <brk id="2200" max="14" man="1"/>
    <brk id="2294" max="14" man="1"/>
    <brk id="2388" max="14" man="1"/>
    <brk id="2482" max="14" man="1"/>
    <brk id="2576" max="14" man="1"/>
    <brk id="2670" max="14" man="1"/>
    <brk id="2761" max="14" man="1"/>
    <brk id="2852" max="14" man="1"/>
    <brk id="2938" max="14" man="1"/>
    <brk id="3024" max="14" man="1"/>
    <brk id="3110" max="14" man="1"/>
    <brk id="3198" max="14" man="1"/>
    <brk id="3284" max="14" man="1"/>
    <brk id="3373" max="14" man="1"/>
    <brk id="3462" max="14" man="1"/>
    <brk id="3551" max="14" man="1"/>
    <brk id="3640" max="14" man="1"/>
    <brk id="3732" max="14" man="1"/>
    <brk id="3818" max="14" man="1"/>
    <brk id="3907" max="14" man="1"/>
    <brk id="3999" max="14" man="1"/>
    <brk id="4095" max="14" man="1"/>
    <brk id="4186" max="14" man="1"/>
    <brk id="4271" max="14" man="1"/>
    <brk id="4356" max="14" man="1"/>
    <brk id="4441" max="14" man="1"/>
    <brk id="4526" max="14" man="1"/>
    <brk id="4611" max="14" man="1"/>
    <brk id="4701" max="14" man="1"/>
    <brk id="4786" max="14" man="1"/>
    <brk id="4870" max="14" man="1"/>
    <brk id="4956" max="14" man="1"/>
    <brk id="5040" max="14" man="1"/>
    <brk id="5125" max="14" man="1"/>
    <brk id="5211" max="14" man="1"/>
    <brk id="5295" max="14" man="1"/>
    <brk id="5379" max="14" man="1"/>
    <brk id="5470" max="14" man="1"/>
    <brk id="5555" max="14" man="1"/>
    <brk id="5640" max="14" man="1"/>
    <brk id="5723" max="14" man="1"/>
    <brk id="5806" max="14" man="1"/>
    <brk id="5889" max="14" man="1"/>
    <brk id="5972" max="14" man="1"/>
    <brk id="6055" max="14" man="1"/>
    <brk id="6139" max="14" man="1"/>
    <brk id="6224" max="14" man="1"/>
    <brk id="6309" max="14" man="1"/>
    <brk id="6397" max="14" man="1"/>
    <brk id="6485" max="14" man="1"/>
    <brk id="6573" max="14" man="1"/>
    <brk id="6661" max="14" man="1"/>
    <brk id="6746" max="14" man="1"/>
    <brk id="6844" max="14" man="1"/>
    <brk id="6942" max="14" man="1"/>
    <brk id="7028" max="14" man="1"/>
  </row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
  <dimension ref="A1:J84"/>
  <sheetViews>
    <sheetView topLeftCell="A43" workbookViewId="0">
      <selection activeCell="K64" sqref="K64"/>
    </sheetView>
  </sheetViews>
  <sheetFormatPr baseColWidth="10" defaultColWidth="11.453125" defaultRowHeight="11.5"/>
  <cols>
    <col min="1" max="1" width="71.1796875" style="430" customWidth="1"/>
    <col min="2" max="2" width="7.1796875" style="509" bestFit="1" customWidth="1"/>
    <col min="3" max="3" width="9.26953125" style="509" customWidth="1"/>
    <col min="4" max="4" width="14.81640625" style="430" bestFit="1" customWidth="1"/>
    <col min="5" max="5" width="17.453125" style="430" bestFit="1" customWidth="1"/>
    <col min="6" max="6" width="11.453125" style="430"/>
    <col min="7" max="7" width="18.54296875" style="430" bestFit="1" customWidth="1"/>
    <col min="8" max="8" width="14.54296875" style="430" customWidth="1"/>
    <col min="9" max="9" width="4" style="430" bestFit="1" customWidth="1"/>
    <col min="10" max="10" width="9" style="430" bestFit="1" customWidth="1"/>
    <col min="11" max="256" width="11.453125" style="430"/>
    <col min="257" max="257" width="66.1796875" style="430" bestFit="1" customWidth="1"/>
    <col min="258" max="258" width="7.1796875" style="430" bestFit="1" customWidth="1"/>
    <col min="259" max="259" width="9.26953125" style="430" bestFit="1" customWidth="1"/>
    <col min="260" max="260" width="14.81640625" style="430" bestFit="1" customWidth="1"/>
    <col min="261" max="261" width="16" style="430" bestFit="1" customWidth="1"/>
    <col min="262" max="264" width="11.453125" style="430"/>
    <col min="265" max="265" width="4" style="430" bestFit="1" customWidth="1"/>
    <col min="266" max="512" width="11.453125" style="430"/>
    <col min="513" max="513" width="66.1796875" style="430" bestFit="1" customWidth="1"/>
    <col min="514" max="514" width="7.1796875" style="430" bestFit="1" customWidth="1"/>
    <col min="515" max="515" width="9.26953125" style="430" bestFit="1" customWidth="1"/>
    <col min="516" max="516" width="14.81640625" style="430" bestFit="1" customWidth="1"/>
    <col min="517" max="517" width="16" style="430" bestFit="1" customWidth="1"/>
    <col min="518" max="520" width="11.453125" style="430"/>
    <col min="521" max="521" width="4" style="430" bestFit="1" customWidth="1"/>
    <col min="522" max="768" width="11.453125" style="430"/>
    <col min="769" max="769" width="66.1796875" style="430" bestFit="1" customWidth="1"/>
    <col min="770" max="770" width="7.1796875" style="430" bestFit="1" customWidth="1"/>
    <col min="771" max="771" width="9.26953125" style="430" bestFit="1" customWidth="1"/>
    <col min="772" max="772" width="14.81640625" style="430" bestFit="1" customWidth="1"/>
    <col min="773" max="773" width="16" style="430" bestFit="1" customWidth="1"/>
    <col min="774" max="776" width="11.453125" style="430"/>
    <col min="777" max="777" width="4" style="430" bestFit="1" customWidth="1"/>
    <col min="778" max="1024" width="11.453125" style="430"/>
    <col min="1025" max="1025" width="66.1796875" style="430" bestFit="1" customWidth="1"/>
    <col min="1026" max="1026" width="7.1796875" style="430" bestFit="1" customWidth="1"/>
    <col min="1027" max="1027" width="9.26953125" style="430" bestFit="1" customWidth="1"/>
    <col min="1028" max="1028" width="14.81640625" style="430" bestFit="1" customWidth="1"/>
    <col min="1029" max="1029" width="16" style="430" bestFit="1" customWidth="1"/>
    <col min="1030" max="1032" width="11.453125" style="430"/>
    <col min="1033" max="1033" width="4" style="430" bestFit="1" customWidth="1"/>
    <col min="1034" max="1280" width="11.453125" style="430"/>
    <col min="1281" max="1281" width="66.1796875" style="430" bestFit="1" customWidth="1"/>
    <col min="1282" max="1282" width="7.1796875" style="430" bestFit="1" customWidth="1"/>
    <col min="1283" max="1283" width="9.26953125" style="430" bestFit="1" customWidth="1"/>
    <col min="1284" max="1284" width="14.81640625" style="430" bestFit="1" customWidth="1"/>
    <col min="1285" max="1285" width="16" style="430" bestFit="1" customWidth="1"/>
    <col min="1286" max="1288" width="11.453125" style="430"/>
    <col min="1289" max="1289" width="4" style="430" bestFit="1" customWidth="1"/>
    <col min="1290" max="1536" width="11.453125" style="430"/>
    <col min="1537" max="1537" width="66.1796875" style="430" bestFit="1" customWidth="1"/>
    <col min="1538" max="1538" width="7.1796875" style="430" bestFit="1" customWidth="1"/>
    <col min="1539" max="1539" width="9.26953125" style="430" bestFit="1" customWidth="1"/>
    <col min="1540" max="1540" width="14.81640625" style="430" bestFit="1" customWidth="1"/>
    <col min="1541" max="1541" width="16" style="430" bestFit="1" customWidth="1"/>
    <col min="1542" max="1544" width="11.453125" style="430"/>
    <col min="1545" max="1545" width="4" style="430" bestFit="1" customWidth="1"/>
    <col min="1546" max="1792" width="11.453125" style="430"/>
    <col min="1793" max="1793" width="66.1796875" style="430" bestFit="1" customWidth="1"/>
    <col min="1794" max="1794" width="7.1796875" style="430" bestFit="1" customWidth="1"/>
    <col min="1795" max="1795" width="9.26953125" style="430" bestFit="1" customWidth="1"/>
    <col min="1796" max="1796" width="14.81640625" style="430" bestFit="1" customWidth="1"/>
    <col min="1797" max="1797" width="16" style="430" bestFit="1" customWidth="1"/>
    <col min="1798" max="1800" width="11.453125" style="430"/>
    <col min="1801" max="1801" width="4" style="430" bestFit="1" customWidth="1"/>
    <col min="1802" max="2048" width="11.453125" style="430"/>
    <col min="2049" max="2049" width="66.1796875" style="430" bestFit="1" customWidth="1"/>
    <col min="2050" max="2050" width="7.1796875" style="430" bestFit="1" customWidth="1"/>
    <col min="2051" max="2051" width="9.26953125" style="430" bestFit="1" customWidth="1"/>
    <col min="2052" max="2052" width="14.81640625" style="430" bestFit="1" customWidth="1"/>
    <col min="2053" max="2053" width="16" style="430" bestFit="1" customWidth="1"/>
    <col min="2054" max="2056" width="11.453125" style="430"/>
    <col min="2057" max="2057" width="4" style="430" bestFit="1" customWidth="1"/>
    <col min="2058" max="2304" width="11.453125" style="430"/>
    <col min="2305" max="2305" width="66.1796875" style="430" bestFit="1" customWidth="1"/>
    <col min="2306" max="2306" width="7.1796875" style="430" bestFit="1" customWidth="1"/>
    <col min="2307" max="2307" width="9.26953125" style="430" bestFit="1" customWidth="1"/>
    <col min="2308" max="2308" width="14.81640625" style="430" bestFit="1" customWidth="1"/>
    <col min="2309" max="2309" width="16" style="430" bestFit="1" customWidth="1"/>
    <col min="2310" max="2312" width="11.453125" style="430"/>
    <col min="2313" max="2313" width="4" style="430" bestFit="1" customWidth="1"/>
    <col min="2314" max="2560" width="11.453125" style="430"/>
    <col min="2561" max="2561" width="66.1796875" style="430" bestFit="1" customWidth="1"/>
    <col min="2562" max="2562" width="7.1796875" style="430" bestFit="1" customWidth="1"/>
    <col min="2563" max="2563" width="9.26953125" style="430" bestFit="1" customWidth="1"/>
    <col min="2564" max="2564" width="14.81640625" style="430" bestFit="1" customWidth="1"/>
    <col min="2565" max="2565" width="16" style="430" bestFit="1" customWidth="1"/>
    <col min="2566" max="2568" width="11.453125" style="430"/>
    <col min="2569" max="2569" width="4" style="430" bestFit="1" customWidth="1"/>
    <col min="2570" max="2816" width="11.453125" style="430"/>
    <col min="2817" max="2817" width="66.1796875" style="430" bestFit="1" customWidth="1"/>
    <col min="2818" max="2818" width="7.1796875" style="430" bestFit="1" customWidth="1"/>
    <col min="2819" max="2819" width="9.26953125" style="430" bestFit="1" customWidth="1"/>
    <col min="2820" max="2820" width="14.81640625" style="430" bestFit="1" customWidth="1"/>
    <col min="2821" max="2821" width="16" style="430" bestFit="1" customWidth="1"/>
    <col min="2822" max="2824" width="11.453125" style="430"/>
    <col min="2825" max="2825" width="4" style="430" bestFit="1" customWidth="1"/>
    <col min="2826" max="3072" width="11.453125" style="430"/>
    <col min="3073" max="3073" width="66.1796875" style="430" bestFit="1" customWidth="1"/>
    <col min="3074" max="3074" width="7.1796875" style="430" bestFit="1" customWidth="1"/>
    <col min="3075" max="3075" width="9.26953125" style="430" bestFit="1" customWidth="1"/>
    <col min="3076" max="3076" width="14.81640625" style="430" bestFit="1" customWidth="1"/>
    <col min="3077" max="3077" width="16" style="430" bestFit="1" customWidth="1"/>
    <col min="3078" max="3080" width="11.453125" style="430"/>
    <col min="3081" max="3081" width="4" style="430" bestFit="1" customWidth="1"/>
    <col min="3082" max="3328" width="11.453125" style="430"/>
    <col min="3329" max="3329" width="66.1796875" style="430" bestFit="1" customWidth="1"/>
    <col min="3330" max="3330" width="7.1796875" style="430" bestFit="1" customWidth="1"/>
    <col min="3331" max="3331" width="9.26953125" style="430" bestFit="1" customWidth="1"/>
    <col min="3332" max="3332" width="14.81640625" style="430" bestFit="1" customWidth="1"/>
    <col min="3333" max="3333" width="16" style="430" bestFit="1" customWidth="1"/>
    <col min="3334" max="3336" width="11.453125" style="430"/>
    <col min="3337" max="3337" width="4" style="430" bestFit="1" customWidth="1"/>
    <col min="3338" max="3584" width="11.453125" style="430"/>
    <col min="3585" max="3585" width="66.1796875" style="430" bestFit="1" customWidth="1"/>
    <col min="3586" max="3586" width="7.1796875" style="430" bestFit="1" customWidth="1"/>
    <col min="3587" max="3587" width="9.26953125" style="430" bestFit="1" customWidth="1"/>
    <col min="3588" max="3588" width="14.81640625" style="430" bestFit="1" customWidth="1"/>
    <col min="3589" max="3589" width="16" style="430" bestFit="1" customWidth="1"/>
    <col min="3590" max="3592" width="11.453125" style="430"/>
    <col min="3593" max="3593" width="4" style="430" bestFit="1" customWidth="1"/>
    <col min="3594" max="3840" width="11.453125" style="430"/>
    <col min="3841" max="3841" width="66.1796875" style="430" bestFit="1" customWidth="1"/>
    <col min="3842" max="3842" width="7.1796875" style="430" bestFit="1" customWidth="1"/>
    <col min="3843" max="3843" width="9.26953125" style="430" bestFit="1" customWidth="1"/>
    <col min="3844" max="3844" width="14.81640625" style="430" bestFit="1" customWidth="1"/>
    <col min="3845" max="3845" width="16" style="430" bestFit="1" customWidth="1"/>
    <col min="3846" max="3848" width="11.453125" style="430"/>
    <col min="3849" max="3849" width="4" style="430" bestFit="1" customWidth="1"/>
    <col min="3850" max="4096" width="11.453125" style="430"/>
    <col min="4097" max="4097" width="66.1796875" style="430" bestFit="1" customWidth="1"/>
    <col min="4098" max="4098" width="7.1796875" style="430" bestFit="1" customWidth="1"/>
    <col min="4099" max="4099" width="9.26953125" style="430" bestFit="1" customWidth="1"/>
    <col min="4100" max="4100" width="14.81640625" style="430" bestFit="1" customWidth="1"/>
    <col min="4101" max="4101" width="16" style="430" bestFit="1" customWidth="1"/>
    <col min="4102" max="4104" width="11.453125" style="430"/>
    <col min="4105" max="4105" width="4" style="430" bestFit="1" customWidth="1"/>
    <col min="4106" max="4352" width="11.453125" style="430"/>
    <col min="4353" max="4353" width="66.1796875" style="430" bestFit="1" customWidth="1"/>
    <col min="4354" max="4354" width="7.1796875" style="430" bestFit="1" customWidth="1"/>
    <col min="4355" max="4355" width="9.26953125" style="430" bestFit="1" customWidth="1"/>
    <col min="4356" max="4356" width="14.81640625" style="430" bestFit="1" customWidth="1"/>
    <col min="4357" max="4357" width="16" style="430" bestFit="1" customWidth="1"/>
    <col min="4358" max="4360" width="11.453125" style="430"/>
    <col min="4361" max="4361" width="4" style="430" bestFit="1" customWidth="1"/>
    <col min="4362" max="4608" width="11.453125" style="430"/>
    <col min="4609" max="4609" width="66.1796875" style="430" bestFit="1" customWidth="1"/>
    <col min="4610" max="4610" width="7.1796875" style="430" bestFit="1" customWidth="1"/>
    <col min="4611" max="4611" width="9.26953125" style="430" bestFit="1" customWidth="1"/>
    <col min="4612" max="4612" width="14.81640625" style="430" bestFit="1" customWidth="1"/>
    <col min="4613" max="4613" width="16" style="430" bestFit="1" customWidth="1"/>
    <col min="4614" max="4616" width="11.453125" style="430"/>
    <col min="4617" max="4617" width="4" style="430" bestFit="1" customWidth="1"/>
    <col min="4618" max="4864" width="11.453125" style="430"/>
    <col min="4865" max="4865" width="66.1796875" style="430" bestFit="1" customWidth="1"/>
    <col min="4866" max="4866" width="7.1796875" style="430" bestFit="1" customWidth="1"/>
    <col min="4867" max="4867" width="9.26953125" style="430" bestFit="1" customWidth="1"/>
    <col min="4868" max="4868" width="14.81640625" style="430" bestFit="1" customWidth="1"/>
    <col min="4869" max="4869" width="16" style="430" bestFit="1" customWidth="1"/>
    <col min="4870" max="4872" width="11.453125" style="430"/>
    <col min="4873" max="4873" width="4" style="430" bestFit="1" customWidth="1"/>
    <col min="4874" max="5120" width="11.453125" style="430"/>
    <col min="5121" max="5121" width="66.1796875" style="430" bestFit="1" customWidth="1"/>
    <col min="5122" max="5122" width="7.1796875" style="430" bestFit="1" customWidth="1"/>
    <col min="5123" max="5123" width="9.26953125" style="430" bestFit="1" customWidth="1"/>
    <col min="5124" max="5124" width="14.81640625" style="430" bestFit="1" customWidth="1"/>
    <col min="5125" max="5125" width="16" style="430" bestFit="1" customWidth="1"/>
    <col min="5126" max="5128" width="11.453125" style="430"/>
    <col min="5129" max="5129" width="4" style="430" bestFit="1" customWidth="1"/>
    <col min="5130" max="5376" width="11.453125" style="430"/>
    <col min="5377" max="5377" width="66.1796875" style="430" bestFit="1" customWidth="1"/>
    <col min="5378" max="5378" width="7.1796875" style="430" bestFit="1" customWidth="1"/>
    <col min="5379" max="5379" width="9.26953125" style="430" bestFit="1" customWidth="1"/>
    <col min="5380" max="5380" width="14.81640625" style="430" bestFit="1" customWidth="1"/>
    <col min="5381" max="5381" width="16" style="430" bestFit="1" customWidth="1"/>
    <col min="5382" max="5384" width="11.453125" style="430"/>
    <col min="5385" max="5385" width="4" style="430" bestFit="1" customWidth="1"/>
    <col min="5386" max="5632" width="11.453125" style="430"/>
    <col min="5633" max="5633" width="66.1796875" style="430" bestFit="1" customWidth="1"/>
    <col min="5634" max="5634" width="7.1796875" style="430" bestFit="1" customWidth="1"/>
    <col min="5635" max="5635" width="9.26953125" style="430" bestFit="1" customWidth="1"/>
    <col min="5636" max="5636" width="14.81640625" style="430" bestFit="1" customWidth="1"/>
    <col min="5637" max="5637" width="16" style="430" bestFit="1" customWidth="1"/>
    <col min="5638" max="5640" width="11.453125" style="430"/>
    <col min="5641" max="5641" width="4" style="430" bestFit="1" customWidth="1"/>
    <col min="5642" max="5888" width="11.453125" style="430"/>
    <col min="5889" max="5889" width="66.1796875" style="430" bestFit="1" customWidth="1"/>
    <col min="5890" max="5890" width="7.1796875" style="430" bestFit="1" customWidth="1"/>
    <col min="5891" max="5891" width="9.26953125" style="430" bestFit="1" customWidth="1"/>
    <col min="5892" max="5892" width="14.81640625" style="430" bestFit="1" customWidth="1"/>
    <col min="5893" max="5893" width="16" style="430" bestFit="1" customWidth="1"/>
    <col min="5894" max="5896" width="11.453125" style="430"/>
    <col min="5897" max="5897" width="4" style="430" bestFit="1" customWidth="1"/>
    <col min="5898" max="6144" width="11.453125" style="430"/>
    <col min="6145" max="6145" width="66.1796875" style="430" bestFit="1" customWidth="1"/>
    <col min="6146" max="6146" width="7.1796875" style="430" bestFit="1" customWidth="1"/>
    <col min="6147" max="6147" width="9.26953125" style="430" bestFit="1" customWidth="1"/>
    <col min="6148" max="6148" width="14.81640625" style="430" bestFit="1" customWidth="1"/>
    <col min="6149" max="6149" width="16" style="430" bestFit="1" customWidth="1"/>
    <col min="6150" max="6152" width="11.453125" style="430"/>
    <col min="6153" max="6153" width="4" style="430" bestFit="1" customWidth="1"/>
    <col min="6154" max="6400" width="11.453125" style="430"/>
    <col min="6401" max="6401" width="66.1796875" style="430" bestFit="1" customWidth="1"/>
    <col min="6402" max="6402" width="7.1796875" style="430" bestFit="1" customWidth="1"/>
    <col min="6403" max="6403" width="9.26953125" style="430" bestFit="1" customWidth="1"/>
    <col min="6404" max="6404" width="14.81640625" style="430" bestFit="1" customWidth="1"/>
    <col min="6405" max="6405" width="16" style="430" bestFit="1" customWidth="1"/>
    <col min="6406" max="6408" width="11.453125" style="430"/>
    <col min="6409" max="6409" width="4" style="430" bestFit="1" customWidth="1"/>
    <col min="6410" max="6656" width="11.453125" style="430"/>
    <col min="6657" max="6657" width="66.1796875" style="430" bestFit="1" customWidth="1"/>
    <col min="6658" max="6658" width="7.1796875" style="430" bestFit="1" customWidth="1"/>
    <col min="6659" max="6659" width="9.26953125" style="430" bestFit="1" customWidth="1"/>
    <col min="6660" max="6660" width="14.81640625" style="430" bestFit="1" customWidth="1"/>
    <col min="6661" max="6661" width="16" style="430" bestFit="1" customWidth="1"/>
    <col min="6662" max="6664" width="11.453125" style="430"/>
    <col min="6665" max="6665" width="4" style="430" bestFit="1" customWidth="1"/>
    <col min="6666" max="6912" width="11.453125" style="430"/>
    <col min="6913" max="6913" width="66.1796875" style="430" bestFit="1" customWidth="1"/>
    <col min="6914" max="6914" width="7.1796875" style="430" bestFit="1" customWidth="1"/>
    <col min="6915" max="6915" width="9.26953125" style="430" bestFit="1" customWidth="1"/>
    <col min="6916" max="6916" width="14.81640625" style="430" bestFit="1" customWidth="1"/>
    <col min="6917" max="6917" width="16" style="430" bestFit="1" customWidth="1"/>
    <col min="6918" max="6920" width="11.453125" style="430"/>
    <col min="6921" max="6921" width="4" style="430" bestFit="1" customWidth="1"/>
    <col min="6922" max="7168" width="11.453125" style="430"/>
    <col min="7169" max="7169" width="66.1796875" style="430" bestFit="1" customWidth="1"/>
    <col min="7170" max="7170" width="7.1796875" style="430" bestFit="1" customWidth="1"/>
    <col min="7171" max="7171" width="9.26953125" style="430" bestFit="1" customWidth="1"/>
    <col min="7172" max="7172" width="14.81640625" style="430" bestFit="1" customWidth="1"/>
    <col min="7173" max="7173" width="16" style="430" bestFit="1" customWidth="1"/>
    <col min="7174" max="7176" width="11.453125" style="430"/>
    <col min="7177" max="7177" width="4" style="430" bestFit="1" customWidth="1"/>
    <col min="7178" max="7424" width="11.453125" style="430"/>
    <col min="7425" max="7425" width="66.1796875" style="430" bestFit="1" customWidth="1"/>
    <col min="7426" max="7426" width="7.1796875" style="430" bestFit="1" customWidth="1"/>
    <col min="7427" max="7427" width="9.26953125" style="430" bestFit="1" customWidth="1"/>
    <col min="7428" max="7428" width="14.81640625" style="430" bestFit="1" customWidth="1"/>
    <col min="7429" max="7429" width="16" style="430" bestFit="1" customWidth="1"/>
    <col min="7430" max="7432" width="11.453125" style="430"/>
    <col min="7433" max="7433" width="4" style="430" bestFit="1" customWidth="1"/>
    <col min="7434" max="7680" width="11.453125" style="430"/>
    <col min="7681" max="7681" width="66.1796875" style="430" bestFit="1" customWidth="1"/>
    <col min="7682" max="7682" width="7.1796875" style="430" bestFit="1" customWidth="1"/>
    <col min="7683" max="7683" width="9.26953125" style="430" bestFit="1" customWidth="1"/>
    <col min="7684" max="7684" width="14.81640625" style="430" bestFit="1" customWidth="1"/>
    <col min="7685" max="7685" width="16" style="430" bestFit="1" customWidth="1"/>
    <col min="7686" max="7688" width="11.453125" style="430"/>
    <col min="7689" max="7689" width="4" style="430" bestFit="1" customWidth="1"/>
    <col min="7690" max="7936" width="11.453125" style="430"/>
    <col min="7937" max="7937" width="66.1796875" style="430" bestFit="1" customWidth="1"/>
    <col min="7938" max="7938" width="7.1796875" style="430" bestFit="1" customWidth="1"/>
    <col min="7939" max="7939" width="9.26953125" style="430" bestFit="1" customWidth="1"/>
    <col min="7940" max="7940" width="14.81640625" style="430" bestFit="1" customWidth="1"/>
    <col min="7941" max="7941" width="16" style="430" bestFit="1" customWidth="1"/>
    <col min="7942" max="7944" width="11.453125" style="430"/>
    <col min="7945" max="7945" width="4" style="430" bestFit="1" customWidth="1"/>
    <col min="7946" max="8192" width="11.453125" style="430"/>
    <col min="8193" max="8193" width="66.1796875" style="430" bestFit="1" customWidth="1"/>
    <col min="8194" max="8194" width="7.1796875" style="430" bestFit="1" customWidth="1"/>
    <col min="8195" max="8195" width="9.26953125" style="430" bestFit="1" customWidth="1"/>
    <col min="8196" max="8196" width="14.81640625" style="430" bestFit="1" customWidth="1"/>
    <col min="8197" max="8197" width="16" style="430" bestFit="1" customWidth="1"/>
    <col min="8198" max="8200" width="11.453125" style="430"/>
    <col min="8201" max="8201" width="4" style="430" bestFit="1" customWidth="1"/>
    <col min="8202" max="8448" width="11.453125" style="430"/>
    <col min="8449" max="8449" width="66.1796875" style="430" bestFit="1" customWidth="1"/>
    <col min="8450" max="8450" width="7.1796875" style="430" bestFit="1" customWidth="1"/>
    <col min="8451" max="8451" width="9.26953125" style="430" bestFit="1" customWidth="1"/>
    <col min="8452" max="8452" width="14.81640625" style="430" bestFit="1" customWidth="1"/>
    <col min="8453" max="8453" width="16" style="430" bestFit="1" customWidth="1"/>
    <col min="8454" max="8456" width="11.453125" style="430"/>
    <col min="8457" max="8457" width="4" style="430" bestFit="1" customWidth="1"/>
    <col min="8458" max="8704" width="11.453125" style="430"/>
    <col min="8705" max="8705" width="66.1796875" style="430" bestFit="1" customWidth="1"/>
    <col min="8706" max="8706" width="7.1796875" style="430" bestFit="1" customWidth="1"/>
    <col min="8707" max="8707" width="9.26953125" style="430" bestFit="1" customWidth="1"/>
    <col min="8708" max="8708" width="14.81640625" style="430" bestFit="1" customWidth="1"/>
    <col min="8709" max="8709" width="16" style="430" bestFit="1" customWidth="1"/>
    <col min="8710" max="8712" width="11.453125" style="430"/>
    <col min="8713" max="8713" width="4" style="430" bestFit="1" customWidth="1"/>
    <col min="8714" max="8960" width="11.453125" style="430"/>
    <col min="8961" max="8961" width="66.1796875" style="430" bestFit="1" customWidth="1"/>
    <col min="8962" max="8962" width="7.1796875" style="430" bestFit="1" customWidth="1"/>
    <col min="8963" max="8963" width="9.26953125" style="430" bestFit="1" customWidth="1"/>
    <col min="8964" max="8964" width="14.81640625" style="430" bestFit="1" customWidth="1"/>
    <col min="8965" max="8965" width="16" style="430" bestFit="1" customWidth="1"/>
    <col min="8966" max="8968" width="11.453125" style="430"/>
    <col min="8969" max="8969" width="4" style="430" bestFit="1" customWidth="1"/>
    <col min="8970" max="9216" width="11.453125" style="430"/>
    <col min="9217" max="9217" width="66.1796875" style="430" bestFit="1" customWidth="1"/>
    <col min="9218" max="9218" width="7.1796875" style="430" bestFit="1" customWidth="1"/>
    <col min="9219" max="9219" width="9.26953125" style="430" bestFit="1" customWidth="1"/>
    <col min="9220" max="9220" width="14.81640625" style="430" bestFit="1" customWidth="1"/>
    <col min="9221" max="9221" width="16" style="430" bestFit="1" customWidth="1"/>
    <col min="9222" max="9224" width="11.453125" style="430"/>
    <col min="9225" max="9225" width="4" style="430" bestFit="1" customWidth="1"/>
    <col min="9226" max="9472" width="11.453125" style="430"/>
    <col min="9473" max="9473" width="66.1796875" style="430" bestFit="1" customWidth="1"/>
    <col min="9474" max="9474" width="7.1796875" style="430" bestFit="1" customWidth="1"/>
    <col min="9475" max="9475" width="9.26953125" style="430" bestFit="1" customWidth="1"/>
    <col min="9476" max="9476" width="14.81640625" style="430" bestFit="1" customWidth="1"/>
    <col min="9477" max="9477" width="16" style="430" bestFit="1" customWidth="1"/>
    <col min="9478" max="9480" width="11.453125" style="430"/>
    <col min="9481" max="9481" width="4" style="430" bestFit="1" customWidth="1"/>
    <col min="9482" max="9728" width="11.453125" style="430"/>
    <col min="9729" max="9729" width="66.1796875" style="430" bestFit="1" customWidth="1"/>
    <col min="9730" max="9730" width="7.1796875" style="430" bestFit="1" customWidth="1"/>
    <col min="9731" max="9731" width="9.26953125" style="430" bestFit="1" customWidth="1"/>
    <col min="9732" max="9732" width="14.81640625" style="430" bestFit="1" customWidth="1"/>
    <col min="9733" max="9733" width="16" style="430" bestFit="1" customWidth="1"/>
    <col min="9734" max="9736" width="11.453125" style="430"/>
    <col min="9737" max="9737" width="4" style="430" bestFit="1" customWidth="1"/>
    <col min="9738" max="9984" width="11.453125" style="430"/>
    <col min="9985" max="9985" width="66.1796875" style="430" bestFit="1" customWidth="1"/>
    <col min="9986" max="9986" width="7.1796875" style="430" bestFit="1" customWidth="1"/>
    <col min="9987" max="9987" width="9.26953125" style="430" bestFit="1" customWidth="1"/>
    <col min="9988" max="9988" width="14.81640625" style="430" bestFit="1" customWidth="1"/>
    <col min="9989" max="9989" width="16" style="430" bestFit="1" customWidth="1"/>
    <col min="9990" max="9992" width="11.453125" style="430"/>
    <col min="9993" max="9993" width="4" style="430" bestFit="1" customWidth="1"/>
    <col min="9994" max="10240" width="11.453125" style="430"/>
    <col min="10241" max="10241" width="66.1796875" style="430" bestFit="1" customWidth="1"/>
    <col min="10242" max="10242" width="7.1796875" style="430" bestFit="1" customWidth="1"/>
    <col min="10243" max="10243" width="9.26953125" style="430" bestFit="1" customWidth="1"/>
    <col min="10244" max="10244" width="14.81640625" style="430" bestFit="1" customWidth="1"/>
    <col min="10245" max="10245" width="16" style="430" bestFit="1" customWidth="1"/>
    <col min="10246" max="10248" width="11.453125" style="430"/>
    <col min="10249" max="10249" width="4" style="430" bestFit="1" customWidth="1"/>
    <col min="10250" max="10496" width="11.453125" style="430"/>
    <col min="10497" max="10497" width="66.1796875" style="430" bestFit="1" customWidth="1"/>
    <col min="10498" max="10498" width="7.1796875" style="430" bestFit="1" customWidth="1"/>
    <col min="10499" max="10499" width="9.26953125" style="430" bestFit="1" customWidth="1"/>
    <col min="10500" max="10500" width="14.81640625" style="430" bestFit="1" customWidth="1"/>
    <col min="10501" max="10501" width="16" style="430" bestFit="1" customWidth="1"/>
    <col min="10502" max="10504" width="11.453125" style="430"/>
    <col min="10505" max="10505" width="4" style="430" bestFit="1" customWidth="1"/>
    <col min="10506" max="10752" width="11.453125" style="430"/>
    <col min="10753" max="10753" width="66.1796875" style="430" bestFit="1" customWidth="1"/>
    <col min="10754" max="10754" width="7.1796875" style="430" bestFit="1" customWidth="1"/>
    <col min="10755" max="10755" width="9.26953125" style="430" bestFit="1" customWidth="1"/>
    <col min="10756" max="10756" width="14.81640625" style="430" bestFit="1" customWidth="1"/>
    <col min="10757" max="10757" width="16" style="430" bestFit="1" customWidth="1"/>
    <col min="10758" max="10760" width="11.453125" style="430"/>
    <col min="10761" max="10761" width="4" style="430" bestFit="1" customWidth="1"/>
    <col min="10762" max="11008" width="11.453125" style="430"/>
    <col min="11009" max="11009" width="66.1796875" style="430" bestFit="1" customWidth="1"/>
    <col min="11010" max="11010" width="7.1796875" style="430" bestFit="1" customWidth="1"/>
    <col min="11011" max="11011" width="9.26953125" style="430" bestFit="1" customWidth="1"/>
    <col min="11012" max="11012" width="14.81640625" style="430" bestFit="1" customWidth="1"/>
    <col min="11013" max="11013" width="16" style="430" bestFit="1" customWidth="1"/>
    <col min="11014" max="11016" width="11.453125" style="430"/>
    <col min="11017" max="11017" width="4" style="430" bestFit="1" customWidth="1"/>
    <col min="11018" max="11264" width="11.453125" style="430"/>
    <col min="11265" max="11265" width="66.1796875" style="430" bestFit="1" customWidth="1"/>
    <col min="11266" max="11266" width="7.1796875" style="430" bestFit="1" customWidth="1"/>
    <col min="11267" max="11267" width="9.26953125" style="430" bestFit="1" customWidth="1"/>
    <col min="11268" max="11268" width="14.81640625" style="430" bestFit="1" customWidth="1"/>
    <col min="11269" max="11269" width="16" style="430" bestFit="1" customWidth="1"/>
    <col min="11270" max="11272" width="11.453125" style="430"/>
    <col min="11273" max="11273" width="4" style="430" bestFit="1" customWidth="1"/>
    <col min="11274" max="11520" width="11.453125" style="430"/>
    <col min="11521" max="11521" width="66.1796875" style="430" bestFit="1" customWidth="1"/>
    <col min="11522" max="11522" width="7.1796875" style="430" bestFit="1" customWidth="1"/>
    <col min="11523" max="11523" width="9.26953125" style="430" bestFit="1" customWidth="1"/>
    <col min="11524" max="11524" width="14.81640625" style="430" bestFit="1" customWidth="1"/>
    <col min="11525" max="11525" width="16" style="430" bestFit="1" customWidth="1"/>
    <col min="11526" max="11528" width="11.453125" style="430"/>
    <col min="11529" max="11529" width="4" style="430" bestFit="1" customWidth="1"/>
    <col min="11530" max="11776" width="11.453125" style="430"/>
    <col min="11777" max="11777" width="66.1796875" style="430" bestFit="1" customWidth="1"/>
    <col min="11778" max="11778" width="7.1796875" style="430" bestFit="1" customWidth="1"/>
    <col min="11779" max="11779" width="9.26953125" style="430" bestFit="1" customWidth="1"/>
    <col min="11780" max="11780" width="14.81640625" style="430" bestFit="1" customWidth="1"/>
    <col min="11781" max="11781" width="16" style="430" bestFit="1" customWidth="1"/>
    <col min="11782" max="11784" width="11.453125" style="430"/>
    <col min="11785" max="11785" width="4" style="430" bestFit="1" customWidth="1"/>
    <col min="11786" max="12032" width="11.453125" style="430"/>
    <col min="12033" max="12033" width="66.1796875" style="430" bestFit="1" customWidth="1"/>
    <col min="12034" max="12034" width="7.1796875" style="430" bestFit="1" customWidth="1"/>
    <col min="12035" max="12035" width="9.26953125" style="430" bestFit="1" customWidth="1"/>
    <col min="12036" max="12036" width="14.81640625" style="430" bestFit="1" customWidth="1"/>
    <col min="12037" max="12037" width="16" style="430" bestFit="1" customWidth="1"/>
    <col min="12038" max="12040" width="11.453125" style="430"/>
    <col min="12041" max="12041" width="4" style="430" bestFit="1" customWidth="1"/>
    <col min="12042" max="12288" width="11.453125" style="430"/>
    <col min="12289" max="12289" width="66.1796875" style="430" bestFit="1" customWidth="1"/>
    <col min="12290" max="12290" width="7.1796875" style="430" bestFit="1" customWidth="1"/>
    <col min="12291" max="12291" width="9.26953125" style="430" bestFit="1" customWidth="1"/>
    <col min="12292" max="12292" width="14.81640625" style="430" bestFit="1" customWidth="1"/>
    <col min="12293" max="12293" width="16" style="430" bestFit="1" customWidth="1"/>
    <col min="12294" max="12296" width="11.453125" style="430"/>
    <col min="12297" max="12297" width="4" style="430" bestFit="1" customWidth="1"/>
    <col min="12298" max="12544" width="11.453125" style="430"/>
    <col min="12545" max="12545" width="66.1796875" style="430" bestFit="1" customWidth="1"/>
    <col min="12546" max="12546" width="7.1796875" style="430" bestFit="1" customWidth="1"/>
    <col min="12547" max="12547" width="9.26953125" style="430" bestFit="1" customWidth="1"/>
    <col min="12548" max="12548" width="14.81640625" style="430" bestFit="1" customWidth="1"/>
    <col min="12549" max="12549" width="16" style="430" bestFit="1" customWidth="1"/>
    <col min="12550" max="12552" width="11.453125" style="430"/>
    <col min="12553" max="12553" width="4" style="430" bestFit="1" customWidth="1"/>
    <col min="12554" max="12800" width="11.453125" style="430"/>
    <col min="12801" max="12801" width="66.1796875" style="430" bestFit="1" customWidth="1"/>
    <col min="12802" max="12802" width="7.1796875" style="430" bestFit="1" customWidth="1"/>
    <col min="12803" max="12803" width="9.26953125" style="430" bestFit="1" customWidth="1"/>
    <col min="12804" max="12804" width="14.81640625" style="430" bestFit="1" customWidth="1"/>
    <col min="12805" max="12805" width="16" style="430" bestFit="1" customWidth="1"/>
    <col min="12806" max="12808" width="11.453125" style="430"/>
    <col min="12809" max="12809" width="4" style="430" bestFit="1" customWidth="1"/>
    <col min="12810" max="13056" width="11.453125" style="430"/>
    <col min="13057" max="13057" width="66.1796875" style="430" bestFit="1" customWidth="1"/>
    <col min="13058" max="13058" width="7.1796875" style="430" bestFit="1" customWidth="1"/>
    <col min="13059" max="13059" width="9.26953125" style="430" bestFit="1" customWidth="1"/>
    <col min="13060" max="13060" width="14.81640625" style="430" bestFit="1" customWidth="1"/>
    <col min="13061" max="13061" width="16" style="430" bestFit="1" customWidth="1"/>
    <col min="13062" max="13064" width="11.453125" style="430"/>
    <col min="13065" max="13065" width="4" style="430" bestFit="1" customWidth="1"/>
    <col min="13066" max="13312" width="11.453125" style="430"/>
    <col min="13313" max="13313" width="66.1796875" style="430" bestFit="1" customWidth="1"/>
    <col min="13314" max="13314" width="7.1796875" style="430" bestFit="1" customWidth="1"/>
    <col min="13315" max="13315" width="9.26953125" style="430" bestFit="1" customWidth="1"/>
    <col min="13316" max="13316" width="14.81640625" style="430" bestFit="1" customWidth="1"/>
    <col min="13317" max="13317" width="16" style="430" bestFit="1" customWidth="1"/>
    <col min="13318" max="13320" width="11.453125" style="430"/>
    <col min="13321" max="13321" width="4" style="430" bestFit="1" customWidth="1"/>
    <col min="13322" max="13568" width="11.453125" style="430"/>
    <col min="13569" max="13569" width="66.1796875" style="430" bestFit="1" customWidth="1"/>
    <col min="13570" max="13570" width="7.1796875" style="430" bestFit="1" customWidth="1"/>
    <col min="13571" max="13571" width="9.26953125" style="430" bestFit="1" customWidth="1"/>
    <col min="13572" max="13572" width="14.81640625" style="430" bestFit="1" customWidth="1"/>
    <col min="13573" max="13573" width="16" style="430" bestFit="1" customWidth="1"/>
    <col min="13574" max="13576" width="11.453125" style="430"/>
    <col min="13577" max="13577" width="4" style="430" bestFit="1" customWidth="1"/>
    <col min="13578" max="13824" width="11.453125" style="430"/>
    <col min="13825" max="13825" width="66.1796875" style="430" bestFit="1" customWidth="1"/>
    <col min="13826" max="13826" width="7.1796875" style="430" bestFit="1" customWidth="1"/>
    <col min="13827" max="13827" width="9.26953125" style="430" bestFit="1" customWidth="1"/>
    <col min="13828" max="13828" width="14.81640625" style="430" bestFit="1" customWidth="1"/>
    <col min="13829" max="13829" width="16" style="430" bestFit="1" customWidth="1"/>
    <col min="13830" max="13832" width="11.453125" style="430"/>
    <col min="13833" max="13833" width="4" style="430" bestFit="1" customWidth="1"/>
    <col min="13834" max="14080" width="11.453125" style="430"/>
    <col min="14081" max="14081" width="66.1796875" style="430" bestFit="1" customWidth="1"/>
    <col min="14082" max="14082" width="7.1796875" style="430" bestFit="1" customWidth="1"/>
    <col min="14083" max="14083" width="9.26953125" style="430" bestFit="1" customWidth="1"/>
    <col min="14084" max="14084" width="14.81640625" style="430" bestFit="1" customWidth="1"/>
    <col min="14085" max="14085" width="16" style="430" bestFit="1" customWidth="1"/>
    <col min="14086" max="14088" width="11.453125" style="430"/>
    <col min="14089" max="14089" width="4" style="430" bestFit="1" customWidth="1"/>
    <col min="14090" max="14336" width="11.453125" style="430"/>
    <col min="14337" max="14337" width="66.1796875" style="430" bestFit="1" customWidth="1"/>
    <col min="14338" max="14338" width="7.1796875" style="430" bestFit="1" customWidth="1"/>
    <col min="14339" max="14339" width="9.26953125" style="430" bestFit="1" customWidth="1"/>
    <col min="14340" max="14340" width="14.81640625" style="430" bestFit="1" customWidth="1"/>
    <col min="14341" max="14341" width="16" style="430" bestFit="1" customWidth="1"/>
    <col min="14342" max="14344" width="11.453125" style="430"/>
    <col min="14345" max="14345" width="4" style="430" bestFit="1" customWidth="1"/>
    <col min="14346" max="14592" width="11.453125" style="430"/>
    <col min="14593" max="14593" width="66.1796875" style="430" bestFit="1" customWidth="1"/>
    <col min="14594" max="14594" width="7.1796875" style="430" bestFit="1" customWidth="1"/>
    <col min="14595" max="14595" width="9.26953125" style="430" bestFit="1" customWidth="1"/>
    <col min="14596" max="14596" width="14.81640625" style="430" bestFit="1" customWidth="1"/>
    <col min="14597" max="14597" width="16" style="430" bestFit="1" customWidth="1"/>
    <col min="14598" max="14600" width="11.453125" style="430"/>
    <col min="14601" max="14601" width="4" style="430" bestFit="1" customWidth="1"/>
    <col min="14602" max="14848" width="11.453125" style="430"/>
    <col min="14849" max="14849" width="66.1796875" style="430" bestFit="1" customWidth="1"/>
    <col min="14850" max="14850" width="7.1796875" style="430" bestFit="1" customWidth="1"/>
    <col min="14851" max="14851" width="9.26953125" style="430" bestFit="1" customWidth="1"/>
    <col min="14852" max="14852" width="14.81640625" style="430" bestFit="1" customWidth="1"/>
    <col min="14853" max="14853" width="16" style="430" bestFit="1" customWidth="1"/>
    <col min="14854" max="14856" width="11.453125" style="430"/>
    <col min="14857" max="14857" width="4" style="430" bestFit="1" customWidth="1"/>
    <col min="14858" max="15104" width="11.453125" style="430"/>
    <col min="15105" max="15105" width="66.1796875" style="430" bestFit="1" customWidth="1"/>
    <col min="15106" max="15106" width="7.1796875" style="430" bestFit="1" customWidth="1"/>
    <col min="15107" max="15107" width="9.26953125" style="430" bestFit="1" customWidth="1"/>
    <col min="15108" max="15108" width="14.81640625" style="430" bestFit="1" customWidth="1"/>
    <col min="15109" max="15109" width="16" style="430" bestFit="1" customWidth="1"/>
    <col min="15110" max="15112" width="11.453125" style="430"/>
    <col min="15113" max="15113" width="4" style="430" bestFit="1" customWidth="1"/>
    <col min="15114" max="15360" width="11.453125" style="430"/>
    <col min="15361" max="15361" width="66.1796875" style="430" bestFit="1" customWidth="1"/>
    <col min="15362" max="15362" width="7.1796875" style="430" bestFit="1" customWidth="1"/>
    <col min="15363" max="15363" width="9.26953125" style="430" bestFit="1" customWidth="1"/>
    <col min="15364" max="15364" width="14.81640625" style="430" bestFit="1" customWidth="1"/>
    <col min="15365" max="15365" width="16" style="430" bestFit="1" customWidth="1"/>
    <col min="15366" max="15368" width="11.453125" style="430"/>
    <col min="15369" max="15369" width="4" style="430" bestFit="1" customWidth="1"/>
    <col min="15370" max="15616" width="11.453125" style="430"/>
    <col min="15617" max="15617" width="66.1796875" style="430" bestFit="1" customWidth="1"/>
    <col min="15618" max="15618" width="7.1796875" style="430" bestFit="1" customWidth="1"/>
    <col min="15619" max="15619" width="9.26953125" style="430" bestFit="1" customWidth="1"/>
    <col min="15620" max="15620" width="14.81640625" style="430" bestFit="1" customWidth="1"/>
    <col min="15621" max="15621" width="16" style="430" bestFit="1" customWidth="1"/>
    <col min="15622" max="15624" width="11.453125" style="430"/>
    <col min="15625" max="15625" width="4" style="430" bestFit="1" customWidth="1"/>
    <col min="15626" max="15872" width="11.453125" style="430"/>
    <col min="15873" max="15873" width="66.1796875" style="430" bestFit="1" customWidth="1"/>
    <col min="15874" max="15874" width="7.1796875" style="430" bestFit="1" customWidth="1"/>
    <col min="15875" max="15875" width="9.26953125" style="430" bestFit="1" customWidth="1"/>
    <col min="15876" max="15876" width="14.81640625" style="430" bestFit="1" customWidth="1"/>
    <col min="15877" max="15877" width="16" style="430" bestFit="1" customWidth="1"/>
    <col min="15878" max="15880" width="11.453125" style="430"/>
    <col min="15881" max="15881" width="4" style="430" bestFit="1" customWidth="1"/>
    <col min="15882" max="16128" width="11.453125" style="430"/>
    <col min="16129" max="16129" width="66.1796875" style="430" bestFit="1" customWidth="1"/>
    <col min="16130" max="16130" width="7.1796875" style="430" bestFit="1" customWidth="1"/>
    <col min="16131" max="16131" width="9.26953125" style="430" bestFit="1" customWidth="1"/>
    <col min="16132" max="16132" width="14.81640625" style="430" bestFit="1" customWidth="1"/>
    <col min="16133" max="16133" width="16" style="430" bestFit="1" customWidth="1"/>
    <col min="16134" max="16136" width="11.453125" style="430"/>
    <col min="16137" max="16137" width="4" style="430" bestFit="1" customWidth="1"/>
    <col min="16138" max="16384" width="11.453125" style="430"/>
  </cols>
  <sheetData>
    <row r="1" spans="1:10" ht="64.5" customHeight="1" thickBot="1">
      <c r="A1" s="1200" t="s">
        <v>456</v>
      </c>
      <c r="B1" s="1201"/>
      <c r="C1" s="1201"/>
      <c r="D1" s="1201"/>
      <c r="E1" s="1202"/>
      <c r="F1" s="429"/>
    </row>
    <row r="2" spans="1:10" ht="15.5">
      <c r="A2" s="431"/>
      <c r="B2" s="431"/>
      <c r="C2" s="431"/>
      <c r="D2" s="432" t="s">
        <v>457</v>
      </c>
      <c r="E2" s="433">
        <v>4</v>
      </c>
    </row>
    <row r="3" spans="1:10" ht="12" thickBot="1">
      <c r="B3" s="430"/>
      <c r="C3" s="430"/>
      <c r="D3" s="434" t="s">
        <v>458</v>
      </c>
      <c r="E3" s="435"/>
      <c r="F3" s="436"/>
    </row>
    <row r="4" spans="1:10" ht="14">
      <c r="A4" s="437" t="s">
        <v>459</v>
      </c>
      <c r="B4" s="438"/>
      <c r="C4" s="438"/>
      <c r="D4" s="438"/>
      <c r="E4" s="439"/>
    </row>
    <row r="5" spans="1:10">
      <c r="A5" s="440" t="s">
        <v>257</v>
      </c>
      <c r="B5" s="441" t="s">
        <v>259</v>
      </c>
      <c r="C5" s="441" t="s">
        <v>133</v>
      </c>
      <c r="D5" s="441" t="s">
        <v>134</v>
      </c>
      <c r="E5" s="442" t="s">
        <v>227</v>
      </c>
    </row>
    <row r="6" spans="1:10">
      <c r="A6" s="443" t="s">
        <v>460</v>
      </c>
      <c r="B6" s="444"/>
      <c r="C6" s="445"/>
      <c r="D6" s="446"/>
      <c r="E6" s="447"/>
      <c r="J6" s="434"/>
    </row>
    <row r="7" spans="1:10" ht="27" customHeight="1">
      <c r="A7" s="448" t="s">
        <v>461</v>
      </c>
      <c r="B7" s="449" t="s">
        <v>196</v>
      </c>
      <c r="C7" s="450">
        <v>65</v>
      </c>
      <c r="D7" s="451">
        <v>200000</v>
      </c>
      <c r="E7" s="452">
        <f>ROUND(C7*D7,0)</f>
        <v>13000000</v>
      </c>
      <c r="H7" s="453"/>
    </row>
    <row r="8" spans="1:10" ht="14.25" customHeight="1">
      <c r="A8" s="448" t="s">
        <v>462</v>
      </c>
      <c r="B8" s="454" t="s">
        <v>196</v>
      </c>
      <c r="C8" s="450">
        <v>36</v>
      </c>
      <c r="D8" s="451">
        <v>100000</v>
      </c>
      <c r="E8" s="455">
        <f>ROUND(C8*D8,0)</f>
        <v>3600000</v>
      </c>
      <c r="H8" s="453"/>
    </row>
    <row r="9" spans="1:10" ht="14.25" customHeight="1">
      <c r="A9" s="456" t="s">
        <v>463</v>
      </c>
      <c r="B9" s="454" t="s">
        <v>196</v>
      </c>
      <c r="C9" s="450">
        <v>52000</v>
      </c>
      <c r="D9" s="451">
        <v>500</v>
      </c>
      <c r="E9" s="455">
        <f>ROUND(C9*D9,0)</f>
        <v>26000000</v>
      </c>
      <c r="H9" s="453"/>
    </row>
    <row r="10" spans="1:10" ht="14.25" customHeight="1">
      <c r="A10" s="456" t="s">
        <v>464</v>
      </c>
      <c r="B10" s="449" t="s">
        <v>196</v>
      </c>
      <c r="C10" s="450">
        <v>500</v>
      </c>
      <c r="D10" s="451">
        <v>2000</v>
      </c>
      <c r="E10" s="455">
        <f>ROUND(C10*D10,0)</f>
        <v>1000000</v>
      </c>
    </row>
    <row r="11" spans="1:10" ht="16.5" customHeight="1">
      <c r="A11" s="456" t="s">
        <v>465</v>
      </c>
      <c r="B11" s="449" t="s">
        <v>196</v>
      </c>
      <c r="C11" s="450">
        <v>9</v>
      </c>
      <c r="D11" s="451">
        <v>356790</v>
      </c>
      <c r="E11" s="452">
        <f>ROUND(C11*D11,0)</f>
        <v>3211110</v>
      </c>
      <c r="H11" s="457"/>
    </row>
    <row r="12" spans="1:10" ht="14">
      <c r="A12" s="458" t="s">
        <v>466</v>
      </c>
      <c r="B12" s="459"/>
      <c r="C12" s="460"/>
      <c r="D12" s="460"/>
      <c r="E12" s="461"/>
    </row>
    <row r="13" spans="1:10">
      <c r="A13" s="462" t="s">
        <v>467</v>
      </c>
      <c r="B13" s="463"/>
      <c r="C13" s="464"/>
      <c r="D13" s="464"/>
      <c r="E13" s="465"/>
    </row>
    <row r="14" spans="1:10">
      <c r="A14" s="466" t="s">
        <v>468</v>
      </c>
      <c r="B14" s="449" t="s">
        <v>196</v>
      </c>
      <c r="C14" s="449">
        <v>8</v>
      </c>
      <c r="D14" s="467">
        <v>5000</v>
      </c>
      <c r="E14" s="468">
        <f>C14*D14</f>
        <v>40000</v>
      </c>
    </row>
    <row r="15" spans="1:10" ht="13.5" customHeight="1">
      <c r="A15" s="466" t="s">
        <v>469</v>
      </c>
      <c r="B15" s="449" t="s">
        <v>196</v>
      </c>
      <c r="C15" s="449">
        <v>16</v>
      </c>
      <c r="D15" s="467">
        <v>35000</v>
      </c>
      <c r="E15" s="468">
        <f>C15*D15</f>
        <v>560000</v>
      </c>
    </row>
    <row r="16" spans="1:10" ht="11.25" customHeight="1">
      <c r="A16" s="1203" t="s">
        <v>470</v>
      </c>
      <c r="B16" s="1204"/>
      <c r="C16" s="1204"/>
      <c r="D16" s="1204"/>
      <c r="E16" s="1205"/>
    </row>
    <row r="17" spans="1:10" ht="15" customHeight="1">
      <c r="A17" s="469" t="s">
        <v>471</v>
      </c>
      <c r="B17" s="454" t="s">
        <v>196</v>
      </c>
      <c r="C17" s="454">
        <v>100</v>
      </c>
      <c r="D17" s="470">
        <v>20000</v>
      </c>
      <c r="E17" s="471">
        <f>C17*D17</f>
        <v>2000000</v>
      </c>
    </row>
    <row r="18" spans="1:10" ht="11.25" customHeight="1">
      <c r="A18" s="469" t="s">
        <v>472</v>
      </c>
      <c r="B18" s="454" t="s">
        <v>190</v>
      </c>
      <c r="C18" s="454">
        <v>400</v>
      </c>
      <c r="D18" s="470">
        <v>4500</v>
      </c>
      <c r="E18" s="471">
        <f>C18*D18</f>
        <v>1800000</v>
      </c>
    </row>
    <row r="19" spans="1:10" ht="11.25" customHeight="1">
      <c r="A19" s="1206" t="s">
        <v>473</v>
      </c>
      <c r="B19" s="1207"/>
      <c r="C19" s="1207"/>
      <c r="D19" s="1207"/>
      <c r="E19" s="1208"/>
    </row>
    <row r="20" spans="1:10" ht="11.25" customHeight="1">
      <c r="A20" s="472" t="s">
        <v>474</v>
      </c>
      <c r="B20" s="473" t="s">
        <v>143</v>
      </c>
      <c r="C20" s="474">
        <v>1000</v>
      </c>
      <c r="D20" s="475">
        <v>1100</v>
      </c>
      <c r="E20" s="455">
        <f>C20*D20</f>
        <v>1100000</v>
      </c>
    </row>
    <row r="21" spans="1:10" s="476" customFormat="1">
      <c r="A21" s="462" t="s">
        <v>475</v>
      </c>
      <c r="B21" s="463"/>
      <c r="C21" s="464"/>
      <c r="D21" s="464"/>
      <c r="E21" s="465"/>
      <c r="J21" s="477"/>
    </row>
    <row r="22" spans="1:10">
      <c r="A22" s="466" t="s">
        <v>476</v>
      </c>
      <c r="B22" s="454" t="s">
        <v>196</v>
      </c>
      <c r="C22" s="454">
        <v>6</v>
      </c>
      <c r="D22" s="478">
        <v>25520</v>
      </c>
      <c r="E22" s="479">
        <f>ROUND(C22*D22,0)</f>
        <v>153120</v>
      </c>
      <c r="G22" s="480"/>
      <c r="H22" s="481"/>
    </row>
    <row r="23" spans="1:10">
      <c r="A23" s="1206" t="s">
        <v>477</v>
      </c>
      <c r="B23" s="1207"/>
      <c r="C23" s="1207"/>
      <c r="D23" s="1207"/>
      <c r="E23" s="1208"/>
      <c r="G23" s="480"/>
      <c r="H23" s="481"/>
    </row>
    <row r="24" spans="1:10">
      <c r="A24" s="466" t="s">
        <v>478</v>
      </c>
      <c r="B24" s="454" t="s">
        <v>196</v>
      </c>
      <c r="C24" s="454">
        <v>3</v>
      </c>
      <c r="D24" s="478">
        <v>69600</v>
      </c>
      <c r="E24" s="479">
        <f>+D24*C24</f>
        <v>208800</v>
      </c>
      <c r="G24" s="480"/>
      <c r="H24" s="481"/>
    </row>
    <row r="25" spans="1:10" ht="23">
      <c r="A25" s="466" t="s">
        <v>479</v>
      </c>
      <c r="B25" s="454" t="s">
        <v>196</v>
      </c>
      <c r="C25" s="454">
        <v>3</v>
      </c>
      <c r="D25" s="478">
        <v>71340</v>
      </c>
      <c r="E25" s="479">
        <f>C25*D25</f>
        <v>214020</v>
      </c>
      <c r="G25" s="480"/>
      <c r="H25" s="481"/>
    </row>
    <row r="26" spans="1:10" ht="14">
      <c r="A26" s="458" t="s">
        <v>480</v>
      </c>
      <c r="B26" s="459"/>
      <c r="C26" s="460"/>
      <c r="D26" s="460"/>
      <c r="E26" s="461"/>
    </row>
    <row r="27" spans="1:10" ht="20.25" customHeight="1">
      <c r="A27" s="462" t="s">
        <v>481</v>
      </c>
      <c r="B27" s="463"/>
      <c r="C27" s="464"/>
      <c r="D27" s="464"/>
      <c r="E27" s="465"/>
    </row>
    <row r="28" spans="1:10" ht="14.25" customHeight="1">
      <c r="A28" s="469" t="s">
        <v>482</v>
      </c>
      <c r="B28" s="454" t="s">
        <v>196</v>
      </c>
      <c r="C28" s="454">
        <v>8</v>
      </c>
      <c r="D28" s="482">
        <v>48334</v>
      </c>
      <c r="E28" s="455">
        <f>ROUND(C28*D28,0)</f>
        <v>386672</v>
      </c>
    </row>
    <row r="29" spans="1:10" ht="14.25" customHeight="1">
      <c r="A29" s="483" t="s">
        <v>483</v>
      </c>
      <c r="B29" s="454" t="s">
        <v>196</v>
      </c>
      <c r="C29" s="454">
        <v>8</v>
      </c>
      <c r="D29" s="478">
        <v>38793</v>
      </c>
      <c r="E29" s="479">
        <f>ROUND(C29*D29,0)</f>
        <v>310344</v>
      </c>
    </row>
    <row r="30" spans="1:10" ht="14.25" customHeight="1">
      <c r="A30" s="466" t="s">
        <v>484</v>
      </c>
      <c r="B30" s="454" t="s">
        <v>485</v>
      </c>
      <c r="C30" s="454">
        <v>12</v>
      </c>
      <c r="D30" s="484">
        <v>270000</v>
      </c>
      <c r="E30" s="479">
        <f>ROUND(C30*D30,0)</f>
        <v>3240000</v>
      </c>
    </row>
    <row r="31" spans="1:10" ht="14.25" customHeight="1">
      <c r="A31" s="483" t="s">
        <v>486</v>
      </c>
      <c r="B31" s="454" t="s">
        <v>196</v>
      </c>
      <c r="C31" s="454">
        <v>8</v>
      </c>
      <c r="D31" s="482">
        <v>42000</v>
      </c>
      <c r="E31" s="455">
        <f>ROUND(C31*D31,0)</f>
        <v>336000</v>
      </c>
    </row>
    <row r="32" spans="1:10" ht="9.75" customHeight="1">
      <c r="A32" s="1206"/>
      <c r="B32" s="1207"/>
      <c r="C32" s="1207"/>
      <c r="D32" s="1207"/>
      <c r="E32" s="1208"/>
    </row>
    <row r="33" spans="1:7">
      <c r="A33" s="462" t="s">
        <v>487</v>
      </c>
      <c r="B33" s="463"/>
      <c r="C33" s="464"/>
      <c r="D33" s="464"/>
      <c r="E33" s="465"/>
    </row>
    <row r="34" spans="1:7" ht="23">
      <c r="A34" s="466" t="s">
        <v>488</v>
      </c>
      <c r="B34" s="449" t="s">
        <v>196</v>
      </c>
      <c r="C34" s="485">
        <v>4</v>
      </c>
      <c r="D34" s="486">
        <v>75400</v>
      </c>
      <c r="E34" s="452">
        <f>ROUND(C34*D34,0)</f>
        <v>301600</v>
      </c>
    </row>
    <row r="35" spans="1:7">
      <c r="A35" s="462" t="s">
        <v>489</v>
      </c>
      <c r="B35" s="463"/>
      <c r="C35" s="464"/>
      <c r="D35" s="464"/>
      <c r="E35" s="465"/>
    </row>
    <row r="36" spans="1:7" ht="14.25" customHeight="1">
      <c r="A36" s="456" t="s">
        <v>490</v>
      </c>
      <c r="B36" s="473" t="s">
        <v>273</v>
      </c>
      <c r="C36" s="474">
        <v>8</v>
      </c>
      <c r="D36" s="487">
        <v>34800</v>
      </c>
      <c r="E36" s="479">
        <f>ROUND(C36*D36,0)</f>
        <v>278400</v>
      </c>
    </row>
    <row r="37" spans="1:7" ht="14">
      <c r="A37" s="488" t="s">
        <v>491</v>
      </c>
      <c r="B37" s="489"/>
      <c r="C37" s="489"/>
      <c r="D37" s="490"/>
      <c r="E37" s="491">
        <f>ROUND(SUM(E6:E36),0)</f>
        <v>57740066</v>
      </c>
    </row>
    <row r="38" spans="1:7" ht="14.25" customHeight="1">
      <c r="A38" s="1197" t="s">
        <v>492</v>
      </c>
      <c r="B38" s="1198"/>
      <c r="C38" s="1198"/>
      <c r="D38" s="1198"/>
      <c r="E38" s="1199"/>
    </row>
    <row r="39" spans="1:7" ht="27" customHeight="1">
      <c r="A39" s="492" t="s">
        <v>493</v>
      </c>
      <c r="B39" s="493" t="s">
        <v>196</v>
      </c>
      <c r="C39" s="494">
        <v>219</v>
      </c>
      <c r="D39" s="495">
        <v>110000</v>
      </c>
      <c r="E39" s="452">
        <f>C39*D39</f>
        <v>24090000</v>
      </c>
      <c r="F39" s="496"/>
    </row>
    <row r="40" spans="1:7" ht="23.25" customHeight="1">
      <c r="A40" s="497" t="s">
        <v>494</v>
      </c>
      <c r="B40" s="493" t="s">
        <v>196</v>
      </c>
      <c r="C40" s="493">
        <f>50*0.5</f>
        <v>25</v>
      </c>
      <c r="D40" s="495">
        <v>17000</v>
      </c>
      <c r="E40" s="452">
        <f t="shared" ref="E40:E54" si="0">C40*D40</f>
        <v>425000</v>
      </c>
      <c r="F40" s="496"/>
    </row>
    <row r="41" spans="1:7" ht="14.25" customHeight="1">
      <c r="A41" s="498" t="s">
        <v>495</v>
      </c>
      <c r="B41" s="493" t="s">
        <v>196</v>
      </c>
      <c r="C41" s="493">
        <f>236*0.5</f>
        <v>118</v>
      </c>
      <c r="D41" s="495">
        <v>149500</v>
      </c>
      <c r="E41" s="499">
        <f t="shared" si="0"/>
        <v>17641000</v>
      </c>
      <c r="F41" s="496"/>
      <c r="G41" s="430">
        <f>23*4*0.5</f>
        <v>46</v>
      </c>
    </row>
    <row r="42" spans="1:7" ht="14.25" customHeight="1">
      <c r="A42" s="498" t="s">
        <v>496</v>
      </c>
      <c r="B42" s="493" t="s">
        <v>196</v>
      </c>
      <c r="C42" s="493">
        <v>230</v>
      </c>
      <c r="D42" s="495">
        <v>15550</v>
      </c>
      <c r="E42" s="499">
        <f>C42*D42</f>
        <v>3576500</v>
      </c>
      <c r="F42" s="496"/>
      <c r="G42" s="430">
        <f>23*10</f>
        <v>230</v>
      </c>
    </row>
    <row r="43" spans="1:7" ht="14.25" customHeight="1">
      <c r="A43" s="498" t="s">
        <v>497</v>
      </c>
      <c r="B43" s="493" t="s">
        <v>196</v>
      </c>
      <c r="C43" s="493">
        <v>23</v>
      </c>
      <c r="D43" s="495">
        <v>200000</v>
      </c>
      <c r="E43" s="499">
        <f t="shared" si="0"/>
        <v>4600000</v>
      </c>
      <c r="F43" s="496"/>
      <c r="G43" s="430">
        <f>23*2*0.5</f>
        <v>23</v>
      </c>
    </row>
    <row r="44" spans="1:7" ht="17.25" customHeight="1">
      <c r="A44" s="498" t="s">
        <v>498</v>
      </c>
      <c r="B44" s="493" t="s">
        <v>196</v>
      </c>
      <c r="C44" s="493">
        <f>60*0.5</f>
        <v>30</v>
      </c>
      <c r="D44" s="495">
        <v>39700</v>
      </c>
      <c r="E44" s="499">
        <f t="shared" si="0"/>
        <v>1191000</v>
      </c>
      <c r="F44" s="496"/>
    </row>
    <row r="45" spans="1:7" ht="14.25" customHeight="1">
      <c r="A45" s="498" t="s">
        <v>499</v>
      </c>
      <c r="B45" s="493" t="s">
        <v>196</v>
      </c>
      <c r="C45" s="493">
        <f>80*0.5</f>
        <v>40</v>
      </c>
      <c r="D45" s="495">
        <v>60000</v>
      </c>
      <c r="E45" s="499">
        <f t="shared" si="0"/>
        <v>2400000</v>
      </c>
      <c r="F45" s="496"/>
    </row>
    <row r="46" spans="1:7" ht="14.25" customHeight="1">
      <c r="A46" s="498" t="s">
        <v>500</v>
      </c>
      <c r="B46" s="493" t="s">
        <v>196</v>
      </c>
      <c r="C46" s="493">
        <f>359*0.5</f>
        <v>179.5</v>
      </c>
      <c r="D46" s="495">
        <v>50000</v>
      </c>
      <c r="E46" s="499">
        <f t="shared" si="0"/>
        <v>8975000</v>
      </c>
      <c r="F46" s="496"/>
    </row>
    <row r="47" spans="1:7" ht="14.25" customHeight="1">
      <c r="A47" s="498" t="s">
        <v>501</v>
      </c>
      <c r="B47" s="493" t="s">
        <v>143</v>
      </c>
      <c r="C47" s="493">
        <v>3000</v>
      </c>
      <c r="D47" s="495">
        <v>1700</v>
      </c>
      <c r="E47" s="499">
        <f t="shared" si="0"/>
        <v>5100000</v>
      </c>
      <c r="F47" s="496"/>
    </row>
    <row r="48" spans="1:7" ht="14.25" customHeight="1">
      <c r="A48" s="498" t="s">
        <v>502</v>
      </c>
      <c r="B48" s="493" t="s">
        <v>143</v>
      </c>
      <c r="C48" s="493">
        <f>11500*0.5</f>
        <v>5750</v>
      </c>
      <c r="D48" s="495">
        <v>1700</v>
      </c>
      <c r="E48" s="499">
        <f t="shared" si="0"/>
        <v>9775000</v>
      </c>
      <c r="F48" s="496"/>
    </row>
    <row r="49" spans="1:6" ht="14.25" customHeight="1">
      <c r="A49" s="498" t="s">
        <v>503</v>
      </c>
      <c r="B49" s="493" t="s">
        <v>196</v>
      </c>
      <c r="C49" s="493">
        <f>710*0.3</f>
        <v>213</v>
      </c>
      <c r="D49" s="495">
        <v>20000</v>
      </c>
      <c r="E49" s="499">
        <f t="shared" si="0"/>
        <v>4260000</v>
      </c>
      <c r="F49" s="496"/>
    </row>
    <row r="50" spans="1:6" ht="14.25" hidden="1" customHeight="1">
      <c r="A50" s="498" t="s">
        <v>504</v>
      </c>
      <c r="B50" s="493" t="s">
        <v>505</v>
      </c>
      <c r="C50" s="493">
        <v>0</v>
      </c>
      <c r="D50" s="495">
        <v>1689210</v>
      </c>
      <c r="E50" s="499">
        <f>C50*D50*5</f>
        <v>0</v>
      </c>
      <c r="F50" s="496"/>
    </row>
    <row r="51" spans="1:6" ht="14.25" hidden="1" customHeight="1">
      <c r="A51" s="498" t="s">
        <v>506</v>
      </c>
      <c r="B51" s="493" t="s">
        <v>505</v>
      </c>
      <c r="C51" s="493">
        <v>0</v>
      </c>
      <c r="D51" s="495">
        <v>0</v>
      </c>
      <c r="E51" s="499">
        <f t="shared" si="0"/>
        <v>0</v>
      </c>
      <c r="F51" s="496"/>
    </row>
    <row r="52" spans="1:6" ht="14.25" hidden="1" customHeight="1">
      <c r="A52" s="498" t="s">
        <v>507</v>
      </c>
      <c r="B52" s="500" t="s">
        <v>196</v>
      </c>
      <c r="C52" s="493">
        <v>0</v>
      </c>
      <c r="D52" s="495">
        <v>250000</v>
      </c>
      <c r="E52" s="499">
        <f t="shared" si="0"/>
        <v>0</v>
      </c>
      <c r="F52" s="496"/>
    </row>
    <row r="53" spans="1:6" ht="14.25" customHeight="1">
      <c r="A53" s="501" t="s">
        <v>508</v>
      </c>
      <c r="B53" s="502" t="s">
        <v>196</v>
      </c>
      <c r="C53" s="493">
        <v>4</v>
      </c>
      <c r="D53" s="503">
        <v>500000</v>
      </c>
      <c r="E53" s="452">
        <f t="shared" si="0"/>
        <v>2000000</v>
      </c>
      <c r="F53" s="496"/>
    </row>
    <row r="54" spans="1:6" ht="14.25" customHeight="1">
      <c r="A54" s="501" t="s">
        <v>509</v>
      </c>
      <c r="B54" s="502" t="s">
        <v>196</v>
      </c>
      <c r="C54" s="493">
        <v>23</v>
      </c>
      <c r="D54" s="503">
        <v>200500</v>
      </c>
      <c r="E54" s="452">
        <f t="shared" si="0"/>
        <v>4611500</v>
      </c>
      <c r="F54" s="496"/>
    </row>
    <row r="55" spans="1:6" ht="14">
      <c r="A55" s="1211" t="s">
        <v>510</v>
      </c>
      <c r="B55" s="1212"/>
      <c r="C55" s="1212"/>
      <c r="D55" s="1213"/>
      <c r="E55" s="491">
        <f>ROUND(SUM(E39:E54),0)</f>
        <v>88645000</v>
      </c>
    </row>
    <row r="56" spans="1:6" ht="14.5" thickBot="1">
      <c r="A56" s="504" t="s">
        <v>511</v>
      </c>
      <c r="B56" s="505"/>
      <c r="C56" s="505"/>
      <c r="D56" s="505"/>
      <c r="E56" s="506">
        <f>E37+E55</f>
        <v>146385066</v>
      </c>
    </row>
    <row r="57" spans="1:6" ht="14">
      <c r="A57" s="507"/>
      <c r="B57" s="507"/>
      <c r="C57" s="507"/>
      <c r="D57" s="507"/>
      <c r="E57" s="508"/>
    </row>
    <row r="58" spans="1:6">
      <c r="B58" s="430"/>
      <c r="E58" s="510"/>
    </row>
    <row r="59" spans="1:6">
      <c r="A59" s="430" t="s">
        <v>512</v>
      </c>
    </row>
    <row r="60" spans="1:6">
      <c r="A60" s="1214" t="s">
        <v>513</v>
      </c>
      <c r="B60" s="1214"/>
      <c r="C60" s="1214"/>
      <c r="D60" s="1214"/>
      <c r="E60" s="1214"/>
    </row>
    <row r="61" spans="1:6" ht="16.5" customHeight="1">
      <c r="A61" s="1214" t="s">
        <v>514</v>
      </c>
      <c r="B61" s="1214"/>
      <c r="C61" s="1214"/>
      <c r="D61" s="1214"/>
      <c r="E61" s="1214"/>
    </row>
    <row r="62" spans="1:6">
      <c r="A62" s="1215" t="s">
        <v>515</v>
      </c>
      <c r="B62" s="1215"/>
      <c r="C62" s="1215"/>
      <c r="D62" s="1215"/>
    </row>
    <row r="63" spans="1:6" ht="24.75" customHeight="1">
      <c r="A63" s="1214" t="s">
        <v>516</v>
      </c>
      <c r="B63" s="1214"/>
      <c r="C63" s="1214"/>
      <c r="D63" s="1214"/>
      <c r="E63" s="1214"/>
    </row>
    <row r="64" spans="1:6" ht="76.5" customHeight="1">
      <c r="A64" s="1215" t="s">
        <v>517</v>
      </c>
      <c r="B64" s="1215"/>
      <c r="C64" s="1215"/>
      <c r="D64" s="1215"/>
      <c r="E64" s="1215"/>
    </row>
    <row r="65" spans="1:5">
      <c r="A65" s="1209" t="s">
        <v>518</v>
      </c>
      <c r="B65" s="1209"/>
      <c r="C65" s="1209"/>
      <c r="D65" s="1209"/>
      <c r="E65" s="1209"/>
    </row>
    <row r="66" spans="1:5">
      <c r="A66" s="511"/>
    </row>
    <row r="69" spans="1:5" ht="13">
      <c r="A69" s="512" t="s">
        <v>519</v>
      </c>
      <c r="B69" s="512"/>
      <c r="C69" s="513"/>
      <c r="D69" s="514"/>
    </row>
    <row r="70" spans="1:5" ht="12.5">
      <c r="A70" s="514"/>
      <c r="B70" s="513"/>
      <c r="C70" s="513"/>
      <c r="D70" s="514"/>
    </row>
    <row r="71" spans="1:5" ht="13">
      <c r="A71" s="515"/>
      <c r="B71" s="512"/>
      <c r="C71" s="513"/>
      <c r="D71" s="514"/>
    </row>
    <row r="72" spans="1:5" ht="12.5">
      <c r="A72" s="516" t="s">
        <v>520</v>
      </c>
      <c r="B72" s="1210"/>
      <c r="C72" s="1210"/>
      <c r="D72" s="1210"/>
    </row>
    <row r="80" spans="1:5">
      <c r="B80" s="430"/>
      <c r="C80" s="430"/>
    </row>
    <row r="81" s="430" customFormat="1"/>
    <row r="82" s="430" customFormat="1"/>
    <row r="83" s="430" customFormat="1"/>
    <row r="84" s="430" customFormat="1"/>
  </sheetData>
  <mergeCells count="14">
    <mergeCell ref="A65:E65"/>
    <mergeCell ref="B72:D72"/>
    <mergeCell ref="A55:D55"/>
    <mergeCell ref="A60:E60"/>
    <mergeCell ref="A61:E61"/>
    <mergeCell ref="A62:D62"/>
    <mergeCell ref="A63:E63"/>
    <mergeCell ref="A64:E64"/>
    <mergeCell ref="A38:E38"/>
    <mergeCell ref="A1:E1"/>
    <mergeCell ref="A16:E16"/>
    <mergeCell ref="A19:E19"/>
    <mergeCell ref="A23:E23"/>
    <mergeCell ref="A32:E32"/>
  </mergeCells>
  <printOptions horizontalCentered="1" verticalCentered="1"/>
  <pageMargins left="0.31496062992125984" right="0.31496062992125984" top="0.39370078740157483" bottom="0.39370078740157483" header="0" footer="0"/>
  <pageSetup scale="85"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10</vt:i4>
      </vt:variant>
    </vt:vector>
  </HeadingPairs>
  <TitlesOfParts>
    <vt:vector size="21" baseType="lpstr">
      <vt:lpstr>Paso 1 Calculo del Presupuesto</vt:lpstr>
      <vt:lpstr>Paso 2 Calculo Factor Multiplic</vt:lpstr>
      <vt:lpstr>Paso 3 - Publicar en SECOP -PO-</vt:lpstr>
      <vt:lpstr>F1 Propuesta económica</vt:lpstr>
      <vt:lpstr>Anexo Salarios Referencia</vt:lpstr>
      <vt:lpstr>TABLAS SOPORTE </vt:lpstr>
      <vt:lpstr>EQ. DE OFICINA - RECONOCIMIENTO</vt:lpstr>
      <vt:lpstr>Anexo Factor Prestacional</vt:lpstr>
      <vt:lpstr>PRESUPUESTO OFICIAL</vt:lpstr>
      <vt:lpstr>ITEM DE PAGO</vt:lpstr>
      <vt:lpstr>APU ambiental 2019</vt:lpstr>
      <vt:lpstr>'APU ambiental 2019'!Área_de_impresión</vt:lpstr>
      <vt:lpstr>'F1 Propuesta económica'!Área_de_impresión</vt:lpstr>
      <vt:lpstr>'ITEM DE PAGO'!Área_de_impresión</vt:lpstr>
      <vt:lpstr>'Paso 2 Calculo Factor Multiplic'!Área_de_impresión</vt:lpstr>
      <vt:lpstr>'Paso 3 - Publicar en SECOP -PO-'!Área_de_impresión</vt:lpstr>
      <vt:lpstr>'PRESUPUESTO OFICIAL'!Área_de_impresión</vt:lpstr>
      <vt:lpstr>Area_impresion</vt:lpstr>
      <vt:lpstr>Otros_costos_directos</vt:lpstr>
      <vt:lpstr>Recurso_humano</vt:lpstr>
      <vt:lpstr>Unidad_medida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N8NXCV03099131A</cp:lastModifiedBy>
  <cp:lastPrinted>2024-07-22T15:38:03Z</cp:lastPrinted>
  <dcterms:created xsi:type="dcterms:W3CDTF">2018-11-22T20:22:17Z</dcterms:created>
  <dcterms:modified xsi:type="dcterms:W3CDTF">2024-07-22T15:38:08Z</dcterms:modified>
</cp:coreProperties>
</file>