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https://mintransporte-my.sharepoint.com/personal/janarvaez_mintransporte_gov_co/Documents/Documentos/Julia Andrea Narvaez Toro/GABS 2024/Estudios previos 2024/06. Aire acondicionado/03. Version final/"/>
    </mc:Choice>
  </mc:AlternateContent>
  <xr:revisionPtr revIDLastSave="3" documentId="13_ncr:1_{63BAFFA5-8C04-4194-B8A3-4A62A40E7007}" xr6:coauthVersionLast="47" xr6:coauthVersionMax="47" xr10:uidLastSave="{01578E26-BE56-4A7F-9DA8-E5DD75868400}"/>
  <bookViews>
    <workbookView xWindow="-120" yWindow="-120" windowWidth="29040" windowHeight="15840" xr2:uid="{00000000-000D-0000-FFFF-FFFF00000000}"/>
  </bookViews>
  <sheets>
    <sheet name="AIRES" sheetId="1" r:id="rId1"/>
  </sheets>
  <definedNames>
    <definedName name="_xlnm._FilterDatabase" localSheetId="0" hidden="1">AIRES!$A$14:$Q$56</definedName>
    <definedName name="_xlnm.Print_Area" localSheetId="0">AIRES!$A$1:$Q$169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55" i="1" l="1"/>
  <c r="H155" i="1" l="1"/>
  <c r="D106" i="1"/>
  <c r="H154" i="1"/>
  <c r="H153" i="1"/>
  <c r="H152" i="1"/>
  <c r="H151" i="1"/>
  <c r="H150" i="1"/>
  <c r="H149" i="1"/>
  <c r="J155" i="1"/>
  <c r="I155" i="1"/>
  <c r="K10" i="1"/>
  <c r="D105" i="1" l="1"/>
  <c r="G155" i="1" l="1"/>
  <c r="F155" i="1"/>
  <c r="J154" i="1"/>
  <c r="J153" i="1"/>
  <c r="J152" i="1"/>
  <c r="J151" i="1"/>
  <c r="J150" i="1"/>
  <c r="J149" i="1"/>
  <c r="I154" i="1"/>
  <c r="I153" i="1"/>
  <c r="I152" i="1"/>
  <c r="I151" i="1"/>
  <c r="I150" i="1"/>
  <c r="I149" i="1"/>
  <c r="C150" i="1"/>
  <c r="G154" i="1"/>
  <c r="G153" i="1"/>
  <c r="G152" i="1"/>
  <c r="G151" i="1"/>
  <c r="G150" i="1"/>
  <c r="G149" i="1"/>
  <c r="F154" i="1"/>
  <c r="F153" i="1"/>
  <c r="F152" i="1"/>
  <c r="F151" i="1"/>
  <c r="F150" i="1"/>
  <c r="F149" i="1"/>
  <c r="E154" i="1"/>
  <c r="E153" i="1"/>
  <c r="E152" i="1"/>
  <c r="E151" i="1"/>
  <c r="E149" i="1"/>
  <c r="D127" i="1"/>
  <c r="D126" i="1"/>
  <c r="D125" i="1"/>
  <c r="D124" i="1"/>
  <c r="D123" i="1"/>
  <c r="D122" i="1"/>
  <c r="D121" i="1"/>
  <c r="D142" i="1"/>
  <c r="D141" i="1"/>
  <c r="D140" i="1"/>
  <c r="D139" i="1"/>
  <c r="D138" i="1"/>
  <c r="D137" i="1"/>
  <c r="D136" i="1"/>
  <c r="D96" i="1"/>
  <c r="D95" i="1"/>
  <c r="D94" i="1"/>
  <c r="D93" i="1"/>
  <c r="D92" i="1"/>
  <c r="D91" i="1"/>
  <c r="D90" i="1"/>
  <c r="D66" i="1"/>
  <c r="D67" i="1"/>
  <c r="D65" i="1"/>
  <c r="D64" i="1"/>
  <c r="D63" i="1"/>
  <c r="D62" i="1"/>
  <c r="D80" i="1"/>
  <c r="D79" i="1"/>
  <c r="D76" i="1"/>
  <c r="D77" i="1"/>
  <c r="D78" i="1"/>
  <c r="D81" i="1"/>
  <c r="E150" i="1"/>
  <c r="I164" i="1" l="1"/>
  <c r="H164" i="1"/>
  <c r="G164" i="1"/>
  <c r="F164" i="1"/>
  <c r="E164" i="1"/>
  <c r="D164" i="1"/>
  <c r="E105" i="1"/>
  <c r="D82" i="1"/>
  <c r="D111" i="1"/>
  <c r="E111" i="1" s="1"/>
  <c r="D108" i="1"/>
  <c r="E108" i="1" s="1"/>
  <c r="E106" i="1"/>
  <c r="D109" i="1"/>
  <c r="E109" i="1" s="1"/>
  <c r="D107" i="1"/>
  <c r="D110" i="1"/>
  <c r="E110" i="1" s="1"/>
  <c r="D112" i="1"/>
  <c r="E112" i="1" s="1"/>
  <c r="D143" i="1"/>
  <c r="E76" i="1"/>
  <c r="E80" i="1"/>
  <c r="E64" i="1"/>
  <c r="E90" i="1"/>
  <c r="E94" i="1"/>
  <c r="E140" i="1"/>
  <c r="E122" i="1"/>
  <c r="E126" i="1"/>
  <c r="E79" i="1"/>
  <c r="E77" i="1"/>
  <c r="E81" i="1"/>
  <c r="E91" i="1"/>
  <c r="E95" i="1"/>
  <c r="E137" i="1"/>
  <c r="E141" i="1"/>
  <c r="E123" i="1"/>
  <c r="E65" i="1"/>
  <c r="E78" i="1"/>
  <c r="D68" i="1"/>
  <c r="E66" i="1"/>
  <c r="E92" i="1"/>
  <c r="E96" i="1"/>
  <c r="E138" i="1"/>
  <c r="E142" i="1"/>
  <c r="E124" i="1"/>
  <c r="E127" i="1"/>
  <c r="E63" i="1"/>
  <c r="E67" i="1"/>
  <c r="E93" i="1"/>
  <c r="E139" i="1"/>
  <c r="D128" i="1"/>
  <c r="E125" i="1"/>
  <c r="D97" i="1"/>
  <c r="E62" i="1"/>
  <c r="E136" i="1"/>
  <c r="E121" i="1"/>
  <c r="D113" i="1" l="1"/>
  <c r="E107" i="1"/>
  <c r="E113" i="1" s="1"/>
  <c r="E143" i="1"/>
  <c r="E97" i="1"/>
  <c r="E68" i="1"/>
  <c r="E128" i="1"/>
  <c r="E8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tc={A460E21F-F479-4A98-BEAA-A8266F738319}</author>
    <author>tc={FAE5D0D7-DC8E-4BDB-9204-3A3708B251AC}</author>
  </authors>
  <commentList>
    <comment ref="C9" authorId="0" shapeId="0" xr:uid="{A460E21F-F479-4A98-BEAA-A8266F738319}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Se recomienda incluir CIIU aplicables de los otros códigos UNSPSC para aumentar la densidad de los datos, esto nos garantiza una muestra representativa.</t>
        </r>
      </text>
    </comment>
    <comment ref="F155" authorId="1" shapeId="0" xr:uid="{FAE5D0D7-DC8E-4BDB-9204-3A3708B251AC}">
      <text>
        <r>
          <rPr>
            <sz val="11"/>
            <color theme="1"/>
            <rFont val="Calibri"/>
            <family val="2"/>
            <scheme val="minor"/>
          </rPr>
  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Se recomienda dejar el cálculo de donde resultan los indicadores ajustados </t>
        </r>
      </text>
    </comment>
  </commentList>
</comments>
</file>

<file path=xl/sharedStrings.xml><?xml version="1.0" encoding="utf-8"?>
<sst xmlns="http://schemas.openxmlformats.org/spreadsheetml/2006/main" count="266" uniqueCount="151">
  <si>
    <t>CALCULO INDICADORES FINANCIEROS PARA PROCESOS DE SELECCIÓN</t>
  </si>
  <si>
    <t>OBJETO:</t>
  </si>
  <si>
    <t>MANTENIMIENTO PREVENTIVO, CORRECTIVO, BOLSA DE REPUESTOS Y COMPRA DE EQUIPOS AIRE ACONDICIONADO PARA LAS SEDES DEL MINISTERIO A NIVEL NACIONAL</t>
  </si>
  <si>
    <t>MODALIDAD:</t>
  </si>
  <si>
    <t>SELECCIÓN ABREVIADA MENOR CUANTIA</t>
  </si>
  <si>
    <t>VALOR:</t>
  </si>
  <si>
    <t>.</t>
  </si>
  <si>
    <t>1. ANALISIS FINANCIERO DE LA OFERTA DEL SECTOR</t>
  </si>
  <si>
    <t>CIIU APLICABLE</t>
  </si>
  <si>
    <t>DESCRIPCION</t>
  </si>
  <si>
    <t>EMPRESAS</t>
  </si>
  <si>
    <t>F4322</t>
  </si>
  <si>
    <t>Instalaciones de fontanería, calefacción y aire acondicionado</t>
  </si>
  <si>
    <t>EMPRESAS IDENTIFICADAS COMO MUESTRA PARA EL ANALISIS:</t>
  </si>
  <si>
    <t>FUENTE: Superintendencia de Sociedades https://siis.ia.supersociedades.gov.co/#/massivereports</t>
  </si>
  <si>
    <t>Tipo</t>
  </si>
  <si>
    <t>Nit</t>
  </si>
  <si>
    <t>Razón social de la sociedad</t>
  </si>
  <si>
    <t>CIIU</t>
  </si>
  <si>
    <t>Activos corrientes</t>
  </si>
  <si>
    <t>Total Activos</t>
  </si>
  <si>
    <t>Pasivos corrientes</t>
  </si>
  <si>
    <t>Total Pasivos</t>
  </si>
  <si>
    <t>Patrimonio</t>
  </si>
  <si>
    <t>Ganancia (pérdida) por actividades de operación</t>
  </si>
  <si>
    <t>Costos Financieros</t>
  </si>
  <si>
    <t>Capital de trabajo (en miles de $)</t>
  </si>
  <si>
    <t>índice de liquidez</t>
  </si>
  <si>
    <t>Nivel de endeudamiento</t>
  </si>
  <si>
    <t>Rentabilidad del patrimonio</t>
  </si>
  <si>
    <t>Rentabilidad del Activo</t>
  </si>
  <si>
    <t>Cobertura de Intereses</t>
  </si>
  <si>
    <t>Pymes-Individuales</t>
  </si>
  <si>
    <t>FRUTOS DE JERICO S.A.S.</t>
  </si>
  <si>
    <t>F4322 - Instalaciones de fontanería, calefacción y aire acondicionado</t>
  </si>
  <si>
    <t>INDETERMINADO</t>
  </si>
  <si>
    <t>OMEGA INGENIEROS SAS</t>
  </si>
  <si>
    <t>CGR PROYECTOS SAS</t>
  </si>
  <si>
    <t>servir ingenieros eu</t>
  </si>
  <si>
    <t>RGD AIRE ACONDICIONADO S A S</t>
  </si>
  <si>
    <t>COMERCIAL Y SERVICIOS AYRE SAS EN REORGANIZACION</t>
  </si>
  <si>
    <t>A ROMERO P SAS</t>
  </si>
  <si>
    <t>FANTASIA DEL AGUA  S.A.S</t>
  </si>
  <si>
    <t>INSERIM AIRE SA</t>
  </si>
  <si>
    <t>TEXIN LTDA</t>
  </si>
  <si>
    <t>SYA INGENIERIA DE SERVICIOS</t>
  </si>
  <si>
    <t>ACONDICIONAR INGENIEROS SAS</t>
  </si>
  <si>
    <t>SERVIREFRIAIRE S.A.</t>
  </si>
  <si>
    <t>GOMEZ ARBOLEDA FRIO AIRE SAS</t>
  </si>
  <si>
    <t>AF REFRIGERACION SAS</t>
  </si>
  <si>
    <t>Pymes-Separados</t>
  </si>
  <si>
    <t>RPH INGENIERIA Y CONSTRUCCION SAS</t>
  </si>
  <si>
    <t>PROSESCO INGENIEROS SANITARIOS S.A.S.</t>
  </si>
  <si>
    <t>HIDRO CONSTRUCCIONES LTDA</t>
  </si>
  <si>
    <t>MEGA AIRES SAS</t>
  </si>
  <si>
    <t>INGECOOL SAS</t>
  </si>
  <si>
    <t>REFRILITORAL CASASBUENAS CORTES Y CIA SAS</t>
  </si>
  <si>
    <t>AIRENET SOLICIONES EN AIRE ACONDICIONADO S.A.S</t>
  </si>
  <si>
    <t>FIRE PROTECTION DE COLOMBIA S.A.</t>
  </si>
  <si>
    <t>THERMOANDINA SAS</t>
  </si>
  <si>
    <t>HIDROOBRAS SA</t>
  </si>
  <si>
    <t>METÁLICAS SNAIRE LTDA</t>
  </si>
  <si>
    <t>SECAR INGENIEROS SA</t>
  </si>
  <si>
    <t>EHR SAS</t>
  </si>
  <si>
    <t>SERVIACCESORIOS SAS</t>
  </si>
  <si>
    <t>TALLERES ZITRON S.A.SUCURSAL COLOMBIA</t>
  </si>
  <si>
    <t>AIR FLOW SAS</t>
  </si>
  <si>
    <t>HIDRAULICA Y SANEAMIENTO S.A.S</t>
  </si>
  <si>
    <t>CARVEL SA INGENIEROS CONTRATISTAS</t>
  </si>
  <si>
    <t>INGENIERIA Y PROYECTOS DEL ABIENTE S.A.S</t>
  </si>
  <si>
    <t>IINSTALACIONES HIDRAULICAS SANITARIAS Y DE GAS INOCENCIO LOPEZ SAS</t>
  </si>
  <si>
    <t>AIRE CARIBE SA</t>
  </si>
  <si>
    <t>INGEAR CONSTRUCCIONES SAS</t>
  </si>
  <si>
    <t>FRIOCOSTA S.A</t>
  </si>
  <si>
    <t>INVERKLIMA SAS</t>
  </si>
  <si>
    <t>COMERCIAL Y SERVICIOS LARCO SAS</t>
  </si>
  <si>
    <t>INSTALACIONES HIDRAULICAS Y SANITARIAS WC SAS</t>
  </si>
  <si>
    <t>DISMEC SAS</t>
  </si>
  <si>
    <t>Capital de trabajo = Activo corriente - Pasivo corriente, el cual representa la liquidez operativa del proponente, es decir el remanente del proponente luego de liquidar sus activos corrientes (convertirlos en efectivo) y pagar el pasivo de corto plazo.</t>
  </si>
  <si>
    <t>RANGO</t>
  </si>
  <si>
    <t>CANTIDAD DE EMPRESAS</t>
  </si>
  <si>
    <t>&lt; 0M</t>
  </si>
  <si>
    <t>0M - $1000M</t>
  </si>
  <si>
    <t>$1000M - $2000M</t>
  </si>
  <si>
    <t>$2000M- $3000M</t>
  </si>
  <si>
    <t>$3000M - $4000M</t>
  </si>
  <si>
    <t>&gt; $4000M</t>
  </si>
  <si>
    <t>TOTAL</t>
  </si>
  <si>
    <t xml:space="preserve">Índice de Liquidez = Activo corriente / Pasivo corriente, el cual determina la capacidad que tiene un proponente para cumplir con sus obligaciones de corto plazo. A mayor índice de liquidez, menor es la probabilidad de que el proponente incumpla sus obligaciones de corto plazo. </t>
  </si>
  <si>
    <t>0 - 0.5</t>
  </si>
  <si>
    <t>0.5 - 1</t>
  </si>
  <si>
    <t>1 - 1.5</t>
  </si>
  <si>
    <t>1.5 - 2</t>
  </si>
  <si>
    <t>2 - 2.5</t>
  </si>
  <si>
    <t>&gt; 2.5</t>
  </si>
  <si>
    <t>Índice de Endeudamiento = Pasivo Total / Activo Total, el cual determina el grado de endeudamiento en la estructura de financiación (pasivos y patrimonio) del proponente. A mayor índice de endeudamiento, mayor es la probabilidad del proponente de no poder cumplir con sus pasivos.</t>
  </si>
  <si>
    <t>0 - 15%</t>
  </si>
  <si>
    <t>15,1% - 30%</t>
  </si>
  <si>
    <t>30,1% - 45%</t>
  </si>
  <si>
    <t>45,1% - 60%</t>
  </si>
  <si>
    <t>60,1% - 75%</t>
  </si>
  <si>
    <t>75,1% - 90%</t>
  </si>
  <si>
    <t>&gt; 90%</t>
  </si>
  <si>
    <t>Razón de Cobertura de Intereses = Utilidad Operacional / Gastos de Intereses, el cual refleja la capacidad del proponente de cumplir con sus obligaciones financieras. A mayor cobertura de intereses, menor es la probabilidad de que el proponente incumpla sus obligaciones financieras.</t>
  </si>
  <si>
    <t>Negativo Infinito</t>
  </si>
  <si>
    <t>Gastos de intereses = 0 Positivo Infinito</t>
  </si>
  <si>
    <t>&lt; 0</t>
  </si>
  <si>
    <t>0 - 1.5</t>
  </si>
  <si>
    <t>1.5 - 3</t>
  </si>
  <si>
    <t>3 - 4.5</t>
  </si>
  <si>
    <t>4.5 - 6</t>
  </si>
  <si>
    <t>&gt; 6</t>
  </si>
  <si>
    <t>Rentabilidad sobre patrimonio: Utilidad Operacional / Patrimonio, el cual determina la rentabilidad del patrimonio del proponente, es decir, la capacidad de generación de utilidad operacional por cada peso invertido en el patrimonio. A mayor rentabilidad sobre el patrimonio, mayor es la rentabilidad de los accionistas y mejor la capacidad organizacional del proponente.</t>
  </si>
  <si>
    <t>&lt; = 0%</t>
  </si>
  <si>
    <t>0% - 6%</t>
  </si>
  <si>
    <t>6,1% - 12%</t>
  </si>
  <si>
    <t>12,1% - 18%</t>
  </si>
  <si>
    <t>18,1% - 24%</t>
  </si>
  <si>
    <t>24,1% - 30%</t>
  </si>
  <si>
    <t>&gt; 30%</t>
  </si>
  <si>
    <t>Rentabilidad sobre activos = Utilidad Operacional / Activo Total, el cual determina la rentabilidad de los activos del proponente, es decir, la capacidad de generación de utilidad operacional por cada peso invertido en el activo. A mayor rentabilidad sobre activos, mayor es la rentabilidad del negocio y mejor la capacidad organizacional del proponente.</t>
  </si>
  <si>
    <t>0% - 3%</t>
  </si>
  <si>
    <t>3,1% - 6%</t>
  </si>
  <si>
    <t>6,1% - 9%</t>
  </si>
  <si>
    <t>9,1% - 12%</t>
  </si>
  <si>
    <t>12,1% - 15%</t>
  </si>
  <si>
    <t>&gt; 15%</t>
  </si>
  <si>
    <t>INDICADORES DE CAPACIDAD FINANCIERA</t>
  </si>
  <si>
    <t>INDICADORES DE CAPACIDAD ORGANIZACIONAL</t>
  </si>
  <si>
    <t>CAPITAL DE TRABAJO 
(en miles de $)</t>
  </si>
  <si>
    <t>INDICE DE LIQUIDEZ</t>
  </si>
  <si>
    <t>NIVEL DE ENDEUDAMIENTO</t>
  </si>
  <si>
    <t>COBERTURA INTERESES</t>
  </si>
  <si>
    <t>RENTABILIDAD SOBRE PATRIMONIO</t>
  </si>
  <si>
    <t>RENTABILIDAD SOBRE ACTIVOS</t>
  </si>
  <si>
    <t>PROMEDIO</t>
  </si>
  <si>
    <t>MEDIA PODADA</t>
  </si>
  <si>
    <t>MEDIANA</t>
  </si>
  <si>
    <t>DESVIACIÓN ESTANDAR</t>
  </si>
  <si>
    <t>MINIMO</t>
  </si>
  <si>
    <t>MAXIMO</t>
  </si>
  <si>
    <t>INDICADOR AJUSTADO</t>
  </si>
  <si>
    <t>2. REQUISITOS FINACIEROS Y DE CAPACIDAD ORGANIZACIONAL PARA EL PROCESO DE CONTRATACIÓN</t>
  </si>
  <si>
    <t>CAPITAL DE TRABAJO</t>
  </si>
  <si>
    <t xml:space="preserve">MAYOR O IGUAL </t>
  </si>
  <si>
    <t>MAYOR O IGUAL A</t>
  </si>
  <si>
    <t>MENOR O IGUAL A</t>
  </si>
  <si>
    <t>CRITERIO RECOMENDADO</t>
  </si>
  <si>
    <t>50% DEL PRESUPUESTO TOTAL ESTIMADO</t>
  </si>
  <si>
    <t>% DE LA MUESTRA QUE CUMPLE EL CRITERIO INDIVIDUALMENTE</t>
  </si>
  <si>
    <r>
      <t xml:space="preserve">Elaboró: Carlos Alberto Avellaneda Mendieta
</t>
    </r>
    <r>
      <rPr>
        <sz val="12"/>
        <color theme="1"/>
        <rFont val="Arial Narrow"/>
        <family val="2"/>
      </rPr>
      <t>Subdirección Administrativa y Financiera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</si>
</sst>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8" formatCode="&quot;$&quot;\ #,##0.00;[Red]\-&quot;$&quot;\ #,##0.00"/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_€_-;\-* #,##0.00\ _€_-;_-* &quot;-&quot;??\ _€_-;_-@_-"/>
    <numFmt numFmtId="165" formatCode="#,##0.0"/>
    <numFmt numFmtId="166" formatCode="_-&quot;$&quot;\ * #,##0_-;\-&quot;$&quot;\ * #,##0_-;_-&quot;$&quot;\ * &quot;-&quot;??_-;_-@_-"/>
    <numFmt numFmtId="167" formatCode="_-&quot;$&quot;\ * #,##0.0000_-;\-&quot;$&quot;\ * #,##0.0000_-;_-&quot;$&quot;\ * &quot;-&quot;??_-;_-@_-"/>
    <numFmt numFmtId="168" formatCode="_-* #,##0\ _€_-;\-* #,##0\ _€_-;_-* &quot;-&quot;??\ _€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color theme="1"/>
      <name val="Arial Narrow"/>
      <family val="2"/>
    </font>
    <font>
      <b/>
      <sz val="8"/>
      <name val="Arial Narrow"/>
      <family val="2"/>
    </font>
    <font>
      <b/>
      <sz val="8"/>
      <color theme="1"/>
      <name val="Arial Narrow"/>
      <family val="2"/>
    </font>
    <font>
      <sz val="8"/>
      <color theme="1"/>
      <name val="Arial Narrow"/>
      <family val="2"/>
    </font>
    <font>
      <sz val="8"/>
      <name val="Arial Narrow"/>
      <family val="2"/>
    </font>
    <font>
      <sz val="8"/>
      <color rgb="FFFF0000"/>
      <name val="Arial Narrow"/>
      <family val="2"/>
    </font>
    <font>
      <sz val="10"/>
      <color theme="1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2"/>
      <name val="Arial Narrow"/>
      <family val="2"/>
    </font>
    <font>
      <b/>
      <sz val="12"/>
      <name val="Arial Narrow"/>
      <family val="2"/>
    </font>
    <font>
      <u/>
      <sz val="12"/>
      <color theme="10"/>
      <name val="Arial Narrow"/>
      <family val="2"/>
    </font>
    <font>
      <b/>
      <i/>
      <sz val="12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FFFF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164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160">
    <xf numFmtId="0" fontId="0" fillId="0" borderId="0" xfId="0"/>
    <xf numFmtId="0" fontId="6" fillId="0" borderId="0" xfId="0" applyFont="1" applyAlignment="1">
      <alignment vertical="center"/>
    </xf>
    <xf numFmtId="167" fontId="8" fillId="0" borderId="0" xfId="0" applyNumberFormat="1" applyFont="1" applyAlignment="1">
      <alignment vertical="center"/>
    </xf>
    <xf numFmtId="0" fontId="8" fillId="0" borderId="0" xfId="0" applyFont="1" applyAlignment="1">
      <alignment vertical="center"/>
    </xf>
    <xf numFmtId="0" fontId="12" fillId="0" borderId="0" xfId="0" applyFont="1" applyAlignment="1">
      <alignment vertical="center" wrapText="1"/>
    </xf>
    <xf numFmtId="0" fontId="14" fillId="0" borderId="0" xfId="0" applyFont="1" applyAlignment="1">
      <alignment vertical="center" wrapText="1"/>
    </xf>
    <xf numFmtId="0" fontId="14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/>
    </xf>
    <xf numFmtId="9" fontId="7" fillId="0" borderId="0" xfId="5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41" fontId="7" fillId="0" borderId="0" xfId="2" applyFont="1" applyAlignment="1">
      <alignment horizontal="center" vertical="center"/>
    </xf>
    <xf numFmtId="9" fontId="7" fillId="0" borderId="0" xfId="5" applyFont="1" applyAlignment="1">
      <alignment vertical="center"/>
    </xf>
    <xf numFmtId="8" fontId="7" fillId="0" borderId="0" xfId="5" applyNumberFormat="1" applyFont="1" applyAlignment="1">
      <alignment horizontal="center" vertical="center"/>
    </xf>
    <xf numFmtId="41" fontId="7" fillId="0" borderId="0" xfId="2" quotePrefix="1" applyFont="1" applyAlignment="1">
      <alignment horizontal="center" vertical="center"/>
    </xf>
    <xf numFmtId="164" fontId="6" fillId="0" borderId="0" xfId="1" applyFont="1" applyAlignment="1">
      <alignment vertical="center"/>
    </xf>
    <xf numFmtId="9" fontId="7" fillId="0" borderId="0" xfId="5" applyFont="1" applyAlignment="1">
      <alignment horizontal="center" vertical="center"/>
    </xf>
    <xf numFmtId="0" fontId="6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7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vertical="center"/>
    </xf>
    <xf numFmtId="0" fontId="6" fillId="0" borderId="0" xfId="0" applyFont="1"/>
    <xf numFmtId="164" fontId="6" fillId="0" borderId="0" xfId="1" applyFont="1" applyFill="1" applyBorder="1" applyAlignment="1">
      <alignment horizontal="center"/>
    </xf>
    <xf numFmtId="10" fontId="6" fillId="0" borderId="0" xfId="5" applyNumberFormat="1" applyFont="1" applyFill="1" applyBorder="1" applyAlignment="1">
      <alignment horizontal="center"/>
    </xf>
    <xf numFmtId="3" fontId="4" fillId="0" borderId="0" xfId="0" applyNumberFormat="1" applyFont="1" applyAlignment="1">
      <alignment horizontal="center"/>
    </xf>
    <xf numFmtId="9" fontId="4" fillId="0" borderId="0" xfId="5" applyFont="1" applyFill="1" applyAlignment="1">
      <alignment horizontal="center"/>
    </xf>
    <xf numFmtId="9" fontId="7" fillId="0" borderId="0" xfId="0" applyNumberFormat="1" applyFont="1" applyAlignment="1">
      <alignment horizontal="center"/>
    </xf>
    <xf numFmtId="9" fontId="4" fillId="0" borderId="0" xfId="0" applyNumberFormat="1" applyFont="1" applyAlignment="1">
      <alignment horizontal="center"/>
    </xf>
    <xf numFmtId="165" fontId="7" fillId="0" borderId="0" xfId="0" applyNumberFormat="1" applyFont="1" applyAlignment="1">
      <alignment horizontal="center"/>
    </xf>
    <xf numFmtId="3" fontId="5" fillId="0" borderId="0" xfId="0" applyNumberFormat="1" applyFont="1" applyAlignment="1">
      <alignment horizontal="center"/>
    </xf>
    <xf numFmtId="9" fontId="5" fillId="0" borderId="0" xfId="0" applyNumberFormat="1" applyFont="1" applyAlignment="1">
      <alignment horizontal="center"/>
    </xf>
    <xf numFmtId="168" fontId="6" fillId="0" borderId="0" xfId="1" applyNumberFormat="1" applyFont="1" applyAlignment="1">
      <alignment vertical="center"/>
    </xf>
    <xf numFmtId="43" fontId="6" fillId="0" borderId="0" xfId="0" applyNumberFormat="1" applyFont="1" applyAlignment="1">
      <alignment vertical="center"/>
    </xf>
    <xf numFmtId="168" fontId="6" fillId="0" borderId="0" xfId="0" applyNumberFormat="1" applyFont="1" applyAlignment="1">
      <alignment vertical="center"/>
    </xf>
    <xf numFmtId="0" fontId="13" fillId="3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3" fontId="12" fillId="3" borderId="1" xfId="0" applyNumberFormat="1" applyFont="1" applyFill="1" applyBorder="1" applyAlignment="1">
      <alignment horizontal="center" vertical="center"/>
    </xf>
    <xf numFmtId="10" fontId="12" fillId="3" borderId="1" xfId="5" applyNumberFormat="1" applyFont="1" applyFill="1" applyBorder="1" applyAlignment="1">
      <alignment horizontal="center" vertical="center"/>
    </xf>
    <xf numFmtId="3" fontId="13" fillId="3" borderId="1" xfId="0" applyNumberFormat="1" applyFont="1" applyFill="1" applyBorder="1" applyAlignment="1">
      <alignment horizontal="center" vertical="center"/>
    </xf>
    <xf numFmtId="10" fontId="13" fillId="3" borderId="1" xfId="5" applyNumberFormat="1" applyFont="1" applyFill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3" fontId="15" fillId="0" borderId="0" xfId="0" applyNumberFormat="1" applyFont="1" applyAlignment="1">
      <alignment horizontal="center"/>
    </xf>
    <xf numFmtId="9" fontId="15" fillId="0" borderId="0" xfId="5" applyFont="1" applyFill="1" applyAlignment="1">
      <alignment horizontal="center"/>
    </xf>
    <xf numFmtId="9" fontId="14" fillId="0" borderId="0" xfId="0" applyNumberFormat="1" applyFont="1" applyAlignment="1">
      <alignment horizontal="center"/>
    </xf>
    <xf numFmtId="9" fontId="15" fillId="0" borderId="0" xfId="0" applyNumberFormat="1" applyFont="1" applyAlignment="1">
      <alignment horizontal="center"/>
    </xf>
    <xf numFmtId="165" fontId="14" fillId="0" borderId="0" xfId="0" applyNumberFormat="1" applyFont="1" applyAlignment="1">
      <alignment horizontal="center"/>
    </xf>
    <xf numFmtId="3" fontId="13" fillId="0" borderId="0" xfId="0" applyNumberFormat="1" applyFont="1" applyAlignment="1">
      <alignment horizontal="center"/>
    </xf>
    <xf numFmtId="9" fontId="13" fillId="0" borderId="0" xfId="0" applyNumberFormat="1" applyFont="1" applyAlignment="1">
      <alignment horizontal="center"/>
    </xf>
    <xf numFmtId="164" fontId="12" fillId="0" borderId="0" xfId="1" applyFont="1" applyAlignment="1">
      <alignment vertical="center"/>
    </xf>
    <xf numFmtId="10" fontId="15" fillId="0" borderId="0" xfId="5" applyNumberFormat="1" applyFont="1" applyFill="1" applyAlignment="1">
      <alignment horizontal="center"/>
    </xf>
    <xf numFmtId="164" fontId="15" fillId="0" borderId="0" xfId="1" applyFont="1" applyFill="1" applyAlignment="1">
      <alignment horizontal="center"/>
    </xf>
    <xf numFmtId="0" fontId="13" fillId="0" borderId="0" xfId="0" applyFont="1" applyAlignment="1">
      <alignment horizontal="center" vertical="center"/>
    </xf>
    <xf numFmtId="3" fontId="13" fillId="0" borderId="0" xfId="0" applyNumberFormat="1" applyFont="1" applyAlignment="1">
      <alignment horizontal="center" vertical="center"/>
    </xf>
    <xf numFmtId="10" fontId="13" fillId="0" borderId="0" xfId="5" applyNumberFormat="1" applyFont="1" applyBorder="1" applyAlignment="1">
      <alignment horizontal="center" vertical="center"/>
    </xf>
    <xf numFmtId="0" fontId="12" fillId="0" borderId="0" xfId="0" applyFont="1"/>
    <xf numFmtId="0" fontId="13" fillId="0" borderId="0" xfId="0" applyFont="1"/>
    <xf numFmtId="164" fontId="12" fillId="0" borderId="0" xfId="1" applyFont="1"/>
    <xf numFmtId="0" fontId="14" fillId="0" borderId="0" xfId="0" applyFont="1" applyAlignment="1">
      <alignment horizontal="center" vertical="center"/>
    </xf>
    <xf numFmtId="16" fontId="12" fillId="3" borderId="1" xfId="0" applyNumberFormat="1" applyFont="1" applyFill="1" applyBorder="1" applyAlignment="1">
      <alignment horizontal="center" vertical="center"/>
    </xf>
    <xf numFmtId="4" fontId="13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4" fontId="12" fillId="0" borderId="0" xfId="0" applyNumberFormat="1" applyFont="1" applyAlignment="1">
      <alignment horizontal="center" vertical="center"/>
    </xf>
    <xf numFmtId="0" fontId="12" fillId="3" borderId="1" xfId="0" quotePrefix="1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3" fontId="12" fillId="4" borderId="1" xfId="0" applyNumberFormat="1" applyFont="1" applyFill="1" applyBorder="1" applyAlignment="1">
      <alignment horizontal="center" vertical="center"/>
    </xf>
    <xf numFmtId="10" fontId="12" fillId="4" borderId="1" xfId="5" applyNumberFormat="1" applyFont="1" applyFill="1" applyBorder="1" applyAlignment="1">
      <alignment horizontal="center" vertical="center"/>
    </xf>
    <xf numFmtId="3" fontId="13" fillId="4" borderId="1" xfId="0" applyNumberFormat="1" applyFont="1" applyFill="1" applyBorder="1" applyAlignment="1">
      <alignment horizontal="center" vertical="center"/>
    </xf>
    <xf numFmtId="10" fontId="13" fillId="4" borderId="1" xfId="5" applyNumberFormat="1" applyFont="1" applyFill="1" applyBorder="1" applyAlignment="1">
      <alignment horizontal="center" vertical="center"/>
    </xf>
    <xf numFmtId="164" fontId="13" fillId="3" borderId="4" xfId="1" applyFont="1" applyFill="1" applyBorder="1" applyAlignment="1">
      <alignment horizontal="center" vertical="center" wrapText="1"/>
    </xf>
    <xf numFmtId="165" fontId="13" fillId="3" borderId="4" xfId="0" applyNumberFormat="1" applyFont="1" applyFill="1" applyBorder="1" applyAlignment="1">
      <alignment horizontal="center" vertical="center" wrapText="1"/>
    </xf>
    <xf numFmtId="165" fontId="13" fillId="4" borderId="4" xfId="0" applyNumberFormat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horizontal="center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164" fontId="12" fillId="3" borderId="1" xfId="1" applyFont="1" applyFill="1" applyBorder="1" applyAlignment="1">
      <alignment horizontal="center" vertical="center"/>
    </xf>
    <xf numFmtId="164" fontId="12" fillId="3" borderId="1" xfId="1" applyFont="1" applyFill="1" applyBorder="1" applyAlignment="1">
      <alignment vertical="center"/>
    </xf>
    <xf numFmtId="164" fontId="12" fillId="4" borderId="1" xfId="1" applyFont="1" applyFill="1" applyBorder="1" applyAlignment="1">
      <alignment vertical="center"/>
    </xf>
    <xf numFmtId="3" fontId="14" fillId="0" borderId="0" xfId="0" applyNumberFormat="1" applyFont="1" applyAlignment="1">
      <alignment horizontal="center" vertical="center"/>
    </xf>
    <xf numFmtId="3" fontId="13" fillId="0" borderId="1" xfId="0" applyNumberFormat="1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164" fontId="12" fillId="3" borderId="5" xfId="1" applyFont="1" applyFill="1" applyBorder="1" applyAlignment="1">
      <alignment horizontal="center" vertical="center"/>
    </xf>
    <xf numFmtId="164" fontId="12" fillId="3" borderId="5" xfId="1" applyFont="1" applyFill="1" applyBorder="1" applyAlignment="1">
      <alignment vertical="center"/>
    </xf>
    <xf numFmtId="164" fontId="12" fillId="4" borderId="5" xfId="1" applyFont="1" applyFill="1" applyBorder="1" applyAlignment="1">
      <alignment vertical="center"/>
    </xf>
    <xf numFmtId="0" fontId="15" fillId="0" borderId="0" xfId="0" applyFont="1" applyAlignment="1">
      <alignment horizontal="center" vertical="center" wrapText="1"/>
    </xf>
    <xf numFmtId="164" fontId="15" fillId="0" borderId="0" xfId="1" applyFont="1" applyFill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164" fontId="13" fillId="3" borderId="1" xfId="1" applyFont="1" applyFill="1" applyBorder="1" applyAlignment="1">
      <alignment horizontal="center" vertical="center"/>
    </xf>
    <xf numFmtId="164" fontId="13" fillId="3" borderId="1" xfId="1" applyFont="1" applyFill="1" applyBorder="1" applyAlignment="1">
      <alignment vertical="center"/>
    </xf>
    <xf numFmtId="39" fontId="13" fillId="3" borderId="1" xfId="1" applyNumberFormat="1" applyFont="1" applyFill="1" applyBorder="1" applyAlignment="1">
      <alignment vertical="center"/>
    </xf>
    <xf numFmtId="39" fontId="13" fillId="4" borderId="1" xfId="1" applyNumberFormat="1" applyFont="1" applyFill="1" applyBorder="1" applyAlignment="1">
      <alignment vertical="center"/>
    </xf>
    <xf numFmtId="3" fontId="12" fillId="0" borderId="0" xfId="0" applyNumberFormat="1" applyFont="1" applyAlignment="1">
      <alignment vertical="center"/>
    </xf>
    <xf numFmtId="164" fontId="14" fillId="0" borderId="0" xfId="1" applyFont="1" applyFill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justify" vertical="center" wrapText="1"/>
    </xf>
    <xf numFmtId="4" fontId="12" fillId="0" borderId="0" xfId="1" applyNumberFormat="1" applyFont="1" applyBorder="1" applyAlignment="1">
      <alignment horizontal="center" vertical="center"/>
    </xf>
    <xf numFmtId="9" fontId="12" fillId="0" borderId="0" xfId="5" applyFont="1" applyBorder="1" applyAlignment="1">
      <alignment horizontal="center" vertical="center" wrapText="1"/>
    </xf>
    <xf numFmtId="9" fontId="12" fillId="0" borderId="0" xfId="0" applyNumberFormat="1" applyFont="1" applyAlignment="1">
      <alignment horizontal="center" vertical="center"/>
    </xf>
    <xf numFmtId="165" fontId="12" fillId="0" borderId="0" xfId="0" applyNumberFormat="1" applyFont="1" applyAlignment="1">
      <alignment horizontal="center" vertical="center"/>
    </xf>
    <xf numFmtId="39" fontId="12" fillId="0" borderId="0" xfId="1" applyNumberFormat="1" applyFont="1" applyBorder="1" applyAlignment="1">
      <alignment horizontal="center" vertical="center"/>
    </xf>
    <xf numFmtId="164" fontId="14" fillId="0" borderId="0" xfId="1" applyFont="1" applyBorder="1" applyAlignment="1">
      <alignment vertical="center" wrapText="1"/>
    </xf>
    <xf numFmtId="0" fontId="16" fillId="0" borderId="0" xfId="6" applyFont="1" applyBorder="1" applyAlignment="1">
      <alignment horizontal="left" vertical="center"/>
    </xf>
    <xf numFmtId="0" fontId="14" fillId="0" borderId="0" xfId="0" applyFont="1" applyAlignment="1">
      <alignment horizontal="center"/>
    </xf>
    <xf numFmtId="0" fontId="12" fillId="2" borderId="0" xfId="0" applyFont="1" applyFill="1" applyAlignment="1">
      <alignment vertical="center"/>
    </xf>
    <xf numFmtId="0" fontId="13" fillId="2" borderId="0" xfId="0" applyFont="1" applyFill="1" applyAlignment="1">
      <alignment vertical="center"/>
    </xf>
    <xf numFmtId="0" fontId="14" fillId="2" borderId="0" xfId="0" applyFont="1" applyFill="1" applyAlignment="1">
      <alignment vertical="center"/>
    </xf>
    <xf numFmtId="0" fontId="14" fillId="2" borderId="0" xfId="0" applyFont="1" applyFill="1" applyAlignment="1">
      <alignment horizontal="center" vertical="center"/>
    </xf>
    <xf numFmtId="0" fontId="14" fillId="0" borderId="0" xfId="0" applyFont="1"/>
    <xf numFmtId="0" fontId="13" fillId="0" borderId="0" xfId="0" applyFont="1" applyAlignment="1">
      <alignment vertical="center" wrapText="1"/>
    </xf>
    <xf numFmtId="165" fontId="15" fillId="3" borderId="1" xfId="0" applyNumberFormat="1" applyFont="1" applyFill="1" applyBorder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165" fontId="12" fillId="3" borderId="1" xfId="0" applyNumberFormat="1" applyFont="1" applyFill="1" applyBorder="1" applyAlignment="1">
      <alignment horizontal="center" vertical="center" wrapText="1"/>
    </xf>
    <xf numFmtId="165" fontId="12" fillId="4" borderId="1" xfId="0" applyNumberFormat="1" applyFont="1" applyFill="1" applyBorder="1" applyAlignment="1">
      <alignment horizontal="center" vertical="center" wrapText="1"/>
    </xf>
    <xf numFmtId="9" fontId="13" fillId="0" borderId="1" xfId="5" applyFont="1" applyFill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10" fontId="13" fillId="0" borderId="1" xfId="5" applyNumberFormat="1" applyFont="1" applyFill="1" applyBorder="1" applyAlignment="1">
      <alignment horizontal="center" vertical="center" wrapText="1"/>
    </xf>
    <xf numFmtId="10" fontId="12" fillId="0" borderId="0" xfId="5" applyNumberFormat="1" applyFont="1" applyAlignment="1">
      <alignment vertical="center"/>
    </xf>
    <xf numFmtId="0" fontId="12" fillId="0" borderId="1" xfId="0" applyFont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0" fontId="12" fillId="2" borderId="0" xfId="0" applyFont="1" applyFill="1" applyAlignment="1">
      <alignment horizontal="center" vertical="center" wrapText="1"/>
    </xf>
    <xf numFmtId="0" fontId="17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1" fillId="2" borderId="1" xfId="0" applyFont="1" applyFill="1" applyBorder="1" applyAlignment="1">
      <alignment horizontal="center" vertical="center" wrapText="1"/>
    </xf>
    <xf numFmtId="165" fontId="3" fillId="2" borderId="1" xfId="0" applyNumberFormat="1" applyFont="1" applyFill="1" applyBorder="1" applyAlignment="1">
      <alignment horizontal="center" vertical="center" wrapText="1"/>
    </xf>
    <xf numFmtId="164" fontId="3" fillId="2" borderId="1" xfId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vertical="center"/>
    </xf>
    <xf numFmtId="166" fontId="9" fillId="0" borderId="1" xfId="3" applyNumberFormat="1" applyFont="1" applyFill="1" applyBorder="1" applyAlignment="1">
      <alignment horizontal="center" vertical="center"/>
    </xf>
    <xf numFmtId="166" fontId="9" fillId="0" borderId="1" xfId="3" applyNumberFormat="1" applyFont="1" applyFill="1" applyBorder="1" applyAlignment="1">
      <alignment horizontal="right" vertical="center"/>
    </xf>
    <xf numFmtId="166" fontId="9" fillId="0" borderId="1" xfId="3" applyNumberFormat="1" applyFont="1" applyFill="1" applyBorder="1" applyAlignment="1">
      <alignment vertical="center"/>
    </xf>
    <xf numFmtId="166" fontId="10" fillId="0" borderId="1" xfId="3" applyNumberFormat="1" applyFont="1" applyBorder="1" applyAlignment="1">
      <alignment vertical="center"/>
    </xf>
    <xf numFmtId="2" fontId="10" fillId="0" borderId="1" xfId="0" applyNumberFormat="1" applyFont="1" applyBorder="1" applyAlignment="1">
      <alignment horizontal="center" vertical="center"/>
    </xf>
    <xf numFmtId="2" fontId="12" fillId="0" borderId="0" xfId="0" applyNumberFormat="1" applyFont="1"/>
    <xf numFmtId="4" fontId="13" fillId="2" borderId="1" xfId="1" applyNumberFormat="1" applyFont="1" applyFill="1" applyBorder="1" applyAlignment="1">
      <alignment horizontal="center" vertical="center"/>
    </xf>
    <xf numFmtId="9" fontId="13" fillId="0" borderId="0" xfId="5" applyFont="1" applyFill="1" applyBorder="1" applyAlignment="1">
      <alignment horizontal="center" vertical="center" wrapText="1"/>
    </xf>
    <xf numFmtId="10" fontId="13" fillId="0" borderId="0" xfId="5" applyNumberFormat="1" applyFont="1" applyFill="1" applyBorder="1" applyAlignment="1">
      <alignment horizontal="center" vertical="center" wrapText="1"/>
    </xf>
    <xf numFmtId="10" fontId="12" fillId="0" borderId="0" xfId="5" applyNumberFormat="1" applyFont="1"/>
    <xf numFmtId="0" fontId="5" fillId="0" borderId="0" xfId="0" applyFont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5" fillId="3" borderId="1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/>
    </xf>
    <xf numFmtId="0" fontId="13" fillId="3" borderId="2" xfId="0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/>
    </xf>
    <xf numFmtId="0" fontId="13" fillId="3" borderId="6" xfId="0" applyFont="1" applyFill="1" applyBorder="1" applyAlignment="1">
      <alignment horizontal="center" vertical="center"/>
    </xf>
    <xf numFmtId="0" fontId="13" fillId="4" borderId="2" xfId="0" applyFont="1" applyFill="1" applyBorder="1" applyAlignment="1">
      <alignment horizontal="center" vertical="center" wrapText="1"/>
    </xf>
    <xf numFmtId="0" fontId="13" fillId="4" borderId="3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8" fontId="12" fillId="0" borderId="1" xfId="4" applyNumberFormat="1" applyFont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</cellXfs>
  <cellStyles count="7">
    <cellStyle name="Hipervínculo" xfId="6" builtinId="8"/>
    <cellStyle name="Millares" xfId="1" builtinId="3"/>
    <cellStyle name="Millares [0]" xfId="2" builtinId="6"/>
    <cellStyle name="Moneda" xfId="3" builtinId="4"/>
    <cellStyle name="Moneda [0]" xfId="4" builtinId="7"/>
    <cellStyle name="Normal" xfId="0" builtinId="0"/>
    <cellStyle name="Porcentaje" xfId="5" builtinId="5"/>
  </cellStyles>
  <dxfs count="6">
    <dxf>
      <fill>
        <patternFill>
          <bgColor rgb="FFFFCCC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CCFFFF"/>
      <color rgb="FFCCFFCC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Work Sans" panose="00000500000000000000" pitchFamily="2" charset="0"/>
                <a:ea typeface="+mn-ea"/>
                <a:cs typeface="Arial" panose="020B0604020202020204" pitchFamily="34" charset="0"/>
              </a:defRPr>
            </a:pPr>
            <a:r>
              <a:rPr lang="es-ES"/>
              <a:t>Índice de liquidez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Work Sans" panose="00000500000000000000" pitchFamily="2" charset="0"/>
              <a:ea typeface="+mn-ea"/>
              <a:cs typeface="Arial" panose="020B0604020202020204" pitchFamily="34" charset="0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5D99D69D-51D3-4FDB-9432-5209DCC5F5E8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DD0F30CC-562B-43AC-8157-406BA51165D5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0-29ED-45F8-9A4D-264FEC8FB8C0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8736E0D6-6517-4C5D-A3AD-797C56C2726A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E0AE1367-50A3-49E8-8FB3-05140F9CAF30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0-4A48-4C86-94A3-927C5B5E46D9}"/>
                </c:ext>
              </c:extLst>
            </c:dLbl>
            <c:dLbl>
              <c:idx val="2"/>
              <c:layout>
                <c:manualLayout>
                  <c:x val="0"/>
                  <c:y val="2.1636236095630462E-2"/>
                </c:manualLayout>
              </c:layout>
              <c:tx>
                <c:rich>
                  <a:bodyPr/>
                  <a:lstStyle/>
                  <a:p>
                    <a:fld id="{94FE94A1-44D4-4356-82D0-E726756723A3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458DD819-C406-41D0-80C3-5298AA8C4F5B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2-4A48-4C86-94A3-927C5B5E46D9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16D9AC9A-0F87-4337-80B2-94A8F4156C90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C139F4DD-2DFB-49CE-8AF6-CAD395BAF519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4A48-4C86-94A3-927C5B5E46D9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008AF4BC-BC93-438C-9FC9-55B43B0BC1B5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770B51D4-5117-4D40-995C-272C4872E2B6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4A48-4C86-94A3-927C5B5E46D9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3076EADD-F8B1-4659-ACDF-3D76977D1811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05B1292B-1EB2-413C-A2A3-7B56290C4563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5-4A48-4C86-94A3-927C5B5E46D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Work Sans" panose="00000500000000000000" pitchFamily="2" charset="0"/>
                    <a:ea typeface="+mn-ea"/>
                    <a:cs typeface="Arial" panose="020B0604020202020204" pitchFamily="34" charset="0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AIRES!$C$75:$C$81</c15:sqref>
                  </c15:fullRef>
                </c:ext>
              </c:extLst>
              <c:f>AIRES!$C$76:$C$81</c:f>
              <c:strCache>
                <c:ptCount val="6"/>
                <c:pt idx="0">
                  <c:v>0 - 0.5</c:v>
                </c:pt>
                <c:pt idx="1">
                  <c:v>0.5 - 1</c:v>
                </c:pt>
                <c:pt idx="2">
                  <c:v>1 - 1.5</c:v>
                </c:pt>
                <c:pt idx="3">
                  <c:v>1.5 - 2</c:v>
                </c:pt>
                <c:pt idx="4">
                  <c:v>2 - 2.5</c:v>
                </c:pt>
                <c:pt idx="5">
                  <c:v>&gt; 2.5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AIRES!$D$75:$D$81</c15:sqref>
                  </c15:fullRef>
                </c:ext>
              </c:extLst>
              <c:f>AIRES!$D$76:$D$81</c:f>
              <c:numCache>
                <c:formatCode>#,##0</c:formatCode>
                <c:ptCount val="6"/>
                <c:pt idx="0">
                  <c:v>1</c:v>
                </c:pt>
                <c:pt idx="1">
                  <c:v>2</c:v>
                </c:pt>
                <c:pt idx="2">
                  <c:v>9</c:v>
                </c:pt>
                <c:pt idx="3">
                  <c:v>8</c:v>
                </c:pt>
                <c:pt idx="4">
                  <c:v>7</c:v>
                </c:pt>
                <c:pt idx="5">
                  <c:v>15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AIRES!$E$75:$E$81</c15:f>
                <c15:dlblRangeCache>
                  <c:ptCount val="7"/>
                  <c:pt idx="1">
                    <c:v>2,38%</c:v>
                  </c:pt>
                  <c:pt idx="2">
                    <c:v>4,76%</c:v>
                  </c:pt>
                  <c:pt idx="3">
                    <c:v>21,43%</c:v>
                  </c:pt>
                  <c:pt idx="4">
                    <c:v>19,05%</c:v>
                  </c:pt>
                  <c:pt idx="5">
                    <c:v>16,67%</c:v>
                  </c:pt>
                  <c:pt idx="6">
                    <c:v>35,71%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8-4A48-4C86-94A3-927C5B5E46D9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796290816"/>
        <c:axId val="796279936"/>
        <c:extLst/>
      </c:barChart>
      <c:catAx>
        <c:axId val="7962908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720000" spcFirstLastPara="1" vertOverflow="ellipsis" wrap="square" anchor="ctr" anchorCtr="1"/>
          <a:lstStyle/>
          <a:p>
            <a:pPr>
              <a:defRPr sz="900" b="1" i="0" u="none" strike="noStrike" kern="1200" baseline="0">
                <a:solidFill>
                  <a:schemeClr val="tx2"/>
                </a:solidFill>
                <a:latin typeface="Work Sans" panose="00000500000000000000" pitchFamily="2" charset="0"/>
                <a:ea typeface="+mn-ea"/>
                <a:cs typeface="Arial" panose="020B0604020202020204" pitchFamily="34" charset="0"/>
              </a:defRPr>
            </a:pPr>
            <a:endParaRPr lang="es-CO"/>
          </a:p>
        </c:txPr>
        <c:crossAx val="796279936"/>
        <c:crosses val="autoZero"/>
        <c:auto val="1"/>
        <c:lblAlgn val="ctr"/>
        <c:lblOffset val="100"/>
        <c:noMultiLvlLbl val="0"/>
      </c:catAx>
      <c:valAx>
        <c:axId val="796279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9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Work Sans" panose="00000500000000000000" pitchFamily="2" charset="0"/>
                    <a:ea typeface="+mn-ea"/>
                    <a:cs typeface="Arial" panose="020B0604020202020204" pitchFamily="34" charset="0"/>
                  </a:defRPr>
                </a:pPr>
                <a:r>
                  <a:rPr lang="es-ES"/>
                  <a:t>Nº EMPRESAS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Work Sans" panose="00000500000000000000" pitchFamily="2" charset="0"/>
                  <a:ea typeface="+mn-ea"/>
                  <a:cs typeface="Arial" panose="020B0604020202020204" pitchFamily="34" charset="0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2"/>
                </a:solidFill>
                <a:latin typeface="Work Sans" panose="00000500000000000000" pitchFamily="2" charset="0"/>
                <a:ea typeface="+mn-ea"/>
                <a:cs typeface="Arial" panose="020B0604020202020204" pitchFamily="34" charset="0"/>
              </a:defRPr>
            </a:pPr>
            <a:endParaRPr lang="es-CO"/>
          </a:p>
        </c:txPr>
        <c:crossAx val="7962908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 b="1">
          <a:latin typeface="Work Sans" panose="00000500000000000000" pitchFamily="2" charset="0"/>
          <a:cs typeface="Arial" panose="020B0604020202020204" pitchFamily="34" charset="0"/>
        </a:defRPr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Work Sans" panose="00000500000000000000" pitchFamily="2" charset="0"/>
                <a:ea typeface="+mn-ea"/>
                <a:cs typeface="Arial" panose="020B0604020202020204" pitchFamily="34" charset="0"/>
              </a:defRPr>
            </a:pPr>
            <a:r>
              <a:rPr lang="es-ES"/>
              <a:t>Capital de trabajo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Work Sans" panose="00000500000000000000" pitchFamily="2" charset="0"/>
              <a:ea typeface="+mn-ea"/>
              <a:cs typeface="Arial" panose="020B0604020202020204" pitchFamily="34" charset="0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1E87DB97-A151-4D4D-9F28-2B5688517ABC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26B397A1-D847-4ADE-96B4-47551FB84B55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0-E209-413E-8DC2-AB90EB48E225}"/>
                </c:ext>
              </c:extLst>
            </c:dLbl>
            <c:dLbl>
              <c:idx val="1"/>
              <c:layout>
                <c:manualLayout>
                  <c:x val="-6.633422540949358E-17"/>
                  <c:y val="4.5394199346405199E-2"/>
                </c:manualLayout>
              </c:layout>
              <c:tx>
                <c:rich>
                  <a:bodyPr/>
                  <a:lstStyle/>
                  <a:p>
                    <a:fld id="{86328F72-0DDB-43B3-B3B0-D7F7EDA33958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B0E0FD9A-F75B-4F15-BE70-0317DF2470CF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E209-413E-8DC2-AB90EB48E225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E922B7A5-229E-4215-93D2-DB70F8338B3C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A520D371-15B0-4F63-92BE-FE8C5F53C843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2-E209-413E-8DC2-AB90EB48E225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551DEB20-1D5F-49E2-B946-2E00EFE2E178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C678B3E4-BB89-4140-8AE6-283E46F29C77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E209-413E-8DC2-AB90EB48E225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B8F02B40-91D7-4D0F-8313-F7AAB9F1D9E2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4619E4BB-3908-4A13-B8CC-809DBBC12D39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E209-413E-8DC2-AB90EB48E225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554A52E5-8D25-472C-A37F-6B07EF3F4E34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F6B858F3-6796-48AE-BA2A-0C3B3949DEBA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5-E209-413E-8DC2-AB90EB48E225}"/>
                </c:ext>
              </c:extLst>
            </c:dLbl>
            <c:numFmt formatCode="General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Work Sans" panose="00000500000000000000" pitchFamily="2" charset="0"/>
                    <a:ea typeface="+mn-ea"/>
                    <a:cs typeface="Arial" panose="020B0604020202020204" pitchFamily="34" charset="0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AIRES!$C$61:$C$67</c15:sqref>
                  </c15:fullRef>
                </c:ext>
              </c:extLst>
              <c:f>AIRES!$C$62:$C$67</c:f>
              <c:strCache>
                <c:ptCount val="6"/>
                <c:pt idx="0">
                  <c:v>&lt; 0M</c:v>
                </c:pt>
                <c:pt idx="1">
                  <c:v>0M - $1000M</c:v>
                </c:pt>
                <c:pt idx="2">
                  <c:v>$1000M - $2000M</c:v>
                </c:pt>
                <c:pt idx="3">
                  <c:v>$2000M- $3000M</c:v>
                </c:pt>
                <c:pt idx="4">
                  <c:v>$3000M - $4000M</c:v>
                </c:pt>
                <c:pt idx="5">
                  <c:v>&gt; $4000M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AIRES!$D$61:$D$67</c15:sqref>
                  </c15:fullRef>
                </c:ext>
              </c:extLst>
              <c:f>AIRES!$D$62:$D$67</c:f>
              <c:numCache>
                <c:formatCode>#,##0</c:formatCode>
                <c:ptCount val="6"/>
                <c:pt idx="0">
                  <c:v>3</c:v>
                </c:pt>
                <c:pt idx="1">
                  <c:v>8</c:v>
                </c:pt>
                <c:pt idx="2">
                  <c:v>9</c:v>
                </c:pt>
                <c:pt idx="3">
                  <c:v>7</c:v>
                </c:pt>
                <c:pt idx="4">
                  <c:v>4</c:v>
                </c:pt>
                <c:pt idx="5">
                  <c:v>11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AIRES!$E$61:$E$67</c15:f>
                <c15:dlblRangeCache>
                  <c:ptCount val="7"/>
                  <c:pt idx="1">
                    <c:v>7,14%</c:v>
                  </c:pt>
                  <c:pt idx="2">
                    <c:v>19,05%</c:v>
                  </c:pt>
                  <c:pt idx="3">
                    <c:v>21,43%</c:v>
                  </c:pt>
                  <c:pt idx="4">
                    <c:v>16,67%</c:v>
                  </c:pt>
                  <c:pt idx="5">
                    <c:v>9,52%</c:v>
                  </c:pt>
                  <c:pt idx="6">
                    <c:v>26,19%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3-D09B-4D92-BB63-AA2AB7AF16EC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796291360"/>
        <c:axId val="796283744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spPr>
                  <a:gradFill rotWithShape="1">
                    <a:gsLst>
                      <a:gs pos="0">
                        <a:schemeClr val="accent2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2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2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tx2"/>
                          </a:solidFill>
                          <a:latin typeface="Work Sans" panose="00000500000000000000" pitchFamily="2" charset="0"/>
                          <a:ea typeface="+mn-ea"/>
                          <a:cs typeface="Arial" panose="020B0604020202020204" pitchFamily="34" charset="0"/>
                        </a:defRPr>
                      </a:pPr>
                      <a:endParaRPr lang="es-CO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tx2">
                                <a:lumMod val="35000"/>
                                <a:lumOff val="65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AIRES!$C$61:$C$67</c15:sqref>
                        </c15:fullRef>
                        <c15:formulaRef>
                          <c15:sqref>AIRES!$C$62:$C$67</c15:sqref>
                        </c15:formulaRef>
                      </c:ext>
                    </c:extLst>
                    <c:strCache>
                      <c:ptCount val="6"/>
                      <c:pt idx="0">
                        <c:v>&lt; 0M</c:v>
                      </c:pt>
                      <c:pt idx="1">
                        <c:v>0M - $1000M</c:v>
                      </c:pt>
                      <c:pt idx="2">
                        <c:v>$1000M - $2000M</c:v>
                      </c:pt>
                      <c:pt idx="3">
                        <c:v>$2000M- $3000M</c:v>
                      </c:pt>
                      <c:pt idx="4">
                        <c:v>$3000M - $4000M</c:v>
                      </c:pt>
                      <c:pt idx="5">
                        <c:v>&gt; $4000M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AIRES!$E$61:$E$67</c15:sqref>
                        </c15:fullRef>
                        <c15:formulaRef>
                          <c15:sqref>AIRES!$E$62:$E$67</c15:sqref>
                        </c15:formulaRef>
                      </c:ext>
                    </c:extLst>
                    <c:numCache>
                      <c:formatCode>0.00%</c:formatCode>
                      <c:ptCount val="6"/>
                      <c:pt idx="0">
                        <c:v>7.1428571428571425E-2</c:v>
                      </c:pt>
                      <c:pt idx="1">
                        <c:v>0.19047619047619047</c:v>
                      </c:pt>
                      <c:pt idx="2">
                        <c:v>0.21428571428571427</c:v>
                      </c:pt>
                      <c:pt idx="3">
                        <c:v>0.16666666666666666</c:v>
                      </c:pt>
                      <c:pt idx="4">
                        <c:v>9.5238095238095233E-2</c:v>
                      </c:pt>
                      <c:pt idx="5">
                        <c:v>0.26190476190476192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4-D09B-4D92-BB63-AA2AB7AF16EC}"/>
                  </c:ext>
                </c:extLst>
              </c15:ser>
            </c15:filteredBarSeries>
          </c:ext>
        </c:extLst>
      </c:barChart>
      <c:catAx>
        <c:axId val="7962913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2"/>
                </a:solidFill>
                <a:latin typeface="Work Sans" panose="00000500000000000000" pitchFamily="2" charset="0"/>
                <a:ea typeface="+mn-ea"/>
                <a:cs typeface="Arial" panose="020B0604020202020204" pitchFamily="34" charset="0"/>
              </a:defRPr>
            </a:pPr>
            <a:endParaRPr lang="es-CO"/>
          </a:p>
        </c:txPr>
        <c:crossAx val="796283744"/>
        <c:crosses val="autoZero"/>
        <c:auto val="1"/>
        <c:lblAlgn val="ctr"/>
        <c:lblOffset val="100"/>
        <c:noMultiLvlLbl val="0"/>
      </c:catAx>
      <c:valAx>
        <c:axId val="7962837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9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Work Sans" panose="00000500000000000000" pitchFamily="2" charset="0"/>
                    <a:ea typeface="+mn-ea"/>
                    <a:cs typeface="Arial" panose="020B0604020202020204" pitchFamily="34" charset="0"/>
                  </a:defRPr>
                </a:pPr>
                <a:r>
                  <a:rPr lang="es-ES"/>
                  <a:t>Nº EMPRESAS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Work Sans" panose="00000500000000000000" pitchFamily="2" charset="0"/>
                  <a:ea typeface="+mn-ea"/>
                  <a:cs typeface="Arial" panose="020B0604020202020204" pitchFamily="34" charset="0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2"/>
                </a:solidFill>
                <a:latin typeface="Work Sans" panose="00000500000000000000" pitchFamily="2" charset="0"/>
                <a:ea typeface="+mn-ea"/>
                <a:cs typeface="Arial" panose="020B0604020202020204" pitchFamily="34" charset="0"/>
              </a:defRPr>
            </a:pPr>
            <a:endParaRPr lang="es-CO"/>
          </a:p>
        </c:txPr>
        <c:crossAx val="7962913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 b="1">
          <a:latin typeface="Work Sans" panose="00000500000000000000" pitchFamily="2" charset="0"/>
          <a:cs typeface="Arial" panose="020B0604020202020204" pitchFamily="34" charset="0"/>
        </a:defRPr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Work Sans" panose="00000500000000000000" pitchFamily="2" charset="0"/>
                <a:ea typeface="+mn-ea"/>
                <a:cs typeface="Arial" panose="020B0604020202020204" pitchFamily="34" charset="0"/>
              </a:defRPr>
            </a:pPr>
            <a:r>
              <a:rPr lang="es-ES"/>
              <a:t>Índice de endeudamiento</a:t>
            </a:r>
          </a:p>
        </c:rich>
      </c:tx>
      <c:layout>
        <c:manualLayout>
          <c:xMode val="edge"/>
          <c:yMode val="edge"/>
          <c:x val="0.31278985507246376"/>
          <c:y val="1.303993145308473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Work Sans" panose="00000500000000000000" pitchFamily="2" charset="0"/>
              <a:ea typeface="+mn-ea"/>
              <a:cs typeface="Arial" panose="020B0604020202020204" pitchFamily="34" charset="0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C85EA4B0-2F8E-4DCB-B312-06EE3202F66E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4798EC2E-252E-4D22-B8C6-73962FC37749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0-EA49-421D-BC8F-A1590F559A83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FBD0FFDA-AEAC-413D-A101-E46DA708306F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20983FD2-2AF7-4404-8755-36A61475E91F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EA49-421D-BC8F-A1590F559A83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36323076-9387-445F-9D5F-5640D736889A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88A330FE-DDCE-4346-8900-AA2A2BDB54B2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2-EA49-421D-BC8F-A1590F559A83}"/>
                </c:ext>
              </c:extLst>
            </c:dLbl>
            <c:dLbl>
              <c:idx val="3"/>
              <c:layout>
                <c:manualLayout>
                  <c:x val="0"/>
                  <c:y val="1.9559897179627108E-2"/>
                </c:manualLayout>
              </c:layout>
              <c:tx>
                <c:rich>
                  <a:bodyPr/>
                  <a:lstStyle/>
                  <a:p>
                    <a:fld id="{BFCE18E5-07F3-4C4F-A06E-77E700A23909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3F2C3165-6C10-4E2D-89FA-C961A6CBC4D0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EA49-421D-BC8F-A1590F559A83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AA8C8FB2-C7F1-4A49-B616-CA9E355C7B9F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FF25A446-340B-427D-8F95-8837F212CC9D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EA49-421D-BC8F-A1590F559A83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B2FF320A-8F08-43B5-B08C-40AA012F6321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EECD1230-F923-4DC9-A335-56C457151663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5-EA49-421D-BC8F-A1590F559A83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384E1FD7-D5F1-4D0E-A9E1-BF15A5C28B47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686E3A49-1745-4108-B520-E1B47EBAB143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6-EA49-421D-BC8F-A1590F559A8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Work Sans" panose="00000500000000000000" pitchFamily="2" charset="0"/>
                    <a:ea typeface="+mn-ea"/>
                    <a:cs typeface="Arial" panose="020B0604020202020204" pitchFamily="34" charset="0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AIRES!$C$89:$C$96</c15:sqref>
                  </c15:fullRef>
                </c:ext>
              </c:extLst>
              <c:f>AIRES!$C$90:$C$96</c:f>
              <c:strCache>
                <c:ptCount val="7"/>
                <c:pt idx="0">
                  <c:v>0 - 15%</c:v>
                </c:pt>
                <c:pt idx="1">
                  <c:v>15,1% - 30%</c:v>
                </c:pt>
                <c:pt idx="2">
                  <c:v>30,1% - 45%</c:v>
                </c:pt>
                <c:pt idx="3">
                  <c:v>45,1% - 60%</c:v>
                </c:pt>
                <c:pt idx="4">
                  <c:v>60,1% - 75%</c:v>
                </c:pt>
                <c:pt idx="5">
                  <c:v>75,1% - 90%</c:v>
                </c:pt>
                <c:pt idx="6">
                  <c:v>&gt; 90%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AIRES!$D$89:$D$96</c15:sqref>
                  </c15:fullRef>
                </c:ext>
              </c:extLst>
              <c:f>AIRES!$D$90:$D$96</c:f>
              <c:numCache>
                <c:formatCode>#,##0</c:formatCode>
                <c:ptCount val="7"/>
                <c:pt idx="0">
                  <c:v>0</c:v>
                </c:pt>
                <c:pt idx="1">
                  <c:v>2</c:v>
                </c:pt>
                <c:pt idx="2">
                  <c:v>11</c:v>
                </c:pt>
                <c:pt idx="3">
                  <c:v>15</c:v>
                </c:pt>
                <c:pt idx="4">
                  <c:v>6</c:v>
                </c:pt>
                <c:pt idx="5">
                  <c:v>7</c:v>
                </c:pt>
                <c:pt idx="6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AIRES!$E$89:$E$96</c15:f>
                <c15:dlblRangeCache>
                  <c:ptCount val="8"/>
                  <c:pt idx="1">
                    <c:v>0,00%</c:v>
                  </c:pt>
                  <c:pt idx="2">
                    <c:v>4,76%</c:v>
                  </c:pt>
                  <c:pt idx="3">
                    <c:v>26,19%</c:v>
                  </c:pt>
                  <c:pt idx="4">
                    <c:v>35,71%</c:v>
                  </c:pt>
                  <c:pt idx="5">
                    <c:v>14,29%</c:v>
                  </c:pt>
                  <c:pt idx="6">
                    <c:v>16,67%</c:v>
                  </c:pt>
                  <c:pt idx="7">
                    <c:v>2,38%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7-EA49-421D-BC8F-A1590F559A8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796292448"/>
        <c:axId val="796283200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spPr>
                  <a:gradFill rotWithShape="1">
                    <a:gsLst>
                      <a:gs pos="0">
                        <a:schemeClr val="accent2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2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2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tx2"/>
                          </a:solidFill>
                          <a:latin typeface="Work Sans" panose="00000500000000000000" pitchFamily="2" charset="0"/>
                          <a:ea typeface="+mn-ea"/>
                          <a:cs typeface="Arial" panose="020B0604020202020204" pitchFamily="34" charset="0"/>
                        </a:defRPr>
                      </a:pPr>
                      <a:endParaRPr lang="es-CO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tx2">
                                <a:lumMod val="35000"/>
                                <a:lumOff val="65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AIRES!$C$89:$C$96</c15:sqref>
                        </c15:fullRef>
                        <c15:formulaRef>
                          <c15:sqref>AIRES!$C$90:$C$96</c15:sqref>
                        </c15:formulaRef>
                      </c:ext>
                    </c:extLst>
                    <c:strCache>
                      <c:ptCount val="7"/>
                      <c:pt idx="0">
                        <c:v>0 - 15%</c:v>
                      </c:pt>
                      <c:pt idx="1">
                        <c:v>15,1% - 30%</c:v>
                      </c:pt>
                      <c:pt idx="2">
                        <c:v>30,1% - 45%</c:v>
                      </c:pt>
                      <c:pt idx="3">
                        <c:v>45,1% - 60%</c:v>
                      </c:pt>
                      <c:pt idx="4">
                        <c:v>60,1% - 75%</c:v>
                      </c:pt>
                      <c:pt idx="5">
                        <c:v>75,1% - 90%</c:v>
                      </c:pt>
                      <c:pt idx="6">
                        <c:v>&gt; 90%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AIRES!$E$89:$E$96</c15:sqref>
                        </c15:fullRef>
                        <c15:formulaRef>
                          <c15:sqref>AIRES!$E$90:$E$96</c15:sqref>
                        </c15:formulaRef>
                      </c:ext>
                    </c:extLst>
                    <c:numCache>
                      <c:formatCode>0.00%</c:formatCode>
                      <c:ptCount val="7"/>
                      <c:pt idx="0">
                        <c:v>0</c:v>
                      </c:pt>
                      <c:pt idx="1">
                        <c:v>4.7619047619047616E-2</c:v>
                      </c:pt>
                      <c:pt idx="2">
                        <c:v>0.26190476190476192</c:v>
                      </c:pt>
                      <c:pt idx="3">
                        <c:v>0.35714285714285715</c:v>
                      </c:pt>
                      <c:pt idx="4">
                        <c:v>0.14285714285714285</c:v>
                      </c:pt>
                      <c:pt idx="5">
                        <c:v>0.16666666666666666</c:v>
                      </c:pt>
                      <c:pt idx="6">
                        <c:v>2.3809523809523808E-2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8-EA49-421D-BC8F-A1590F559A83}"/>
                  </c:ext>
                </c:extLst>
              </c15:ser>
            </c15:filteredBarSeries>
          </c:ext>
        </c:extLst>
      </c:barChart>
      <c:catAx>
        <c:axId val="7962924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720000" spcFirstLastPara="1" vertOverflow="ellipsis" wrap="square" anchor="ctr" anchorCtr="1"/>
          <a:lstStyle/>
          <a:p>
            <a:pPr>
              <a:defRPr sz="900" b="1" i="0" u="none" strike="noStrike" kern="1200" baseline="0">
                <a:solidFill>
                  <a:schemeClr val="tx2"/>
                </a:solidFill>
                <a:latin typeface="Work Sans" panose="00000500000000000000" pitchFamily="2" charset="0"/>
                <a:ea typeface="+mn-ea"/>
                <a:cs typeface="Arial" panose="020B0604020202020204" pitchFamily="34" charset="0"/>
              </a:defRPr>
            </a:pPr>
            <a:endParaRPr lang="es-CO"/>
          </a:p>
        </c:txPr>
        <c:crossAx val="796283200"/>
        <c:crosses val="autoZero"/>
        <c:auto val="1"/>
        <c:lblAlgn val="ctr"/>
        <c:lblOffset val="100"/>
        <c:noMultiLvlLbl val="0"/>
      </c:catAx>
      <c:valAx>
        <c:axId val="796283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9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Work Sans" panose="00000500000000000000" pitchFamily="2" charset="0"/>
                    <a:ea typeface="+mn-ea"/>
                    <a:cs typeface="Arial" panose="020B0604020202020204" pitchFamily="34" charset="0"/>
                  </a:defRPr>
                </a:pPr>
                <a:r>
                  <a:rPr lang="es-ES"/>
                  <a:t>Nº EMPRESAS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Work Sans" panose="00000500000000000000" pitchFamily="2" charset="0"/>
                  <a:ea typeface="+mn-ea"/>
                  <a:cs typeface="Arial" panose="020B0604020202020204" pitchFamily="34" charset="0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2"/>
                </a:solidFill>
                <a:latin typeface="Work Sans" panose="00000500000000000000" pitchFamily="2" charset="0"/>
                <a:ea typeface="+mn-ea"/>
                <a:cs typeface="Arial" panose="020B0604020202020204" pitchFamily="34" charset="0"/>
              </a:defRPr>
            </a:pPr>
            <a:endParaRPr lang="es-CO"/>
          </a:p>
        </c:txPr>
        <c:crossAx val="7962924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 b="1">
          <a:latin typeface="Work Sans" panose="00000500000000000000" pitchFamily="2" charset="0"/>
          <a:cs typeface="Arial" panose="020B0604020202020204" pitchFamily="34" charset="0"/>
        </a:defRPr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Work Sans" panose="00000500000000000000" pitchFamily="2" charset="0"/>
                <a:ea typeface="+mn-ea"/>
                <a:cs typeface="Arial" panose="020B0604020202020204" pitchFamily="34" charset="0"/>
              </a:defRPr>
            </a:pPr>
            <a:r>
              <a:rPr lang="es-ES"/>
              <a:t>Cobertura de Intereses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Work Sans" panose="00000500000000000000" pitchFamily="2" charset="0"/>
              <a:ea typeface="+mn-ea"/>
              <a:cs typeface="Arial" panose="020B0604020202020204" pitchFamily="34" charset="0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45E3DD86-79D9-4E83-AFB9-AC5E53832B59}" type="CELLRANGE">
                      <a:rPr lang="en-US"/>
                      <a:pPr/>
                      <a:t>[CELLRANGE]</a:t>
                    </a:fld>
                    <a:r>
                      <a:rPr lang="en-US" baseline="0"/>
                      <a:t>
</a:t>
                    </a:r>
                    <a:fld id="{D8E07647-64B4-4F96-B184-BDE056B88BC7}" type="VALUE">
                      <a:rPr lang="en-US" baseline="0"/>
                      <a:pPr/>
                      <a:t>[VALOR]</a:t>
                    </a:fld>
                    <a:endParaRPr lang="en-US" baseline="0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0-6BAC-467D-8C72-7CBD555E125F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DCE8ED77-2D8F-4A77-B3BB-AED9F9B3F089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79817B43-01E7-4896-BC6F-8EEF70C10CD2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0-C6A0-4D83-BA24-1E9F6664AD93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E13B6E8A-B1E1-4E99-9F0D-B3110DEC18C4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C5DBA372-055E-4FD7-810D-483A7B35AB16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C6A0-4D83-BA24-1E9F6664AD93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B47A8E6D-B655-4679-B68D-B69EBFFDD770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71A8100C-526D-451F-9227-689EF3924F77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2-C6A0-4D83-BA24-1E9F6664AD93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863AED6A-301A-4A15-A86F-D39A8488E09A}" type="CELLRANGE">
                      <a:rPr lang="es-CO"/>
                      <a:pPr/>
                      <a:t>[CELLRANGE]</a:t>
                    </a:fld>
                    <a:r>
                      <a:rPr lang="es-CO" baseline="0"/>
                      <a:t>
</a:t>
                    </a:r>
                    <a:fld id="{79631F61-1E4F-4F4A-8788-57F0C87EEA73}" type="VALUE">
                      <a:rPr lang="es-CO" baseline="0"/>
                      <a:pPr/>
                      <a:t>[VALOR]</a:t>
                    </a:fld>
                    <a:endParaRPr lang="es-CO" baseline="0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1-6BAC-467D-8C72-7CBD555E125F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8E3DCD8B-EE1D-4361-A07C-0B0FCA6B1634}" type="CELLRANGE">
                      <a:rPr lang="es-CO"/>
                      <a:pPr/>
                      <a:t>[CELLRANGE]</a:t>
                    </a:fld>
                    <a:r>
                      <a:rPr lang="es-CO" baseline="0"/>
                      <a:t>
</a:t>
                    </a:r>
                    <a:fld id="{9ED970B9-4E37-499D-9CEE-4E4F6057F1AE}" type="VALUE">
                      <a:rPr lang="es-CO" baseline="0"/>
                      <a:pPr/>
                      <a:t>[VALOR]</a:t>
                    </a:fld>
                    <a:endParaRPr lang="es-CO" baseline="0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2-6BAC-467D-8C72-7CBD555E125F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72CFA9E1-7FCE-4ECC-A627-770C465B8FA2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CD8380EB-640C-4EA2-91D3-BC1FB79CB651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5-C6A0-4D83-BA24-1E9F6664AD93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1FD0E882-7723-4CFF-9903-F3A1766F7330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9963F5C5-5B9A-465A-B496-10A0F05EE253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6-C6A0-4D83-BA24-1E9F6664AD9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Work Sans" panose="00000500000000000000" pitchFamily="2" charset="0"/>
                    <a:ea typeface="+mn-ea"/>
                    <a:cs typeface="Arial" panose="020B0604020202020204" pitchFamily="34" charset="0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AIRES!$C$104:$C$113</c15:sqref>
                  </c15:fullRef>
                </c:ext>
              </c:extLst>
              <c:f>AIRES!$C$105:$C$112</c:f>
              <c:strCache>
                <c:ptCount val="8"/>
                <c:pt idx="0">
                  <c:v>Negativo Infinito</c:v>
                </c:pt>
                <c:pt idx="1">
                  <c:v>Gastos de intereses = 0 Positivo Infinito</c:v>
                </c:pt>
                <c:pt idx="2">
                  <c:v>&lt; 0</c:v>
                </c:pt>
                <c:pt idx="3">
                  <c:v>0 - 1.5</c:v>
                </c:pt>
                <c:pt idx="4">
                  <c:v>1.5 - 3</c:v>
                </c:pt>
                <c:pt idx="5">
                  <c:v>3 - 4.5</c:v>
                </c:pt>
                <c:pt idx="6">
                  <c:v>4.5 - 6</c:v>
                </c:pt>
                <c:pt idx="7">
                  <c:v>&gt; 6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AIRES!$D$104:$D$113</c15:sqref>
                  </c15:fullRef>
                </c:ext>
              </c:extLst>
              <c:f>AIRES!$D$105:$D$112</c:f>
              <c:numCache>
                <c:formatCode>#,##0</c:formatCode>
                <c:ptCount val="8"/>
                <c:pt idx="0">
                  <c:v>0</c:v>
                </c:pt>
                <c:pt idx="1">
                  <c:v>8</c:v>
                </c:pt>
                <c:pt idx="2">
                  <c:v>4</c:v>
                </c:pt>
                <c:pt idx="3">
                  <c:v>3</c:v>
                </c:pt>
                <c:pt idx="4">
                  <c:v>5</c:v>
                </c:pt>
                <c:pt idx="5">
                  <c:v>3</c:v>
                </c:pt>
                <c:pt idx="6">
                  <c:v>3</c:v>
                </c:pt>
                <c:pt idx="7">
                  <c:v>16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AIRES!$E$104:$E$112</c15:f>
                <c15:dlblRangeCache>
                  <c:ptCount val="9"/>
                  <c:pt idx="1">
                    <c:v>0,00%</c:v>
                  </c:pt>
                  <c:pt idx="2">
                    <c:v>19,05%</c:v>
                  </c:pt>
                  <c:pt idx="3">
                    <c:v>9,52%</c:v>
                  </c:pt>
                  <c:pt idx="4">
                    <c:v>7,14%</c:v>
                  </c:pt>
                  <c:pt idx="5">
                    <c:v>11,90%</c:v>
                  </c:pt>
                  <c:pt idx="6">
                    <c:v>7,14%</c:v>
                  </c:pt>
                  <c:pt idx="7">
                    <c:v>7,14%</c:v>
                  </c:pt>
                  <c:pt idx="8">
                    <c:v>38,10%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7-C6A0-4D83-BA24-1E9F6664AD9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796292992"/>
        <c:axId val="796294080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spPr>
                  <a:gradFill rotWithShape="1">
                    <a:gsLst>
                      <a:gs pos="0">
                        <a:schemeClr val="accent2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2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2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tx2"/>
                          </a:solidFill>
                          <a:latin typeface="Work Sans" panose="00000500000000000000" pitchFamily="2" charset="0"/>
                          <a:ea typeface="+mn-ea"/>
                          <a:cs typeface="Arial" panose="020B0604020202020204" pitchFamily="34" charset="0"/>
                        </a:defRPr>
                      </a:pPr>
                      <a:endParaRPr lang="es-CO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tx2">
                                <a:lumMod val="35000"/>
                                <a:lumOff val="65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AIRES!$C$104:$C$113</c15:sqref>
                        </c15:fullRef>
                        <c15:formulaRef>
                          <c15:sqref>AIRES!$C$105:$C$112</c15:sqref>
                        </c15:formulaRef>
                      </c:ext>
                    </c:extLst>
                    <c:strCache>
                      <c:ptCount val="8"/>
                      <c:pt idx="0">
                        <c:v>Negativo Infinito</c:v>
                      </c:pt>
                      <c:pt idx="1">
                        <c:v>Gastos de intereses = 0 Positivo Infinito</c:v>
                      </c:pt>
                      <c:pt idx="2">
                        <c:v>&lt; 0</c:v>
                      </c:pt>
                      <c:pt idx="3">
                        <c:v>0 - 1.5</c:v>
                      </c:pt>
                      <c:pt idx="4">
                        <c:v>1.5 - 3</c:v>
                      </c:pt>
                      <c:pt idx="5">
                        <c:v>3 - 4.5</c:v>
                      </c:pt>
                      <c:pt idx="6">
                        <c:v>4.5 - 6</c:v>
                      </c:pt>
                      <c:pt idx="7">
                        <c:v>&gt; 6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AIRES!$E$104:$E$113</c15:sqref>
                        </c15:fullRef>
                        <c15:formulaRef>
                          <c15:sqref>AIRES!$E$105:$E$112</c15:sqref>
                        </c15:formulaRef>
                      </c:ext>
                    </c:extLst>
                    <c:numCache>
                      <c:formatCode>0.00%</c:formatCode>
                      <c:ptCount val="8"/>
                      <c:pt idx="0">
                        <c:v>0</c:v>
                      </c:pt>
                      <c:pt idx="1">
                        <c:v>0.19047619047619047</c:v>
                      </c:pt>
                      <c:pt idx="2">
                        <c:v>9.5238095238095233E-2</c:v>
                      </c:pt>
                      <c:pt idx="3">
                        <c:v>7.1428571428571425E-2</c:v>
                      </c:pt>
                      <c:pt idx="4">
                        <c:v>0.11904761904761904</c:v>
                      </c:pt>
                      <c:pt idx="5">
                        <c:v>7.1428571428571425E-2</c:v>
                      </c:pt>
                      <c:pt idx="6">
                        <c:v>7.1428571428571425E-2</c:v>
                      </c:pt>
                      <c:pt idx="7">
                        <c:v>0.38095238095238093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8-C6A0-4D83-BA24-1E9F6664AD93}"/>
                  </c:ext>
                </c:extLst>
              </c15:ser>
            </c15:filteredBarSeries>
          </c:ext>
        </c:extLst>
      </c:barChart>
      <c:catAx>
        <c:axId val="7962929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1" i="0" u="none" strike="noStrike" kern="1200" baseline="0">
                <a:solidFill>
                  <a:schemeClr val="tx2"/>
                </a:solidFill>
                <a:latin typeface="Work Sans" panose="00000500000000000000" pitchFamily="2" charset="0"/>
                <a:ea typeface="+mn-ea"/>
                <a:cs typeface="Arial" panose="020B0604020202020204" pitchFamily="34" charset="0"/>
              </a:defRPr>
            </a:pPr>
            <a:endParaRPr lang="es-CO"/>
          </a:p>
        </c:txPr>
        <c:crossAx val="796294080"/>
        <c:crosses val="autoZero"/>
        <c:auto val="1"/>
        <c:lblAlgn val="ctr"/>
        <c:lblOffset val="100"/>
        <c:noMultiLvlLbl val="0"/>
      </c:catAx>
      <c:valAx>
        <c:axId val="7962940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9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Work Sans" panose="00000500000000000000" pitchFamily="2" charset="0"/>
                    <a:ea typeface="+mn-ea"/>
                    <a:cs typeface="Arial" panose="020B0604020202020204" pitchFamily="34" charset="0"/>
                  </a:defRPr>
                </a:pPr>
                <a:r>
                  <a:rPr lang="es-ES"/>
                  <a:t>Nº EMPRESAS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Work Sans" panose="00000500000000000000" pitchFamily="2" charset="0"/>
                  <a:ea typeface="+mn-ea"/>
                  <a:cs typeface="Arial" panose="020B0604020202020204" pitchFamily="34" charset="0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2"/>
                </a:solidFill>
                <a:latin typeface="Work Sans" panose="00000500000000000000" pitchFamily="2" charset="0"/>
                <a:ea typeface="+mn-ea"/>
                <a:cs typeface="Arial" panose="020B0604020202020204" pitchFamily="34" charset="0"/>
              </a:defRPr>
            </a:pPr>
            <a:endParaRPr lang="es-CO"/>
          </a:p>
        </c:txPr>
        <c:crossAx val="7962929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 b="1">
          <a:latin typeface="Work Sans" panose="00000500000000000000" pitchFamily="2" charset="0"/>
          <a:cs typeface="Arial" panose="020B0604020202020204" pitchFamily="34" charset="0"/>
        </a:defRPr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Work Sans" panose="00000500000000000000" pitchFamily="2" charset="0"/>
                <a:ea typeface="+mn-ea"/>
                <a:cs typeface="Arial" panose="020B0604020202020204" pitchFamily="34" charset="0"/>
              </a:defRPr>
            </a:pPr>
            <a:r>
              <a:rPr lang="es-ES"/>
              <a:t>Rentabilidad sobre activos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Work Sans" panose="00000500000000000000" pitchFamily="2" charset="0"/>
              <a:ea typeface="+mn-ea"/>
              <a:cs typeface="Arial" panose="020B0604020202020204" pitchFamily="34" charset="0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446E2089-9BCA-42A3-80B3-BF038B72B11D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0CF679E4-801D-44C5-87F4-11AB39BE816D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0-0B0C-4019-BA8B-0EBE2A4F5E4C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CAFF3F8E-D2E8-48BA-934A-04F5E71C2E4A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750976B5-F012-42D6-A7DC-614A8AAA4460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0B0C-4019-BA8B-0EBE2A4F5E4C}"/>
                </c:ext>
              </c:extLst>
            </c:dLbl>
            <c:dLbl>
              <c:idx val="2"/>
              <c:layout>
                <c:manualLayout>
                  <c:x val="0"/>
                  <c:y val="4.4550505941403779E-2"/>
                </c:manualLayout>
              </c:layout>
              <c:tx>
                <c:rich>
                  <a:bodyPr/>
                  <a:lstStyle/>
                  <a:p>
                    <a:fld id="{43C23C1B-7004-4EB5-9742-34A02780EEEE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B738CA69-7FB2-430E-943E-C3D3EB1B4ABE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2-0B0C-4019-BA8B-0EBE2A4F5E4C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DBF641E4-8DAC-4DBE-96D6-70FB2C66F830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EC1D0C90-146A-4B81-BD7E-CBDB359DAEFF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0B0C-4019-BA8B-0EBE2A4F5E4C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7DEFAB2E-ACBE-400B-BCCD-0A0553B319F8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6DF40142-B400-4431-B731-05D03080DF91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0B0C-4019-BA8B-0EBE2A4F5E4C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C9158D96-5A06-4E1C-98B6-19EE382C20A8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309603D4-908B-4E59-A609-DB1578D5F83C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5-0B0C-4019-BA8B-0EBE2A4F5E4C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F8F33931-E410-45F9-8899-F29394C50370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190EA906-0BB7-431E-9016-F012128DF206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6-0B0C-4019-BA8B-0EBE2A4F5E4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Work Sans" panose="00000500000000000000" pitchFamily="2" charset="0"/>
                    <a:ea typeface="+mn-ea"/>
                    <a:cs typeface="Arial" panose="020B0604020202020204" pitchFamily="34" charset="0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AIRES!$C$135:$C$143</c15:sqref>
                  </c15:fullRef>
                </c:ext>
              </c:extLst>
              <c:f>AIRES!$C$136:$C$142</c:f>
              <c:strCache>
                <c:ptCount val="7"/>
                <c:pt idx="0">
                  <c:v>&lt; = 0%</c:v>
                </c:pt>
                <c:pt idx="1">
                  <c:v>0% - 3%</c:v>
                </c:pt>
                <c:pt idx="2">
                  <c:v>3,1% - 6%</c:v>
                </c:pt>
                <c:pt idx="3">
                  <c:v>6,1% - 9%</c:v>
                </c:pt>
                <c:pt idx="4">
                  <c:v>9,1% - 12%</c:v>
                </c:pt>
                <c:pt idx="5">
                  <c:v>12,1% - 15%</c:v>
                </c:pt>
                <c:pt idx="6">
                  <c:v>&gt; 15%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AIRES!$D$135:$D$143</c15:sqref>
                  </c15:fullRef>
                </c:ext>
              </c:extLst>
              <c:f>AIRES!$D$136:$D$142</c:f>
              <c:numCache>
                <c:formatCode>#,##0</c:formatCode>
                <c:ptCount val="7"/>
                <c:pt idx="0">
                  <c:v>4</c:v>
                </c:pt>
                <c:pt idx="1">
                  <c:v>8</c:v>
                </c:pt>
                <c:pt idx="2">
                  <c:v>7</c:v>
                </c:pt>
                <c:pt idx="3">
                  <c:v>8</c:v>
                </c:pt>
                <c:pt idx="4">
                  <c:v>4</c:v>
                </c:pt>
                <c:pt idx="5">
                  <c:v>4</c:v>
                </c:pt>
                <c:pt idx="6">
                  <c:v>7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AIRES!$E$135:$E$142</c15:f>
                <c15:dlblRangeCache>
                  <c:ptCount val="8"/>
                  <c:pt idx="1">
                    <c:v>9,52%</c:v>
                  </c:pt>
                  <c:pt idx="2">
                    <c:v>19,05%</c:v>
                  </c:pt>
                  <c:pt idx="3">
                    <c:v>16,67%</c:v>
                  </c:pt>
                  <c:pt idx="4">
                    <c:v>19,05%</c:v>
                  </c:pt>
                  <c:pt idx="5">
                    <c:v>9,52%</c:v>
                  </c:pt>
                  <c:pt idx="6">
                    <c:v>9,52%</c:v>
                  </c:pt>
                  <c:pt idx="7">
                    <c:v>16,67%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7-0B0C-4019-BA8B-0EBE2A4F5E4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796279392"/>
        <c:axId val="804225056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spPr>
                  <a:gradFill rotWithShape="1">
                    <a:gsLst>
                      <a:gs pos="0">
                        <a:schemeClr val="accent2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2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2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tx2"/>
                          </a:solidFill>
                          <a:latin typeface="Work Sans" panose="00000500000000000000" pitchFamily="2" charset="0"/>
                          <a:ea typeface="+mn-ea"/>
                          <a:cs typeface="Arial" panose="020B0604020202020204" pitchFamily="34" charset="0"/>
                        </a:defRPr>
                      </a:pPr>
                      <a:endParaRPr lang="es-CO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tx2">
                                <a:lumMod val="35000"/>
                                <a:lumOff val="65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AIRES!$C$135:$C$143</c15:sqref>
                        </c15:fullRef>
                        <c15:formulaRef>
                          <c15:sqref>AIRES!$C$136:$C$142</c15:sqref>
                        </c15:formulaRef>
                      </c:ext>
                    </c:extLst>
                    <c:strCache>
                      <c:ptCount val="7"/>
                      <c:pt idx="0">
                        <c:v>&lt; = 0%</c:v>
                      </c:pt>
                      <c:pt idx="1">
                        <c:v>0% - 3%</c:v>
                      </c:pt>
                      <c:pt idx="2">
                        <c:v>3,1% - 6%</c:v>
                      </c:pt>
                      <c:pt idx="3">
                        <c:v>6,1% - 9%</c:v>
                      </c:pt>
                      <c:pt idx="4">
                        <c:v>9,1% - 12%</c:v>
                      </c:pt>
                      <c:pt idx="5">
                        <c:v>12,1% - 15%</c:v>
                      </c:pt>
                      <c:pt idx="6">
                        <c:v>&gt; 15%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AIRES!$E$135:$E$143</c15:sqref>
                        </c15:fullRef>
                        <c15:formulaRef>
                          <c15:sqref>AIRES!$E$136:$E$142</c15:sqref>
                        </c15:formulaRef>
                      </c:ext>
                    </c:extLst>
                    <c:numCache>
                      <c:formatCode>0.00%</c:formatCode>
                      <c:ptCount val="7"/>
                      <c:pt idx="0">
                        <c:v>9.5238095238095233E-2</c:v>
                      </c:pt>
                      <c:pt idx="1">
                        <c:v>0.19047619047619047</c:v>
                      </c:pt>
                      <c:pt idx="2">
                        <c:v>0.16666666666666666</c:v>
                      </c:pt>
                      <c:pt idx="3">
                        <c:v>0.19047619047619047</c:v>
                      </c:pt>
                      <c:pt idx="4">
                        <c:v>9.5238095238095233E-2</c:v>
                      </c:pt>
                      <c:pt idx="5">
                        <c:v>9.5238095238095233E-2</c:v>
                      </c:pt>
                      <c:pt idx="6">
                        <c:v>0.16666666666666666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8-0B0C-4019-BA8B-0EBE2A4F5E4C}"/>
                  </c:ext>
                </c:extLst>
              </c15:ser>
            </c15:filteredBarSeries>
          </c:ext>
        </c:extLst>
      </c:barChart>
      <c:catAx>
        <c:axId val="7962793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2"/>
                </a:solidFill>
                <a:latin typeface="Work Sans" panose="00000500000000000000" pitchFamily="2" charset="0"/>
                <a:ea typeface="+mn-ea"/>
                <a:cs typeface="Arial" panose="020B0604020202020204" pitchFamily="34" charset="0"/>
              </a:defRPr>
            </a:pPr>
            <a:endParaRPr lang="es-CO"/>
          </a:p>
        </c:txPr>
        <c:crossAx val="804225056"/>
        <c:crosses val="autoZero"/>
        <c:auto val="1"/>
        <c:lblAlgn val="ctr"/>
        <c:lblOffset val="100"/>
        <c:noMultiLvlLbl val="0"/>
      </c:catAx>
      <c:valAx>
        <c:axId val="8042250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9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Work Sans" panose="00000500000000000000" pitchFamily="2" charset="0"/>
                    <a:ea typeface="+mn-ea"/>
                    <a:cs typeface="Arial" panose="020B0604020202020204" pitchFamily="34" charset="0"/>
                  </a:defRPr>
                </a:pPr>
                <a:r>
                  <a:rPr lang="es-ES"/>
                  <a:t>Nº EMPRESAS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Work Sans" panose="00000500000000000000" pitchFamily="2" charset="0"/>
                  <a:ea typeface="+mn-ea"/>
                  <a:cs typeface="Arial" panose="020B0604020202020204" pitchFamily="34" charset="0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2"/>
                </a:solidFill>
                <a:latin typeface="Work Sans" panose="00000500000000000000" pitchFamily="2" charset="0"/>
                <a:ea typeface="+mn-ea"/>
                <a:cs typeface="Arial" panose="020B0604020202020204" pitchFamily="34" charset="0"/>
              </a:defRPr>
            </a:pPr>
            <a:endParaRPr lang="es-CO"/>
          </a:p>
        </c:txPr>
        <c:crossAx val="7962793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 b="1">
          <a:latin typeface="Work Sans" panose="00000500000000000000" pitchFamily="2" charset="0"/>
          <a:cs typeface="Arial" panose="020B0604020202020204" pitchFamily="34" charset="0"/>
        </a:defRPr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Work Sans" panose="00000500000000000000" pitchFamily="2" charset="0"/>
                <a:ea typeface="+mn-ea"/>
                <a:cs typeface="Arial" panose="020B0604020202020204" pitchFamily="34" charset="0"/>
              </a:defRPr>
            </a:pPr>
            <a:r>
              <a:rPr lang="es-ES"/>
              <a:t>Rentabilidad sobre patrimonio</a:t>
            </a:r>
          </a:p>
        </c:rich>
      </c:tx>
      <c:layout>
        <c:manualLayout>
          <c:xMode val="edge"/>
          <c:yMode val="edge"/>
          <c:x val="0.25435823150227116"/>
          <c:y val="4.050631834776747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Work Sans" panose="00000500000000000000" pitchFamily="2" charset="0"/>
              <a:ea typeface="+mn-ea"/>
              <a:cs typeface="Arial" panose="020B0604020202020204" pitchFamily="34" charset="0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74A2C248-A2DE-4C91-BF29-70402BC1E55F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2A56B28B-0D61-453F-897F-FB0300759572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0-DF76-4D64-8000-80E65EF98200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0FD21C18-0ACC-4008-8FB1-7A053FB58C1F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26D87BD5-56E1-4E98-B0EE-B59190CCB3BA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DF76-4D64-8000-80E65EF98200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BF8CC917-2EF0-4227-8BE5-38BA9027649E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9AC24F6B-68A6-4F6C-A3E0-3E449F06B109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2-DF76-4D64-8000-80E65EF98200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15376834-CC2C-4823-BC62-0DBD619E19E5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6D516074-93A1-418A-96B9-15FF49961ECE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DF76-4D64-8000-80E65EF98200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EB5D449F-BFC0-4652-9E79-9E7AEF25AF3D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E1266AE5-FEED-49F5-B7F5-0A0A9A87B3AC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DF76-4D64-8000-80E65EF98200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30D2138C-7CF4-400E-A3FF-9D266F3E69AA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FA940566-1C0F-4AB4-8C4D-69A1B3F9C4F4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5-DF76-4D64-8000-80E65EF98200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27078C54-CAFC-4D6D-9F98-007D1AB3CD23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97CC122A-C08A-48F9-A27F-D1BDEA7CAD76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6-DF76-4D64-8000-80E65EF9820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Work Sans" panose="00000500000000000000" pitchFamily="2" charset="0"/>
                    <a:ea typeface="+mn-ea"/>
                    <a:cs typeface="Arial" panose="020B0604020202020204" pitchFamily="34" charset="0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AIRES!$C$120:$C$128</c15:sqref>
                  </c15:fullRef>
                </c:ext>
              </c:extLst>
              <c:f>AIRES!$C$121:$C$127</c:f>
              <c:strCache>
                <c:ptCount val="7"/>
                <c:pt idx="0">
                  <c:v>&lt; = 0%</c:v>
                </c:pt>
                <c:pt idx="1">
                  <c:v>0% - 6%</c:v>
                </c:pt>
                <c:pt idx="2">
                  <c:v>6,1% - 12%</c:v>
                </c:pt>
                <c:pt idx="3">
                  <c:v>12,1% - 18%</c:v>
                </c:pt>
                <c:pt idx="4">
                  <c:v>18,1% - 24%</c:v>
                </c:pt>
                <c:pt idx="5">
                  <c:v>24,1% - 30%</c:v>
                </c:pt>
                <c:pt idx="6">
                  <c:v>&gt; 30%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AIRES!$D$120:$D$128</c15:sqref>
                  </c15:fullRef>
                </c:ext>
              </c:extLst>
              <c:f>AIRES!$D$121:$D$127</c:f>
              <c:numCache>
                <c:formatCode>#,##0</c:formatCode>
                <c:ptCount val="7"/>
                <c:pt idx="0">
                  <c:v>3</c:v>
                </c:pt>
                <c:pt idx="1">
                  <c:v>9</c:v>
                </c:pt>
                <c:pt idx="2">
                  <c:v>5</c:v>
                </c:pt>
                <c:pt idx="3">
                  <c:v>7</c:v>
                </c:pt>
                <c:pt idx="4">
                  <c:v>3</c:v>
                </c:pt>
                <c:pt idx="5">
                  <c:v>6</c:v>
                </c:pt>
                <c:pt idx="6">
                  <c:v>9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AIRES!$E$120:$E$127</c15:f>
                <c15:dlblRangeCache>
                  <c:ptCount val="8"/>
                  <c:pt idx="1">
                    <c:v>7,14%</c:v>
                  </c:pt>
                  <c:pt idx="2">
                    <c:v>21,43%</c:v>
                  </c:pt>
                  <c:pt idx="3">
                    <c:v>11,90%</c:v>
                  </c:pt>
                  <c:pt idx="4">
                    <c:v>16,67%</c:v>
                  </c:pt>
                  <c:pt idx="5">
                    <c:v>7,14%</c:v>
                  </c:pt>
                  <c:pt idx="6">
                    <c:v>14,29%</c:v>
                  </c:pt>
                  <c:pt idx="7">
                    <c:v>21,43%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7-DF76-4D64-8000-80E65EF98200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804222336"/>
        <c:axId val="804220704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spPr>
                  <a:gradFill rotWithShape="1">
                    <a:gsLst>
                      <a:gs pos="0">
                        <a:schemeClr val="accent2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2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2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tx2"/>
                          </a:solidFill>
                          <a:latin typeface="Work Sans" panose="00000500000000000000" pitchFamily="2" charset="0"/>
                          <a:ea typeface="+mn-ea"/>
                          <a:cs typeface="Arial" panose="020B0604020202020204" pitchFamily="34" charset="0"/>
                        </a:defRPr>
                      </a:pPr>
                      <a:endParaRPr lang="es-CO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tx2">
                                <a:lumMod val="35000"/>
                                <a:lumOff val="65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AIRES!$C$120:$C$128</c15:sqref>
                        </c15:fullRef>
                        <c15:formulaRef>
                          <c15:sqref>AIRES!$C$121:$C$127</c15:sqref>
                        </c15:formulaRef>
                      </c:ext>
                    </c:extLst>
                    <c:strCache>
                      <c:ptCount val="7"/>
                      <c:pt idx="0">
                        <c:v>&lt; = 0%</c:v>
                      </c:pt>
                      <c:pt idx="1">
                        <c:v>0% - 6%</c:v>
                      </c:pt>
                      <c:pt idx="2">
                        <c:v>6,1% - 12%</c:v>
                      </c:pt>
                      <c:pt idx="3">
                        <c:v>12,1% - 18%</c:v>
                      </c:pt>
                      <c:pt idx="4">
                        <c:v>18,1% - 24%</c:v>
                      </c:pt>
                      <c:pt idx="5">
                        <c:v>24,1% - 30%</c:v>
                      </c:pt>
                      <c:pt idx="6">
                        <c:v>&gt; 30%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AIRES!$E$120:$E$128</c15:sqref>
                        </c15:fullRef>
                        <c15:formulaRef>
                          <c15:sqref>AIRES!$E$121:$E$127</c15:sqref>
                        </c15:formulaRef>
                      </c:ext>
                    </c:extLst>
                    <c:numCache>
                      <c:formatCode>0.00%</c:formatCode>
                      <c:ptCount val="7"/>
                      <c:pt idx="0">
                        <c:v>7.1428571428571425E-2</c:v>
                      </c:pt>
                      <c:pt idx="1">
                        <c:v>0.21428571428571427</c:v>
                      </c:pt>
                      <c:pt idx="2">
                        <c:v>0.11904761904761904</c:v>
                      </c:pt>
                      <c:pt idx="3">
                        <c:v>0.16666666666666666</c:v>
                      </c:pt>
                      <c:pt idx="4">
                        <c:v>7.1428571428571425E-2</c:v>
                      </c:pt>
                      <c:pt idx="5">
                        <c:v>0.14285714285714285</c:v>
                      </c:pt>
                      <c:pt idx="6">
                        <c:v>0.21428571428571427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8-DF76-4D64-8000-80E65EF98200}"/>
                  </c:ext>
                </c:extLst>
              </c15:ser>
            </c15:filteredBarSeries>
          </c:ext>
        </c:extLst>
      </c:barChart>
      <c:catAx>
        <c:axId val="8042223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2"/>
                </a:solidFill>
                <a:latin typeface="Work Sans" panose="00000500000000000000" pitchFamily="2" charset="0"/>
                <a:ea typeface="+mn-ea"/>
                <a:cs typeface="Arial" panose="020B0604020202020204" pitchFamily="34" charset="0"/>
              </a:defRPr>
            </a:pPr>
            <a:endParaRPr lang="es-CO"/>
          </a:p>
        </c:txPr>
        <c:crossAx val="804220704"/>
        <c:crosses val="autoZero"/>
        <c:auto val="1"/>
        <c:lblAlgn val="ctr"/>
        <c:lblOffset val="100"/>
        <c:noMultiLvlLbl val="0"/>
      </c:catAx>
      <c:valAx>
        <c:axId val="8042207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9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Work Sans" panose="00000500000000000000" pitchFamily="2" charset="0"/>
                    <a:ea typeface="+mn-ea"/>
                    <a:cs typeface="Arial" panose="020B0604020202020204" pitchFamily="34" charset="0"/>
                  </a:defRPr>
                </a:pPr>
                <a:r>
                  <a:rPr lang="es-ES"/>
                  <a:t>Nº EMPRESAS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Work Sans" panose="00000500000000000000" pitchFamily="2" charset="0"/>
                  <a:ea typeface="+mn-ea"/>
                  <a:cs typeface="Arial" panose="020B0604020202020204" pitchFamily="34" charset="0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2"/>
                </a:solidFill>
                <a:latin typeface="Work Sans" panose="00000500000000000000" pitchFamily="2" charset="0"/>
                <a:ea typeface="+mn-ea"/>
                <a:cs typeface="Arial" panose="020B0604020202020204" pitchFamily="34" charset="0"/>
              </a:defRPr>
            </a:pPr>
            <a:endParaRPr lang="es-CO"/>
          </a:p>
        </c:txPr>
        <c:crossAx val="8042223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 b="1">
          <a:latin typeface="Work Sans" panose="00000500000000000000" pitchFamily="2" charset="0"/>
          <a:cs typeface="Arial" panose="020B0604020202020204" pitchFamily="34" charset="0"/>
        </a:defRPr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16671</xdr:colOff>
      <xdr:row>72</xdr:row>
      <xdr:rowOff>1400</xdr:rowOff>
    </xdr:from>
    <xdr:to>
      <xdr:col>11</xdr:col>
      <xdr:colOff>0</xdr:colOff>
      <xdr:row>83</xdr:row>
      <xdr:rowOff>179294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13027</xdr:colOff>
      <xdr:row>58</xdr:row>
      <xdr:rowOff>15968</xdr:rowOff>
    </xdr:from>
    <xdr:to>
      <xdr:col>11</xdr:col>
      <xdr:colOff>8964</xdr:colOff>
      <xdr:row>69</xdr:row>
      <xdr:rowOff>188259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9525</xdr:colOff>
      <xdr:row>86</xdr:row>
      <xdr:rowOff>188119</xdr:rowOff>
    </xdr:from>
    <xdr:to>
      <xdr:col>11</xdr:col>
      <xdr:colOff>11206</xdr:colOff>
      <xdr:row>99</xdr:row>
      <xdr:rowOff>11907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0</xdr:colOff>
      <xdr:row>101</xdr:row>
      <xdr:rowOff>173970</xdr:rowOff>
    </xdr:from>
    <xdr:to>
      <xdr:col>11</xdr:col>
      <xdr:colOff>0</xdr:colOff>
      <xdr:row>115</xdr:row>
      <xdr:rowOff>11205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6</xdr:col>
      <xdr:colOff>11205</xdr:colOff>
      <xdr:row>132</xdr:row>
      <xdr:rowOff>190221</xdr:rowOff>
    </xdr:from>
    <xdr:to>
      <xdr:col>11</xdr:col>
      <xdr:colOff>0</xdr:colOff>
      <xdr:row>144</xdr:row>
      <xdr:rowOff>179294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6</xdr:col>
      <xdr:colOff>3362</xdr:colOff>
      <xdr:row>117</xdr:row>
      <xdr:rowOff>175650</xdr:rowOff>
    </xdr:from>
    <xdr:to>
      <xdr:col>11</xdr:col>
      <xdr:colOff>0</xdr:colOff>
      <xdr:row>129</xdr:row>
      <xdr:rowOff>190499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Juan Manuel López Morales" id="{AC459CBD-0E65-4A41-8E0B-3AE03CD9E662}" userId="S::jmlopez@mintransporte.gov.co::28a2ca8d-30be-4db9-84da-1681029ea5da" providerId="AD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C9" dT="2024-07-04T22:04:49.86" personId="{AC459CBD-0E65-4A41-8E0B-3AE03CD9E662}" id="{A460E21F-F479-4A98-BEAA-A8266F738319}">
    <text>Se recomienda incluir CIIU aplicables de los otros códigos UNSPSC para aumentar la densidad de los datos, esto nos garantiza una muestra representativa.</text>
  </threadedComment>
  <threadedComment ref="F155" dT="2024-07-04T22:02:21.48" personId="{AC459CBD-0E65-4A41-8E0B-3AE03CD9E662}" id="{FAE5D0D7-DC8E-4BDB-9204-3A3708B251AC}">
    <text xml:space="preserve">Se recomienda dejar el cálculo de donde resultan los indicadores ajustados 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FD178"/>
  <sheetViews>
    <sheetView tabSelected="1" zoomScale="85" zoomScaleNormal="85" zoomScaleSheetLayoutView="85" workbookViewId="0">
      <selection activeCell="F20" sqref="F20"/>
    </sheetView>
  </sheetViews>
  <sheetFormatPr baseColWidth="10" defaultColWidth="11.42578125" defaultRowHeight="12.75" x14ac:dyDescent="0.25"/>
  <cols>
    <col min="1" max="1" width="14.5703125" style="1" bestFit="1" customWidth="1"/>
    <col min="2" max="2" width="11.42578125" style="1" customWidth="1"/>
    <col min="3" max="3" width="34.42578125" style="1" customWidth="1"/>
    <col min="4" max="4" width="25.7109375" style="1" bestFit="1" customWidth="1"/>
    <col min="5" max="5" width="18.28515625" style="1" customWidth="1"/>
    <col min="6" max="6" width="19.42578125" style="14" customWidth="1"/>
    <col min="7" max="7" width="18.28515625" style="1" customWidth="1"/>
    <col min="8" max="9" width="20.7109375" style="1" customWidth="1"/>
    <col min="10" max="11" width="18.28515625" style="1" customWidth="1"/>
    <col min="12" max="12" width="15.140625" style="7" customWidth="1"/>
    <col min="13" max="16" width="15.140625" style="9" customWidth="1"/>
    <col min="17" max="17" width="18" style="9" customWidth="1"/>
    <col min="18" max="18" width="11.42578125" style="1"/>
    <col min="19" max="19" width="11.7109375" style="1" bestFit="1" customWidth="1"/>
    <col min="20" max="16384" width="11.42578125" style="1"/>
  </cols>
  <sheetData>
    <row r="1" spans="1:19 16384:16384" ht="42.75" customHeight="1" x14ac:dyDescent="0.25">
      <c r="C1" s="151" t="s">
        <v>0</v>
      </c>
      <c r="D1" s="152"/>
      <c r="E1" s="152"/>
      <c r="F1" s="152"/>
      <c r="G1" s="152"/>
      <c r="H1" s="152"/>
      <c r="I1" s="152"/>
      <c r="J1" s="152"/>
      <c r="K1" s="152"/>
      <c r="M1" s="8"/>
    </row>
    <row r="2" spans="1:19 16384:16384" ht="15.75" x14ac:dyDescent="0.25">
      <c r="C2" s="93"/>
      <c r="D2" s="93"/>
      <c r="E2" s="93"/>
      <c r="F2" s="93"/>
      <c r="G2" s="93"/>
      <c r="H2" s="93"/>
      <c r="I2" s="93"/>
      <c r="J2" s="93"/>
      <c r="K2" s="93"/>
    </row>
    <row r="3" spans="1:19 16384:16384" ht="33" customHeight="1" x14ac:dyDescent="0.25">
      <c r="C3" s="152" t="s">
        <v>1</v>
      </c>
      <c r="D3" s="153" t="s">
        <v>2</v>
      </c>
      <c r="E3" s="153"/>
      <c r="F3" s="153"/>
      <c r="G3" s="153"/>
      <c r="H3" s="153"/>
      <c r="I3" s="74" t="s">
        <v>3</v>
      </c>
      <c r="J3" s="153" t="s">
        <v>4</v>
      </c>
      <c r="K3" s="153"/>
      <c r="M3" s="10"/>
      <c r="N3" s="10"/>
      <c r="O3" s="10"/>
    </row>
    <row r="4" spans="1:19 16384:16384" ht="33" customHeight="1" x14ac:dyDescent="0.25">
      <c r="C4" s="152"/>
      <c r="D4" s="153"/>
      <c r="E4" s="153"/>
      <c r="F4" s="153"/>
      <c r="G4" s="153"/>
      <c r="H4" s="153"/>
      <c r="I4" s="74" t="s">
        <v>5</v>
      </c>
      <c r="J4" s="154">
        <v>370000000</v>
      </c>
      <c r="K4" s="154"/>
      <c r="L4" s="11"/>
      <c r="M4" s="12"/>
      <c r="N4" s="13"/>
      <c r="O4" s="10"/>
      <c r="XFD4" s="1" t="s">
        <v>6</v>
      </c>
    </row>
    <row r="5" spans="1:19 16384:16384" ht="15.75" x14ac:dyDescent="0.25">
      <c r="C5" s="39"/>
      <c r="D5" s="39"/>
      <c r="E5" s="39"/>
      <c r="F5" s="48"/>
      <c r="G5" s="39"/>
      <c r="H5" s="39"/>
      <c r="I5" s="39"/>
      <c r="J5" s="39"/>
      <c r="K5" s="39"/>
      <c r="N5" s="15"/>
      <c r="O5" s="15"/>
    </row>
    <row r="6" spans="1:19 16384:16384" s="16" customFormat="1" ht="15" customHeight="1" x14ac:dyDescent="0.25">
      <c r="C6" s="155" t="s">
        <v>7</v>
      </c>
      <c r="D6" s="156"/>
      <c r="E6" s="156"/>
      <c r="F6" s="156"/>
      <c r="G6" s="156"/>
      <c r="H6" s="156"/>
      <c r="I6" s="156"/>
      <c r="J6" s="156"/>
      <c r="K6" s="157"/>
      <c r="L6" s="17"/>
      <c r="M6" s="18"/>
      <c r="N6" s="18"/>
      <c r="O6" s="18"/>
      <c r="P6" s="18"/>
      <c r="Q6" s="18"/>
    </row>
    <row r="7" spans="1:19 16384:16384" ht="15.75" x14ac:dyDescent="0.25">
      <c r="C7" s="39"/>
      <c r="D7" s="39"/>
      <c r="E7" s="39"/>
      <c r="F7" s="48"/>
      <c r="G7" s="39"/>
      <c r="H7" s="39"/>
      <c r="I7" s="39"/>
      <c r="J7" s="39"/>
      <c r="K7" s="39"/>
    </row>
    <row r="8" spans="1:19 16384:16384" ht="15" customHeight="1" x14ac:dyDescent="0.25">
      <c r="C8" s="74" t="s">
        <v>8</v>
      </c>
      <c r="D8" s="152" t="s">
        <v>9</v>
      </c>
      <c r="E8" s="152"/>
      <c r="F8" s="152"/>
      <c r="G8" s="152"/>
      <c r="H8" s="152"/>
      <c r="I8" s="152"/>
      <c r="J8" s="152"/>
      <c r="K8" s="74" t="s">
        <v>10</v>
      </c>
    </row>
    <row r="9" spans="1:19 16384:16384" ht="15" customHeight="1" x14ac:dyDescent="0.25">
      <c r="C9" s="117" t="s">
        <v>11</v>
      </c>
      <c r="D9" s="159" t="s">
        <v>12</v>
      </c>
      <c r="E9" s="159"/>
      <c r="F9" s="159"/>
      <c r="G9" s="159"/>
      <c r="H9" s="159"/>
      <c r="I9" s="159"/>
      <c r="J9" s="159"/>
      <c r="K9" s="117">
        <v>42</v>
      </c>
    </row>
    <row r="10" spans="1:19 16384:16384" ht="15" customHeight="1" x14ac:dyDescent="0.25">
      <c r="C10" s="39"/>
      <c r="D10" s="158" t="s">
        <v>13</v>
      </c>
      <c r="E10" s="158"/>
      <c r="F10" s="158"/>
      <c r="G10" s="158"/>
      <c r="H10" s="158"/>
      <c r="I10" s="158"/>
      <c r="J10" s="158"/>
      <c r="K10" s="118">
        <f>SUBTOTAL(9,K9:K9)</f>
        <v>42</v>
      </c>
    </row>
    <row r="11" spans="1:19 16384:16384" ht="15.75" x14ac:dyDescent="0.25">
      <c r="C11" s="39"/>
      <c r="D11" s="39"/>
      <c r="E11" s="39"/>
      <c r="F11" s="48"/>
      <c r="G11" s="39"/>
      <c r="H11" s="39"/>
      <c r="I11" s="39"/>
      <c r="J11" s="39"/>
      <c r="K11" s="119"/>
    </row>
    <row r="12" spans="1:19 16384:16384" s="39" customFormat="1" ht="17.25" customHeight="1" x14ac:dyDescent="0.25">
      <c r="B12" s="121" t="s">
        <v>14</v>
      </c>
      <c r="C12" s="120"/>
      <c r="F12" s="48"/>
      <c r="K12" s="119"/>
      <c r="L12" s="40"/>
      <c r="M12" s="57"/>
      <c r="N12" s="57"/>
      <c r="O12" s="57"/>
      <c r="P12" s="57"/>
      <c r="Q12" s="57"/>
    </row>
    <row r="13" spans="1:19 16384:16384" ht="15" customHeight="1" x14ac:dyDescent="0.25">
      <c r="E13" s="19"/>
      <c r="F13" s="19"/>
      <c r="G13" s="19"/>
      <c r="H13" s="19"/>
      <c r="I13" s="19"/>
      <c r="J13" s="19"/>
      <c r="K13" s="19"/>
    </row>
    <row r="14" spans="1:19 16384:16384" ht="42" customHeight="1" x14ac:dyDescent="0.25">
      <c r="A14" s="122" t="s">
        <v>15</v>
      </c>
      <c r="B14" s="122" t="s">
        <v>16</v>
      </c>
      <c r="C14" s="122" t="s">
        <v>17</v>
      </c>
      <c r="D14" s="123" t="s">
        <v>18</v>
      </c>
      <c r="E14" s="123" t="s">
        <v>19</v>
      </c>
      <c r="F14" s="124" t="s">
        <v>20</v>
      </c>
      <c r="G14" s="123" t="s">
        <v>21</v>
      </c>
      <c r="H14" s="123" t="s">
        <v>22</v>
      </c>
      <c r="I14" s="123" t="s">
        <v>23</v>
      </c>
      <c r="J14" s="123" t="s">
        <v>24</v>
      </c>
      <c r="K14" s="123" t="s">
        <v>25</v>
      </c>
      <c r="L14" s="125" t="s">
        <v>26</v>
      </c>
      <c r="M14" s="125" t="s">
        <v>27</v>
      </c>
      <c r="N14" s="125" t="s">
        <v>28</v>
      </c>
      <c r="O14" s="125" t="s">
        <v>29</v>
      </c>
      <c r="P14" s="125" t="s">
        <v>30</v>
      </c>
      <c r="Q14" s="125" t="s">
        <v>31</v>
      </c>
    </row>
    <row r="15" spans="1:19 16384:16384" s="3" customFormat="1" ht="16.5" customHeight="1" x14ac:dyDescent="0.25">
      <c r="A15" s="126" t="s">
        <v>32</v>
      </c>
      <c r="B15" s="126">
        <v>900363148</v>
      </c>
      <c r="C15" s="127" t="s">
        <v>33</v>
      </c>
      <c r="D15" s="128" t="s">
        <v>34</v>
      </c>
      <c r="E15" s="129">
        <v>375041</v>
      </c>
      <c r="F15" s="129">
        <v>6887899</v>
      </c>
      <c r="G15" s="130">
        <v>3319066</v>
      </c>
      <c r="H15" s="131">
        <v>3319066</v>
      </c>
      <c r="I15" s="129">
        <v>3568833</v>
      </c>
      <c r="J15" s="130">
        <v>98372</v>
      </c>
      <c r="K15" s="130"/>
      <c r="L15" s="132">
        <v>-2944025</v>
      </c>
      <c r="M15" s="133">
        <v>0.11299594524483696</v>
      </c>
      <c r="N15" s="133">
        <v>0.48186914471306852</v>
      </c>
      <c r="O15" s="133">
        <v>2.7564192552579511E-2</v>
      </c>
      <c r="P15" s="133">
        <v>1.4281858662561689E-2</v>
      </c>
      <c r="Q15" s="133" t="s">
        <v>35</v>
      </c>
      <c r="R15" s="1"/>
      <c r="S15" s="2"/>
    </row>
    <row r="16" spans="1:19 16384:16384" s="3" customFormat="1" ht="16.5" customHeight="1" x14ac:dyDescent="0.25">
      <c r="A16" s="126" t="s">
        <v>32</v>
      </c>
      <c r="B16" s="126">
        <v>800053110</v>
      </c>
      <c r="C16" s="127" t="s">
        <v>36</v>
      </c>
      <c r="D16" s="128" t="s">
        <v>34</v>
      </c>
      <c r="E16" s="129">
        <v>6510485</v>
      </c>
      <c r="F16" s="129">
        <v>11271793</v>
      </c>
      <c r="G16" s="130">
        <v>7074000</v>
      </c>
      <c r="H16" s="131">
        <v>8535497</v>
      </c>
      <c r="I16" s="129">
        <v>2736296</v>
      </c>
      <c r="J16" s="130">
        <v>-660105</v>
      </c>
      <c r="K16" s="130">
        <v>596037</v>
      </c>
      <c r="L16" s="132">
        <v>-563515</v>
      </c>
      <c r="M16" s="133">
        <v>0.92033997738196216</v>
      </c>
      <c r="N16" s="133">
        <v>0.75724394512922655</v>
      </c>
      <c r="O16" s="133">
        <v>-0.24124034826641563</v>
      </c>
      <c r="P16" s="133">
        <v>-5.8562555220806486E-2</v>
      </c>
      <c r="Q16" s="133">
        <v>-1.1074899712601733</v>
      </c>
      <c r="R16" s="1"/>
      <c r="S16" s="2"/>
    </row>
    <row r="17" spans="1:19" s="3" customFormat="1" ht="16.5" customHeight="1" x14ac:dyDescent="0.25">
      <c r="A17" s="126" t="s">
        <v>32</v>
      </c>
      <c r="B17" s="126">
        <v>900552521</v>
      </c>
      <c r="C17" s="127" t="s">
        <v>37</v>
      </c>
      <c r="D17" s="128" t="s">
        <v>34</v>
      </c>
      <c r="E17" s="129">
        <v>1557618</v>
      </c>
      <c r="F17" s="129">
        <v>3309747</v>
      </c>
      <c r="G17" s="130">
        <v>1698532</v>
      </c>
      <c r="H17" s="131">
        <v>1698532</v>
      </c>
      <c r="I17" s="129">
        <v>1611215</v>
      </c>
      <c r="J17" s="130">
        <v>226652</v>
      </c>
      <c r="K17" s="130">
        <v>4</v>
      </c>
      <c r="L17" s="132">
        <v>-140914</v>
      </c>
      <c r="M17" s="133">
        <v>0.91703777144027898</v>
      </c>
      <c r="N17" s="133">
        <v>0.51319088740015473</v>
      </c>
      <c r="O17" s="133">
        <v>0.14067148083899417</v>
      </c>
      <c r="P17" s="133">
        <v>6.848015875533689E-2</v>
      </c>
      <c r="Q17" s="133">
        <v>56663</v>
      </c>
      <c r="R17" s="1"/>
      <c r="S17" s="2"/>
    </row>
    <row r="18" spans="1:19" s="3" customFormat="1" ht="16.5" customHeight="1" x14ac:dyDescent="0.25">
      <c r="A18" s="126" t="s">
        <v>32</v>
      </c>
      <c r="B18" s="126">
        <v>900184558</v>
      </c>
      <c r="C18" s="127" t="s">
        <v>38</v>
      </c>
      <c r="D18" s="128" t="s">
        <v>34</v>
      </c>
      <c r="E18" s="129">
        <v>3031874</v>
      </c>
      <c r="F18" s="129">
        <v>4960824</v>
      </c>
      <c r="G18" s="130">
        <v>2838444</v>
      </c>
      <c r="H18" s="131">
        <v>2838444</v>
      </c>
      <c r="I18" s="129">
        <v>2122380</v>
      </c>
      <c r="J18" s="130">
        <v>387349</v>
      </c>
      <c r="K18" s="130"/>
      <c r="L18" s="132">
        <v>193430</v>
      </c>
      <c r="M18" s="133">
        <v>1.0681464915284571</v>
      </c>
      <c r="N18" s="133">
        <v>0.57217188112297468</v>
      </c>
      <c r="O18" s="133">
        <v>0.18250690262818156</v>
      </c>
      <c r="P18" s="133">
        <v>7.8081584833487344E-2</v>
      </c>
      <c r="Q18" s="133" t="s">
        <v>35</v>
      </c>
      <c r="R18" s="1"/>
      <c r="S18" s="2"/>
    </row>
    <row r="19" spans="1:19" s="3" customFormat="1" ht="16.5" customHeight="1" x14ac:dyDescent="0.25">
      <c r="A19" s="126" t="s">
        <v>32</v>
      </c>
      <c r="B19" s="126">
        <v>830097802</v>
      </c>
      <c r="C19" s="127" t="s">
        <v>39</v>
      </c>
      <c r="D19" s="128" t="s">
        <v>34</v>
      </c>
      <c r="E19" s="129">
        <v>3176813</v>
      </c>
      <c r="F19" s="129">
        <v>3236320</v>
      </c>
      <c r="G19" s="130">
        <v>2517775</v>
      </c>
      <c r="H19" s="131">
        <v>2517775</v>
      </c>
      <c r="I19" s="129">
        <v>718545</v>
      </c>
      <c r="J19" s="130">
        <v>126367</v>
      </c>
      <c r="K19" s="130">
        <v>77217</v>
      </c>
      <c r="L19" s="132">
        <v>659038</v>
      </c>
      <c r="M19" s="133">
        <v>1.2617541281488616</v>
      </c>
      <c r="N19" s="133">
        <v>0.77797467493943739</v>
      </c>
      <c r="O19" s="133">
        <v>0.17586511631143492</v>
      </c>
      <c r="P19" s="133">
        <v>3.9046509615859988E-2</v>
      </c>
      <c r="Q19" s="133">
        <v>1.6365178652369297</v>
      </c>
      <c r="R19" s="1"/>
      <c r="S19" s="2"/>
    </row>
    <row r="20" spans="1:19" s="3" customFormat="1" ht="16.5" customHeight="1" x14ac:dyDescent="0.25">
      <c r="A20" s="126" t="s">
        <v>32</v>
      </c>
      <c r="B20" s="126">
        <v>800057422</v>
      </c>
      <c r="C20" s="127" t="s">
        <v>40</v>
      </c>
      <c r="D20" s="128" t="s">
        <v>34</v>
      </c>
      <c r="E20" s="129">
        <v>1370047</v>
      </c>
      <c r="F20" s="129">
        <v>1726279</v>
      </c>
      <c r="G20" s="130">
        <v>693304</v>
      </c>
      <c r="H20" s="131">
        <v>2932185</v>
      </c>
      <c r="I20" s="129">
        <v>-1205906</v>
      </c>
      <c r="J20" s="130">
        <v>-141274</v>
      </c>
      <c r="K20" s="130">
        <v>123520</v>
      </c>
      <c r="L20" s="132">
        <v>676743</v>
      </c>
      <c r="M20" s="133">
        <v>1.9761129317009565</v>
      </c>
      <c r="N20" s="133">
        <v>1.6985579967085274</v>
      </c>
      <c r="O20" s="133">
        <v>0.11715175146321521</v>
      </c>
      <c r="P20" s="133">
        <v>-8.1837292813038906E-2</v>
      </c>
      <c r="Q20" s="133">
        <v>-1.1437338082901554</v>
      </c>
      <c r="R20" s="1"/>
      <c r="S20" s="2"/>
    </row>
    <row r="21" spans="1:19" s="3" customFormat="1" ht="16.5" customHeight="1" x14ac:dyDescent="0.25">
      <c r="A21" s="126" t="s">
        <v>32</v>
      </c>
      <c r="B21" s="126">
        <v>830137671</v>
      </c>
      <c r="C21" s="127" t="s">
        <v>41</v>
      </c>
      <c r="D21" s="128" t="s">
        <v>34</v>
      </c>
      <c r="E21" s="129">
        <v>1377151</v>
      </c>
      <c r="F21" s="129">
        <v>1490130</v>
      </c>
      <c r="G21" s="130">
        <v>514711</v>
      </c>
      <c r="H21" s="131">
        <v>514711</v>
      </c>
      <c r="I21" s="129">
        <v>975419</v>
      </c>
      <c r="J21" s="130">
        <v>-534</v>
      </c>
      <c r="K21" s="130">
        <v>11391</v>
      </c>
      <c r="L21" s="132">
        <v>862440</v>
      </c>
      <c r="M21" s="133">
        <v>2.6755810542226608</v>
      </c>
      <c r="N21" s="133">
        <v>0.34541348741384981</v>
      </c>
      <c r="O21" s="133">
        <v>-5.4745704153804677E-4</v>
      </c>
      <c r="P21" s="133">
        <v>-3.5835799561112117E-4</v>
      </c>
      <c r="Q21" s="133">
        <v>-4.6879115090861206E-2</v>
      </c>
      <c r="R21" s="1"/>
      <c r="S21" s="2"/>
    </row>
    <row r="22" spans="1:19" s="3" customFormat="1" ht="16.5" customHeight="1" x14ac:dyDescent="0.25">
      <c r="A22" s="126" t="s">
        <v>32</v>
      </c>
      <c r="B22" s="126">
        <v>900469459</v>
      </c>
      <c r="C22" s="127" t="s">
        <v>42</v>
      </c>
      <c r="D22" s="128" t="s">
        <v>34</v>
      </c>
      <c r="E22" s="129">
        <v>1606402</v>
      </c>
      <c r="F22" s="129">
        <v>1627054</v>
      </c>
      <c r="G22" s="130">
        <v>729603</v>
      </c>
      <c r="H22" s="131">
        <v>894603</v>
      </c>
      <c r="I22" s="129">
        <v>732451</v>
      </c>
      <c r="J22" s="130">
        <v>132568</v>
      </c>
      <c r="K22" s="130">
        <v>23767</v>
      </c>
      <c r="L22" s="132">
        <v>876799</v>
      </c>
      <c r="M22" s="133">
        <v>2.201748073952547</v>
      </c>
      <c r="N22" s="133">
        <v>0.54982993803524649</v>
      </c>
      <c r="O22" s="133">
        <v>0.18099231211371136</v>
      </c>
      <c r="P22" s="133">
        <v>8.147732035937344E-2</v>
      </c>
      <c r="Q22" s="133">
        <v>5.577817982917491</v>
      </c>
      <c r="R22" s="1"/>
      <c r="S22" s="2"/>
    </row>
    <row r="23" spans="1:19" s="3" customFormat="1" ht="16.5" customHeight="1" x14ac:dyDescent="0.25">
      <c r="A23" s="126" t="s">
        <v>32</v>
      </c>
      <c r="B23" s="126">
        <v>816006040</v>
      </c>
      <c r="C23" s="127" t="s">
        <v>43</v>
      </c>
      <c r="D23" s="128" t="s">
        <v>34</v>
      </c>
      <c r="E23" s="129">
        <v>3014455</v>
      </c>
      <c r="F23" s="129">
        <v>3636391</v>
      </c>
      <c r="G23" s="130">
        <v>2129265</v>
      </c>
      <c r="H23" s="131">
        <v>2548670</v>
      </c>
      <c r="I23" s="129">
        <v>1087721</v>
      </c>
      <c r="J23" s="130">
        <v>281140</v>
      </c>
      <c r="K23" s="130">
        <v>26783</v>
      </c>
      <c r="L23" s="132">
        <v>885190</v>
      </c>
      <c r="M23" s="133">
        <v>1.415725614237777</v>
      </c>
      <c r="N23" s="133">
        <v>0.70087897588570647</v>
      </c>
      <c r="O23" s="133">
        <v>0.25846701497902497</v>
      </c>
      <c r="P23" s="133">
        <v>7.7312918220290391E-2</v>
      </c>
      <c r="Q23" s="133">
        <v>10.496957024978531</v>
      </c>
      <c r="R23" s="1"/>
      <c r="S23" s="2"/>
    </row>
    <row r="24" spans="1:19" s="3" customFormat="1" ht="16.5" customHeight="1" x14ac:dyDescent="0.25">
      <c r="A24" s="126" t="s">
        <v>32</v>
      </c>
      <c r="B24" s="126">
        <v>830504666</v>
      </c>
      <c r="C24" s="127" t="s">
        <v>44</v>
      </c>
      <c r="D24" s="128" t="s">
        <v>34</v>
      </c>
      <c r="E24" s="129">
        <v>1707806</v>
      </c>
      <c r="F24" s="129">
        <v>3857475</v>
      </c>
      <c r="G24" s="130">
        <v>733726</v>
      </c>
      <c r="H24" s="131">
        <v>1351067</v>
      </c>
      <c r="I24" s="129">
        <v>2506408</v>
      </c>
      <c r="J24" s="130">
        <v>662587</v>
      </c>
      <c r="K24" s="130">
        <v>83614</v>
      </c>
      <c r="L24" s="132">
        <v>974080</v>
      </c>
      <c r="M24" s="133">
        <v>2.3275800503185113</v>
      </c>
      <c r="N24" s="133">
        <v>0.3502464695169768</v>
      </c>
      <c r="O24" s="133">
        <v>0.26435719962591886</v>
      </c>
      <c r="P24" s="133">
        <v>0.17176702376554612</v>
      </c>
      <c r="Q24" s="133">
        <v>7.9243547731241177</v>
      </c>
      <c r="R24" s="1"/>
      <c r="S24" s="2"/>
    </row>
    <row r="25" spans="1:19" s="3" customFormat="1" ht="16.5" customHeight="1" x14ac:dyDescent="0.25">
      <c r="A25" s="126" t="s">
        <v>32</v>
      </c>
      <c r="B25" s="126">
        <v>830054321</v>
      </c>
      <c r="C25" s="127" t="s">
        <v>45</v>
      </c>
      <c r="D25" s="128" t="s">
        <v>34</v>
      </c>
      <c r="E25" s="129">
        <v>1222385</v>
      </c>
      <c r="F25" s="129">
        <v>1222385</v>
      </c>
      <c r="G25" s="130">
        <v>229488</v>
      </c>
      <c r="H25" s="131">
        <v>229488</v>
      </c>
      <c r="I25" s="129">
        <v>992897</v>
      </c>
      <c r="J25" s="130">
        <v>46138</v>
      </c>
      <c r="K25" s="130">
        <v>14764</v>
      </c>
      <c r="L25" s="132">
        <v>992897</v>
      </c>
      <c r="M25" s="133">
        <v>5.3265748100118522</v>
      </c>
      <c r="N25" s="133">
        <v>0.18773790581527097</v>
      </c>
      <c r="O25" s="133">
        <v>4.646806264899582E-2</v>
      </c>
      <c r="P25" s="133">
        <v>3.7744245879980529E-2</v>
      </c>
      <c r="Q25" s="133">
        <v>3.125033866160932</v>
      </c>
      <c r="R25" s="1"/>
      <c r="S25" s="2"/>
    </row>
    <row r="26" spans="1:19" s="3" customFormat="1" ht="16.5" customHeight="1" x14ac:dyDescent="0.25">
      <c r="A26" s="126" t="s">
        <v>32</v>
      </c>
      <c r="B26" s="126">
        <v>805028002</v>
      </c>
      <c r="C26" s="127" t="s">
        <v>46</v>
      </c>
      <c r="D26" s="128" t="s">
        <v>34</v>
      </c>
      <c r="E26" s="129">
        <v>2861179</v>
      </c>
      <c r="F26" s="129">
        <v>4645398</v>
      </c>
      <c r="G26" s="130">
        <v>1733280</v>
      </c>
      <c r="H26" s="131">
        <v>1733280</v>
      </c>
      <c r="I26" s="129">
        <v>2912118</v>
      </c>
      <c r="J26" s="130">
        <v>83468</v>
      </c>
      <c r="K26" s="130">
        <v>8744</v>
      </c>
      <c r="L26" s="132">
        <v>1127899</v>
      </c>
      <c r="M26" s="133">
        <v>1.650730984030278</v>
      </c>
      <c r="N26" s="133">
        <v>0.37311765321292167</v>
      </c>
      <c r="O26" s="133">
        <v>2.866230008536742E-2</v>
      </c>
      <c r="P26" s="133">
        <v>1.7967889941830604E-2</v>
      </c>
      <c r="Q26" s="133">
        <v>9.5457456541628538</v>
      </c>
      <c r="R26" s="1"/>
      <c r="S26" s="2"/>
    </row>
    <row r="27" spans="1:19" s="3" customFormat="1" ht="16.5" customHeight="1" x14ac:dyDescent="0.25">
      <c r="A27" s="126" t="s">
        <v>32</v>
      </c>
      <c r="B27" s="126">
        <v>800115448</v>
      </c>
      <c r="C27" s="127" t="s">
        <v>47</v>
      </c>
      <c r="D27" s="128" t="s">
        <v>34</v>
      </c>
      <c r="E27" s="129">
        <v>5526858</v>
      </c>
      <c r="F27" s="129">
        <v>6419667</v>
      </c>
      <c r="G27" s="130">
        <v>4211878</v>
      </c>
      <c r="H27" s="131">
        <v>5625262</v>
      </c>
      <c r="I27" s="129">
        <v>794405</v>
      </c>
      <c r="J27" s="130">
        <v>793090</v>
      </c>
      <c r="K27" s="130">
        <v>424141</v>
      </c>
      <c r="L27" s="132">
        <v>1314980</v>
      </c>
      <c r="M27" s="133">
        <v>1.3122075235797428</v>
      </c>
      <c r="N27" s="133">
        <v>0.87625448485100554</v>
      </c>
      <c r="O27" s="133">
        <v>0.99834467305719377</v>
      </c>
      <c r="P27" s="133">
        <v>0.12354067586371692</v>
      </c>
      <c r="Q27" s="133">
        <v>1.8698734618912107</v>
      </c>
      <c r="R27" s="1"/>
      <c r="S27" s="2"/>
    </row>
    <row r="28" spans="1:19" s="3" customFormat="1" ht="16.5" customHeight="1" x14ac:dyDescent="0.25">
      <c r="A28" s="126" t="s">
        <v>32</v>
      </c>
      <c r="B28" s="126">
        <v>890929416</v>
      </c>
      <c r="C28" s="127" t="s">
        <v>48</v>
      </c>
      <c r="D28" s="128" t="s">
        <v>34</v>
      </c>
      <c r="E28" s="129">
        <v>2838949</v>
      </c>
      <c r="F28" s="129">
        <v>4720820</v>
      </c>
      <c r="G28" s="130">
        <v>1484638</v>
      </c>
      <c r="H28" s="131">
        <v>1484638</v>
      </c>
      <c r="I28" s="129">
        <v>3236182</v>
      </c>
      <c r="J28" s="130">
        <v>1377951</v>
      </c>
      <c r="K28" s="130">
        <v>177055</v>
      </c>
      <c r="L28" s="132">
        <v>1354311</v>
      </c>
      <c r="M28" s="133">
        <v>1.912216311316294</v>
      </c>
      <c r="N28" s="133">
        <v>0.31448731364466342</v>
      </c>
      <c r="O28" s="133">
        <v>0.42579527356619623</v>
      </c>
      <c r="P28" s="133">
        <v>0.29188806181976862</v>
      </c>
      <c r="Q28" s="133">
        <v>7.782615571432606</v>
      </c>
      <c r="R28" s="1"/>
      <c r="S28" s="2"/>
    </row>
    <row r="29" spans="1:19" s="3" customFormat="1" ht="16.5" customHeight="1" x14ac:dyDescent="0.25">
      <c r="A29" s="126" t="s">
        <v>32</v>
      </c>
      <c r="B29" s="126">
        <v>805012769</v>
      </c>
      <c r="C29" s="127" t="s">
        <v>49</v>
      </c>
      <c r="D29" s="128" t="s">
        <v>34</v>
      </c>
      <c r="E29" s="129">
        <v>1870746</v>
      </c>
      <c r="F29" s="129">
        <v>1976646</v>
      </c>
      <c r="G29" s="130">
        <v>397597</v>
      </c>
      <c r="H29" s="131">
        <v>726911</v>
      </c>
      <c r="I29" s="129">
        <v>1249735</v>
      </c>
      <c r="J29" s="130">
        <v>112090</v>
      </c>
      <c r="K29" s="130">
        <v>57751</v>
      </c>
      <c r="L29" s="132">
        <v>1473149</v>
      </c>
      <c r="M29" s="133">
        <v>4.705131074932658</v>
      </c>
      <c r="N29" s="133">
        <v>0.36774971340341162</v>
      </c>
      <c r="O29" s="133">
        <v>8.9691014495072954E-2</v>
      </c>
      <c r="P29" s="133">
        <v>5.670716961964864E-2</v>
      </c>
      <c r="Q29" s="133">
        <v>1.9409187719693166</v>
      </c>
      <c r="R29" s="1"/>
      <c r="S29" s="2"/>
    </row>
    <row r="30" spans="1:19" s="3" customFormat="1" ht="16.5" customHeight="1" x14ac:dyDescent="0.25">
      <c r="A30" s="126" t="s">
        <v>50</v>
      </c>
      <c r="B30" s="126">
        <v>830097473</v>
      </c>
      <c r="C30" s="127" t="s">
        <v>51</v>
      </c>
      <c r="D30" s="128" t="s">
        <v>34</v>
      </c>
      <c r="E30" s="129">
        <v>4813383</v>
      </c>
      <c r="F30" s="129">
        <v>6722253</v>
      </c>
      <c r="G30" s="130">
        <v>3216051</v>
      </c>
      <c r="H30" s="131">
        <v>4635929</v>
      </c>
      <c r="I30" s="129">
        <v>2086324</v>
      </c>
      <c r="J30" s="130">
        <v>83052</v>
      </c>
      <c r="K30" s="130">
        <v>173784</v>
      </c>
      <c r="L30" s="132">
        <v>1597332</v>
      </c>
      <c r="M30" s="133">
        <v>1.4966749594456059</v>
      </c>
      <c r="N30" s="133">
        <v>0.68963917305700928</v>
      </c>
      <c r="O30" s="133">
        <v>3.9807815085288765E-2</v>
      </c>
      <c r="P30" s="133">
        <v>1.2354786408663882E-2</v>
      </c>
      <c r="Q30" s="133">
        <v>0.47790360447452007</v>
      </c>
      <c r="R30" s="1"/>
      <c r="S30" s="2"/>
    </row>
    <row r="31" spans="1:19" s="3" customFormat="1" ht="16.5" customHeight="1" x14ac:dyDescent="0.25">
      <c r="A31" s="126" t="s">
        <v>32</v>
      </c>
      <c r="B31" s="126">
        <v>890326112</v>
      </c>
      <c r="C31" s="127" t="s">
        <v>52</v>
      </c>
      <c r="D31" s="128" t="s">
        <v>34</v>
      </c>
      <c r="E31" s="129">
        <v>2449443</v>
      </c>
      <c r="F31" s="129">
        <v>3054132</v>
      </c>
      <c r="G31" s="130">
        <v>715809</v>
      </c>
      <c r="H31" s="131">
        <v>1945355</v>
      </c>
      <c r="I31" s="129">
        <v>1108777</v>
      </c>
      <c r="J31" s="130">
        <v>637576</v>
      </c>
      <c r="K31" s="130">
        <v>22441</v>
      </c>
      <c r="L31" s="132">
        <v>1733634</v>
      </c>
      <c r="M31" s="133">
        <v>3.4219226078465064</v>
      </c>
      <c r="N31" s="133">
        <v>0.63695838948676742</v>
      </c>
      <c r="O31" s="133">
        <v>0.57502635786997747</v>
      </c>
      <c r="P31" s="133">
        <v>0.20875849504867505</v>
      </c>
      <c r="Q31" s="133">
        <v>28.41121162158549</v>
      </c>
      <c r="R31" s="1"/>
      <c r="S31" s="2"/>
    </row>
    <row r="32" spans="1:19" s="3" customFormat="1" ht="16.5" customHeight="1" x14ac:dyDescent="0.25">
      <c r="A32" s="126" t="s">
        <v>32</v>
      </c>
      <c r="B32" s="126">
        <v>800039874</v>
      </c>
      <c r="C32" s="127" t="s">
        <v>53</v>
      </c>
      <c r="D32" s="128" t="s">
        <v>34</v>
      </c>
      <c r="E32" s="129">
        <v>2491276</v>
      </c>
      <c r="F32" s="129">
        <v>4577057</v>
      </c>
      <c r="G32" s="130">
        <v>677522</v>
      </c>
      <c r="H32" s="131">
        <v>2486267</v>
      </c>
      <c r="I32" s="129">
        <v>2090790</v>
      </c>
      <c r="J32" s="130">
        <v>505590</v>
      </c>
      <c r="K32" s="130">
        <v>42945</v>
      </c>
      <c r="L32" s="132">
        <v>1813754</v>
      </c>
      <c r="M32" s="133">
        <v>3.6770407455403662</v>
      </c>
      <c r="N32" s="133">
        <v>0.54320210563250582</v>
      </c>
      <c r="O32" s="133">
        <v>0.24181768613777568</v>
      </c>
      <c r="P32" s="133">
        <v>0.11046180984855553</v>
      </c>
      <c r="Q32" s="133">
        <v>11.772965420887182</v>
      </c>
      <c r="R32" s="1"/>
      <c r="S32" s="2"/>
    </row>
    <row r="33" spans="1:19" s="3" customFormat="1" ht="16.5" customHeight="1" x14ac:dyDescent="0.25">
      <c r="A33" s="126" t="s">
        <v>32</v>
      </c>
      <c r="B33" s="126">
        <v>900586030</v>
      </c>
      <c r="C33" s="127" t="s">
        <v>54</v>
      </c>
      <c r="D33" s="128" t="s">
        <v>34</v>
      </c>
      <c r="E33" s="129">
        <v>3776685</v>
      </c>
      <c r="F33" s="129">
        <v>4184205</v>
      </c>
      <c r="G33" s="130">
        <v>1873163</v>
      </c>
      <c r="H33" s="131">
        <v>2253034</v>
      </c>
      <c r="I33" s="129">
        <v>1931171</v>
      </c>
      <c r="J33" s="130">
        <v>739249</v>
      </c>
      <c r="K33" s="130">
        <v>64891</v>
      </c>
      <c r="L33" s="132">
        <v>1903522</v>
      </c>
      <c r="M33" s="133">
        <v>2.0162073455433402</v>
      </c>
      <c r="N33" s="133">
        <v>0.5384616671506296</v>
      </c>
      <c r="O33" s="133">
        <v>0.3827983125264412</v>
      </c>
      <c r="P33" s="133">
        <v>0.17667609498100595</v>
      </c>
      <c r="Q33" s="133">
        <v>11.392165323388451</v>
      </c>
      <c r="R33" s="1"/>
      <c r="S33" s="2"/>
    </row>
    <row r="34" spans="1:19" s="3" customFormat="1" ht="16.5" customHeight="1" x14ac:dyDescent="0.25">
      <c r="A34" s="126" t="s">
        <v>32</v>
      </c>
      <c r="B34" s="126">
        <v>900452511</v>
      </c>
      <c r="C34" s="127" t="s">
        <v>55</v>
      </c>
      <c r="D34" s="128" t="s">
        <v>34</v>
      </c>
      <c r="E34" s="129">
        <v>2648870</v>
      </c>
      <c r="F34" s="129">
        <v>3453684</v>
      </c>
      <c r="G34" s="130">
        <v>742147</v>
      </c>
      <c r="H34" s="131">
        <v>2257563</v>
      </c>
      <c r="I34" s="129">
        <v>1196121</v>
      </c>
      <c r="J34" s="130">
        <v>192116</v>
      </c>
      <c r="K34" s="130"/>
      <c r="L34" s="132">
        <v>1906723</v>
      </c>
      <c r="M34" s="133">
        <v>3.5691985550032541</v>
      </c>
      <c r="N34" s="133">
        <v>0.65366808312514979</v>
      </c>
      <c r="O34" s="133">
        <v>0.16061585742579554</v>
      </c>
      <c r="P34" s="133">
        <v>5.562639778277341E-2</v>
      </c>
      <c r="Q34" s="133" t="s">
        <v>35</v>
      </c>
      <c r="R34" s="1"/>
      <c r="S34" s="2"/>
    </row>
    <row r="35" spans="1:19" s="3" customFormat="1" ht="16.5" customHeight="1" x14ac:dyDescent="0.25">
      <c r="A35" s="126" t="s">
        <v>32</v>
      </c>
      <c r="B35" s="126">
        <v>800240218</v>
      </c>
      <c r="C35" s="127" t="s">
        <v>56</v>
      </c>
      <c r="D35" s="128" t="s">
        <v>34</v>
      </c>
      <c r="E35" s="129">
        <v>5462255</v>
      </c>
      <c r="F35" s="129">
        <v>5813519</v>
      </c>
      <c r="G35" s="130">
        <v>3412903</v>
      </c>
      <c r="H35" s="131">
        <v>4134845</v>
      </c>
      <c r="I35" s="129">
        <v>1678674</v>
      </c>
      <c r="J35" s="130">
        <v>185199</v>
      </c>
      <c r="K35" s="130"/>
      <c r="L35" s="132">
        <v>2049352</v>
      </c>
      <c r="M35" s="133">
        <v>1.6004717977627843</v>
      </c>
      <c r="N35" s="133">
        <v>0.71124649287290542</v>
      </c>
      <c r="O35" s="133">
        <v>0.11032457761304458</v>
      </c>
      <c r="P35" s="133">
        <v>3.185660870808197E-2</v>
      </c>
      <c r="Q35" s="133" t="s">
        <v>35</v>
      </c>
      <c r="R35" s="1"/>
      <c r="S35" s="2"/>
    </row>
    <row r="36" spans="1:19" s="3" customFormat="1" ht="16.5" customHeight="1" x14ac:dyDescent="0.25">
      <c r="A36" s="126" t="s">
        <v>32</v>
      </c>
      <c r="B36" s="126">
        <v>900671570</v>
      </c>
      <c r="C36" s="127" t="s">
        <v>57</v>
      </c>
      <c r="D36" s="128" t="s">
        <v>34</v>
      </c>
      <c r="E36" s="129">
        <v>4031798</v>
      </c>
      <c r="F36" s="129">
        <v>4298682</v>
      </c>
      <c r="G36" s="130">
        <v>1795134</v>
      </c>
      <c r="H36" s="131">
        <v>1795134</v>
      </c>
      <c r="I36" s="129">
        <v>2503548</v>
      </c>
      <c r="J36" s="130">
        <v>453958</v>
      </c>
      <c r="K36" s="130"/>
      <c r="L36" s="132">
        <v>2236664</v>
      </c>
      <c r="M36" s="133">
        <v>2.2459593545662888</v>
      </c>
      <c r="N36" s="133">
        <v>0.41760102282513573</v>
      </c>
      <c r="O36" s="133">
        <v>0.18132586233617251</v>
      </c>
      <c r="P36" s="133">
        <v>0.10560399675993712</v>
      </c>
      <c r="Q36" s="133" t="s">
        <v>35</v>
      </c>
      <c r="R36" s="1"/>
      <c r="S36" s="2"/>
    </row>
    <row r="37" spans="1:19" s="3" customFormat="1" ht="16.5" customHeight="1" x14ac:dyDescent="0.25">
      <c r="A37" s="126" t="s">
        <v>32</v>
      </c>
      <c r="B37" s="126">
        <v>800031781</v>
      </c>
      <c r="C37" s="127" t="s">
        <v>58</v>
      </c>
      <c r="D37" s="128" t="s">
        <v>34</v>
      </c>
      <c r="E37" s="129">
        <v>4089135</v>
      </c>
      <c r="F37" s="129">
        <v>6601402</v>
      </c>
      <c r="G37" s="130">
        <v>1508699</v>
      </c>
      <c r="H37" s="131">
        <v>2562261</v>
      </c>
      <c r="I37" s="129">
        <v>4039141</v>
      </c>
      <c r="J37" s="130">
        <v>351057</v>
      </c>
      <c r="K37" s="130">
        <v>20763</v>
      </c>
      <c r="L37" s="132">
        <v>2580436</v>
      </c>
      <c r="M37" s="133">
        <v>2.7103716513366813</v>
      </c>
      <c r="N37" s="133">
        <v>0.38813891352170343</v>
      </c>
      <c r="O37" s="133">
        <v>8.6913776963963379E-2</v>
      </c>
      <c r="P37" s="133">
        <v>5.317915800310298E-2</v>
      </c>
      <c r="Q37" s="133">
        <v>16.907816789481288</v>
      </c>
      <c r="R37" s="1"/>
    </row>
    <row r="38" spans="1:19" s="3" customFormat="1" ht="16.5" customHeight="1" x14ac:dyDescent="0.25">
      <c r="A38" s="126" t="s">
        <v>50</v>
      </c>
      <c r="B38" s="126">
        <v>800082830</v>
      </c>
      <c r="C38" s="127" t="s">
        <v>59</v>
      </c>
      <c r="D38" s="128" t="s">
        <v>34</v>
      </c>
      <c r="E38" s="129">
        <v>11727277</v>
      </c>
      <c r="F38" s="129">
        <v>18689431</v>
      </c>
      <c r="G38" s="130">
        <v>8913931</v>
      </c>
      <c r="H38" s="131">
        <v>9475802</v>
      </c>
      <c r="I38" s="129">
        <v>9213629</v>
      </c>
      <c r="J38" s="130">
        <v>1469760</v>
      </c>
      <c r="K38" s="130">
        <v>449618</v>
      </c>
      <c r="L38" s="132">
        <v>2813346</v>
      </c>
      <c r="M38" s="133">
        <v>1.3156122702767163</v>
      </c>
      <c r="N38" s="133">
        <v>0.50701393744946011</v>
      </c>
      <c r="O38" s="133">
        <v>0.15952020642463463</v>
      </c>
      <c r="P38" s="133">
        <v>7.8641238462529975E-2</v>
      </c>
      <c r="Q38" s="133">
        <v>3.2689082732452883</v>
      </c>
      <c r="R38" s="1"/>
    </row>
    <row r="39" spans="1:19" s="3" customFormat="1" ht="16.5" customHeight="1" x14ac:dyDescent="0.25">
      <c r="A39" s="126" t="s">
        <v>32</v>
      </c>
      <c r="B39" s="126">
        <v>800102109</v>
      </c>
      <c r="C39" s="127" t="s">
        <v>60</v>
      </c>
      <c r="D39" s="128" t="s">
        <v>34</v>
      </c>
      <c r="E39" s="129">
        <v>4419589</v>
      </c>
      <c r="F39" s="129">
        <v>5818019</v>
      </c>
      <c r="G39" s="130">
        <v>1571254</v>
      </c>
      <c r="H39" s="131">
        <v>2066830</v>
      </c>
      <c r="I39" s="129">
        <v>3751189</v>
      </c>
      <c r="J39" s="130">
        <v>337212</v>
      </c>
      <c r="K39" s="130">
        <v>43133</v>
      </c>
      <c r="L39" s="132">
        <v>2848335</v>
      </c>
      <c r="M39" s="133">
        <v>2.8127782013601874</v>
      </c>
      <c r="N39" s="133">
        <v>0.35524634759700852</v>
      </c>
      <c r="O39" s="133">
        <v>8.9894697387948197E-2</v>
      </c>
      <c r="P39" s="133">
        <v>5.7959934472541254E-2</v>
      </c>
      <c r="Q39" s="133">
        <v>7.8179584077156701</v>
      </c>
      <c r="R39" s="1"/>
    </row>
    <row r="40" spans="1:19" s="3" customFormat="1" ht="16.5" customHeight="1" x14ac:dyDescent="0.25">
      <c r="A40" s="126" t="s">
        <v>32</v>
      </c>
      <c r="B40" s="126">
        <v>830126752</v>
      </c>
      <c r="C40" s="127" t="s">
        <v>61</v>
      </c>
      <c r="D40" s="128" t="s">
        <v>34</v>
      </c>
      <c r="E40" s="129">
        <v>6736521</v>
      </c>
      <c r="F40" s="129">
        <v>7283090</v>
      </c>
      <c r="G40" s="130">
        <v>3871567</v>
      </c>
      <c r="H40" s="131">
        <v>3871567</v>
      </c>
      <c r="I40" s="129">
        <v>3411523</v>
      </c>
      <c r="J40" s="130">
        <v>510406</v>
      </c>
      <c r="K40" s="130"/>
      <c r="L40" s="132">
        <v>2864954</v>
      </c>
      <c r="M40" s="133">
        <v>1.7399985587231217</v>
      </c>
      <c r="N40" s="133">
        <v>0.53158302313990358</v>
      </c>
      <c r="O40" s="133">
        <v>0.14961235788238861</v>
      </c>
      <c r="P40" s="133">
        <v>7.0080968380179298E-2</v>
      </c>
      <c r="Q40" s="133" t="s">
        <v>35</v>
      </c>
      <c r="R40" s="1"/>
    </row>
    <row r="41" spans="1:19" s="3" customFormat="1" ht="16.5" customHeight="1" x14ac:dyDescent="0.25">
      <c r="A41" s="126" t="s">
        <v>32</v>
      </c>
      <c r="B41" s="126">
        <v>890319324</v>
      </c>
      <c r="C41" s="127" t="s">
        <v>62</v>
      </c>
      <c r="D41" s="128" t="s">
        <v>34</v>
      </c>
      <c r="E41" s="129">
        <v>8924219</v>
      </c>
      <c r="F41" s="129">
        <v>12111775</v>
      </c>
      <c r="G41" s="130">
        <v>5997979</v>
      </c>
      <c r="H41" s="131">
        <v>5997979</v>
      </c>
      <c r="I41" s="129">
        <v>6113796</v>
      </c>
      <c r="J41" s="130">
        <v>928128</v>
      </c>
      <c r="K41" s="130">
        <v>6904</v>
      </c>
      <c r="L41" s="132">
        <v>2926240</v>
      </c>
      <c r="M41" s="133">
        <v>1.4878709978811195</v>
      </c>
      <c r="N41" s="133">
        <v>0.49521882630745701</v>
      </c>
      <c r="O41" s="133">
        <v>0.15180879440530892</v>
      </c>
      <c r="P41" s="133">
        <v>7.663022141676179E-2</v>
      </c>
      <c r="Q41" s="133">
        <v>134.43337195828505</v>
      </c>
      <c r="R41" s="1"/>
    </row>
    <row r="42" spans="1:19" s="3" customFormat="1" ht="16.5" customHeight="1" x14ac:dyDescent="0.25">
      <c r="A42" s="126" t="s">
        <v>32</v>
      </c>
      <c r="B42" s="126">
        <v>800026914</v>
      </c>
      <c r="C42" s="127" t="s">
        <v>63</v>
      </c>
      <c r="D42" s="128" t="s">
        <v>34</v>
      </c>
      <c r="E42" s="129">
        <v>4821863</v>
      </c>
      <c r="F42" s="129">
        <v>8374761</v>
      </c>
      <c r="G42" s="130">
        <v>1715699</v>
      </c>
      <c r="H42" s="131">
        <v>4173483</v>
      </c>
      <c r="I42" s="129">
        <v>4201278</v>
      </c>
      <c r="J42" s="130">
        <v>224912</v>
      </c>
      <c r="K42" s="130">
        <v>58602</v>
      </c>
      <c r="L42" s="132">
        <v>3106164</v>
      </c>
      <c r="M42" s="133">
        <v>2.8104364460199602</v>
      </c>
      <c r="N42" s="133">
        <v>0.49834054965867086</v>
      </c>
      <c r="O42" s="133">
        <v>5.3534186502297632E-2</v>
      </c>
      <c r="P42" s="133">
        <v>2.6855930575212832E-2</v>
      </c>
      <c r="Q42" s="133">
        <v>3.8379577488822907</v>
      </c>
      <c r="R42" s="1"/>
    </row>
    <row r="43" spans="1:19" s="3" customFormat="1" ht="16.5" customHeight="1" x14ac:dyDescent="0.25">
      <c r="A43" s="126" t="s">
        <v>32</v>
      </c>
      <c r="B43" s="126">
        <v>800220717</v>
      </c>
      <c r="C43" s="127" t="s">
        <v>64</v>
      </c>
      <c r="D43" s="128" t="s">
        <v>34</v>
      </c>
      <c r="E43" s="129">
        <v>4105616</v>
      </c>
      <c r="F43" s="129">
        <v>4260952</v>
      </c>
      <c r="G43" s="130">
        <v>752066</v>
      </c>
      <c r="H43" s="131">
        <v>752066</v>
      </c>
      <c r="I43" s="129">
        <v>3508886</v>
      </c>
      <c r="J43" s="130">
        <v>529415</v>
      </c>
      <c r="K43" s="130">
        <v>23868</v>
      </c>
      <c r="L43" s="132">
        <v>3353550</v>
      </c>
      <c r="M43" s="133">
        <v>5.4591166200838757</v>
      </c>
      <c r="N43" s="133">
        <v>0.17650187094339481</v>
      </c>
      <c r="O43" s="133">
        <v>0.15087836994419312</v>
      </c>
      <c r="P43" s="133">
        <v>0.12424805536415336</v>
      </c>
      <c r="Q43" s="133">
        <v>22.180953578012403</v>
      </c>
      <c r="R43" s="1"/>
    </row>
    <row r="44" spans="1:19" s="3" customFormat="1" ht="16.5" customHeight="1" x14ac:dyDescent="0.25">
      <c r="A44" s="126" t="s">
        <v>32</v>
      </c>
      <c r="B44" s="126">
        <v>900720377</v>
      </c>
      <c r="C44" s="127" t="s">
        <v>65</v>
      </c>
      <c r="D44" s="128" t="s">
        <v>34</v>
      </c>
      <c r="E44" s="129">
        <v>8456507</v>
      </c>
      <c r="F44" s="129">
        <v>9382884</v>
      </c>
      <c r="G44" s="130">
        <v>4786596</v>
      </c>
      <c r="H44" s="131">
        <v>7780265</v>
      </c>
      <c r="I44" s="129">
        <v>1602619</v>
      </c>
      <c r="J44" s="130">
        <v>615156</v>
      </c>
      <c r="K44" s="130">
        <v>591421</v>
      </c>
      <c r="L44" s="132">
        <v>3669911</v>
      </c>
      <c r="M44" s="133">
        <v>1.7667058176624892</v>
      </c>
      <c r="N44" s="133">
        <v>0.82919761131012593</v>
      </c>
      <c r="O44" s="133">
        <v>0.38384419503325495</v>
      </c>
      <c r="P44" s="133">
        <v>6.5561505396421832E-2</v>
      </c>
      <c r="Q44" s="133">
        <v>1.0401321562812278</v>
      </c>
      <c r="R44" s="1"/>
    </row>
    <row r="45" spans="1:19" s="3" customFormat="1" ht="16.5" customHeight="1" x14ac:dyDescent="0.25">
      <c r="A45" s="126" t="s">
        <v>32</v>
      </c>
      <c r="B45" s="126">
        <v>800229535</v>
      </c>
      <c r="C45" s="127" t="s">
        <v>66</v>
      </c>
      <c r="D45" s="128" t="s">
        <v>34</v>
      </c>
      <c r="E45" s="129">
        <v>9594779</v>
      </c>
      <c r="F45" s="129">
        <v>10539750</v>
      </c>
      <c r="G45" s="130">
        <v>5782568</v>
      </c>
      <c r="H45" s="131">
        <v>6028069</v>
      </c>
      <c r="I45" s="129">
        <v>4511681</v>
      </c>
      <c r="J45" s="130">
        <v>1135079</v>
      </c>
      <c r="K45" s="130">
        <v>185137</v>
      </c>
      <c r="L45" s="132">
        <v>3812211</v>
      </c>
      <c r="M45" s="133">
        <v>1.65925917343298</v>
      </c>
      <c r="N45" s="133">
        <v>0.57193662088759223</v>
      </c>
      <c r="O45" s="133">
        <v>0.25158671457490012</v>
      </c>
      <c r="P45" s="133">
        <v>0.1076950591807206</v>
      </c>
      <c r="Q45" s="133">
        <v>6.1310218918962711</v>
      </c>
      <c r="R45" s="1"/>
    </row>
    <row r="46" spans="1:19" s="3" customFormat="1" ht="16.5" customHeight="1" x14ac:dyDescent="0.25">
      <c r="A46" s="126" t="s">
        <v>32</v>
      </c>
      <c r="B46" s="126">
        <v>830512587</v>
      </c>
      <c r="C46" s="127" t="s">
        <v>67</v>
      </c>
      <c r="D46" s="128" t="s">
        <v>34</v>
      </c>
      <c r="E46" s="129">
        <v>7324617</v>
      </c>
      <c r="F46" s="129">
        <v>7341242</v>
      </c>
      <c r="G46" s="130">
        <v>3321276</v>
      </c>
      <c r="H46" s="131">
        <v>4328284</v>
      </c>
      <c r="I46" s="129">
        <v>3012958</v>
      </c>
      <c r="J46" s="130">
        <v>105573</v>
      </c>
      <c r="K46" s="130">
        <v>35358</v>
      </c>
      <c r="L46" s="132">
        <v>4003341</v>
      </c>
      <c r="M46" s="133">
        <v>2.2053623366441091</v>
      </c>
      <c r="N46" s="133">
        <v>0.58958470514934669</v>
      </c>
      <c r="O46" s="133">
        <v>3.5039652062856502E-2</v>
      </c>
      <c r="P46" s="133">
        <v>1.4380809132841555E-2</v>
      </c>
      <c r="Q46" s="133">
        <v>2.9858306465297813</v>
      </c>
      <c r="R46" s="1"/>
    </row>
    <row r="47" spans="1:19" s="3" customFormat="1" ht="16.5" customHeight="1" x14ac:dyDescent="0.25">
      <c r="A47" s="126" t="s">
        <v>32</v>
      </c>
      <c r="B47" s="126">
        <v>890300412</v>
      </c>
      <c r="C47" s="127" t="s">
        <v>68</v>
      </c>
      <c r="D47" s="128" t="s">
        <v>34</v>
      </c>
      <c r="E47" s="129">
        <v>9163514</v>
      </c>
      <c r="F47" s="129">
        <v>14390978</v>
      </c>
      <c r="G47" s="130">
        <v>4460359</v>
      </c>
      <c r="H47" s="131">
        <v>6663949</v>
      </c>
      <c r="I47" s="129">
        <v>7727029</v>
      </c>
      <c r="J47" s="130">
        <v>333340</v>
      </c>
      <c r="K47" s="130">
        <v>423578</v>
      </c>
      <c r="L47" s="132">
        <v>4703155</v>
      </c>
      <c r="M47" s="133">
        <v>2.0544341834368041</v>
      </c>
      <c r="N47" s="133">
        <v>0.46306435879479491</v>
      </c>
      <c r="O47" s="133">
        <v>4.3139478316957268E-2</v>
      </c>
      <c r="P47" s="133">
        <v>2.3163123451373491E-2</v>
      </c>
      <c r="Q47" s="133">
        <v>0.78696249569146648</v>
      </c>
      <c r="R47" s="1"/>
    </row>
    <row r="48" spans="1:19" s="3" customFormat="1" ht="16.5" customHeight="1" x14ac:dyDescent="0.25">
      <c r="A48" s="126" t="s">
        <v>32</v>
      </c>
      <c r="B48" s="126">
        <v>802023119</v>
      </c>
      <c r="C48" s="127" t="s">
        <v>69</v>
      </c>
      <c r="D48" s="128" t="s">
        <v>34</v>
      </c>
      <c r="E48" s="129">
        <v>6406157</v>
      </c>
      <c r="F48" s="129">
        <v>10163901</v>
      </c>
      <c r="G48" s="130">
        <v>1205002</v>
      </c>
      <c r="H48" s="131">
        <v>5642430</v>
      </c>
      <c r="I48" s="129">
        <v>4521471</v>
      </c>
      <c r="J48" s="130">
        <v>2122283</v>
      </c>
      <c r="K48" s="130">
        <v>799579</v>
      </c>
      <c r="L48" s="132">
        <v>5201155</v>
      </c>
      <c r="M48" s="133">
        <v>5.3163040393293954</v>
      </c>
      <c r="N48" s="133">
        <v>0.55514413215949265</v>
      </c>
      <c r="O48" s="133">
        <v>0.46937888134193495</v>
      </c>
      <c r="P48" s="133">
        <v>0.20880594960537296</v>
      </c>
      <c r="Q48" s="133">
        <v>2.6542505493515964</v>
      </c>
      <c r="R48" s="1"/>
    </row>
    <row r="49" spans="1:25" s="3" customFormat="1" ht="16.5" customHeight="1" x14ac:dyDescent="0.25">
      <c r="A49" s="126" t="s">
        <v>32</v>
      </c>
      <c r="B49" s="126">
        <v>900665625</v>
      </c>
      <c r="C49" s="127" t="s">
        <v>70</v>
      </c>
      <c r="D49" s="128" t="s">
        <v>34</v>
      </c>
      <c r="E49" s="129">
        <v>9331194</v>
      </c>
      <c r="F49" s="129">
        <v>10440052</v>
      </c>
      <c r="G49" s="130">
        <v>3581528</v>
      </c>
      <c r="H49" s="131">
        <v>3581528</v>
      </c>
      <c r="I49" s="129">
        <v>6858524</v>
      </c>
      <c r="J49" s="130">
        <v>229053</v>
      </c>
      <c r="K49" s="130">
        <v>3582</v>
      </c>
      <c r="L49" s="132">
        <v>5749666</v>
      </c>
      <c r="M49" s="133">
        <v>2.6053667596623562</v>
      </c>
      <c r="N49" s="133">
        <v>0.34305652883721272</v>
      </c>
      <c r="O49" s="133">
        <v>3.3396835820651789E-2</v>
      </c>
      <c r="P49" s="133">
        <v>2.1939833249872701E-2</v>
      </c>
      <c r="Q49" s="133">
        <v>63.945561139028477</v>
      </c>
      <c r="R49" s="1"/>
    </row>
    <row r="50" spans="1:25" s="3" customFormat="1" ht="16.5" customHeight="1" x14ac:dyDescent="0.25">
      <c r="A50" s="126" t="s">
        <v>32</v>
      </c>
      <c r="B50" s="126">
        <v>890402550</v>
      </c>
      <c r="C50" s="127" t="s">
        <v>71</v>
      </c>
      <c r="D50" s="128" t="s">
        <v>34</v>
      </c>
      <c r="E50" s="129">
        <v>13403026</v>
      </c>
      <c r="F50" s="129">
        <v>20285312</v>
      </c>
      <c r="G50" s="130">
        <v>7078028</v>
      </c>
      <c r="H50" s="131">
        <v>12219175</v>
      </c>
      <c r="I50" s="129">
        <v>8066137</v>
      </c>
      <c r="J50" s="130">
        <v>451527</v>
      </c>
      <c r="K50" s="130"/>
      <c r="L50" s="132">
        <v>6324998</v>
      </c>
      <c r="M50" s="133">
        <v>1.8936101976426203</v>
      </c>
      <c r="N50" s="133">
        <v>0.60236564268767467</v>
      </c>
      <c r="O50" s="133">
        <v>5.5978097074225248E-2</v>
      </c>
      <c r="P50" s="133">
        <v>2.2258814653676514E-2</v>
      </c>
      <c r="Q50" s="133" t="s">
        <v>35</v>
      </c>
      <c r="R50" s="1"/>
    </row>
    <row r="51" spans="1:25" s="3" customFormat="1" ht="16.5" customHeight="1" x14ac:dyDescent="0.25">
      <c r="A51" s="126" t="s">
        <v>32</v>
      </c>
      <c r="B51" s="126">
        <v>900135524</v>
      </c>
      <c r="C51" s="127" t="s">
        <v>72</v>
      </c>
      <c r="D51" s="128" t="s">
        <v>34</v>
      </c>
      <c r="E51" s="129">
        <v>9513466</v>
      </c>
      <c r="F51" s="129">
        <v>10155941</v>
      </c>
      <c r="G51" s="130">
        <v>2989762</v>
      </c>
      <c r="H51" s="131">
        <v>7767669</v>
      </c>
      <c r="I51" s="129">
        <v>2388272</v>
      </c>
      <c r="J51" s="130">
        <v>1394342</v>
      </c>
      <c r="K51" s="130">
        <v>14608</v>
      </c>
      <c r="L51" s="132">
        <v>6523704</v>
      </c>
      <c r="M51" s="133">
        <v>3.1820144881097558</v>
      </c>
      <c r="N51" s="133">
        <v>0.76483990996009132</v>
      </c>
      <c r="O51" s="133">
        <v>0.58382881011878041</v>
      </c>
      <c r="P51" s="133">
        <v>0.13729323555542514</v>
      </c>
      <c r="Q51" s="133">
        <v>95.450575027382257</v>
      </c>
      <c r="R51" s="1"/>
    </row>
    <row r="52" spans="1:25" s="3" customFormat="1" ht="16.5" customHeight="1" x14ac:dyDescent="0.25">
      <c r="A52" s="126" t="s">
        <v>32</v>
      </c>
      <c r="B52" s="126">
        <v>800187070</v>
      </c>
      <c r="C52" s="127" t="s">
        <v>73</v>
      </c>
      <c r="D52" s="128" t="s">
        <v>34</v>
      </c>
      <c r="E52" s="129">
        <v>13845095</v>
      </c>
      <c r="F52" s="129">
        <v>20385776</v>
      </c>
      <c r="G52" s="130">
        <v>6240382</v>
      </c>
      <c r="H52" s="131">
        <v>8192444</v>
      </c>
      <c r="I52" s="129">
        <v>12193332</v>
      </c>
      <c r="J52" s="130">
        <v>3032964</v>
      </c>
      <c r="K52" s="130">
        <v>619770</v>
      </c>
      <c r="L52" s="132">
        <v>7604713</v>
      </c>
      <c r="M52" s="133">
        <v>2.2186294044178707</v>
      </c>
      <c r="N52" s="133">
        <v>0.40187059840155215</v>
      </c>
      <c r="O52" s="133">
        <v>0.24873955699721784</v>
      </c>
      <c r="P52" s="133">
        <v>0.14877844238060892</v>
      </c>
      <c r="Q52" s="133">
        <v>4.8936928215305677</v>
      </c>
      <c r="R52" s="1"/>
    </row>
    <row r="53" spans="1:25" s="3" customFormat="1" ht="16.5" customHeight="1" x14ac:dyDescent="0.25">
      <c r="A53" s="126" t="s">
        <v>32</v>
      </c>
      <c r="B53" s="126">
        <v>800197546</v>
      </c>
      <c r="C53" s="127" t="s">
        <v>74</v>
      </c>
      <c r="D53" s="128" t="s">
        <v>34</v>
      </c>
      <c r="E53" s="129">
        <v>11249134</v>
      </c>
      <c r="F53" s="129">
        <v>11303115</v>
      </c>
      <c r="G53" s="130">
        <v>3614056</v>
      </c>
      <c r="H53" s="131">
        <v>8560703</v>
      </c>
      <c r="I53" s="129">
        <v>2742412</v>
      </c>
      <c r="J53" s="130">
        <v>-1199021</v>
      </c>
      <c r="K53" s="130">
        <v>427546</v>
      </c>
      <c r="L53" s="132">
        <v>7635078</v>
      </c>
      <c r="M53" s="133">
        <v>3.112606445500568</v>
      </c>
      <c r="N53" s="133">
        <v>0.75737555532258138</v>
      </c>
      <c r="O53" s="133">
        <v>-0.43721402911014101</v>
      </c>
      <c r="P53" s="133">
        <v>-0.10607881101802467</v>
      </c>
      <c r="Q53" s="133">
        <v>-2.8044257226123035</v>
      </c>
      <c r="R53" s="1"/>
    </row>
    <row r="54" spans="1:25" s="3" customFormat="1" ht="16.5" customHeight="1" x14ac:dyDescent="0.25">
      <c r="A54" s="126" t="s">
        <v>32</v>
      </c>
      <c r="B54" s="126">
        <v>890930614</v>
      </c>
      <c r="C54" s="127" t="s">
        <v>75</v>
      </c>
      <c r="D54" s="128" t="s">
        <v>34</v>
      </c>
      <c r="E54" s="129">
        <v>48429650</v>
      </c>
      <c r="F54" s="129">
        <v>50233488</v>
      </c>
      <c r="G54" s="130">
        <v>37753771</v>
      </c>
      <c r="H54" s="131">
        <v>39739921</v>
      </c>
      <c r="I54" s="129">
        <v>10493567</v>
      </c>
      <c r="J54" s="130">
        <v>7894136</v>
      </c>
      <c r="K54" s="130"/>
      <c r="L54" s="132">
        <v>10675879</v>
      </c>
      <c r="M54" s="133">
        <v>1.2827764940355231</v>
      </c>
      <c r="N54" s="133">
        <v>0.79110415346829988</v>
      </c>
      <c r="O54" s="133">
        <v>0.75228337513831089</v>
      </c>
      <c r="P54" s="133">
        <v>0.15714887248124199</v>
      </c>
      <c r="Q54" s="133" t="s">
        <v>35</v>
      </c>
      <c r="R54" s="1"/>
    </row>
    <row r="55" spans="1:25" s="3" customFormat="1" ht="16.5" customHeight="1" x14ac:dyDescent="0.25">
      <c r="A55" s="126" t="s">
        <v>32</v>
      </c>
      <c r="B55" s="126">
        <v>800250926</v>
      </c>
      <c r="C55" s="127" t="s">
        <v>76</v>
      </c>
      <c r="D55" s="128" t="s">
        <v>34</v>
      </c>
      <c r="E55" s="129">
        <v>40163815</v>
      </c>
      <c r="F55" s="129">
        <v>62911400</v>
      </c>
      <c r="G55" s="130">
        <v>27611654</v>
      </c>
      <c r="H55" s="131">
        <v>36059739</v>
      </c>
      <c r="I55" s="129">
        <v>26851661</v>
      </c>
      <c r="J55" s="130">
        <v>7304410</v>
      </c>
      <c r="K55" s="130">
        <v>1445142</v>
      </c>
      <c r="L55" s="132">
        <v>12552161</v>
      </c>
      <c r="M55" s="133">
        <v>1.4545964903080417</v>
      </c>
      <c r="N55" s="133">
        <v>0.57318290484713419</v>
      </c>
      <c r="O55" s="133">
        <v>0.27202823691242045</v>
      </c>
      <c r="P55" s="133">
        <v>0.11610630187851487</v>
      </c>
      <c r="Q55" s="133">
        <v>5.0544583162069889</v>
      </c>
      <c r="R55" s="1"/>
    </row>
    <row r="56" spans="1:25" s="3" customFormat="1" ht="16.5" customHeight="1" x14ac:dyDescent="0.25">
      <c r="A56" s="126" t="s">
        <v>32</v>
      </c>
      <c r="B56" s="126">
        <v>860045700</v>
      </c>
      <c r="C56" s="127" t="s">
        <v>77</v>
      </c>
      <c r="D56" s="128" t="s">
        <v>34</v>
      </c>
      <c r="E56" s="129">
        <v>20678442</v>
      </c>
      <c r="F56" s="129">
        <v>25280977</v>
      </c>
      <c r="G56" s="130">
        <v>6078672</v>
      </c>
      <c r="H56" s="131">
        <v>9513119</v>
      </c>
      <c r="I56" s="129">
        <v>15767858</v>
      </c>
      <c r="J56" s="130">
        <v>8819152</v>
      </c>
      <c r="K56" s="130">
        <v>77793</v>
      </c>
      <c r="L56" s="132">
        <v>14599770</v>
      </c>
      <c r="M56" s="133">
        <v>3.4018025647707262</v>
      </c>
      <c r="N56" s="133">
        <v>0.3762955442742581</v>
      </c>
      <c r="O56" s="133">
        <v>0.55931198771576962</v>
      </c>
      <c r="P56" s="133">
        <v>0.34884537887914696</v>
      </c>
      <c r="Q56" s="133">
        <v>113.36690961911741</v>
      </c>
      <c r="R56" s="1"/>
    </row>
    <row r="57" spans="1:25" x14ac:dyDescent="0.25">
      <c r="B57" s="20"/>
      <c r="C57" s="20"/>
      <c r="D57" s="20"/>
      <c r="E57" s="21"/>
      <c r="F57" s="21"/>
      <c r="G57" s="22"/>
      <c r="H57" s="21"/>
      <c r="M57" s="23"/>
      <c r="N57" s="24"/>
      <c r="O57" s="25"/>
      <c r="P57" s="23"/>
      <c r="Q57" s="26"/>
      <c r="R57" s="27"/>
      <c r="S57" s="28"/>
      <c r="T57" s="29"/>
      <c r="U57" s="28"/>
      <c r="V57" s="29"/>
      <c r="W57" s="27"/>
      <c r="X57" s="28"/>
      <c r="Y57" s="29"/>
    </row>
    <row r="58" spans="1:25" s="39" customFormat="1" ht="25.5" customHeight="1" x14ac:dyDescent="0.25">
      <c r="B58" s="140" t="s">
        <v>78</v>
      </c>
      <c r="C58" s="140"/>
      <c r="D58" s="140"/>
      <c r="E58" s="140"/>
      <c r="F58" s="140"/>
      <c r="G58" s="140"/>
      <c r="H58" s="140"/>
      <c r="I58" s="140"/>
      <c r="J58" s="140"/>
      <c r="K58" s="140"/>
      <c r="L58" s="40"/>
      <c r="M58" s="41"/>
      <c r="N58" s="42"/>
      <c r="O58" s="43"/>
      <c r="P58" s="41"/>
      <c r="Q58" s="44"/>
      <c r="R58" s="45"/>
      <c r="S58" s="46"/>
      <c r="T58" s="47"/>
      <c r="U58" s="46"/>
      <c r="V58" s="47"/>
      <c r="W58" s="45"/>
      <c r="X58" s="46"/>
      <c r="Y58" s="47"/>
    </row>
    <row r="59" spans="1:25" s="39" customFormat="1" ht="15.75" x14ac:dyDescent="0.25">
      <c r="F59" s="48"/>
      <c r="L59" s="40"/>
      <c r="M59" s="49"/>
      <c r="N59" s="42"/>
      <c r="O59" s="43"/>
      <c r="P59" s="41"/>
      <c r="Q59" s="44"/>
      <c r="R59" s="45"/>
      <c r="S59" s="46"/>
      <c r="T59" s="47"/>
      <c r="U59" s="46"/>
      <c r="V59" s="47"/>
      <c r="W59" s="45"/>
      <c r="X59" s="46"/>
      <c r="Y59" s="47"/>
    </row>
    <row r="60" spans="1:25" s="39" customFormat="1" ht="15.75" x14ac:dyDescent="0.25">
      <c r="F60" s="48"/>
      <c r="L60" s="40"/>
      <c r="M60" s="41"/>
      <c r="N60" s="42"/>
      <c r="O60" s="43"/>
      <c r="P60" s="41"/>
      <c r="Q60" s="44"/>
      <c r="R60" s="45"/>
      <c r="S60" s="46"/>
      <c r="T60" s="47"/>
      <c r="U60" s="46"/>
      <c r="V60" s="47"/>
      <c r="W60" s="45"/>
      <c r="X60" s="46"/>
      <c r="Y60" s="47"/>
    </row>
    <row r="61" spans="1:25" s="39" customFormat="1" ht="15.75" x14ac:dyDescent="0.25">
      <c r="C61" s="33" t="s">
        <v>79</v>
      </c>
      <c r="D61" s="144" t="s">
        <v>80</v>
      </c>
      <c r="E61" s="145"/>
      <c r="F61" s="48"/>
      <c r="L61" s="40"/>
      <c r="M61" s="41"/>
      <c r="N61" s="50"/>
      <c r="O61" s="43"/>
      <c r="P61" s="41"/>
      <c r="Q61" s="44"/>
      <c r="R61" s="45"/>
      <c r="S61" s="46"/>
      <c r="T61" s="47"/>
      <c r="U61" s="46"/>
      <c r="V61" s="47"/>
      <c r="W61" s="45"/>
      <c r="X61" s="46"/>
      <c r="Y61" s="47"/>
    </row>
    <row r="62" spans="1:25" s="39" customFormat="1" ht="15.75" x14ac:dyDescent="0.25">
      <c r="C62" s="34" t="s">
        <v>81</v>
      </c>
      <c r="D62" s="35">
        <f>COUNTIF(L15:L56,"&lt;0")</f>
        <v>3</v>
      </c>
      <c r="E62" s="36">
        <f t="shared" ref="E62:E67" si="0">+D62/$C$150</f>
        <v>7.1428571428571425E-2</v>
      </c>
      <c r="F62" s="48"/>
      <c r="L62" s="40"/>
      <c r="M62" s="41"/>
      <c r="N62" s="50"/>
      <c r="O62" s="43"/>
      <c r="P62" s="41"/>
      <c r="Q62" s="44"/>
      <c r="R62" s="45"/>
      <c r="S62" s="46"/>
      <c r="T62" s="47"/>
      <c r="U62" s="46"/>
      <c r="V62" s="47"/>
      <c r="W62" s="45"/>
      <c r="X62" s="46"/>
      <c r="Y62" s="47"/>
    </row>
    <row r="63" spans="1:25" s="39" customFormat="1" ht="15.75" x14ac:dyDescent="0.25">
      <c r="C63" s="34" t="s">
        <v>82</v>
      </c>
      <c r="D63" s="35">
        <f>COUNTIF(L15:L56,"&gt;0")-COUNTIF(L15:L56,"&gt;1000000")</f>
        <v>8</v>
      </c>
      <c r="E63" s="36">
        <f t="shared" si="0"/>
        <v>0.19047619047619047</v>
      </c>
      <c r="F63" s="48"/>
      <c r="L63" s="40"/>
      <c r="M63" s="41"/>
      <c r="N63" s="49"/>
      <c r="O63" s="43"/>
      <c r="P63" s="41"/>
      <c r="Q63" s="44"/>
      <c r="R63" s="45"/>
      <c r="S63" s="46"/>
      <c r="T63" s="47"/>
      <c r="U63" s="46"/>
      <c r="V63" s="47"/>
      <c r="W63" s="45"/>
      <c r="X63" s="46"/>
      <c r="Y63" s="47"/>
    </row>
    <row r="64" spans="1:25" s="39" customFormat="1" ht="15.75" x14ac:dyDescent="0.25">
      <c r="C64" s="34" t="s">
        <v>83</v>
      </c>
      <c r="D64" s="35">
        <f>COUNTIF(L15:L56,"&gt;1000000")-COUNTIF(L15:L56,"&gt;2000000")</f>
        <v>9</v>
      </c>
      <c r="E64" s="36">
        <f t="shared" si="0"/>
        <v>0.21428571428571427</v>
      </c>
      <c r="F64" s="48"/>
      <c r="L64" s="40"/>
      <c r="M64" s="41"/>
      <c r="N64" s="42"/>
      <c r="O64" s="43"/>
      <c r="P64" s="41"/>
      <c r="Q64" s="44"/>
      <c r="R64" s="45"/>
      <c r="S64" s="46"/>
      <c r="T64" s="47"/>
      <c r="U64" s="46"/>
      <c r="V64" s="47"/>
      <c r="W64" s="45"/>
      <c r="X64" s="46"/>
      <c r="Y64" s="47"/>
    </row>
    <row r="65" spans="2:25" s="39" customFormat="1" ht="15.75" x14ac:dyDescent="0.25">
      <c r="C65" s="34" t="s">
        <v>84</v>
      </c>
      <c r="D65" s="35">
        <f>COUNTIF(L15:L56,"&gt;2000000")-COUNTIF(L15:L56,"&gt;3000000")</f>
        <v>7</v>
      </c>
      <c r="E65" s="36">
        <f t="shared" si="0"/>
        <v>0.16666666666666666</v>
      </c>
      <c r="F65" s="48"/>
      <c r="L65" s="40"/>
      <c r="M65" s="41"/>
      <c r="N65" s="42"/>
      <c r="O65" s="43"/>
      <c r="P65" s="41"/>
      <c r="Q65" s="44"/>
      <c r="R65" s="45"/>
      <c r="S65" s="46"/>
      <c r="T65" s="47"/>
      <c r="U65" s="46"/>
      <c r="V65" s="47"/>
      <c r="W65" s="45"/>
      <c r="X65" s="46"/>
      <c r="Y65" s="47"/>
    </row>
    <row r="66" spans="2:25" s="39" customFormat="1" ht="15.75" x14ac:dyDescent="0.25">
      <c r="C66" s="34" t="s">
        <v>85</v>
      </c>
      <c r="D66" s="35">
        <f>COUNTIF(L15:L56,"&gt;3000000")-COUNTIF(L15:L56,"&gt;4000000")</f>
        <v>4</v>
      </c>
      <c r="E66" s="36">
        <f t="shared" si="0"/>
        <v>9.5238095238095233E-2</v>
      </c>
      <c r="F66" s="48"/>
      <c r="L66" s="40"/>
      <c r="M66" s="41"/>
      <c r="N66" s="42"/>
      <c r="O66" s="43"/>
      <c r="P66" s="41"/>
      <c r="Q66" s="44"/>
      <c r="R66" s="45"/>
      <c r="S66" s="46"/>
      <c r="T66" s="47"/>
      <c r="U66" s="46"/>
      <c r="V66" s="47"/>
      <c r="W66" s="45"/>
      <c r="X66" s="46"/>
      <c r="Y66" s="47"/>
    </row>
    <row r="67" spans="2:25" s="39" customFormat="1" ht="15.75" x14ac:dyDescent="0.25">
      <c r="C67" s="34" t="s">
        <v>86</v>
      </c>
      <c r="D67" s="35">
        <f>COUNTIF(L15:L56,"&gt;4000000")</f>
        <v>11</v>
      </c>
      <c r="E67" s="36">
        <f t="shared" si="0"/>
        <v>0.26190476190476192</v>
      </c>
      <c r="F67" s="48"/>
      <c r="L67" s="40"/>
      <c r="M67" s="41"/>
      <c r="N67" s="42"/>
      <c r="O67" s="43"/>
      <c r="P67" s="41"/>
      <c r="Q67" s="44"/>
      <c r="R67" s="45"/>
      <c r="S67" s="46"/>
      <c r="T67" s="47"/>
      <c r="U67" s="46"/>
      <c r="V67" s="47"/>
      <c r="W67" s="45"/>
      <c r="X67" s="46"/>
      <c r="Y67" s="47"/>
    </row>
    <row r="68" spans="2:25" s="39" customFormat="1" ht="15.75" x14ac:dyDescent="0.25">
      <c r="C68" s="33" t="s">
        <v>87</v>
      </c>
      <c r="D68" s="37">
        <f>SUM(D62:D67)</f>
        <v>42</v>
      </c>
      <c r="E68" s="38">
        <f>SUM(E62:E67)</f>
        <v>1</v>
      </c>
      <c r="F68" s="48"/>
      <c r="L68" s="40"/>
      <c r="M68" s="41"/>
      <c r="N68" s="42"/>
      <c r="O68" s="43"/>
      <c r="P68" s="41"/>
      <c r="Q68" s="44"/>
      <c r="R68" s="45"/>
      <c r="S68" s="46"/>
      <c r="T68" s="47"/>
      <c r="U68" s="46"/>
      <c r="V68" s="47"/>
      <c r="W68" s="45"/>
      <c r="X68" s="46"/>
      <c r="Y68" s="47"/>
    </row>
    <row r="69" spans="2:25" s="39" customFormat="1" ht="15.75" x14ac:dyDescent="0.25">
      <c r="C69" s="51"/>
      <c r="D69" s="52"/>
      <c r="E69" s="53"/>
      <c r="F69" s="48"/>
      <c r="L69" s="40"/>
      <c r="M69" s="41"/>
      <c r="N69" s="42"/>
      <c r="O69" s="43"/>
      <c r="P69" s="41"/>
      <c r="Q69" s="44"/>
      <c r="R69" s="45"/>
      <c r="S69" s="46"/>
      <c r="T69" s="47"/>
      <c r="U69" s="46"/>
      <c r="V69" s="47"/>
      <c r="W69" s="45"/>
      <c r="X69" s="46"/>
      <c r="Y69" s="47"/>
    </row>
    <row r="70" spans="2:25" s="39" customFormat="1" ht="15.75" x14ac:dyDescent="0.25">
      <c r="C70" s="51"/>
      <c r="D70" s="52"/>
      <c r="E70" s="53"/>
      <c r="F70" s="48"/>
      <c r="L70" s="40"/>
      <c r="M70" s="41"/>
      <c r="N70" s="42"/>
      <c r="O70" s="43"/>
      <c r="P70" s="41"/>
      <c r="Q70" s="44"/>
      <c r="R70" s="45"/>
      <c r="S70" s="46"/>
      <c r="T70" s="47"/>
      <c r="U70" s="46"/>
      <c r="V70" s="47"/>
      <c r="W70" s="45"/>
      <c r="X70" s="46"/>
      <c r="Y70" s="47"/>
    </row>
    <row r="71" spans="2:25" s="39" customFormat="1" ht="15.75" x14ac:dyDescent="0.25">
      <c r="F71" s="48"/>
      <c r="L71" s="40"/>
      <c r="M71" s="41"/>
      <c r="N71" s="42"/>
      <c r="O71" s="43"/>
      <c r="P71" s="41"/>
      <c r="Q71" s="44"/>
      <c r="R71" s="45"/>
      <c r="S71" s="46"/>
      <c r="T71" s="47"/>
      <c r="U71" s="46"/>
      <c r="V71" s="47"/>
      <c r="W71" s="45"/>
      <c r="X71" s="46"/>
      <c r="Y71" s="47"/>
    </row>
    <row r="72" spans="2:25" s="39" customFormat="1" ht="30" customHeight="1" x14ac:dyDescent="0.25">
      <c r="B72" s="140" t="s">
        <v>88</v>
      </c>
      <c r="C72" s="140"/>
      <c r="D72" s="140"/>
      <c r="E72" s="140"/>
      <c r="F72" s="140"/>
      <c r="G72" s="140"/>
      <c r="H72" s="140"/>
      <c r="I72" s="140"/>
      <c r="J72" s="140"/>
      <c r="K72" s="140"/>
      <c r="L72" s="40"/>
      <c r="M72" s="41"/>
      <c r="N72" s="42"/>
      <c r="O72" s="43"/>
      <c r="P72" s="41"/>
      <c r="Q72" s="44"/>
      <c r="R72" s="45"/>
      <c r="S72" s="46"/>
      <c r="T72" s="47"/>
      <c r="U72" s="46"/>
      <c r="V72" s="47"/>
      <c r="W72" s="45"/>
      <c r="X72" s="46"/>
      <c r="Y72" s="47"/>
    </row>
    <row r="73" spans="2:25" s="39" customFormat="1" ht="15.75" x14ac:dyDescent="0.25">
      <c r="B73" s="54"/>
      <c r="C73" s="55"/>
      <c r="D73" s="55"/>
      <c r="E73" s="54"/>
      <c r="F73" s="56"/>
      <c r="G73" s="54"/>
      <c r="H73" s="54"/>
      <c r="L73" s="40"/>
      <c r="M73" s="41"/>
      <c r="N73" s="42"/>
      <c r="O73" s="43"/>
      <c r="P73" s="41"/>
      <c r="Q73" s="44"/>
      <c r="R73" s="45"/>
      <c r="S73" s="46"/>
      <c r="T73" s="47"/>
      <c r="U73" s="46"/>
      <c r="V73" s="47"/>
      <c r="W73" s="45"/>
      <c r="X73" s="46"/>
      <c r="Y73" s="47"/>
    </row>
    <row r="74" spans="2:25" s="39" customFormat="1" ht="15.75" x14ac:dyDescent="0.25">
      <c r="L74" s="40"/>
      <c r="M74" s="41"/>
      <c r="N74" s="42"/>
      <c r="O74" s="43"/>
      <c r="P74" s="41"/>
      <c r="Q74" s="44"/>
      <c r="R74" s="45"/>
      <c r="S74" s="46"/>
      <c r="T74" s="47"/>
      <c r="U74" s="46"/>
      <c r="V74" s="47"/>
      <c r="W74" s="45"/>
      <c r="X74" s="46"/>
      <c r="Y74" s="47"/>
    </row>
    <row r="75" spans="2:25" s="39" customFormat="1" ht="15.75" x14ac:dyDescent="0.25">
      <c r="C75" s="33" t="s">
        <v>79</v>
      </c>
      <c r="D75" s="144" t="s">
        <v>80</v>
      </c>
      <c r="E75" s="145"/>
      <c r="L75" s="40"/>
      <c r="M75" s="57"/>
      <c r="N75" s="57"/>
      <c r="O75" s="57"/>
      <c r="P75" s="57"/>
      <c r="Q75" s="57"/>
    </row>
    <row r="76" spans="2:25" s="39" customFormat="1" ht="15.75" x14ac:dyDescent="0.25">
      <c r="C76" s="34" t="s">
        <v>89</v>
      </c>
      <c r="D76" s="35">
        <f>COUNTIF(M15:M56,"&gt;=0")-COUNTIF(M15:M56,"&gt;0,5")</f>
        <v>1</v>
      </c>
      <c r="E76" s="36">
        <f t="shared" ref="E76:E81" si="1">+D76/$C$150</f>
        <v>2.3809523809523808E-2</v>
      </c>
      <c r="L76" s="40"/>
      <c r="M76" s="57"/>
      <c r="N76" s="57"/>
      <c r="O76" s="57"/>
      <c r="P76" s="57"/>
      <c r="Q76" s="57"/>
    </row>
    <row r="77" spans="2:25" s="39" customFormat="1" ht="15.75" x14ac:dyDescent="0.25">
      <c r="C77" s="34" t="s">
        <v>90</v>
      </c>
      <c r="D77" s="35">
        <f>COUNTIF(M15:M56,"&gt;0,5")-COUNTIF(M15:M56,"&gt;1")</f>
        <v>2</v>
      </c>
      <c r="E77" s="36">
        <f t="shared" si="1"/>
        <v>4.7619047619047616E-2</v>
      </c>
      <c r="L77" s="40"/>
      <c r="M77" s="57"/>
      <c r="N77" s="57"/>
      <c r="O77" s="57"/>
      <c r="P77" s="57"/>
      <c r="Q77" s="57"/>
    </row>
    <row r="78" spans="2:25" s="39" customFormat="1" ht="15.75" x14ac:dyDescent="0.25">
      <c r="C78" s="58" t="s">
        <v>91</v>
      </c>
      <c r="D78" s="35">
        <f>COUNTIF(M15:M56,"&gt;1")-COUNTIF(M15:M56,"&gt;1,5")</f>
        <v>9</v>
      </c>
      <c r="E78" s="36">
        <f t="shared" si="1"/>
        <v>0.21428571428571427</v>
      </c>
      <c r="L78" s="40"/>
      <c r="M78" s="57"/>
      <c r="N78" s="57"/>
      <c r="O78" s="57"/>
      <c r="P78" s="57"/>
      <c r="Q78" s="57"/>
    </row>
    <row r="79" spans="2:25" s="39" customFormat="1" ht="15.75" x14ac:dyDescent="0.25">
      <c r="C79" s="34" t="s">
        <v>92</v>
      </c>
      <c r="D79" s="35">
        <f>COUNTIF(M15:M56,"&gt;1,5")-COUNTIF(M15:M56,"&gt;2")</f>
        <v>8</v>
      </c>
      <c r="E79" s="36">
        <f t="shared" si="1"/>
        <v>0.19047619047619047</v>
      </c>
      <c r="F79" s="48"/>
      <c r="L79" s="40"/>
      <c r="M79" s="57"/>
      <c r="N79" s="57"/>
      <c r="O79" s="57"/>
      <c r="P79" s="57"/>
      <c r="Q79" s="57"/>
    </row>
    <row r="80" spans="2:25" s="39" customFormat="1" ht="15.75" x14ac:dyDescent="0.25">
      <c r="C80" s="34" t="s">
        <v>93</v>
      </c>
      <c r="D80" s="35">
        <f>COUNTIF(M15:M56,"&gt;2")-COUNTIF(M15:M56,"&gt;2,5")</f>
        <v>7</v>
      </c>
      <c r="E80" s="36">
        <f t="shared" si="1"/>
        <v>0.16666666666666666</v>
      </c>
      <c r="F80" s="48"/>
      <c r="L80" s="40"/>
      <c r="M80" s="57"/>
      <c r="N80" s="57"/>
      <c r="O80" s="57"/>
      <c r="P80" s="57"/>
      <c r="Q80" s="57"/>
    </row>
    <row r="81" spans="2:17" s="39" customFormat="1" ht="15.75" x14ac:dyDescent="0.25">
      <c r="C81" s="34" t="s">
        <v>94</v>
      </c>
      <c r="D81" s="35">
        <f>COUNTIF(M15:M56,"&gt;2,5")</f>
        <v>15</v>
      </c>
      <c r="E81" s="36">
        <f t="shared" si="1"/>
        <v>0.35714285714285715</v>
      </c>
      <c r="F81" s="48"/>
      <c r="L81" s="40"/>
      <c r="M81" s="57"/>
      <c r="N81" s="57"/>
      <c r="O81" s="57"/>
      <c r="P81" s="57"/>
      <c r="Q81" s="57"/>
    </row>
    <row r="82" spans="2:17" s="39" customFormat="1" ht="15.75" x14ac:dyDescent="0.25">
      <c r="C82" s="33" t="s">
        <v>87</v>
      </c>
      <c r="D82" s="37">
        <f>SUM(D76:D81)</f>
        <v>42</v>
      </c>
      <c r="E82" s="38">
        <f>SUM(E76:E81)</f>
        <v>1</v>
      </c>
      <c r="F82" s="48"/>
      <c r="L82" s="40"/>
      <c r="M82" s="57"/>
      <c r="N82" s="57"/>
      <c r="O82" s="57"/>
      <c r="P82" s="57"/>
      <c r="Q82" s="57"/>
    </row>
    <row r="83" spans="2:17" s="39" customFormat="1" ht="15.75" x14ac:dyDescent="0.25">
      <c r="C83" s="51"/>
      <c r="D83" s="59"/>
      <c r="E83" s="53"/>
      <c r="F83" s="48"/>
      <c r="L83" s="40"/>
      <c r="M83" s="57"/>
      <c r="N83" s="57"/>
      <c r="O83" s="57"/>
      <c r="P83" s="57"/>
      <c r="Q83" s="57"/>
    </row>
    <row r="84" spans="2:17" s="39" customFormat="1" ht="15.75" x14ac:dyDescent="0.25">
      <c r="C84" s="51"/>
      <c r="D84" s="59"/>
      <c r="E84" s="53"/>
      <c r="F84" s="48"/>
      <c r="L84" s="40"/>
      <c r="M84" s="57"/>
      <c r="N84" s="57"/>
      <c r="O84" s="57"/>
      <c r="P84" s="57"/>
      <c r="Q84" s="57"/>
    </row>
    <row r="85" spans="2:17" s="39" customFormat="1" ht="15.75" x14ac:dyDescent="0.25">
      <c r="C85" s="60"/>
      <c r="D85" s="61"/>
      <c r="E85" s="53"/>
      <c r="F85" s="48"/>
      <c r="L85" s="40"/>
      <c r="M85" s="57"/>
      <c r="N85" s="57"/>
      <c r="O85" s="57"/>
      <c r="P85" s="57"/>
      <c r="Q85" s="57"/>
    </row>
    <row r="86" spans="2:17" s="39" customFormat="1" ht="30" customHeight="1" x14ac:dyDescent="0.25">
      <c r="B86" s="140" t="s">
        <v>95</v>
      </c>
      <c r="C86" s="140"/>
      <c r="D86" s="140"/>
      <c r="E86" s="140"/>
      <c r="F86" s="140"/>
      <c r="G86" s="140"/>
      <c r="H86" s="140"/>
      <c r="I86" s="140"/>
      <c r="J86" s="140"/>
      <c r="K86" s="140"/>
      <c r="L86" s="40"/>
      <c r="M86" s="57"/>
      <c r="N86" s="57"/>
      <c r="O86" s="57"/>
      <c r="P86" s="57"/>
      <c r="Q86" s="57"/>
    </row>
    <row r="87" spans="2:17" s="39" customFormat="1" ht="15.75" x14ac:dyDescent="0.25">
      <c r="F87" s="48"/>
      <c r="L87" s="40"/>
      <c r="M87" s="57"/>
      <c r="N87" s="57"/>
      <c r="O87" s="57"/>
      <c r="P87" s="57"/>
      <c r="Q87" s="57"/>
    </row>
    <row r="88" spans="2:17" s="39" customFormat="1" ht="15.75" x14ac:dyDescent="0.25">
      <c r="F88" s="48"/>
      <c r="L88" s="40"/>
      <c r="M88" s="57"/>
      <c r="N88" s="57"/>
      <c r="O88" s="57"/>
      <c r="P88" s="57"/>
      <c r="Q88" s="57"/>
    </row>
    <row r="89" spans="2:17" s="39" customFormat="1" ht="15.75" x14ac:dyDescent="0.25">
      <c r="C89" s="33" t="s">
        <v>79</v>
      </c>
      <c r="D89" s="144" t="s">
        <v>80</v>
      </c>
      <c r="E89" s="145"/>
      <c r="F89" s="48"/>
      <c r="L89" s="40"/>
      <c r="M89" s="57"/>
      <c r="N89" s="57"/>
      <c r="O89" s="57"/>
      <c r="P89" s="57"/>
      <c r="Q89" s="57"/>
    </row>
    <row r="90" spans="2:17" s="39" customFormat="1" ht="15.75" x14ac:dyDescent="0.25">
      <c r="C90" s="34" t="s">
        <v>96</v>
      </c>
      <c r="D90" s="35">
        <f>COUNTIF(N15:N56,"&gt;=0")-COUNTIF(N15:N56,"&gt;15%")</f>
        <v>0</v>
      </c>
      <c r="E90" s="36">
        <f t="shared" ref="E90:E96" si="2">+D90/$C$150</f>
        <v>0</v>
      </c>
      <c r="F90" s="48"/>
      <c r="L90" s="40"/>
      <c r="M90" s="57"/>
      <c r="N90" s="57"/>
      <c r="O90" s="57"/>
      <c r="P90" s="57"/>
      <c r="Q90" s="57"/>
    </row>
    <row r="91" spans="2:17" s="39" customFormat="1" ht="15.75" x14ac:dyDescent="0.25">
      <c r="C91" s="34" t="s">
        <v>97</v>
      </c>
      <c r="D91" s="35">
        <f>COUNTIF(N15:N56,"&gt;15%")-COUNTIF(N15:N56,"&gt;30%")</f>
        <v>2</v>
      </c>
      <c r="E91" s="36">
        <f t="shared" si="2"/>
        <v>4.7619047619047616E-2</v>
      </c>
      <c r="F91" s="48"/>
      <c r="L91" s="40"/>
      <c r="M91" s="57"/>
      <c r="N91" s="57"/>
      <c r="O91" s="57"/>
      <c r="P91" s="57"/>
      <c r="Q91" s="57"/>
    </row>
    <row r="92" spans="2:17" s="39" customFormat="1" ht="15.75" x14ac:dyDescent="0.25">
      <c r="C92" s="34" t="s">
        <v>98</v>
      </c>
      <c r="D92" s="35">
        <f>COUNTIF(N15:N56,"&gt;30%")-COUNTIF(N15:N56,"&gt;45%")</f>
        <v>11</v>
      </c>
      <c r="E92" s="36">
        <f t="shared" si="2"/>
        <v>0.26190476190476192</v>
      </c>
      <c r="F92" s="48"/>
      <c r="L92" s="40"/>
      <c r="M92" s="57"/>
      <c r="N92" s="57"/>
      <c r="O92" s="57"/>
      <c r="P92" s="57"/>
      <c r="Q92" s="57"/>
    </row>
    <row r="93" spans="2:17" s="39" customFormat="1" ht="15.75" x14ac:dyDescent="0.25">
      <c r="C93" s="34" t="s">
        <v>99</v>
      </c>
      <c r="D93" s="35">
        <f>COUNTIF(N15:N56,"&gt;45%")-COUNTIF(N15:N56,"&gt;60%")</f>
        <v>15</v>
      </c>
      <c r="E93" s="36">
        <f t="shared" si="2"/>
        <v>0.35714285714285715</v>
      </c>
      <c r="F93" s="48"/>
      <c r="L93" s="40"/>
      <c r="M93" s="57"/>
      <c r="N93" s="57"/>
      <c r="O93" s="57"/>
      <c r="P93" s="57"/>
      <c r="Q93" s="57"/>
    </row>
    <row r="94" spans="2:17" s="39" customFormat="1" ht="15.75" x14ac:dyDescent="0.25">
      <c r="C94" s="34" t="s">
        <v>100</v>
      </c>
      <c r="D94" s="35">
        <f>COUNTIF(N15:N56,"&gt;60%")-COUNTIF(N15:N56,"&gt;75%")</f>
        <v>6</v>
      </c>
      <c r="E94" s="36">
        <f t="shared" si="2"/>
        <v>0.14285714285714285</v>
      </c>
      <c r="F94" s="48"/>
      <c r="L94" s="40"/>
      <c r="M94" s="57"/>
      <c r="N94" s="57"/>
      <c r="O94" s="57"/>
      <c r="P94" s="57"/>
      <c r="Q94" s="57"/>
    </row>
    <row r="95" spans="2:17" s="39" customFormat="1" ht="15.75" x14ac:dyDescent="0.25">
      <c r="C95" s="34" t="s">
        <v>101</v>
      </c>
      <c r="D95" s="35">
        <f>COUNTIF(N15:N56,"&gt;75%")-COUNTIF(N15:N56,"&gt;90%")</f>
        <v>7</v>
      </c>
      <c r="E95" s="36">
        <f t="shared" si="2"/>
        <v>0.16666666666666666</v>
      </c>
      <c r="F95" s="48"/>
      <c r="L95" s="40"/>
      <c r="M95" s="57"/>
      <c r="N95" s="57"/>
      <c r="O95" s="57"/>
      <c r="P95" s="57"/>
      <c r="Q95" s="57"/>
    </row>
    <row r="96" spans="2:17" s="39" customFormat="1" ht="15" customHeight="1" x14ac:dyDescent="0.25">
      <c r="C96" s="34" t="s">
        <v>102</v>
      </c>
      <c r="D96" s="35">
        <f>COUNTIF(N15:N56,"&gt;90%")</f>
        <v>1</v>
      </c>
      <c r="E96" s="36">
        <f t="shared" si="2"/>
        <v>2.3809523809523808E-2</v>
      </c>
      <c r="F96" s="48"/>
      <c r="L96" s="40"/>
      <c r="M96" s="57"/>
      <c r="N96" s="57"/>
      <c r="O96" s="57"/>
      <c r="P96" s="57"/>
      <c r="Q96" s="57"/>
    </row>
    <row r="97" spans="2:17" s="39" customFormat="1" ht="15.75" x14ac:dyDescent="0.25">
      <c r="C97" s="33" t="s">
        <v>87</v>
      </c>
      <c r="D97" s="37">
        <f>SUM(D90:D96)</f>
        <v>42</v>
      </c>
      <c r="E97" s="38">
        <f>SUM(E90:E96)</f>
        <v>1</v>
      </c>
      <c r="F97" s="48"/>
      <c r="L97" s="40"/>
      <c r="M97" s="57"/>
      <c r="N97" s="57"/>
      <c r="O97" s="57"/>
      <c r="P97" s="57"/>
      <c r="Q97" s="57"/>
    </row>
    <row r="98" spans="2:17" s="39" customFormat="1" ht="15.75" x14ac:dyDescent="0.25">
      <c r="F98" s="48"/>
      <c r="L98" s="40"/>
      <c r="M98" s="57"/>
      <c r="N98" s="57"/>
      <c r="O98" s="57"/>
      <c r="P98" s="57"/>
      <c r="Q98" s="57"/>
    </row>
    <row r="99" spans="2:17" s="39" customFormat="1" ht="15.75" x14ac:dyDescent="0.25">
      <c r="F99" s="48"/>
      <c r="L99" s="40"/>
      <c r="M99" s="57"/>
      <c r="N99" s="57"/>
      <c r="O99" s="57"/>
      <c r="P99" s="57"/>
      <c r="Q99" s="57"/>
    </row>
    <row r="100" spans="2:17" s="39" customFormat="1" ht="15.75" x14ac:dyDescent="0.25">
      <c r="F100" s="48"/>
      <c r="L100" s="40"/>
      <c r="M100" s="57"/>
      <c r="N100" s="57"/>
      <c r="O100" s="57"/>
      <c r="P100" s="57"/>
      <c r="Q100" s="57"/>
    </row>
    <row r="101" spans="2:17" s="39" customFormat="1" ht="30" customHeight="1" x14ac:dyDescent="0.25">
      <c r="B101" s="140" t="s">
        <v>103</v>
      </c>
      <c r="C101" s="140"/>
      <c r="D101" s="140"/>
      <c r="E101" s="140"/>
      <c r="F101" s="140"/>
      <c r="G101" s="140"/>
      <c r="H101" s="140"/>
      <c r="I101" s="140"/>
      <c r="J101" s="140"/>
      <c r="K101" s="140"/>
      <c r="L101" s="40"/>
      <c r="M101" s="57"/>
      <c r="N101" s="57"/>
      <c r="O101" s="57"/>
      <c r="P101" s="57"/>
      <c r="Q101" s="57"/>
    </row>
    <row r="102" spans="2:17" s="39" customFormat="1" ht="15.75" x14ac:dyDescent="0.25">
      <c r="F102" s="48"/>
      <c r="L102" s="40"/>
      <c r="M102" s="57"/>
      <c r="N102" s="57"/>
      <c r="O102" s="57"/>
      <c r="P102" s="57"/>
      <c r="Q102" s="57"/>
    </row>
    <row r="103" spans="2:17" s="39" customFormat="1" ht="15.75" x14ac:dyDescent="0.25">
      <c r="F103" s="48"/>
      <c r="L103" s="40"/>
      <c r="M103" s="57"/>
      <c r="N103" s="57"/>
      <c r="O103" s="57"/>
      <c r="P103" s="57"/>
      <c r="Q103" s="57"/>
    </row>
    <row r="104" spans="2:17" s="39" customFormat="1" ht="15.75" x14ac:dyDescent="0.25">
      <c r="C104" s="33" t="s">
        <v>79</v>
      </c>
      <c r="D104" s="149" t="s">
        <v>80</v>
      </c>
      <c r="E104" s="149"/>
      <c r="F104" s="48"/>
      <c r="L104" s="40"/>
      <c r="M104" s="57"/>
      <c r="N104" s="57"/>
      <c r="O104" s="57"/>
      <c r="P104" s="57"/>
      <c r="Q104" s="57"/>
    </row>
    <row r="105" spans="2:17" s="39" customFormat="1" ht="15.75" x14ac:dyDescent="0.25">
      <c r="C105" s="34" t="s">
        <v>104</v>
      </c>
      <c r="D105" s="35">
        <f>COUNTIF(Q15:Q56,"=NEGATIVO INFINITO")</f>
        <v>0</v>
      </c>
      <c r="E105" s="36">
        <f t="shared" ref="E105:E112" si="3">+D105/$C$150</f>
        <v>0</v>
      </c>
      <c r="F105" s="48"/>
      <c r="L105" s="40"/>
      <c r="M105" s="57"/>
      <c r="N105" s="57"/>
      <c r="O105" s="57"/>
      <c r="P105" s="57"/>
      <c r="Q105" s="57"/>
    </row>
    <row r="106" spans="2:17" s="39" customFormat="1" ht="15.75" x14ac:dyDescent="0.25">
      <c r="C106" s="34" t="s">
        <v>105</v>
      </c>
      <c r="D106" s="35">
        <f>COUNTIF(Q15:Q56,"=INDETERMINADO")</f>
        <v>8</v>
      </c>
      <c r="E106" s="36">
        <f t="shared" si="3"/>
        <v>0.19047619047619047</v>
      </c>
      <c r="F106" s="48"/>
      <c r="L106" s="40"/>
      <c r="M106" s="57"/>
      <c r="N106" s="57"/>
      <c r="O106" s="57"/>
      <c r="P106" s="57"/>
      <c r="Q106" s="57"/>
    </row>
    <row r="107" spans="2:17" s="39" customFormat="1" ht="15.75" x14ac:dyDescent="0.25">
      <c r="C107" s="34" t="s">
        <v>106</v>
      </c>
      <c r="D107" s="35">
        <f>COUNTIF(Q15:Q56,"&lt;0")</f>
        <v>4</v>
      </c>
      <c r="E107" s="36">
        <f t="shared" si="3"/>
        <v>9.5238095238095233E-2</v>
      </c>
      <c r="F107" s="48"/>
      <c r="L107" s="40"/>
      <c r="M107" s="57"/>
      <c r="N107" s="57"/>
      <c r="O107" s="57"/>
      <c r="P107" s="57"/>
      <c r="Q107" s="57"/>
    </row>
    <row r="108" spans="2:17" s="39" customFormat="1" ht="15.75" x14ac:dyDescent="0.25">
      <c r="C108" s="34" t="s">
        <v>107</v>
      </c>
      <c r="D108" s="35">
        <f>COUNTIF(Q15:Q56,"&gt;0")-COUNTIF(Q15:Q56,"&gt;1,5")</f>
        <v>3</v>
      </c>
      <c r="E108" s="36">
        <f t="shared" si="3"/>
        <v>7.1428571428571425E-2</v>
      </c>
      <c r="F108" s="48"/>
      <c r="L108" s="40"/>
      <c r="M108" s="57"/>
      <c r="N108" s="57"/>
      <c r="O108" s="57"/>
      <c r="P108" s="57"/>
      <c r="Q108" s="57"/>
    </row>
    <row r="109" spans="2:17" s="39" customFormat="1" ht="15.75" x14ac:dyDescent="0.25">
      <c r="C109" s="62" t="s">
        <v>108</v>
      </c>
      <c r="D109" s="35">
        <f>COUNTIF(Q15:Q56,"&gt;1,5")-COUNTIF(Q15:Q56,"&gt;3")</f>
        <v>5</v>
      </c>
      <c r="E109" s="36">
        <f t="shared" si="3"/>
        <v>0.11904761904761904</v>
      </c>
      <c r="F109" s="48"/>
      <c r="L109" s="40"/>
      <c r="M109" s="57"/>
      <c r="N109" s="57"/>
      <c r="O109" s="57"/>
      <c r="P109" s="57"/>
      <c r="Q109" s="57"/>
    </row>
    <row r="110" spans="2:17" s="39" customFormat="1" ht="15.75" x14ac:dyDescent="0.25">
      <c r="C110" s="62" t="s">
        <v>109</v>
      </c>
      <c r="D110" s="35">
        <f>COUNTIF(Q15:Q56,"&gt;3")-COUNTIF(Q15:Q56,"&gt;4,5")</f>
        <v>3</v>
      </c>
      <c r="E110" s="36">
        <f t="shared" si="3"/>
        <v>7.1428571428571425E-2</v>
      </c>
      <c r="F110" s="48"/>
      <c r="L110" s="40"/>
      <c r="M110" s="57"/>
      <c r="N110" s="57"/>
      <c r="O110" s="57"/>
      <c r="P110" s="57"/>
      <c r="Q110" s="57"/>
    </row>
    <row r="111" spans="2:17" s="39" customFormat="1" ht="15.75" x14ac:dyDescent="0.25">
      <c r="C111" s="62" t="s">
        <v>110</v>
      </c>
      <c r="D111" s="35">
        <f>COUNTIF(Q15:Q56,"&gt;4,5")-COUNTIF(Q15:Q56,"&gt;6")</f>
        <v>3</v>
      </c>
      <c r="E111" s="36">
        <f t="shared" si="3"/>
        <v>7.1428571428571425E-2</v>
      </c>
      <c r="F111" s="48"/>
      <c r="L111" s="40"/>
      <c r="M111" s="57"/>
      <c r="N111" s="57"/>
      <c r="O111" s="57"/>
      <c r="P111" s="57"/>
      <c r="Q111" s="57"/>
    </row>
    <row r="112" spans="2:17" s="39" customFormat="1" ht="15.75" x14ac:dyDescent="0.25">
      <c r="C112" s="34" t="s">
        <v>111</v>
      </c>
      <c r="D112" s="35">
        <f>COUNTIF(Q15:Q56,"&gt;6")</f>
        <v>16</v>
      </c>
      <c r="E112" s="36">
        <f t="shared" si="3"/>
        <v>0.38095238095238093</v>
      </c>
      <c r="F112" s="48"/>
      <c r="L112" s="40"/>
      <c r="M112" s="57"/>
      <c r="N112" s="57"/>
      <c r="O112" s="57"/>
      <c r="P112" s="57"/>
      <c r="Q112" s="57"/>
    </row>
    <row r="113" spans="2:17" s="39" customFormat="1" ht="15.75" x14ac:dyDescent="0.25">
      <c r="C113" s="33" t="s">
        <v>87</v>
      </c>
      <c r="D113" s="37">
        <f>SUM(D105:D112)</f>
        <v>42</v>
      </c>
      <c r="E113" s="38">
        <f>SUM(E105:E112)</f>
        <v>0.99999999999999989</v>
      </c>
      <c r="F113" s="48"/>
      <c r="L113" s="40"/>
      <c r="M113" s="57"/>
      <c r="N113" s="57"/>
      <c r="O113" s="57"/>
      <c r="P113" s="57"/>
      <c r="Q113" s="57"/>
    </row>
    <row r="114" spans="2:17" s="39" customFormat="1" ht="15.75" x14ac:dyDescent="0.25">
      <c r="F114" s="48"/>
      <c r="L114" s="40"/>
      <c r="M114" s="57"/>
      <c r="N114" s="57"/>
      <c r="O114" s="57"/>
      <c r="P114" s="57"/>
      <c r="Q114" s="57"/>
    </row>
    <row r="115" spans="2:17" s="39" customFormat="1" ht="15.75" x14ac:dyDescent="0.25">
      <c r="F115" s="48"/>
      <c r="L115" s="40"/>
      <c r="M115" s="57"/>
      <c r="N115" s="57"/>
      <c r="O115" s="57"/>
      <c r="P115" s="57"/>
      <c r="Q115" s="57"/>
    </row>
    <row r="116" spans="2:17" s="39" customFormat="1" ht="15.75" x14ac:dyDescent="0.25">
      <c r="F116" s="48"/>
      <c r="L116" s="40"/>
      <c r="M116" s="57"/>
      <c r="N116" s="57"/>
      <c r="O116" s="57"/>
      <c r="P116" s="57"/>
      <c r="Q116" s="57"/>
    </row>
    <row r="117" spans="2:17" s="39" customFormat="1" ht="30" customHeight="1" x14ac:dyDescent="0.25">
      <c r="B117" s="140" t="s">
        <v>112</v>
      </c>
      <c r="C117" s="140"/>
      <c r="D117" s="140"/>
      <c r="E117" s="140"/>
      <c r="F117" s="140"/>
      <c r="G117" s="140"/>
      <c r="H117" s="140"/>
      <c r="I117" s="140"/>
      <c r="J117" s="140"/>
      <c r="K117" s="140"/>
      <c r="L117" s="40"/>
      <c r="M117" s="57"/>
      <c r="N117" s="57"/>
      <c r="O117" s="57"/>
      <c r="P117" s="57"/>
      <c r="Q117" s="57"/>
    </row>
    <row r="118" spans="2:17" s="39" customFormat="1" ht="15.75" x14ac:dyDescent="0.25">
      <c r="F118" s="48"/>
      <c r="L118" s="40"/>
      <c r="M118" s="57"/>
      <c r="N118" s="57"/>
      <c r="O118" s="57"/>
      <c r="P118" s="57"/>
      <c r="Q118" s="57"/>
    </row>
    <row r="119" spans="2:17" s="39" customFormat="1" ht="15.75" x14ac:dyDescent="0.25">
      <c r="F119" s="48"/>
      <c r="L119" s="40"/>
      <c r="M119" s="57"/>
      <c r="N119" s="57"/>
      <c r="O119" s="57"/>
      <c r="P119" s="57"/>
      <c r="Q119" s="57"/>
    </row>
    <row r="120" spans="2:17" s="39" customFormat="1" ht="15.75" x14ac:dyDescent="0.25">
      <c r="C120" s="63" t="s">
        <v>79</v>
      </c>
      <c r="D120" s="150" t="s">
        <v>80</v>
      </c>
      <c r="E120" s="150"/>
      <c r="F120" s="48"/>
      <c r="L120" s="40"/>
      <c r="M120" s="57"/>
      <c r="N120" s="57"/>
      <c r="O120" s="57"/>
      <c r="P120" s="57"/>
      <c r="Q120" s="57"/>
    </row>
    <row r="121" spans="2:17" s="39" customFormat="1" ht="15.75" x14ac:dyDescent="0.25">
      <c r="C121" s="64" t="s">
        <v>113</v>
      </c>
      <c r="D121" s="65">
        <f>COUNTIF(O15:O56,"&lt;0")++COUNTIF(O15:O56,"=0")</f>
        <v>3</v>
      </c>
      <c r="E121" s="66">
        <f t="shared" ref="E121:E127" si="4">+D121/$C$150</f>
        <v>7.1428571428571425E-2</v>
      </c>
      <c r="F121" s="48"/>
      <c r="L121" s="40"/>
      <c r="M121" s="57"/>
      <c r="N121" s="57"/>
      <c r="O121" s="57"/>
      <c r="P121" s="57"/>
      <c r="Q121" s="57"/>
    </row>
    <row r="122" spans="2:17" s="39" customFormat="1" ht="15.75" x14ac:dyDescent="0.25">
      <c r="C122" s="64" t="s">
        <v>114</v>
      </c>
      <c r="D122" s="65">
        <f>COUNTIF(O15:O56,"&gt;0%")-COUNTIF(O15:O56,"&gt;6%")</f>
        <v>9</v>
      </c>
      <c r="E122" s="66">
        <f t="shared" si="4"/>
        <v>0.21428571428571427</v>
      </c>
      <c r="F122" s="48"/>
      <c r="L122" s="40"/>
      <c r="M122" s="57"/>
      <c r="N122" s="57"/>
      <c r="O122" s="57"/>
      <c r="P122" s="57"/>
      <c r="Q122" s="57"/>
    </row>
    <row r="123" spans="2:17" s="39" customFormat="1" ht="15.75" x14ac:dyDescent="0.25">
      <c r="C123" s="64" t="s">
        <v>115</v>
      </c>
      <c r="D123" s="65">
        <f>COUNTIF(O15:O56,"&gt;6%")-COUNTIF(O15:O56,"&gt;12%")</f>
        <v>5</v>
      </c>
      <c r="E123" s="66">
        <f t="shared" si="4"/>
        <v>0.11904761904761904</v>
      </c>
      <c r="F123" s="48"/>
      <c r="L123" s="40"/>
      <c r="M123" s="57"/>
      <c r="N123" s="57"/>
      <c r="O123" s="57"/>
      <c r="P123" s="57"/>
      <c r="Q123" s="57"/>
    </row>
    <row r="124" spans="2:17" s="39" customFormat="1" ht="15.75" x14ac:dyDescent="0.25">
      <c r="C124" s="64" t="s">
        <v>116</v>
      </c>
      <c r="D124" s="65">
        <f>COUNTIF(O15:O56,"&gt;12%")-COUNTIF(O15:O56,"&gt;18%")</f>
        <v>7</v>
      </c>
      <c r="E124" s="66">
        <f t="shared" si="4"/>
        <v>0.16666666666666666</v>
      </c>
      <c r="F124" s="48"/>
      <c r="L124" s="40"/>
      <c r="M124" s="57"/>
      <c r="N124" s="57"/>
      <c r="O124" s="57"/>
      <c r="P124" s="57"/>
      <c r="Q124" s="57"/>
    </row>
    <row r="125" spans="2:17" s="39" customFormat="1" ht="15.75" x14ac:dyDescent="0.25">
      <c r="C125" s="64" t="s">
        <v>117</v>
      </c>
      <c r="D125" s="65">
        <f>COUNTIF(O15:O56,"&gt;18%")-COUNTIF(O15:O56,"&gt;24%")</f>
        <v>3</v>
      </c>
      <c r="E125" s="66">
        <f t="shared" si="4"/>
        <v>7.1428571428571425E-2</v>
      </c>
      <c r="F125" s="48"/>
      <c r="L125" s="40"/>
      <c r="M125" s="57"/>
      <c r="N125" s="57"/>
      <c r="O125" s="57"/>
      <c r="P125" s="57"/>
      <c r="Q125" s="57"/>
    </row>
    <row r="126" spans="2:17" s="39" customFormat="1" ht="15.75" x14ac:dyDescent="0.25">
      <c r="C126" s="64" t="s">
        <v>118</v>
      </c>
      <c r="D126" s="65">
        <f>COUNTIF(O15:O56,"&gt;24%")-COUNTIF(O15:O56,"&gt;30%")</f>
        <v>6</v>
      </c>
      <c r="E126" s="66">
        <f t="shared" si="4"/>
        <v>0.14285714285714285</v>
      </c>
      <c r="F126" s="48"/>
      <c r="L126" s="40"/>
      <c r="M126" s="57"/>
      <c r="N126" s="57"/>
      <c r="O126" s="57"/>
      <c r="P126" s="57"/>
      <c r="Q126" s="57"/>
    </row>
    <row r="127" spans="2:17" s="39" customFormat="1" ht="15.75" x14ac:dyDescent="0.25">
      <c r="C127" s="64" t="s">
        <v>119</v>
      </c>
      <c r="D127" s="65">
        <f>COUNTIF(O15:O56,"&gt;30%")</f>
        <v>9</v>
      </c>
      <c r="E127" s="66">
        <f t="shared" si="4"/>
        <v>0.21428571428571427</v>
      </c>
      <c r="F127" s="48"/>
      <c r="L127" s="40"/>
      <c r="M127" s="57"/>
      <c r="N127" s="57"/>
      <c r="O127" s="57"/>
      <c r="P127" s="57"/>
      <c r="Q127" s="57"/>
    </row>
    <row r="128" spans="2:17" s="39" customFormat="1" ht="15.75" x14ac:dyDescent="0.25">
      <c r="C128" s="63" t="s">
        <v>87</v>
      </c>
      <c r="D128" s="67">
        <f>SUM(D121:D127)</f>
        <v>42</v>
      </c>
      <c r="E128" s="68">
        <f>SUM(E121:E127)</f>
        <v>0.99999999999999989</v>
      </c>
      <c r="F128" s="48"/>
      <c r="L128" s="40"/>
      <c r="M128" s="57"/>
      <c r="N128" s="57"/>
      <c r="O128" s="57"/>
      <c r="P128" s="57"/>
      <c r="Q128" s="57"/>
    </row>
    <row r="129" spans="2:17" s="39" customFormat="1" ht="15.75" x14ac:dyDescent="0.25">
      <c r="F129" s="48"/>
      <c r="L129" s="40"/>
      <c r="M129" s="57"/>
      <c r="N129" s="57"/>
      <c r="O129" s="57"/>
      <c r="P129" s="57"/>
      <c r="Q129" s="57"/>
    </row>
    <row r="130" spans="2:17" s="39" customFormat="1" ht="15.75" x14ac:dyDescent="0.25">
      <c r="F130" s="48"/>
      <c r="L130" s="40"/>
      <c r="M130" s="57"/>
      <c r="N130" s="57"/>
      <c r="O130" s="57"/>
      <c r="P130" s="57"/>
      <c r="Q130" s="57"/>
    </row>
    <row r="131" spans="2:17" s="39" customFormat="1" ht="15.75" x14ac:dyDescent="0.25">
      <c r="F131" s="48"/>
      <c r="L131" s="40"/>
      <c r="M131" s="57"/>
      <c r="N131" s="57"/>
      <c r="O131" s="57"/>
      <c r="P131" s="57"/>
      <c r="Q131" s="57"/>
    </row>
    <row r="132" spans="2:17" s="39" customFormat="1" ht="30" customHeight="1" x14ac:dyDescent="0.25">
      <c r="B132" s="140" t="s">
        <v>120</v>
      </c>
      <c r="C132" s="140"/>
      <c r="D132" s="140"/>
      <c r="E132" s="140"/>
      <c r="F132" s="140"/>
      <c r="G132" s="140"/>
      <c r="H132" s="140"/>
      <c r="I132" s="140"/>
      <c r="J132" s="140"/>
      <c r="K132" s="140"/>
      <c r="L132" s="40"/>
      <c r="M132" s="57"/>
      <c r="N132" s="57"/>
      <c r="O132" s="57"/>
      <c r="P132" s="57"/>
      <c r="Q132" s="57"/>
    </row>
    <row r="133" spans="2:17" s="39" customFormat="1" ht="15.75" x14ac:dyDescent="0.25">
      <c r="F133" s="48"/>
      <c r="L133" s="40"/>
      <c r="M133" s="57"/>
      <c r="N133" s="57"/>
      <c r="O133" s="57"/>
      <c r="P133" s="57"/>
      <c r="Q133" s="57"/>
    </row>
    <row r="134" spans="2:17" s="39" customFormat="1" ht="15.75" x14ac:dyDescent="0.25">
      <c r="F134" s="48"/>
      <c r="L134" s="40"/>
      <c r="M134" s="57"/>
      <c r="N134" s="57"/>
      <c r="O134" s="57"/>
      <c r="P134" s="57"/>
      <c r="Q134" s="57"/>
    </row>
    <row r="135" spans="2:17" s="39" customFormat="1" ht="15.75" x14ac:dyDescent="0.25">
      <c r="C135" s="63" t="s">
        <v>79</v>
      </c>
      <c r="D135" s="150" t="s">
        <v>80</v>
      </c>
      <c r="E135" s="150"/>
      <c r="F135" s="48"/>
      <c r="L135" s="40"/>
      <c r="M135" s="57"/>
      <c r="N135" s="57"/>
      <c r="O135" s="57"/>
      <c r="P135" s="57"/>
      <c r="Q135" s="57"/>
    </row>
    <row r="136" spans="2:17" s="39" customFormat="1" ht="15.75" x14ac:dyDescent="0.25">
      <c r="C136" s="64" t="s">
        <v>113</v>
      </c>
      <c r="D136" s="65">
        <f>COUNTIF(P15:P56,"&lt;0%")+COUNTIF(J15:J56,"=0")</f>
        <v>4</v>
      </c>
      <c r="E136" s="66">
        <f t="shared" ref="E136:E142" si="5">+D136/$C$150</f>
        <v>9.5238095238095233E-2</v>
      </c>
      <c r="F136" s="48"/>
      <c r="L136" s="40"/>
      <c r="M136" s="57"/>
      <c r="N136" s="57"/>
      <c r="O136" s="57"/>
      <c r="P136" s="57"/>
      <c r="Q136" s="57"/>
    </row>
    <row r="137" spans="2:17" s="39" customFormat="1" ht="15.75" x14ac:dyDescent="0.25">
      <c r="C137" s="64" t="s">
        <v>121</v>
      </c>
      <c r="D137" s="65">
        <f>COUNTIF(P15:P56,"&gt;0%")-COUNTIF(P15:P56,"&gt;3%")</f>
        <v>8</v>
      </c>
      <c r="E137" s="66">
        <f t="shared" si="5"/>
        <v>0.19047619047619047</v>
      </c>
      <c r="F137" s="48"/>
      <c r="L137" s="40"/>
      <c r="M137" s="57"/>
      <c r="N137" s="57"/>
      <c r="O137" s="57"/>
      <c r="P137" s="57"/>
      <c r="Q137" s="57"/>
    </row>
    <row r="138" spans="2:17" s="39" customFormat="1" ht="15.75" x14ac:dyDescent="0.25">
      <c r="C138" s="64" t="s">
        <v>122</v>
      </c>
      <c r="D138" s="65">
        <f>COUNTIF(P15:P56,"&gt;3%")-COUNTIF(P15:P56,"&gt;6%")</f>
        <v>7</v>
      </c>
      <c r="E138" s="66">
        <f t="shared" si="5"/>
        <v>0.16666666666666666</v>
      </c>
      <c r="F138" s="48"/>
      <c r="L138" s="40"/>
      <c r="M138" s="57"/>
      <c r="N138" s="57"/>
      <c r="O138" s="57"/>
      <c r="P138" s="57"/>
      <c r="Q138" s="57"/>
    </row>
    <row r="139" spans="2:17" s="39" customFormat="1" ht="15.75" x14ac:dyDescent="0.25">
      <c r="C139" s="64" t="s">
        <v>123</v>
      </c>
      <c r="D139" s="65">
        <f>COUNTIF(P15:P56,"&gt;6%")-COUNTIF(P15:P56,"&gt;9%")</f>
        <v>8</v>
      </c>
      <c r="E139" s="66">
        <f t="shared" si="5"/>
        <v>0.19047619047619047</v>
      </c>
      <c r="F139" s="48"/>
      <c r="L139" s="40"/>
      <c r="M139" s="57"/>
      <c r="N139" s="57"/>
      <c r="O139" s="57"/>
      <c r="P139" s="57"/>
      <c r="Q139" s="57"/>
    </row>
    <row r="140" spans="2:17" s="39" customFormat="1" ht="15.75" x14ac:dyDescent="0.25">
      <c r="C140" s="64" t="s">
        <v>124</v>
      </c>
      <c r="D140" s="65">
        <f>COUNTIF(P15:P56,"&gt;9%")-COUNTIF(P15:P56,"&gt;12%")</f>
        <v>4</v>
      </c>
      <c r="E140" s="66">
        <f t="shared" si="5"/>
        <v>9.5238095238095233E-2</v>
      </c>
      <c r="F140" s="48"/>
      <c r="L140" s="40"/>
      <c r="M140" s="57"/>
      <c r="N140" s="57"/>
      <c r="O140" s="57"/>
      <c r="P140" s="57"/>
      <c r="Q140" s="57"/>
    </row>
    <row r="141" spans="2:17" s="39" customFormat="1" ht="15.75" x14ac:dyDescent="0.25">
      <c r="C141" s="64" t="s">
        <v>125</v>
      </c>
      <c r="D141" s="65">
        <f>COUNTIF(P15:P56,"&gt;12%")-COUNTIF(P15:P56,"&gt;15%")</f>
        <v>4</v>
      </c>
      <c r="E141" s="66">
        <f t="shared" si="5"/>
        <v>9.5238095238095233E-2</v>
      </c>
      <c r="F141" s="48"/>
      <c r="L141" s="40"/>
      <c r="M141" s="57"/>
      <c r="N141" s="57"/>
      <c r="O141" s="57"/>
      <c r="P141" s="57"/>
      <c r="Q141" s="57"/>
    </row>
    <row r="142" spans="2:17" s="39" customFormat="1" ht="15.75" x14ac:dyDescent="0.25">
      <c r="C142" s="64" t="s">
        <v>126</v>
      </c>
      <c r="D142" s="65">
        <f>COUNTIF(P15:P56,"&gt;15%")</f>
        <v>7</v>
      </c>
      <c r="E142" s="66">
        <f t="shared" si="5"/>
        <v>0.16666666666666666</v>
      </c>
      <c r="F142" s="48"/>
      <c r="L142" s="40"/>
      <c r="M142" s="57"/>
      <c r="N142" s="57"/>
      <c r="O142" s="57"/>
      <c r="P142" s="57"/>
      <c r="Q142" s="57"/>
    </row>
    <row r="143" spans="2:17" s="39" customFormat="1" ht="15.75" x14ac:dyDescent="0.25">
      <c r="C143" s="63" t="s">
        <v>87</v>
      </c>
      <c r="D143" s="67">
        <f>SUM(D136:D142)</f>
        <v>42</v>
      </c>
      <c r="E143" s="68">
        <f>SUM(E136:E142)</f>
        <v>0.99999999999999989</v>
      </c>
      <c r="F143" s="48"/>
      <c r="L143" s="40"/>
      <c r="M143" s="57"/>
      <c r="N143" s="57"/>
      <c r="O143" s="57"/>
      <c r="P143" s="57"/>
      <c r="Q143" s="57"/>
    </row>
    <row r="144" spans="2:17" s="39" customFormat="1" ht="15.75" x14ac:dyDescent="0.25">
      <c r="F144" s="48"/>
      <c r="L144" s="40"/>
      <c r="M144" s="57"/>
      <c r="N144" s="57"/>
      <c r="O144" s="57"/>
      <c r="P144" s="57"/>
      <c r="Q144" s="57"/>
    </row>
    <row r="145" spans="2:25" s="39" customFormat="1" ht="15.75" x14ac:dyDescent="0.25">
      <c r="F145" s="48"/>
      <c r="L145" s="40"/>
      <c r="M145" s="57"/>
      <c r="N145" s="57"/>
      <c r="O145" s="57"/>
      <c r="P145" s="57"/>
      <c r="Q145" s="57"/>
    </row>
    <row r="146" spans="2:25" s="39" customFormat="1" ht="15.75" x14ac:dyDescent="0.25">
      <c r="F146" s="48"/>
      <c r="L146" s="40"/>
      <c r="M146" s="57"/>
      <c r="N146" s="57"/>
      <c r="O146" s="57"/>
      <c r="P146" s="57"/>
      <c r="Q146" s="57"/>
    </row>
    <row r="147" spans="2:25" s="39" customFormat="1" ht="25.5" customHeight="1" x14ac:dyDescent="0.25">
      <c r="E147" s="144" t="s">
        <v>127</v>
      </c>
      <c r="F147" s="146"/>
      <c r="G147" s="146"/>
      <c r="H147" s="145"/>
      <c r="I147" s="147" t="s">
        <v>128</v>
      </c>
      <c r="J147" s="148"/>
      <c r="L147" s="40"/>
      <c r="M147" s="57"/>
      <c r="N147" s="57"/>
      <c r="O147" s="57"/>
      <c r="P147" s="57"/>
      <c r="Q147" s="57"/>
    </row>
    <row r="148" spans="2:25" s="39" customFormat="1" ht="47.25" x14ac:dyDescent="0.25">
      <c r="B148" s="54"/>
      <c r="C148" s="54"/>
      <c r="D148" s="54"/>
      <c r="E148" s="69" t="s">
        <v>129</v>
      </c>
      <c r="F148" s="70" t="s">
        <v>130</v>
      </c>
      <c r="G148" s="70" t="s">
        <v>131</v>
      </c>
      <c r="H148" s="70" t="s">
        <v>132</v>
      </c>
      <c r="I148" s="71" t="s">
        <v>133</v>
      </c>
      <c r="J148" s="71" t="s">
        <v>134</v>
      </c>
      <c r="M148" s="72"/>
      <c r="N148" s="72"/>
      <c r="O148" s="72"/>
      <c r="P148" s="72"/>
      <c r="Q148" s="72"/>
    </row>
    <row r="149" spans="2:25" s="39" customFormat="1" ht="31.5" x14ac:dyDescent="0.25">
      <c r="C149" s="73" t="s">
        <v>13</v>
      </c>
      <c r="D149" s="74" t="s">
        <v>135</v>
      </c>
      <c r="E149" s="75">
        <f>AVERAGE(L15:L56)</f>
        <v>3203148.8095238097</v>
      </c>
      <c r="F149" s="76">
        <f>AVERAGE(M15:M56)</f>
        <v>2.3405002678188276</v>
      </c>
      <c r="G149" s="76">
        <f>AVERAGE(N15:N56)</f>
        <v>0.56258483668238812</v>
      </c>
      <c r="H149" s="76">
        <f>AVERAGE(Q15:Q56)</f>
        <v>1683.6649386395175</v>
      </c>
      <c r="I149" s="77">
        <f>AVERAGE(O15:O56)</f>
        <v>0.20190405094191197</v>
      </c>
      <c r="J149" s="77">
        <f>AVERAGE(P15:P56)</f>
        <v>8.0294510055888377E-2</v>
      </c>
      <c r="M149" s="78"/>
      <c r="N149" s="78"/>
      <c r="O149" s="78"/>
      <c r="P149" s="78"/>
      <c r="Q149" s="78"/>
    </row>
    <row r="150" spans="2:25" s="39" customFormat="1" ht="24.75" customHeight="1" x14ac:dyDescent="0.25">
      <c r="C150" s="79">
        <f>COUNTA(C15:C56)</f>
        <v>42</v>
      </c>
      <c r="D150" s="74" t="s">
        <v>136</v>
      </c>
      <c r="E150" s="75">
        <f>TRIMMEAN(F15:F56,40%)</f>
        <v>6812106.769230769</v>
      </c>
      <c r="F150" s="76">
        <f>TRIMMEAN(M15:M56,40%)</f>
        <v>2.1243480626629121</v>
      </c>
      <c r="G150" s="76">
        <f>TRIMMEAN(N15:N56,40%)</f>
        <v>0.53598366045381618</v>
      </c>
      <c r="H150" s="76">
        <f>TRIMMEAN(Q15:Q56,40%)</f>
        <v>6.8108157679674095</v>
      </c>
      <c r="I150" s="77">
        <f>TRIMMEAN(O15:O56,70%)</f>
        <v>0.15664185520805707</v>
      </c>
      <c r="J150" s="77">
        <f>TRIMMEAN(P15:P56,40%)</f>
        <v>7.1059722164904943E-2</v>
      </c>
      <c r="M150" s="78"/>
      <c r="N150" s="78"/>
      <c r="O150" s="78"/>
      <c r="P150" s="78"/>
      <c r="Q150" s="78"/>
    </row>
    <row r="151" spans="2:25" s="39" customFormat="1" ht="24.75" customHeight="1" x14ac:dyDescent="0.25">
      <c r="D151" s="74" t="s">
        <v>137</v>
      </c>
      <c r="E151" s="75">
        <f>MEDIAN(L15:L56)</f>
        <v>2143008</v>
      </c>
      <c r="F151" s="76">
        <f>MEDIAN(M15:M56)</f>
        <v>2.0353207644900722</v>
      </c>
      <c r="G151" s="76">
        <f>MEDIAN(N15:N56)</f>
        <v>0.54083188639156776</v>
      </c>
      <c r="H151" s="76">
        <f>MEDIAN(Q15:Q56)</f>
        <v>5.3161381495622404</v>
      </c>
      <c r="I151" s="77">
        <f>MEDIAN(O15:O56)</f>
        <v>0.15566450041497176</v>
      </c>
      <c r="J151" s="77">
        <f>MEDIAN(P15:P56)</f>
        <v>6.9280563567758094E-2</v>
      </c>
      <c r="M151" s="78"/>
      <c r="N151" s="78"/>
      <c r="O151" s="78"/>
      <c r="P151" s="78"/>
      <c r="Q151" s="78"/>
    </row>
    <row r="152" spans="2:25" s="39" customFormat="1" ht="24.75" customHeight="1" x14ac:dyDescent="0.25">
      <c r="D152" s="74" t="s">
        <v>138</v>
      </c>
      <c r="E152" s="75">
        <f>_xlfn.STDEV.P(L15:L56)</f>
        <v>3400060.544754819</v>
      </c>
      <c r="F152" s="76">
        <f>_xlfn.STDEV.P(M15:M56)</f>
        <v>1.212861638569942</v>
      </c>
      <c r="G152" s="76">
        <f>_xlfn.STDEV.P(N15:N56)</f>
        <v>0.24408282279635865</v>
      </c>
      <c r="H152" s="76">
        <f>_xlfn.STDEV.P(Q15:Q56)</f>
        <v>9570.7295573207084</v>
      </c>
      <c r="I152" s="77">
        <f>_xlfn.STDEV.P(O15:O56)</f>
        <v>0.24437499128727405</v>
      </c>
      <c r="J152" s="77">
        <f>_xlfn.STDEV.P(P15:P56)</f>
        <v>8.6527021898442927E-2</v>
      </c>
      <c r="M152" s="78"/>
      <c r="N152" s="78"/>
      <c r="O152" s="78"/>
      <c r="P152" s="78"/>
      <c r="Q152" s="78"/>
    </row>
    <row r="153" spans="2:25" s="39" customFormat="1" ht="24.75" customHeight="1" x14ac:dyDescent="0.25">
      <c r="D153" s="74" t="s">
        <v>139</v>
      </c>
      <c r="E153" s="75">
        <f>MIN(L15:L56)</f>
        <v>-2944025</v>
      </c>
      <c r="F153" s="76">
        <f>MIN(M15:M56)</f>
        <v>0.11299594524483696</v>
      </c>
      <c r="G153" s="76">
        <f>MIN(N15:N56)</f>
        <v>0.17650187094339481</v>
      </c>
      <c r="H153" s="76">
        <f>MIN(Q15:Q56)</f>
        <v>-2.8044257226123035</v>
      </c>
      <c r="I153" s="77">
        <f>MIN(O15:O56)</f>
        <v>-0.43721402911014101</v>
      </c>
      <c r="J153" s="77">
        <f>MIN(P15:P56)</f>
        <v>-0.10607881101802467</v>
      </c>
      <c r="M153" s="78"/>
      <c r="N153" s="78"/>
      <c r="O153" s="78"/>
      <c r="P153" s="78"/>
      <c r="Q153" s="78"/>
    </row>
    <row r="154" spans="2:25" s="39" customFormat="1" ht="24.75" customHeight="1" x14ac:dyDescent="0.25">
      <c r="D154" s="80" t="s">
        <v>140</v>
      </c>
      <c r="E154" s="81">
        <f>MAX(L15:L56)</f>
        <v>14599770</v>
      </c>
      <c r="F154" s="82">
        <f>MAX(M15:M56)</f>
        <v>5.4591166200838757</v>
      </c>
      <c r="G154" s="82">
        <f>MAX(N15:N56)</f>
        <v>1.6985579967085274</v>
      </c>
      <c r="H154" s="82">
        <f>MAX(Q15:Q56)</f>
        <v>56663</v>
      </c>
      <c r="I154" s="83">
        <f>MAX(O15:O56)</f>
        <v>0.99834467305719377</v>
      </c>
      <c r="J154" s="83">
        <f>MAX(P15:P56)</f>
        <v>0.34884537887914696</v>
      </c>
      <c r="M154" s="84"/>
      <c r="N154" s="85"/>
      <c r="O154" s="84"/>
      <c r="P154" s="84"/>
      <c r="Q154" s="84"/>
      <c r="R154" s="86"/>
      <c r="S154" s="86"/>
      <c r="T154" s="86"/>
      <c r="U154" s="86"/>
      <c r="V154" s="86"/>
      <c r="W154" s="86"/>
      <c r="X154" s="86"/>
      <c r="Y154" s="86"/>
    </row>
    <row r="155" spans="2:25" s="39" customFormat="1" ht="24.75" customHeight="1" x14ac:dyDescent="0.25">
      <c r="D155" s="74" t="s">
        <v>141</v>
      </c>
      <c r="E155" s="87">
        <f>(J4/1000)*50%</f>
        <v>185000</v>
      </c>
      <c r="F155" s="88">
        <f>E163</f>
        <v>1.5</v>
      </c>
      <c r="G155" s="88">
        <f>F163</f>
        <v>0.6</v>
      </c>
      <c r="H155" s="89">
        <f>G163</f>
        <v>2</v>
      </c>
      <c r="I155" s="90">
        <f t="shared" ref="I155:J155" si="6">H163</f>
        <v>0.06</v>
      </c>
      <c r="J155" s="90">
        <f t="shared" si="6"/>
        <v>0.04</v>
      </c>
      <c r="L155" s="91"/>
      <c r="M155" s="92"/>
      <c r="N155" s="85"/>
      <c r="O155" s="84"/>
      <c r="P155" s="84"/>
      <c r="Q155" s="84"/>
      <c r="R155" s="86"/>
      <c r="S155" s="86"/>
      <c r="T155" s="86"/>
      <c r="U155" s="86"/>
      <c r="V155" s="86"/>
      <c r="W155" s="86"/>
      <c r="X155" s="86"/>
      <c r="Y155" s="86"/>
    </row>
    <row r="156" spans="2:25" s="39" customFormat="1" ht="15.75" x14ac:dyDescent="0.25">
      <c r="F156" s="48"/>
      <c r="L156" s="40"/>
      <c r="M156" s="57"/>
      <c r="N156" s="57"/>
      <c r="O156" s="57"/>
      <c r="P156" s="57"/>
      <c r="Q156" s="57"/>
    </row>
    <row r="157" spans="2:25" s="54" customFormat="1" ht="15.75" x14ac:dyDescent="0.25">
      <c r="B157" s="93"/>
      <c r="C157" s="94"/>
      <c r="D157" s="93"/>
      <c r="E157" s="95"/>
      <c r="F157" s="96"/>
      <c r="G157" s="97"/>
      <c r="H157" s="98"/>
      <c r="I157" s="99"/>
      <c r="J157" s="99"/>
      <c r="K157" s="100"/>
      <c r="L157" s="101"/>
      <c r="M157" s="101"/>
      <c r="N157" s="101"/>
      <c r="O157" s="101"/>
      <c r="P157" s="102"/>
      <c r="Q157" s="102"/>
    </row>
    <row r="158" spans="2:25" s="103" customFormat="1" ht="15.75" x14ac:dyDescent="0.25">
      <c r="C158" s="143" t="s">
        <v>142</v>
      </c>
      <c r="D158" s="143"/>
      <c r="E158" s="143"/>
      <c r="F158" s="143"/>
      <c r="G158" s="143"/>
      <c r="H158" s="143"/>
      <c r="I158" s="143"/>
      <c r="J158" s="143"/>
      <c r="K158" s="104"/>
      <c r="L158" s="105"/>
      <c r="M158" s="106"/>
      <c r="N158" s="106"/>
      <c r="O158" s="106"/>
      <c r="P158" s="106"/>
      <c r="Q158" s="106"/>
    </row>
    <row r="159" spans="2:25" s="54" customFormat="1" ht="15.75" x14ac:dyDescent="0.25">
      <c r="B159" s="39"/>
      <c r="C159" s="39"/>
      <c r="D159" s="39"/>
      <c r="E159" s="39"/>
      <c r="F159" s="48"/>
      <c r="G159" s="39"/>
      <c r="H159" s="39"/>
      <c r="L159" s="107"/>
      <c r="M159" s="102"/>
      <c r="N159" s="102"/>
      <c r="O159" s="102"/>
      <c r="P159" s="102"/>
      <c r="Q159" s="102"/>
    </row>
    <row r="160" spans="2:25" s="54" customFormat="1" ht="27.75" customHeight="1" x14ac:dyDescent="0.25">
      <c r="B160" s="39"/>
      <c r="C160" s="108"/>
      <c r="D160" s="141" t="s">
        <v>127</v>
      </c>
      <c r="E160" s="141"/>
      <c r="F160" s="141"/>
      <c r="G160" s="141"/>
      <c r="H160" s="142" t="s">
        <v>128</v>
      </c>
      <c r="I160" s="142"/>
      <c r="L160" s="107"/>
      <c r="M160" s="102"/>
      <c r="N160" s="102"/>
      <c r="O160" s="102"/>
      <c r="P160" s="102"/>
      <c r="Q160" s="102"/>
    </row>
    <row r="161" spans="2:17" s="54" customFormat="1" ht="39" customHeight="1" x14ac:dyDescent="0.25">
      <c r="C161" s="108"/>
      <c r="D161" s="109" t="s">
        <v>143</v>
      </c>
      <c r="E161" s="109" t="s">
        <v>130</v>
      </c>
      <c r="F161" s="109" t="s">
        <v>131</v>
      </c>
      <c r="G161" s="109" t="s">
        <v>132</v>
      </c>
      <c r="H161" s="110" t="s">
        <v>133</v>
      </c>
      <c r="I161" s="110" t="s">
        <v>134</v>
      </c>
      <c r="L161" s="107"/>
      <c r="M161" s="102"/>
      <c r="N161" s="102"/>
      <c r="O161" s="102"/>
      <c r="P161" s="102"/>
      <c r="Q161" s="102"/>
    </row>
    <row r="162" spans="2:17" s="54" customFormat="1" ht="12.75" customHeight="1" x14ac:dyDescent="0.25">
      <c r="C162" s="108"/>
      <c r="D162" s="111" t="s">
        <v>144</v>
      </c>
      <c r="E162" s="111" t="s">
        <v>145</v>
      </c>
      <c r="F162" s="111" t="s">
        <v>146</v>
      </c>
      <c r="G162" s="111" t="s">
        <v>145</v>
      </c>
      <c r="H162" s="112" t="s">
        <v>145</v>
      </c>
      <c r="I162" s="112" t="s">
        <v>145</v>
      </c>
      <c r="L162" s="107"/>
      <c r="M162" s="102"/>
      <c r="N162" s="102"/>
      <c r="O162" s="102"/>
      <c r="P162" s="102"/>
      <c r="Q162" s="102"/>
    </row>
    <row r="163" spans="2:17" s="54" customFormat="1" ht="37.9" customHeight="1" x14ac:dyDescent="0.25">
      <c r="C163" s="73" t="s">
        <v>147</v>
      </c>
      <c r="D163" s="113" t="s">
        <v>148</v>
      </c>
      <c r="E163" s="135">
        <v>1.5</v>
      </c>
      <c r="F163" s="113">
        <v>0.6</v>
      </c>
      <c r="G163" s="114">
        <v>2</v>
      </c>
      <c r="H163" s="114">
        <v>0.06</v>
      </c>
      <c r="I163" s="114">
        <v>0.04</v>
      </c>
      <c r="L163" s="107"/>
      <c r="M163" s="102"/>
      <c r="N163" s="102"/>
      <c r="O163" s="102"/>
      <c r="P163" s="102"/>
      <c r="Q163" s="102"/>
    </row>
    <row r="164" spans="2:17" s="39" customFormat="1" ht="37.9" customHeight="1" x14ac:dyDescent="0.25">
      <c r="B164" s="54"/>
      <c r="C164" s="73" t="s">
        <v>149</v>
      </c>
      <c r="D164" s="113">
        <f>COUNTIF(L15:L56,"&gt;=185000")/$C$150</f>
        <v>0.9285714285714286</v>
      </c>
      <c r="E164" s="113">
        <f>COUNTIF(M15:M56,"&gt;=1,5")/$C$150</f>
        <v>0.7142857142857143</v>
      </c>
      <c r="F164" s="113">
        <f>(COUNTIF(N15:N56,"&gt;0%")-COUNTIF(N15:N56,"&gt;60%"))/$C$150</f>
        <v>0.66666666666666663</v>
      </c>
      <c r="G164" s="115">
        <f>(COUNTIF(Q15:Q56,"&gt;=2")+8)/$C$150</f>
        <v>0.76190476190476186</v>
      </c>
      <c r="H164" s="115">
        <f>COUNTIF(O15:O56,"&gt;=0,06")/$C$150</f>
        <v>0.7142857142857143</v>
      </c>
      <c r="I164" s="115">
        <f>COUNTIF(P15:P56,"&gt;=0,04")/$C$150</f>
        <v>0.6428571428571429</v>
      </c>
      <c r="K164" s="116"/>
      <c r="L164" s="40"/>
      <c r="M164" s="57"/>
      <c r="N164" s="57"/>
      <c r="O164" s="57"/>
      <c r="P164" s="57"/>
      <c r="Q164" s="57"/>
    </row>
    <row r="165" spans="2:17" s="39" customFormat="1" ht="37.9" customHeight="1" x14ac:dyDescent="0.25">
      <c r="B165" s="54"/>
      <c r="C165" s="86"/>
      <c r="D165" s="136"/>
      <c r="E165" s="136"/>
      <c r="F165" s="136"/>
      <c r="G165" s="137"/>
      <c r="H165" s="137"/>
      <c r="I165" s="137"/>
      <c r="K165" s="116"/>
      <c r="L165" s="40"/>
      <c r="M165" s="57"/>
      <c r="N165" s="57"/>
      <c r="O165" s="57"/>
      <c r="P165" s="57"/>
      <c r="Q165" s="57"/>
    </row>
    <row r="166" spans="2:17" s="39" customFormat="1" ht="15.75" x14ac:dyDescent="0.25">
      <c r="B166" s="54"/>
      <c r="C166" s="54"/>
      <c r="D166" s="54"/>
      <c r="E166" s="54"/>
      <c r="F166" s="54"/>
      <c r="G166" s="138"/>
      <c r="H166" s="54"/>
      <c r="L166" s="40"/>
      <c r="M166" s="57"/>
      <c r="N166" s="57"/>
      <c r="O166" s="57"/>
      <c r="P166" s="57"/>
      <c r="Q166" s="57"/>
    </row>
    <row r="167" spans="2:17" s="39" customFormat="1" ht="15.75" x14ac:dyDescent="0.25">
      <c r="B167" s="54"/>
      <c r="C167" s="54"/>
      <c r="D167" s="54"/>
      <c r="E167" s="54"/>
      <c r="F167" s="134"/>
      <c r="G167" s="138"/>
      <c r="H167" s="54"/>
      <c r="L167" s="40"/>
      <c r="M167" s="57"/>
      <c r="N167" s="57"/>
      <c r="O167" s="57"/>
      <c r="P167" s="57"/>
      <c r="Q167" s="57"/>
    </row>
    <row r="168" spans="2:17" s="39" customFormat="1" ht="15.75" x14ac:dyDescent="0.25">
      <c r="B168" s="54"/>
      <c r="C168" s="54"/>
      <c r="D168" s="54"/>
      <c r="E168" s="54"/>
      <c r="F168" s="54"/>
      <c r="G168" s="54"/>
      <c r="H168" s="54"/>
      <c r="L168" s="40"/>
      <c r="M168" s="57"/>
      <c r="N168" s="57"/>
      <c r="O168" s="57"/>
      <c r="P168" s="57"/>
      <c r="Q168" s="57"/>
    </row>
    <row r="169" spans="2:17" s="4" customFormat="1" ht="35.25" customHeight="1" x14ac:dyDescent="0.25">
      <c r="B169" s="108"/>
      <c r="C169" s="140" t="s">
        <v>150</v>
      </c>
      <c r="D169" s="140"/>
      <c r="E169" s="108"/>
      <c r="F169" s="108"/>
      <c r="G169" s="108"/>
      <c r="H169" s="108"/>
      <c r="I169" s="108"/>
      <c r="J169" s="86"/>
      <c r="L169" s="5"/>
      <c r="M169" s="6"/>
      <c r="N169" s="6"/>
      <c r="O169" s="6"/>
      <c r="P169" s="6"/>
      <c r="Q169" s="6"/>
    </row>
    <row r="171" spans="2:17" x14ac:dyDescent="0.25">
      <c r="D171" s="139"/>
      <c r="E171" s="139"/>
    </row>
    <row r="172" spans="2:17" x14ac:dyDescent="0.25">
      <c r="C172" s="14"/>
      <c r="D172" s="30"/>
    </row>
    <row r="173" spans="2:17" x14ac:dyDescent="0.25">
      <c r="C173" s="31"/>
      <c r="D173" s="30"/>
      <c r="G173" s="31"/>
    </row>
    <row r="174" spans="2:17" x14ac:dyDescent="0.25">
      <c r="C174" s="31"/>
      <c r="D174" s="30"/>
    </row>
    <row r="175" spans="2:17" x14ac:dyDescent="0.25">
      <c r="D175" s="30"/>
    </row>
    <row r="176" spans="2:17" x14ac:dyDescent="0.25">
      <c r="D176" s="30"/>
    </row>
    <row r="177" spans="4:4" x14ac:dyDescent="0.25">
      <c r="D177" s="30"/>
    </row>
    <row r="178" spans="4:4" x14ac:dyDescent="0.25">
      <c r="D178" s="32"/>
    </row>
  </sheetData>
  <sheetProtection algorithmName="SHA-512" hashValue="L66p0kku7YaQWXZc6joxLJM16VAMy95mvBoTrKcV+93v/PojY7BqKmsRGjs9CZT8mNNPCKmZQwFZ36FrCy8Zjw==" saltValue="yk8Cmy0K69jLyUMjrl5NMg==" spinCount="100000" sheet="1" formatCells="0" formatColumns="0" formatRows="0" insertColumns="0" insertRows="0" insertHyperlinks="0" deleteColumns="0" deleteRows="0" sort="0" autoFilter="0" pivotTables="0"/>
  <sortState xmlns:xlrd2="http://schemas.microsoft.com/office/spreadsheetml/2017/richdata2" ref="A15:Q56">
    <sortCondition ref="L15:L56"/>
  </sortState>
  <mergeCells count="28">
    <mergeCell ref="B58:K58"/>
    <mergeCell ref="D61:E61"/>
    <mergeCell ref="B86:K86"/>
    <mergeCell ref="C1:K1"/>
    <mergeCell ref="C3:C4"/>
    <mergeCell ref="D3:H4"/>
    <mergeCell ref="J3:K3"/>
    <mergeCell ref="J4:K4"/>
    <mergeCell ref="C6:K6"/>
    <mergeCell ref="B72:K72"/>
    <mergeCell ref="D8:J8"/>
    <mergeCell ref="D10:J10"/>
    <mergeCell ref="D9:J9"/>
    <mergeCell ref="B117:K117"/>
    <mergeCell ref="D75:E75"/>
    <mergeCell ref="E147:H147"/>
    <mergeCell ref="I147:J147"/>
    <mergeCell ref="B101:K101"/>
    <mergeCell ref="D104:E104"/>
    <mergeCell ref="B132:K132"/>
    <mergeCell ref="D135:E135"/>
    <mergeCell ref="D120:E120"/>
    <mergeCell ref="D89:E89"/>
    <mergeCell ref="D171:E171"/>
    <mergeCell ref="C169:D169"/>
    <mergeCell ref="D160:G160"/>
    <mergeCell ref="H160:I160"/>
    <mergeCell ref="C158:J158"/>
  </mergeCells>
  <conditionalFormatting sqref="L15:L56">
    <cfRule type="cellIs" dxfId="5" priority="42" operator="greaterThan">
      <formula>$E$155</formula>
    </cfRule>
  </conditionalFormatting>
  <conditionalFormatting sqref="M15:M56">
    <cfRule type="cellIs" dxfId="4" priority="44" operator="greaterThan">
      <formula>$E$163</formula>
    </cfRule>
  </conditionalFormatting>
  <conditionalFormatting sqref="N15:N56">
    <cfRule type="cellIs" dxfId="3" priority="46" operator="lessThan">
      <formula>$F$163</formula>
    </cfRule>
  </conditionalFormatting>
  <conditionalFormatting sqref="O15:O56">
    <cfRule type="cellIs" dxfId="2" priority="48" operator="greaterThan">
      <formula>$H$163</formula>
    </cfRule>
  </conditionalFormatting>
  <conditionalFormatting sqref="P15:P56">
    <cfRule type="cellIs" dxfId="1" priority="50" operator="greaterThan">
      <formula>$I$163</formula>
    </cfRule>
  </conditionalFormatting>
  <conditionalFormatting sqref="Q15:Q56">
    <cfRule type="cellIs" dxfId="0" priority="40" operator="greaterThanOrEqual">
      <formula>$H$155</formula>
    </cfRule>
  </conditionalFormatting>
  <pageMargins left="0.7" right="0.7" top="0.75" bottom="0.75" header="0.3" footer="0.3"/>
  <pageSetup paperSize="14" scale="27" fitToHeight="0" orientation="portrait" horizontalDpi="4294967294" verticalDpi="4294967294" r:id="rId1"/>
  <headerFooter>
    <oddHeader>&amp;C&amp;"Work Sans,Negrita"&amp;18SUBDIRECCION ADMINISTRATIVA Y FINANCIERA
ANÁLISIS FINANCIERO DEL SECTOR
PROCESOS DE CONTRATACION&amp;R&amp;"Work Sans,Negrita"&amp;14&amp;P DE &amp;N</oddHeader>
    <oddFooter>&amp;C&amp;"Work Sans,Negrita"&amp;9Avenida La Esperanza (Calle 24) No. 62-49, Complejo Empresarial Gran Estación II, Costado Esfera, Pisos 9 y 10, Bogotá Colombia. Teléfonos Línea de servicio al ciudadano: (57+1) 3240800 op. 2
Línea gratuita nacional 018000 112042</oddFooter>
  </headerFooter>
  <rowBreaks count="1" manualBreakCount="1">
    <brk id="145" max="16" man="1"/>
  </row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AIRES</vt:lpstr>
      <vt:lpstr>AIRES!Área_de_impresión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Sergio Alejandro Pino Rojas</dc:creator>
  <cp:keywords/>
  <dc:description/>
  <cp:lastModifiedBy>Julia Andrea Narvaez Toro</cp:lastModifiedBy>
  <cp:revision/>
  <dcterms:created xsi:type="dcterms:W3CDTF">2022-02-25T14:29:53Z</dcterms:created>
  <dcterms:modified xsi:type="dcterms:W3CDTF">2024-07-11T20:38:05Z</dcterms:modified>
  <cp:category/>
  <cp:contentStatus/>
</cp:coreProperties>
</file>